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975" windowWidth="14820" windowHeight="7845" tabRatio="894" activeTab="7"/>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TH!$S$10:$S$255</definedName>
    <definedName name="_C112">TH!$V$10:$V$255</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TH!$A$9:$AA$134</definedName>
    <definedName name="_xlnm._FilterDatabase" localSheetId="20" hidden="1">TK!$A$1:$J$1</definedName>
    <definedName name="_N111">TH!$R$10:$R$255</definedName>
    <definedName name="_N112">TH!$U$10:$U$255</definedName>
    <definedName name="_TH">TH!$K$10:$K$255</definedName>
    <definedName name="DG">TH!$J$10:$J$255</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'331'!$B$4:$B$41</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TH!$H$10:$H$255</definedName>
    <definedName name="KHC">TH!$O$10:$O$255</definedName>
    <definedName name="KHN">TH!$N$10:$N$255</definedName>
    <definedName name="Loai">OFFSET(TH!$P$5,,,COUNTA(TH!$P$5:$P$38565))</definedName>
    <definedName name="Loai1">OFFSET(TH!$Q$5,,,COUNTA(TH!$Q$5:$Q$38565))</definedName>
    <definedName name="Loai10">OFFSET(TH!$AD$5,,,COUNTA(TH!$AD$5:$AD$38565))</definedName>
    <definedName name="Loai11">OFFSET(TH!$Y$5,,,COUNTA(TH!$Y$5:$Y$38565))</definedName>
    <definedName name="Loai2">OFFSET(TH!$T$5,,,COUNTA(TH!$T$5:$T$38565))</definedName>
    <definedName name="Loai3">OFFSET('SO-TS'!$P$13,,,COUNTA('SO-TS'!$P$13:$P$3935))</definedName>
    <definedName name="Loai4">OFFSET(TH!$W$5,,,COUNTA(TH!$W$5:$W$38565))</definedName>
    <definedName name="Loai5">OFFSET(TH!$X$5,,,COUNTA(TH!$X$5:$X$38565))</definedName>
    <definedName name="Loai6">OFFSET(TH!$Z$5,,,COUNTA(TH!$Z$5:$Z$38565))</definedName>
    <definedName name="Loai7">OFFSET(TH!$AA$5,,,COUNTA(TH!$AA$5:$AA$38565))</definedName>
    <definedName name="Loai8">OFFSET(TH!$AB$5,,,COUNTA(TH!$AB$5:$AB$38565))</definedName>
    <definedName name="Loai9">OFFSET(TH!$AC$5,,,COUNTA(TH!$AC$5:$AC$38565))</definedName>
    <definedName name="MH">TH!$F$10:$F$255</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'331'!$A$1:$H$42</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0">CDPS!$A$8:$H$72</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TH!$I$10:$I$255</definedName>
    <definedName name="TH">TH!$M$10:$M$255</definedName>
    <definedName name="TM">TH!$A$10:$O$255</definedName>
  </definedNames>
  <calcPr calcId="144525"/>
</workbook>
</file>

<file path=xl/calcChain.xml><?xml version="1.0" encoding="utf-8"?>
<calcChain xmlns="http://schemas.openxmlformats.org/spreadsheetml/2006/main">
  <c r="B114" i="34" l="1"/>
  <c r="B115" i="34"/>
  <c r="B116" i="34"/>
  <c r="B117" i="34"/>
  <c r="B118" i="34"/>
  <c r="B119" i="34"/>
  <c r="B120" i="34"/>
  <c r="B121" i="34"/>
  <c r="B122" i="34"/>
  <c r="B123" i="34"/>
  <c r="B124" i="34"/>
  <c r="B125" i="34"/>
  <c r="B126" i="34"/>
  <c r="B127" i="34"/>
  <c r="B128" i="34"/>
  <c r="B129" i="34"/>
  <c r="B130" i="34"/>
  <c r="B131" i="34"/>
  <c r="B132" i="34"/>
  <c r="B133" i="34"/>
  <c r="B134" i="34"/>
  <c r="P15" i="34"/>
  <c r="T15" i="34"/>
  <c r="U15" i="34"/>
  <c r="V15" i="34"/>
  <c r="W15" i="34"/>
  <c r="Y15" i="34"/>
  <c r="AB15" i="34"/>
  <c r="AC15" i="34"/>
  <c r="P16" i="34"/>
  <c r="T16" i="34"/>
  <c r="U16" i="34"/>
  <c r="V16" i="34"/>
  <c r="W16" i="34"/>
  <c r="Y16" i="34"/>
  <c r="AB16" i="34"/>
  <c r="AC16" i="34"/>
  <c r="P17" i="34"/>
  <c r="T17" i="34"/>
  <c r="U17" i="34"/>
  <c r="V17" i="34"/>
  <c r="W17" i="34"/>
  <c r="Y17" i="34"/>
  <c r="AB17" i="34"/>
  <c r="AC17" i="34"/>
  <c r="P18" i="34"/>
  <c r="T18" i="34"/>
  <c r="U18" i="34"/>
  <c r="V18" i="34"/>
  <c r="W18" i="34"/>
  <c r="Y18" i="34"/>
  <c r="AB18" i="34"/>
  <c r="AC18" i="34"/>
  <c r="P19" i="34"/>
  <c r="T19" i="34"/>
  <c r="U19" i="34"/>
  <c r="V19" i="34"/>
  <c r="W19" i="34"/>
  <c r="Y19" i="34"/>
  <c r="AB19" i="34"/>
  <c r="AC19" i="34"/>
  <c r="P20" i="34"/>
  <c r="T20" i="34"/>
  <c r="U20" i="34"/>
  <c r="V20" i="34"/>
  <c r="W20" i="34"/>
  <c r="Y20" i="34"/>
  <c r="AB20" i="34"/>
  <c r="AC20" i="34"/>
  <c r="P21" i="34"/>
  <c r="T21" i="34"/>
  <c r="U21" i="34"/>
  <c r="V21" i="34"/>
  <c r="W21" i="34"/>
  <c r="Y21" i="34"/>
  <c r="AB21" i="34"/>
  <c r="AC21" i="34"/>
  <c r="P22" i="34"/>
  <c r="T22" i="34"/>
  <c r="U22" i="34"/>
  <c r="V22" i="34"/>
  <c r="W22" i="34"/>
  <c r="Y22" i="34"/>
  <c r="AB22" i="34"/>
  <c r="AC22" i="34"/>
  <c r="P23" i="34"/>
  <c r="T23" i="34"/>
  <c r="U23" i="34"/>
  <c r="V23" i="34"/>
  <c r="W23" i="34"/>
  <c r="Y23" i="34"/>
  <c r="AB23" i="34"/>
  <c r="AC23" i="34"/>
  <c r="P24" i="34"/>
  <c r="T24" i="34"/>
  <c r="U24" i="34"/>
  <c r="V24" i="34"/>
  <c r="W24" i="34"/>
  <c r="Y24" i="34"/>
  <c r="AB24" i="34"/>
  <c r="AC24" i="34"/>
  <c r="P25" i="34"/>
  <c r="T25" i="34"/>
  <c r="U25" i="34"/>
  <c r="V25" i="34"/>
  <c r="W25" i="34"/>
  <c r="Y25" i="34"/>
  <c r="AB25" i="34"/>
  <c r="AC25" i="34"/>
  <c r="P26" i="34"/>
  <c r="T26" i="34"/>
  <c r="U26" i="34"/>
  <c r="V26" i="34"/>
  <c r="W26" i="34"/>
  <c r="Y26" i="34"/>
  <c r="AB26" i="34"/>
  <c r="AC26" i="34"/>
  <c r="P27" i="34"/>
  <c r="T27" i="34"/>
  <c r="U27" i="34"/>
  <c r="V27" i="34"/>
  <c r="W27" i="34"/>
  <c r="Y27" i="34"/>
  <c r="AB27" i="34"/>
  <c r="AC27" i="34"/>
  <c r="P28" i="34"/>
  <c r="T28" i="34"/>
  <c r="U28" i="34"/>
  <c r="V28" i="34"/>
  <c r="W28" i="34"/>
  <c r="Y28" i="34"/>
  <c r="AB28" i="34"/>
  <c r="AC28" i="34"/>
  <c r="P29" i="34"/>
  <c r="T29" i="34"/>
  <c r="U29" i="34"/>
  <c r="V29" i="34"/>
  <c r="W29" i="34"/>
  <c r="Y29" i="34"/>
  <c r="AB29" i="34"/>
  <c r="AC29" i="34"/>
  <c r="P30" i="34"/>
  <c r="T30" i="34"/>
  <c r="U30" i="34"/>
  <c r="V30" i="34"/>
  <c r="W30" i="34"/>
  <c r="Y30" i="34"/>
  <c r="AB30" i="34"/>
  <c r="AC30" i="34"/>
  <c r="P31" i="34"/>
  <c r="T31" i="34"/>
  <c r="U31" i="34"/>
  <c r="V31" i="34"/>
  <c r="W31" i="34"/>
  <c r="Y31" i="34"/>
  <c r="AB31" i="34"/>
  <c r="AC31" i="34"/>
  <c r="P32" i="34"/>
  <c r="T32" i="34"/>
  <c r="U32" i="34"/>
  <c r="V32" i="34"/>
  <c r="W32" i="34"/>
  <c r="Y32" i="34"/>
  <c r="AB32" i="34"/>
  <c r="AC32" i="34"/>
  <c r="P33" i="34"/>
  <c r="T33" i="34"/>
  <c r="U33" i="34"/>
  <c r="V33" i="34"/>
  <c r="W33" i="34"/>
  <c r="Y33" i="34"/>
  <c r="AB33" i="34"/>
  <c r="AC33" i="34"/>
  <c r="P34" i="34"/>
  <c r="T34" i="34"/>
  <c r="U34" i="34"/>
  <c r="V34" i="34"/>
  <c r="W34" i="34"/>
  <c r="Y34" i="34"/>
  <c r="AB34" i="34"/>
  <c r="AC34" i="34"/>
  <c r="P35" i="34"/>
  <c r="T35" i="34"/>
  <c r="U35" i="34"/>
  <c r="V35" i="34"/>
  <c r="W35" i="34"/>
  <c r="Y35" i="34"/>
  <c r="AB35" i="34"/>
  <c r="AC35" i="34"/>
  <c r="P36" i="34"/>
  <c r="T36" i="34"/>
  <c r="U36" i="34"/>
  <c r="V36" i="34"/>
  <c r="W36" i="34"/>
  <c r="Y36" i="34"/>
  <c r="AB36" i="34"/>
  <c r="AC36" i="34"/>
  <c r="P37" i="34"/>
  <c r="T37" i="34"/>
  <c r="U37" i="34"/>
  <c r="V37" i="34"/>
  <c r="W37" i="34"/>
  <c r="Y37" i="34"/>
  <c r="AB37" i="34"/>
  <c r="AC37" i="34"/>
  <c r="P38" i="34"/>
  <c r="T38" i="34"/>
  <c r="U38" i="34"/>
  <c r="V38" i="34"/>
  <c r="W38" i="34"/>
  <c r="Y38" i="34"/>
  <c r="AB38" i="34"/>
  <c r="AC38" i="34"/>
  <c r="P39" i="34"/>
  <c r="T39" i="34"/>
  <c r="U39" i="34"/>
  <c r="V39" i="34"/>
  <c r="W39" i="34"/>
  <c r="Y39" i="34"/>
  <c r="AB39" i="34"/>
  <c r="AC39" i="34"/>
  <c r="P40" i="34"/>
  <c r="T40" i="34"/>
  <c r="U40" i="34"/>
  <c r="V40" i="34"/>
  <c r="W40" i="34"/>
  <c r="Y40" i="34"/>
  <c r="AB40" i="34"/>
  <c r="AC40" i="34"/>
  <c r="P41" i="34"/>
  <c r="T41" i="34"/>
  <c r="U41" i="34"/>
  <c r="V41" i="34"/>
  <c r="W41" i="34"/>
  <c r="Y41" i="34"/>
  <c r="AB41" i="34"/>
  <c r="AC41" i="34"/>
  <c r="P42" i="34"/>
  <c r="T42" i="34"/>
  <c r="U42" i="34"/>
  <c r="V42" i="34"/>
  <c r="W42" i="34"/>
  <c r="Y42" i="34"/>
  <c r="AB42" i="34"/>
  <c r="AC42" i="34"/>
  <c r="P43" i="34"/>
  <c r="T43" i="34"/>
  <c r="U43" i="34"/>
  <c r="V43" i="34"/>
  <c r="W43" i="34"/>
  <c r="Y43" i="34"/>
  <c r="AB43" i="34"/>
  <c r="AC43" i="34"/>
  <c r="P44" i="34"/>
  <c r="T44" i="34"/>
  <c r="U44" i="34"/>
  <c r="V44" i="34"/>
  <c r="W44" i="34"/>
  <c r="Y44" i="34"/>
  <c r="AB44" i="34"/>
  <c r="AC44" i="34"/>
  <c r="P45" i="34"/>
  <c r="T45" i="34"/>
  <c r="U45" i="34"/>
  <c r="V45" i="34"/>
  <c r="W45" i="34"/>
  <c r="Y45" i="34"/>
  <c r="AB45" i="34"/>
  <c r="AC45" i="34"/>
  <c r="P46" i="34"/>
  <c r="T46" i="34"/>
  <c r="U46" i="34"/>
  <c r="V46" i="34"/>
  <c r="W46" i="34"/>
  <c r="Y46" i="34"/>
  <c r="AB46" i="34"/>
  <c r="AC46" i="34"/>
  <c r="P47" i="34"/>
  <c r="T47" i="34"/>
  <c r="U47" i="34"/>
  <c r="V47" i="34"/>
  <c r="W47" i="34"/>
  <c r="Y47" i="34"/>
  <c r="AB47" i="34"/>
  <c r="AC47" i="34"/>
  <c r="P48" i="34"/>
  <c r="T48" i="34"/>
  <c r="U48" i="34"/>
  <c r="V48" i="34"/>
  <c r="W48" i="34"/>
  <c r="Y48" i="34"/>
  <c r="AB48" i="34"/>
  <c r="AC48" i="34"/>
  <c r="P49" i="34"/>
  <c r="T49" i="34"/>
  <c r="U49" i="34"/>
  <c r="V49" i="34"/>
  <c r="W49" i="34"/>
  <c r="Y49" i="34"/>
  <c r="AB49" i="34"/>
  <c r="AC49" i="34"/>
  <c r="P50" i="34"/>
  <c r="T50" i="34"/>
  <c r="U50" i="34"/>
  <c r="V50" i="34"/>
  <c r="W50" i="34"/>
  <c r="Y50" i="34"/>
  <c r="AB50" i="34"/>
  <c r="AC50" i="34"/>
  <c r="P51" i="34"/>
  <c r="T51" i="34"/>
  <c r="U51" i="34"/>
  <c r="V51" i="34"/>
  <c r="W51" i="34"/>
  <c r="Y51" i="34"/>
  <c r="AB51" i="34"/>
  <c r="AC51" i="34"/>
  <c r="P52" i="34"/>
  <c r="T52" i="34"/>
  <c r="U52" i="34"/>
  <c r="V52" i="34"/>
  <c r="W52" i="34"/>
  <c r="Y52" i="34"/>
  <c r="AB52" i="34"/>
  <c r="AC52" i="34"/>
  <c r="P53" i="34"/>
  <c r="T53" i="34"/>
  <c r="U53" i="34"/>
  <c r="V53" i="34"/>
  <c r="W53" i="34"/>
  <c r="Y53" i="34"/>
  <c r="AB53" i="34"/>
  <c r="AC53" i="34"/>
  <c r="P54" i="34"/>
  <c r="T54" i="34"/>
  <c r="U54" i="34"/>
  <c r="V54" i="34"/>
  <c r="W54" i="34"/>
  <c r="Y54" i="34"/>
  <c r="AB54" i="34"/>
  <c r="AC54" i="34"/>
  <c r="P55" i="34"/>
  <c r="T55" i="34"/>
  <c r="U55" i="34"/>
  <c r="V55" i="34"/>
  <c r="W55" i="34"/>
  <c r="Y55" i="34"/>
  <c r="AB55" i="34"/>
  <c r="AC55" i="34"/>
  <c r="P56" i="34"/>
  <c r="T56" i="34"/>
  <c r="U56" i="34"/>
  <c r="V56" i="34"/>
  <c r="W56" i="34"/>
  <c r="Y56" i="34"/>
  <c r="AB56" i="34"/>
  <c r="AC56" i="34"/>
  <c r="P57" i="34"/>
  <c r="T57" i="34"/>
  <c r="U57" i="34"/>
  <c r="V57" i="34"/>
  <c r="W57" i="34"/>
  <c r="Y57" i="34"/>
  <c r="AB57" i="34"/>
  <c r="AC57" i="34"/>
  <c r="P58" i="34"/>
  <c r="T58" i="34"/>
  <c r="U58" i="34"/>
  <c r="V58" i="34"/>
  <c r="W58" i="34"/>
  <c r="Y58" i="34"/>
  <c r="AB58" i="34"/>
  <c r="AC58" i="34"/>
  <c r="P59" i="34"/>
  <c r="T59" i="34"/>
  <c r="U59" i="34"/>
  <c r="V59" i="34"/>
  <c r="W59" i="34"/>
  <c r="Y59" i="34"/>
  <c r="AB59" i="34"/>
  <c r="AC59" i="34"/>
  <c r="P60" i="34"/>
  <c r="T60" i="34"/>
  <c r="U60" i="34"/>
  <c r="V60" i="34"/>
  <c r="W60" i="34"/>
  <c r="Y60" i="34"/>
  <c r="AB60" i="34"/>
  <c r="AC60" i="34"/>
  <c r="P61" i="34"/>
  <c r="T61" i="34"/>
  <c r="U61" i="34"/>
  <c r="V61" i="34"/>
  <c r="W61" i="34"/>
  <c r="Y61" i="34"/>
  <c r="AB61" i="34"/>
  <c r="AC61" i="34"/>
  <c r="P62" i="34"/>
  <c r="T62" i="34"/>
  <c r="U62" i="34"/>
  <c r="V62" i="34"/>
  <c r="W62" i="34"/>
  <c r="Y62" i="34"/>
  <c r="AB62" i="34"/>
  <c r="AC62" i="34"/>
  <c r="P63" i="34"/>
  <c r="T63" i="34"/>
  <c r="U63" i="34"/>
  <c r="V63" i="34"/>
  <c r="W63" i="34"/>
  <c r="Y63" i="34"/>
  <c r="AB63" i="34"/>
  <c r="AC63" i="34"/>
  <c r="P64" i="34"/>
  <c r="T64" i="34"/>
  <c r="U64" i="34"/>
  <c r="V64" i="34"/>
  <c r="W64" i="34"/>
  <c r="Y64" i="34"/>
  <c r="AB64" i="34"/>
  <c r="AC64" i="34"/>
  <c r="P65" i="34"/>
  <c r="T65" i="34"/>
  <c r="U65" i="34"/>
  <c r="V65" i="34"/>
  <c r="W65" i="34"/>
  <c r="Y65" i="34"/>
  <c r="AB65" i="34"/>
  <c r="AC65" i="34"/>
  <c r="P66" i="34"/>
  <c r="T66" i="34"/>
  <c r="U66" i="34"/>
  <c r="V66" i="34"/>
  <c r="W66" i="34"/>
  <c r="Y66" i="34"/>
  <c r="AB66" i="34"/>
  <c r="AC66" i="34"/>
  <c r="P67" i="34"/>
  <c r="T67" i="34"/>
  <c r="U67" i="34"/>
  <c r="V67" i="34"/>
  <c r="W67" i="34"/>
  <c r="Y67" i="34"/>
  <c r="AB67" i="34"/>
  <c r="AC67" i="34"/>
  <c r="P68" i="34"/>
  <c r="T68" i="34"/>
  <c r="U68" i="34"/>
  <c r="V68" i="34"/>
  <c r="W68" i="34"/>
  <c r="Y68" i="34"/>
  <c r="AB68" i="34"/>
  <c r="AC68" i="34"/>
  <c r="P69" i="34"/>
  <c r="T69" i="34"/>
  <c r="U69" i="34"/>
  <c r="V69" i="34"/>
  <c r="W69" i="34"/>
  <c r="Y69" i="34"/>
  <c r="AB69" i="34"/>
  <c r="AC69" i="34"/>
  <c r="P70" i="34"/>
  <c r="T70" i="34"/>
  <c r="U70" i="34"/>
  <c r="V70" i="34"/>
  <c r="W70" i="34"/>
  <c r="Y70" i="34"/>
  <c r="AB70" i="34"/>
  <c r="AC70" i="34"/>
  <c r="P71" i="34"/>
  <c r="T71" i="34"/>
  <c r="U71" i="34"/>
  <c r="V71" i="34"/>
  <c r="W71" i="34"/>
  <c r="Y71" i="34"/>
  <c r="AB71" i="34"/>
  <c r="AC71" i="34"/>
  <c r="P72" i="34"/>
  <c r="T72" i="34"/>
  <c r="U72" i="34"/>
  <c r="V72" i="34"/>
  <c r="W72" i="34"/>
  <c r="Y72" i="34"/>
  <c r="AB72" i="34"/>
  <c r="AC72" i="34"/>
  <c r="P73" i="34"/>
  <c r="T73" i="34"/>
  <c r="U73" i="34"/>
  <c r="V73" i="34"/>
  <c r="W73" i="34"/>
  <c r="Y73" i="34"/>
  <c r="AB73" i="34"/>
  <c r="AC73" i="34"/>
  <c r="P74" i="34"/>
  <c r="T74" i="34"/>
  <c r="U74" i="34"/>
  <c r="V74" i="34"/>
  <c r="W74" i="34"/>
  <c r="Y74" i="34"/>
  <c r="AB74" i="34"/>
  <c r="AC74" i="34"/>
  <c r="P75" i="34"/>
  <c r="T75" i="34"/>
  <c r="U75" i="34"/>
  <c r="V75" i="34"/>
  <c r="W75" i="34"/>
  <c r="Y75" i="34"/>
  <c r="AB75" i="34"/>
  <c r="AC75" i="34"/>
  <c r="P76" i="34"/>
  <c r="T76" i="34"/>
  <c r="U76" i="34"/>
  <c r="V76" i="34"/>
  <c r="W76" i="34"/>
  <c r="Y76" i="34"/>
  <c r="AB76" i="34"/>
  <c r="AC76" i="34"/>
  <c r="P77" i="34"/>
  <c r="T77" i="34"/>
  <c r="U77" i="34"/>
  <c r="V77" i="34"/>
  <c r="W77" i="34"/>
  <c r="Y77" i="34"/>
  <c r="AB77" i="34"/>
  <c r="AC77" i="34"/>
  <c r="P78" i="34"/>
  <c r="T78" i="34"/>
  <c r="U78" i="34"/>
  <c r="V78" i="34"/>
  <c r="W78" i="34"/>
  <c r="Y78" i="34"/>
  <c r="AB78" i="34"/>
  <c r="AC78" i="34"/>
  <c r="P79" i="34"/>
  <c r="T79" i="34"/>
  <c r="U79" i="34"/>
  <c r="V79" i="34"/>
  <c r="W79" i="34"/>
  <c r="Y79" i="34"/>
  <c r="AB79" i="34"/>
  <c r="AC79" i="34"/>
  <c r="P80" i="34"/>
  <c r="T80" i="34"/>
  <c r="U80" i="34"/>
  <c r="V80" i="34"/>
  <c r="W80" i="34"/>
  <c r="Y80" i="34"/>
  <c r="AB80" i="34"/>
  <c r="AC80" i="34"/>
  <c r="P81" i="34"/>
  <c r="T81" i="34"/>
  <c r="U81" i="34"/>
  <c r="V81" i="34"/>
  <c r="W81" i="34"/>
  <c r="Y81" i="34"/>
  <c r="AB81" i="34"/>
  <c r="AC81" i="34"/>
  <c r="P82" i="34"/>
  <c r="T82" i="34"/>
  <c r="U82" i="34"/>
  <c r="V82" i="34"/>
  <c r="W82" i="34"/>
  <c r="Y82" i="34"/>
  <c r="AB82" i="34"/>
  <c r="AC82" i="34"/>
  <c r="P83" i="34"/>
  <c r="T83" i="34"/>
  <c r="U83" i="34"/>
  <c r="V83" i="34"/>
  <c r="W83" i="34"/>
  <c r="Y83" i="34"/>
  <c r="AB83" i="34"/>
  <c r="AC83" i="34"/>
  <c r="P84" i="34"/>
  <c r="T84" i="34"/>
  <c r="U84" i="34"/>
  <c r="V84" i="34"/>
  <c r="W84" i="34"/>
  <c r="Y84" i="34"/>
  <c r="AB84" i="34"/>
  <c r="AC84" i="34"/>
  <c r="P85" i="34"/>
  <c r="T85" i="34"/>
  <c r="U85" i="34"/>
  <c r="V85" i="34"/>
  <c r="W85" i="34"/>
  <c r="Y85" i="34"/>
  <c r="AB85" i="34"/>
  <c r="AC85" i="34"/>
  <c r="P86" i="34"/>
  <c r="T86" i="34"/>
  <c r="U86" i="34"/>
  <c r="V86" i="34"/>
  <c r="W86" i="34"/>
  <c r="Y86" i="34"/>
  <c r="AB86" i="34"/>
  <c r="AC86" i="34"/>
  <c r="P87" i="34"/>
  <c r="T87" i="34"/>
  <c r="U87" i="34"/>
  <c r="V87" i="34"/>
  <c r="W87" i="34"/>
  <c r="Y87" i="34"/>
  <c r="AB87" i="34"/>
  <c r="AC87" i="34"/>
  <c r="P88" i="34"/>
  <c r="T88" i="34"/>
  <c r="U88" i="34"/>
  <c r="V88" i="34"/>
  <c r="W88" i="34"/>
  <c r="Y88" i="34"/>
  <c r="AB88" i="34"/>
  <c r="AC88" i="34"/>
  <c r="P89" i="34"/>
  <c r="T89" i="34"/>
  <c r="U89" i="34"/>
  <c r="V89" i="34"/>
  <c r="W89" i="34"/>
  <c r="Y89" i="34"/>
  <c r="AB89" i="34"/>
  <c r="AC89" i="34"/>
  <c r="P90" i="34"/>
  <c r="T90" i="34"/>
  <c r="U90" i="34"/>
  <c r="V90" i="34"/>
  <c r="W90" i="34"/>
  <c r="Y90" i="34"/>
  <c r="AB90" i="34"/>
  <c r="AC90" i="34"/>
  <c r="P91" i="34"/>
  <c r="T91" i="34"/>
  <c r="U91" i="34"/>
  <c r="V91" i="34"/>
  <c r="W91" i="34"/>
  <c r="Y91" i="34"/>
  <c r="AB91" i="34"/>
  <c r="AC91" i="34"/>
  <c r="P92" i="34"/>
  <c r="T92" i="34"/>
  <c r="U92" i="34"/>
  <c r="V92" i="34"/>
  <c r="W92" i="34"/>
  <c r="Y92" i="34"/>
  <c r="AB92" i="34"/>
  <c r="AC92" i="34"/>
  <c r="P93" i="34"/>
  <c r="T93" i="34"/>
  <c r="U93" i="34"/>
  <c r="V93" i="34"/>
  <c r="W93" i="34"/>
  <c r="Y93" i="34"/>
  <c r="AB93" i="34"/>
  <c r="AC93" i="34"/>
  <c r="P94" i="34"/>
  <c r="T94" i="34"/>
  <c r="U94" i="34"/>
  <c r="V94" i="34"/>
  <c r="W94" i="34"/>
  <c r="Y94" i="34"/>
  <c r="AB94" i="34"/>
  <c r="AC94" i="34"/>
  <c r="P95" i="34"/>
  <c r="T95" i="34"/>
  <c r="U95" i="34"/>
  <c r="V95" i="34"/>
  <c r="W95" i="34"/>
  <c r="Y95" i="34"/>
  <c r="AB95" i="34"/>
  <c r="AC95" i="34"/>
  <c r="P96" i="34"/>
  <c r="T96" i="34"/>
  <c r="U96" i="34"/>
  <c r="V96" i="34"/>
  <c r="W96" i="34"/>
  <c r="Y96" i="34"/>
  <c r="AB96" i="34"/>
  <c r="AC96" i="34"/>
  <c r="P97" i="34"/>
  <c r="T97" i="34"/>
  <c r="U97" i="34"/>
  <c r="V97" i="34"/>
  <c r="W97" i="34"/>
  <c r="Y97" i="34"/>
  <c r="AB97" i="34"/>
  <c r="AC97" i="34"/>
  <c r="P98" i="34"/>
  <c r="T98" i="34"/>
  <c r="U98" i="34"/>
  <c r="V98" i="34"/>
  <c r="W98" i="34"/>
  <c r="Y98" i="34"/>
  <c r="AB98" i="34"/>
  <c r="AC98" i="34"/>
  <c r="P99" i="34"/>
  <c r="W99" i="34"/>
  <c r="Y99" i="34"/>
  <c r="AB99" i="34"/>
  <c r="AC99" i="34"/>
  <c r="P100" i="34"/>
  <c r="W100" i="34"/>
  <c r="Y100" i="34"/>
  <c r="AB100" i="34"/>
  <c r="AC100" i="34"/>
  <c r="P101" i="34"/>
  <c r="W101" i="34"/>
  <c r="Y101" i="34"/>
  <c r="AB101" i="34"/>
  <c r="AC101" i="34"/>
  <c r="P102" i="34"/>
  <c r="W102" i="34"/>
  <c r="Y102" i="34"/>
  <c r="AB102" i="34"/>
  <c r="AC102" i="34"/>
  <c r="P103" i="34"/>
  <c r="W103" i="34"/>
  <c r="Y103" i="34"/>
  <c r="AB103" i="34"/>
  <c r="AC103" i="34"/>
  <c r="P104" i="34"/>
  <c r="W104" i="34"/>
  <c r="Y104" i="34"/>
  <c r="AB104" i="34"/>
  <c r="AC104" i="34"/>
  <c r="P105" i="34"/>
  <c r="W105" i="34"/>
  <c r="Y105" i="34"/>
  <c r="AB105" i="34"/>
  <c r="AC105" i="34"/>
  <c r="P106" i="34"/>
  <c r="W106" i="34"/>
  <c r="Y106" i="34"/>
  <c r="AB106" i="34"/>
  <c r="AC106" i="34"/>
  <c r="P107" i="34"/>
  <c r="W107" i="34"/>
  <c r="Y107" i="34"/>
  <c r="AB107" i="34"/>
  <c r="AC107" i="34"/>
  <c r="P108" i="34"/>
  <c r="T108" i="34"/>
  <c r="U108" i="34"/>
  <c r="V108" i="34"/>
  <c r="W108" i="34"/>
  <c r="Y108" i="34"/>
  <c r="AB108" i="34"/>
  <c r="AC108" i="34"/>
  <c r="P109" i="34"/>
  <c r="T109" i="34"/>
  <c r="U109" i="34"/>
  <c r="V109" i="34"/>
  <c r="W109" i="34"/>
  <c r="Y109" i="34"/>
  <c r="AB109" i="34"/>
  <c r="AC109" i="34"/>
  <c r="P110" i="34"/>
  <c r="T110" i="34"/>
  <c r="U110" i="34"/>
  <c r="V110" i="34"/>
  <c r="W110" i="34"/>
  <c r="Y110" i="34"/>
  <c r="AB110" i="34"/>
  <c r="AC110" i="34"/>
  <c r="P111" i="34"/>
  <c r="T111" i="34"/>
  <c r="U111" i="34"/>
  <c r="V111" i="34"/>
  <c r="W111" i="34"/>
  <c r="Y111" i="34"/>
  <c r="AB111" i="34"/>
  <c r="AC111" i="34"/>
  <c r="P112" i="34"/>
  <c r="T112" i="34"/>
  <c r="U112" i="34"/>
  <c r="V112" i="34"/>
  <c r="W112" i="34"/>
  <c r="Y112" i="34"/>
  <c r="AB112" i="34"/>
  <c r="AC112" i="34"/>
  <c r="P113" i="34"/>
  <c r="T113" i="34"/>
  <c r="U113" i="34"/>
  <c r="V113" i="34"/>
  <c r="W113" i="34"/>
  <c r="Y113" i="34"/>
  <c r="AB113" i="34"/>
  <c r="AC113" i="34"/>
  <c r="P114" i="34"/>
  <c r="Q114" i="34"/>
  <c r="R114" i="34"/>
  <c r="S114" i="34"/>
  <c r="T114" i="34"/>
  <c r="U114" i="34"/>
  <c r="V114" i="34"/>
  <c r="W114" i="34"/>
  <c r="Y114" i="34"/>
  <c r="AB114" i="34"/>
  <c r="AC114" i="34"/>
  <c r="AD114" i="34"/>
  <c r="P115" i="34"/>
  <c r="Q115" i="34"/>
  <c r="R115" i="34"/>
  <c r="S115" i="34"/>
  <c r="T115" i="34"/>
  <c r="U115" i="34"/>
  <c r="V115" i="34"/>
  <c r="W115" i="34"/>
  <c r="Y115" i="34"/>
  <c r="AB115" i="34"/>
  <c r="AC115" i="34"/>
  <c r="AD115" i="34"/>
  <c r="P116" i="34"/>
  <c r="Q116" i="34"/>
  <c r="R116" i="34"/>
  <c r="S116" i="34"/>
  <c r="T116" i="34"/>
  <c r="U116" i="34"/>
  <c r="V116" i="34"/>
  <c r="W116" i="34"/>
  <c r="Y116" i="34"/>
  <c r="AB116" i="34"/>
  <c r="AC116" i="34"/>
  <c r="AD116" i="34"/>
  <c r="P117" i="34"/>
  <c r="Q117" i="34"/>
  <c r="R117" i="34"/>
  <c r="S117" i="34"/>
  <c r="T117" i="34"/>
  <c r="U117" i="34"/>
  <c r="V117" i="34"/>
  <c r="W117" i="34"/>
  <c r="Y117" i="34"/>
  <c r="AB117" i="34"/>
  <c r="AC117" i="34"/>
  <c r="AD117" i="34"/>
  <c r="P118" i="34"/>
  <c r="Q118" i="34"/>
  <c r="R118" i="34"/>
  <c r="S118" i="34"/>
  <c r="T118" i="34"/>
  <c r="U118" i="34"/>
  <c r="V118" i="34"/>
  <c r="W118" i="34"/>
  <c r="Y118" i="34"/>
  <c r="AB118" i="34"/>
  <c r="AC118" i="34"/>
  <c r="AD118" i="34"/>
  <c r="P119" i="34"/>
  <c r="Q119" i="34"/>
  <c r="R119" i="34"/>
  <c r="S119" i="34"/>
  <c r="T119" i="34"/>
  <c r="U119" i="34"/>
  <c r="V119" i="34"/>
  <c r="W119" i="34"/>
  <c r="Y119" i="34"/>
  <c r="AB119" i="34"/>
  <c r="AC119" i="34"/>
  <c r="AD119" i="34"/>
  <c r="P120" i="34"/>
  <c r="Q120" i="34"/>
  <c r="R120" i="34"/>
  <c r="S120" i="34"/>
  <c r="T120" i="34"/>
  <c r="U120" i="34"/>
  <c r="V120" i="34"/>
  <c r="W120" i="34"/>
  <c r="Y120" i="34"/>
  <c r="AB120" i="34"/>
  <c r="AC120" i="34"/>
  <c r="AD120" i="34"/>
  <c r="P121" i="34"/>
  <c r="Q121" i="34"/>
  <c r="R121" i="34"/>
  <c r="S121" i="34"/>
  <c r="T121" i="34"/>
  <c r="U121" i="34"/>
  <c r="V121" i="34"/>
  <c r="W121" i="34"/>
  <c r="Y121" i="34"/>
  <c r="AB121" i="34"/>
  <c r="AC121" i="34"/>
  <c r="AD121" i="34"/>
  <c r="P122" i="34"/>
  <c r="Q122" i="34"/>
  <c r="R122" i="34"/>
  <c r="S122" i="34"/>
  <c r="T122" i="34"/>
  <c r="U122" i="34"/>
  <c r="V122" i="34"/>
  <c r="W122" i="34"/>
  <c r="Y122" i="34"/>
  <c r="AB122" i="34"/>
  <c r="AC122" i="34"/>
  <c r="AD122" i="34"/>
  <c r="P123" i="34"/>
  <c r="Q123" i="34"/>
  <c r="R123" i="34"/>
  <c r="S123" i="34"/>
  <c r="T123" i="34"/>
  <c r="U123" i="34"/>
  <c r="V123" i="34"/>
  <c r="W123" i="34"/>
  <c r="Y123" i="34"/>
  <c r="AB123" i="34"/>
  <c r="AC123" i="34"/>
  <c r="AD123" i="34"/>
  <c r="P124" i="34"/>
  <c r="Q124" i="34"/>
  <c r="R124" i="34"/>
  <c r="S124" i="34"/>
  <c r="T124" i="34"/>
  <c r="U124" i="34"/>
  <c r="V124" i="34"/>
  <c r="W124" i="34"/>
  <c r="Y124" i="34"/>
  <c r="AB124" i="34"/>
  <c r="AC124" i="34"/>
  <c r="AD124" i="34"/>
  <c r="P125" i="34"/>
  <c r="Q125" i="34"/>
  <c r="R125" i="34"/>
  <c r="S125" i="34"/>
  <c r="T125" i="34"/>
  <c r="U125" i="34"/>
  <c r="V125" i="34"/>
  <c r="W125" i="34"/>
  <c r="Y125" i="34"/>
  <c r="AB125" i="34"/>
  <c r="AC125" i="34"/>
  <c r="AD125" i="34"/>
  <c r="P126" i="34"/>
  <c r="Q126" i="34"/>
  <c r="R126" i="34"/>
  <c r="S126" i="34"/>
  <c r="T126" i="34"/>
  <c r="U126" i="34"/>
  <c r="V126" i="34"/>
  <c r="W126" i="34"/>
  <c r="Y126" i="34"/>
  <c r="AB126" i="34"/>
  <c r="AC126" i="34"/>
  <c r="AD126" i="34"/>
  <c r="P127" i="34"/>
  <c r="Q127" i="34"/>
  <c r="R127" i="34"/>
  <c r="S127" i="34"/>
  <c r="T127" i="34"/>
  <c r="U127" i="34"/>
  <c r="V127" i="34"/>
  <c r="W127" i="34"/>
  <c r="Y127" i="34"/>
  <c r="AB127" i="34"/>
  <c r="AC127" i="34"/>
  <c r="AD127" i="34"/>
  <c r="P128" i="34"/>
  <c r="Q128" i="34"/>
  <c r="R128" i="34"/>
  <c r="S128" i="34"/>
  <c r="T128" i="34"/>
  <c r="U128" i="34"/>
  <c r="V128" i="34"/>
  <c r="W128" i="34"/>
  <c r="Y128" i="34"/>
  <c r="AB128" i="34"/>
  <c r="AC128" i="34"/>
  <c r="AD128" i="34"/>
  <c r="P129" i="34"/>
  <c r="Q129" i="34"/>
  <c r="R129" i="34"/>
  <c r="S129" i="34"/>
  <c r="T129" i="34"/>
  <c r="U129" i="34"/>
  <c r="V129" i="34"/>
  <c r="W129" i="34"/>
  <c r="Y129" i="34"/>
  <c r="AB129" i="34"/>
  <c r="AC129" i="34"/>
  <c r="AD129" i="34"/>
  <c r="P130" i="34"/>
  <c r="Q130" i="34"/>
  <c r="R130" i="34"/>
  <c r="S130" i="34"/>
  <c r="T130" i="34"/>
  <c r="U130" i="34"/>
  <c r="V130" i="34"/>
  <c r="W130" i="34"/>
  <c r="Y130" i="34"/>
  <c r="AB130" i="34"/>
  <c r="AC130" i="34"/>
  <c r="AD130" i="34"/>
  <c r="P131" i="34"/>
  <c r="Q131" i="34"/>
  <c r="R131" i="34"/>
  <c r="S131" i="34"/>
  <c r="T131" i="34"/>
  <c r="U131" i="34"/>
  <c r="V131" i="34"/>
  <c r="W131" i="34"/>
  <c r="Y131" i="34"/>
  <c r="AB131" i="34"/>
  <c r="AC131" i="34"/>
  <c r="AD131" i="34"/>
  <c r="P132" i="34"/>
  <c r="Q132" i="34"/>
  <c r="R132" i="34"/>
  <c r="S132" i="34"/>
  <c r="T132" i="34"/>
  <c r="U132" i="34"/>
  <c r="V132" i="34"/>
  <c r="W132" i="34"/>
  <c r="Y132" i="34"/>
  <c r="AB132" i="34"/>
  <c r="AC132" i="34"/>
  <c r="AD132" i="34"/>
  <c r="P133" i="34"/>
  <c r="Q133" i="34"/>
  <c r="R133" i="34"/>
  <c r="S133" i="34"/>
  <c r="T133" i="34"/>
  <c r="U133" i="34"/>
  <c r="V133" i="34"/>
  <c r="W133" i="34"/>
  <c r="Y133" i="34"/>
  <c r="AB133" i="34"/>
  <c r="AC133" i="34"/>
  <c r="AD133" i="34"/>
  <c r="P134" i="34"/>
  <c r="Q134" i="34"/>
  <c r="R134" i="34"/>
  <c r="S134" i="34"/>
  <c r="T134" i="34"/>
  <c r="U134" i="34"/>
  <c r="V134" i="34"/>
  <c r="W134" i="34"/>
  <c r="Y134" i="34"/>
  <c r="AB134" i="34"/>
  <c r="AC134" i="34"/>
  <c r="AD134" i="34"/>
  <c r="A114" i="34"/>
  <c r="A115" i="34"/>
  <c r="A116" i="34"/>
  <c r="A117" i="34"/>
  <c r="A118" i="34"/>
  <c r="A119" i="34"/>
  <c r="A120" i="34"/>
  <c r="A121" i="34"/>
  <c r="A122" i="34"/>
  <c r="A123" i="34"/>
  <c r="A124" i="34"/>
  <c r="A125" i="34"/>
  <c r="A126" i="34"/>
  <c r="A127" i="34"/>
  <c r="A128" i="34"/>
  <c r="A129" i="34"/>
  <c r="A130" i="34"/>
  <c r="M77" i="34" l="1"/>
  <c r="M78" i="34"/>
  <c r="M79" i="34"/>
  <c r="M80" i="34"/>
  <c r="M81" i="34"/>
  <c r="M82" i="34"/>
  <c r="M83" i="34"/>
  <c r="M84" i="34"/>
  <c r="M85" i="34"/>
  <c r="M86" i="34"/>
  <c r="M87" i="34"/>
  <c r="M88" i="34"/>
  <c r="M89" i="34"/>
  <c r="M90" i="34"/>
  <c r="M91" i="34"/>
  <c r="M92" i="34"/>
  <c r="M93" i="34"/>
  <c r="M94" i="34"/>
  <c r="M95" i="34"/>
  <c r="M96" i="34"/>
  <c r="M97" i="34"/>
  <c r="M98" i="34"/>
  <c r="M99" i="34"/>
  <c r="M100" i="34"/>
  <c r="M101" i="34"/>
  <c r="M102" i="34"/>
  <c r="M103" i="34"/>
  <c r="M104" i="34"/>
  <c r="M105" i="34"/>
  <c r="M106" i="34"/>
  <c r="M107" i="34"/>
  <c r="M76" i="34"/>
  <c r="C109" i="34"/>
  <c r="C110" i="34"/>
  <c r="C111" i="34"/>
  <c r="C112" i="34"/>
  <c r="C113" i="34"/>
  <c r="G100" i="34"/>
  <c r="G101" i="34"/>
  <c r="G102" i="34"/>
  <c r="G103" i="34"/>
  <c r="G104" i="34"/>
  <c r="G105" i="34"/>
  <c r="G106" i="34"/>
  <c r="G107" i="34"/>
  <c r="G99" i="34"/>
  <c r="C76" i="34"/>
  <c r="C77" i="34"/>
  <c r="C78" i="34"/>
  <c r="C79" i="34"/>
  <c r="C80" i="34"/>
  <c r="C81" i="34"/>
  <c r="C82" i="34"/>
  <c r="C83" i="34"/>
  <c r="C84" i="34"/>
  <c r="C85" i="34"/>
  <c r="C86" i="34"/>
  <c r="C87" i="34"/>
  <c r="C88" i="34"/>
  <c r="C89" i="34"/>
  <c r="C90" i="34"/>
  <c r="C91" i="34"/>
  <c r="C92" i="34"/>
  <c r="C93" i="34"/>
  <c r="C94" i="34"/>
  <c r="C95" i="34"/>
  <c r="C96" i="34"/>
  <c r="C97" i="34"/>
  <c r="C98" i="34"/>
  <c r="C99" i="34"/>
  <c r="C100" i="34"/>
  <c r="C101" i="34"/>
  <c r="C102" i="34"/>
  <c r="C103" i="34"/>
  <c r="C104" i="34"/>
  <c r="C105" i="34"/>
  <c r="C106" i="34"/>
  <c r="C107" i="34"/>
  <c r="C108" i="34"/>
  <c r="M108" i="34" l="1"/>
  <c r="V107" i="34"/>
  <c r="T107" i="34"/>
  <c r="U107" i="34"/>
  <c r="B97" i="34"/>
  <c r="AD97" i="34"/>
  <c r="B89" i="34"/>
  <c r="AD89" i="34"/>
  <c r="B77" i="34"/>
  <c r="AD77" i="34"/>
  <c r="M112" i="34"/>
  <c r="B103" i="34"/>
  <c r="AD103" i="34"/>
  <c r="B91" i="34"/>
  <c r="AD91" i="34"/>
  <c r="B83" i="34"/>
  <c r="AD83" i="34"/>
  <c r="B106" i="34"/>
  <c r="AD106" i="34"/>
  <c r="B102" i="34"/>
  <c r="AD102" i="34"/>
  <c r="B98" i="34"/>
  <c r="AD98" i="34"/>
  <c r="B94" i="34"/>
  <c r="AD94" i="34"/>
  <c r="B90" i="34"/>
  <c r="AD90" i="34"/>
  <c r="B86" i="34"/>
  <c r="AD86" i="34"/>
  <c r="B82" i="34"/>
  <c r="AD82" i="34"/>
  <c r="B78" i="34"/>
  <c r="AD78" i="34"/>
  <c r="B105" i="34"/>
  <c r="AD105" i="34"/>
  <c r="B101" i="34"/>
  <c r="AD101" i="34"/>
  <c r="B93" i="34"/>
  <c r="AD93" i="34"/>
  <c r="B85" i="34"/>
  <c r="AD85" i="34"/>
  <c r="B81" i="34"/>
  <c r="AD81" i="34"/>
  <c r="T106" i="34"/>
  <c r="U106" i="34"/>
  <c r="V106" i="34"/>
  <c r="T102" i="34"/>
  <c r="U102" i="34"/>
  <c r="V102" i="34"/>
  <c r="B112" i="34"/>
  <c r="AD112" i="34"/>
  <c r="B108" i="34"/>
  <c r="AD108" i="34"/>
  <c r="B104" i="34"/>
  <c r="AD104" i="34"/>
  <c r="B100" i="34"/>
  <c r="AD100" i="34"/>
  <c r="B96" i="34"/>
  <c r="AD96" i="34"/>
  <c r="B92" i="34"/>
  <c r="AD92" i="34"/>
  <c r="B88" i="34"/>
  <c r="AD88" i="34"/>
  <c r="B84" i="34"/>
  <c r="AD84" i="34"/>
  <c r="B80" i="34"/>
  <c r="AD80" i="34"/>
  <c r="B76" i="34"/>
  <c r="AD76" i="34"/>
  <c r="V105" i="34"/>
  <c r="T105" i="34"/>
  <c r="U105" i="34"/>
  <c r="V101" i="34"/>
  <c r="T101" i="34"/>
  <c r="U101" i="34"/>
  <c r="B111" i="34"/>
  <c r="AD111" i="34"/>
  <c r="M111" i="34"/>
  <c r="B107" i="34"/>
  <c r="AD107" i="34"/>
  <c r="B95" i="34"/>
  <c r="AD95" i="34"/>
  <c r="B87" i="34"/>
  <c r="AD87" i="34"/>
  <c r="B79" i="34"/>
  <c r="AD79" i="34"/>
  <c r="V99" i="34"/>
  <c r="T99" i="34"/>
  <c r="U99" i="34"/>
  <c r="T104" i="34"/>
  <c r="U104" i="34"/>
  <c r="V104" i="34"/>
  <c r="T100" i="34"/>
  <c r="U100" i="34"/>
  <c r="V100" i="34"/>
  <c r="B110" i="34"/>
  <c r="AD110" i="34"/>
  <c r="M110" i="34"/>
  <c r="B99" i="34"/>
  <c r="AD99" i="34"/>
  <c r="V103" i="34"/>
  <c r="T103" i="34"/>
  <c r="U103" i="34"/>
  <c r="B113" i="34"/>
  <c r="AD113" i="34"/>
  <c r="B109" i="34"/>
  <c r="AD109" i="34"/>
  <c r="M113" i="34"/>
  <c r="M109" i="34"/>
  <c r="C66" i="34"/>
  <c r="C67" i="34"/>
  <c r="C68" i="34"/>
  <c r="C69" i="34"/>
  <c r="C70" i="34"/>
  <c r="C71" i="34"/>
  <c r="C72" i="34"/>
  <c r="C73" i="34"/>
  <c r="C74" i="34"/>
  <c r="C75" i="34"/>
  <c r="M74" i="34"/>
  <c r="M73" i="34"/>
  <c r="M72" i="34"/>
  <c r="M71" i="34"/>
  <c r="M70" i="34"/>
  <c r="M69" i="34"/>
  <c r="M68" i="34"/>
  <c r="M66" i="34"/>
  <c r="M65" i="34"/>
  <c r="M64" i="34"/>
  <c r="M63" i="34"/>
  <c r="M62" i="34"/>
  <c r="M61" i="34"/>
  <c r="M60" i="34"/>
  <c r="M58" i="34"/>
  <c r="M57" i="34"/>
  <c r="M56" i="34"/>
  <c r="M55" i="34"/>
  <c r="M54" i="34"/>
  <c r="M53" i="34"/>
  <c r="M52" i="34"/>
  <c r="M50" i="34"/>
  <c r="M49" i="34"/>
  <c r="M48" i="34"/>
  <c r="M47" i="34"/>
  <c r="M46" i="34"/>
  <c r="M45" i="34"/>
  <c r="M44" i="34"/>
  <c r="M43" i="34"/>
  <c r="M41" i="34"/>
  <c r="M40" i="34"/>
  <c r="M39" i="34"/>
  <c r="M38" i="34"/>
  <c r="M37" i="34"/>
  <c r="M36" i="34"/>
  <c r="M35" i="34"/>
  <c r="M34" i="34"/>
  <c r="C41" i="34"/>
  <c r="AD41" i="34" s="1"/>
  <c r="C42" i="34"/>
  <c r="AD42" i="34" s="1"/>
  <c r="C43" i="34"/>
  <c r="AD43" i="34" s="1"/>
  <c r="C44" i="34"/>
  <c r="AD44" i="34" s="1"/>
  <c r="C45" i="34"/>
  <c r="AD45" i="34" s="1"/>
  <c r="C46" i="34"/>
  <c r="AD46" i="34" s="1"/>
  <c r="C47" i="34"/>
  <c r="AD47" i="34" s="1"/>
  <c r="C48" i="34"/>
  <c r="AD48" i="34" s="1"/>
  <c r="C49" i="34"/>
  <c r="AD49" i="34" s="1"/>
  <c r="C50" i="34"/>
  <c r="AD50" i="34" s="1"/>
  <c r="C51" i="34"/>
  <c r="AD51" i="34" s="1"/>
  <c r="C52" i="34"/>
  <c r="AD52" i="34" s="1"/>
  <c r="C53" i="34"/>
  <c r="AD53" i="34" s="1"/>
  <c r="C54" i="34"/>
  <c r="AD54" i="34" s="1"/>
  <c r="C55" i="34"/>
  <c r="AD55" i="34" s="1"/>
  <c r="C56" i="34"/>
  <c r="AD56" i="34" s="1"/>
  <c r="C57" i="34"/>
  <c r="AD57" i="34" s="1"/>
  <c r="C58" i="34"/>
  <c r="AD58" i="34" s="1"/>
  <c r="C59" i="34"/>
  <c r="AD59" i="34" s="1"/>
  <c r="C60" i="34"/>
  <c r="AD60" i="34" s="1"/>
  <c r="C61" i="34"/>
  <c r="AD61" i="34" s="1"/>
  <c r="C62" i="34"/>
  <c r="AD62" i="34" s="1"/>
  <c r="C63" i="34"/>
  <c r="C64" i="34"/>
  <c r="C65" i="34"/>
  <c r="M26" i="34"/>
  <c r="M27" i="34"/>
  <c r="M28" i="34"/>
  <c r="M29" i="34"/>
  <c r="M30" i="34"/>
  <c r="M31" i="34"/>
  <c r="M32" i="34"/>
  <c r="M42" i="34" l="1"/>
  <c r="M51" i="34"/>
  <c r="M59" i="34"/>
  <c r="M67" i="34"/>
  <c r="M75" i="34"/>
  <c r="B73" i="34"/>
  <c r="AD73" i="34"/>
  <c r="B69" i="34"/>
  <c r="AD69" i="34"/>
  <c r="R87" i="34"/>
  <c r="S87" i="34"/>
  <c r="Q87" i="34"/>
  <c r="A87" i="34"/>
  <c r="B64" i="34"/>
  <c r="AD64" i="34"/>
  <c r="B72" i="34"/>
  <c r="AD72" i="34"/>
  <c r="B68" i="34"/>
  <c r="AD68" i="34"/>
  <c r="B75" i="34"/>
  <c r="AD75" i="34"/>
  <c r="B71" i="34"/>
  <c r="AD71" i="34"/>
  <c r="B67" i="34"/>
  <c r="AD67" i="34"/>
  <c r="R79" i="34"/>
  <c r="S79" i="34"/>
  <c r="Q79" i="34"/>
  <c r="A79" i="34"/>
  <c r="R95" i="34"/>
  <c r="S95" i="34"/>
  <c r="Q95" i="34"/>
  <c r="A95" i="34"/>
  <c r="R77" i="34"/>
  <c r="S77" i="34"/>
  <c r="Q77" i="34"/>
  <c r="A77" i="34"/>
  <c r="R97" i="34"/>
  <c r="S97" i="34"/>
  <c r="Q97" i="34"/>
  <c r="A97" i="34"/>
  <c r="B65" i="34"/>
  <c r="AD65" i="34"/>
  <c r="R99" i="34"/>
  <c r="S99" i="34"/>
  <c r="Q99" i="34"/>
  <c r="A99" i="34"/>
  <c r="R109" i="34"/>
  <c r="S109" i="34"/>
  <c r="Q109" i="34"/>
  <c r="A109" i="34"/>
  <c r="B63" i="34"/>
  <c r="AD63" i="34"/>
  <c r="B74" i="34"/>
  <c r="AD74" i="34"/>
  <c r="B70" i="34"/>
  <c r="AD70" i="34"/>
  <c r="B66" i="34"/>
  <c r="AD66" i="34"/>
  <c r="R113" i="34"/>
  <c r="S113" i="34"/>
  <c r="Q113" i="34"/>
  <c r="A113" i="34"/>
  <c r="Q110" i="34"/>
  <c r="R110" i="34"/>
  <c r="S110" i="34"/>
  <c r="A110" i="34"/>
  <c r="R111" i="34"/>
  <c r="S111" i="34"/>
  <c r="Q111" i="34"/>
  <c r="A111" i="34"/>
  <c r="Q76" i="34"/>
  <c r="R76" i="34"/>
  <c r="S76" i="34"/>
  <c r="A76" i="34"/>
  <c r="Q84" i="34"/>
  <c r="R84" i="34"/>
  <c r="S84" i="34"/>
  <c r="A84" i="34"/>
  <c r="Q92" i="34"/>
  <c r="R92" i="34"/>
  <c r="S92" i="34"/>
  <c r="A92" i="34"/>
  <c r="Q100" i="34"/>
  <c r="R100" i="34"/>
  <c r="S100" i="34"/>
  <c r="A100" i="34"/>
  <c r="Q108" i="34"/>
  <c r="R108" i="34"/>
  <c r="S108" i="34"/>
  <c r="A108" i="34"/>
  <c r="R85" i="34"/>
  <c r="S85" i="34"/>
  <c r="Q85" i="34"/>
  <c r="A85" i="34"/>
  <c r="R101" i="34"/>
  <c r="S101" i="34"/>
  <c r="Q101" i="34"/>
  <c r="A101" i="34"/>
  <c r="Q78" i="34"/>
  <c r="R78" i="34"/>
  <c r="S78" i="34"/>
  <c r="A78" i="34"/>
  <c r="Q86" i="34"/>
  <c r="R86" i="34"/>
  <c r="S86" i="34"/>
  <c r="A86" i="34"/>
  <c r="Q94" i="34"/>
  <c r="R94" i="34"/>
  <c r="S94" i="34"/>
  <c r="A94" i="34"/>
  <c r="Q102" i="34"/>
  <c r="R102" i="34"/>
  <c r="S102" i="34"/>
  <c r="A102" i="34"/>
  <c r="R83" i="34"/>
  <c r="S83" i="34"/>
  <c r="Q83" i="34"/>
  <c r="A83" i="34"/>
  <c r="R103" i="34"/>
  <c r="S103" i="34"/>
  <c r="Q103" i="34"/>
  <c r="A103" i="34"/>
  <c r="R107" i="34"/>
  <c r="S107" i="34"/>
  <c r="Q107" i="34"/>
  <c r="A107" i="34"/>
  <c r="R89" i="34"/>
  <c r="S89" i="34"/>
  <c r="Q89" i="34"/>
  <c r="A89" i="34"/>
  <c r="Q80" i="34"/>
  <c r="R80" i="34"/>
  <c r="S80" i="34"/>
  <c r="A80" i="34"/>
  <c r="Q88" i="34"/>
  <c r="R88" i="34"/>
  <c r="S88" i="34"/>
  <c r="A88" i="34"/>
  <c r="Q96" i="34"/>
  <c r="R96" i="34"/>
  <c r="S96" i="34"/>
  <c r="A96" i="34"/>
  <c r="Q104" i="34"/>
  <c r="R104" i="34"/>
  <c r="S104" i="34"/>
  <c r="A104" i="34"/>
  <c r="Q112" i="34"/>
  <c r="R112" i="34"/>
  <c r="S112" i="34"/>
  <c r="A112" i="34"/>
  <c r="R81" i="34"/>
  <c r="S81" i="34"/>
  <c r="Q81" i="34"/>
  <c r="A81" i="34"/>
  <c r="R93" i="34"/>
  <c r="S93" i="34"/>
  <c r="Q93" i="34"/>
  <c r="A93" i="34"/>
  <c r="R105" i="34"/>
  <c r="S105" i="34"/>
  <c r="Q105" i="34"/>
  <c r="A105" i="34"/>
  <c r="Q82" i="34"/>
  <c r="R82" i="34"/>
  <c r="S82" i="34"/>
  <c r="A82" i="34"/>
  <c r="Q90" i="34"/>
  <c r="R90" i="34"/>
  <c r="S90" i="34"/>
  <c r="A90" i="34"/>
  <c r="Q98" i="34"/>
  <c r="R98" i="34"/>
  <c r="S98" i="34"/>
  <c r="A98" i="34"/>
  <c r="Q106" i="34"/>
  <c r="R106" i="34"/>
  <c r="S106" i="34"/>
  <c r="A106" i="34"/>
  <c r="R91" i="34"/>
  <c r="S91" i="34"/>
  <c r="Q91" i="34"/>
  <c r="A91" i="34"/>
  <c r="C36" i="34"/>
  <c r="AD36" i="34" s="1"/>
  <c r="C35" i="34"/>
  <c r="AD35" i="34" s="1"/>
  <c r="Q70" i="34" l="1"/>
  <c r="R70" i="34"/>
  <c r="S70" i="34"/>
  <c r="A70" i="34"/>
  <c r="Q63" i="34"/>
  <c r="R63" i="34"/>
  <c r="S63" i="34"/>
  <c r="A63" i="34"/>
  <c r="R67" i="34"/>
  <c r="S67" i="34"/>
  <c r="Q67" i="34"/>
  <c r="A67" i="34"/>
  <c r="R75" i="34"/>
  <c r="S75" i="34"/>
  <c r="Q75" i="34"/>
  <c r="A75" i="34"/>
  <c r="Q72" i="34"/>
  <c r="R72" i="34"/>
  <c r="S72" i="34"/>
  <c r="A72" i="34"/>
  <c r="R69" i="34"/>
  <c r="S69" i="34"/>
  <c r="Q69" i="34"/>
  <c r="A69" i="34"/>
  <c r="Q66" i="34"/>
  <c r="R66" i="34"/>
  <c r="S66" i="34"/>
  <c r="A66" i="34"/>
  <c r="Q74" i="34"/>
  <c r="R74" i="34"/>
  <c r="S74" i="34"/>
  <c r="A74" i="34"/>
  <c r="R65" i="34"/>
  <c r="S65" i="34"/>
  <c r="Q65" i="34"/>
  <c r="A65" i="34"/>
  <c r="R71" i="34"/>
  <c r="S71" i="34"/>
  <c r="Q71" i="34"/>
  <c r="A71" i="34"/>
  <c r="Q68" i="34"/>
  <c r="R68" i="34"/>
  <c r="S68" i="34"/>
  <c r="A68" i="34"/>
  <c r="Q64" i="34"/>
  <c r="R64" i="34"/>
  <c r="S64" i="34"/>
  <c r="A64" i="34"/>
  <c r="R73" i="34"/>
  <c r="S73" i="34"/>
  <c r="Q73" i="34"/>
  <c r="A73" i="34"/>
  <c r="B35" i="34"/>
  <c r="B36" i="34"/>
  <c r="C37" i="34"/>
  <c r="AD37" i="34" s="1"/>
  <c r="C38" i="34"/>
  <c r="AD38" i="34" s="1"/>
  <c r="C39" i="34"/>
  <c r="AD39" i="34" s="1"/>
  <c r="C40" i="34"/>
  <c r="AD40" i="34" s="1"/>
  <c r="C26" i="34"/>
  <c r="AD26" i="34" s="1"/>
  <c r="C27" i="34"/>
  <c r="AD27" i="34" s="1"/>
  <c r="C28" i="34"/>
  <c r="AD28" i="34" s="1"/>
  <c r="C29" i="34"/>
  <c r="AD29" i="34" s="1"/>
  <c r="C30" i="34"/>
  <c r="AD30" i="34" s="1"/>
  <c r="C31" i="34"/>
  <c r="AD31" i="34" s="1"/>
  <c r="C32" i="34"/>
  <c r="AD32" i="34" s="1"/>
  <c r="C33" i="34"/>
  <c r="AD33" i="34" s="1"/>
  <c r="C34" i="34"/>
  <c r="AD34" i="34" s="1"/>
  <c r="C25" i="34"/>
  <c r="AD25" i="34" s="1"/>
  <c r="Q36" i="34" l="1"/>
  <c r="R36" i="34"/>
  <c r="S36" i="34"/>
  <c r="A36" i="34"/>
  <c r="R35" i="34"/>
  <c r="S35" i="34"/>
  <c r="Q35" i="34"/>
  <c r="A35" i="34"/>
  <c r="P12" i="34"/>
  <c r="T12" i="34"/>
  <c r="U12" i="34"/>
  <c r="V12" i="34"/>
  <c r="W12" i="34"/>
  <c r="Y12" i="34"/>
  <c r="AB12" i="34"/>
  <c r="AC12" i="34"/>
  <c r="P13" i="34"/>
  <c r="T13" i="34"/>
  <c r="U13" i="34"/>
  <c r="V13" i="34"/>
  <c r="W13" i="34"/>
  <c r="Y13" i="34"/>
  <c r="AB13" i="34"/>
  <c r="AC13" i="34"/>
  <c r="P14" i="34"/>
  <c r="T14" i="34"/>
  <c r="U14" i="34"/>
  <c r="V14" i="34"/>
  <c r="W14" i="34"/>
  <c r="Y14" i="34"/>
  <c r="AB14" i="34"/>
  <c r="AC14" i="34"/>
  <c r="B34" i="34" l="1"/>
  <c r="B32" i="34"/>
  <c r="B31" i="34"/>
  <c r="R31" i="34" l="1"/>
  <c r="S31" i="34"/>
  <c r="Q31" i="34"/>
  <c r="A31" i="34"/>
  <c r="Q32" i="34"/>
  <c r="R32" i="34"/>
  <c r="S32" i="34"/>
  <c r="A32" i="34"/>
  <c r="Q34" i="34"/>
  <c r="R34" i="34"/>
  <c r="S34" i="34"/>
  <c r="A34" i="34"/>
  <c r="B33" i="34"/>
  <c r="R33" i="34" l="1"/>
  <c r="S33" i="34"/>
  <c r="Q33" i="34"/>
  <c r="A33" i="34"/>
  <c r="B41" i="34"/>
  <c r="B42" i="34"/>
  <c r="B43" i="34"/>
  <c r="B44" i="34"/>
  <c r="B45" i="34"/>
  <c r="B46" i="34"/>
  <c r="B47" i="34"/>
  <c r="B48" i="34"/>
  <c r="B49" i="34"/>
  <c r="B50" i="34"/>
  <c r="B51" i="34"/>
  <c r="B52" i="34"/>
  <c r="B53" i="34"/>
  <c r="B54" i="34"/>
  <c r="B55" i="34"/>
  <c r="B56" i="34"/>
  <c r="B57" i="34"/>
  <c r="B58" i="34"/>
  <c r="B59" i="34"/>
  <c r="B60" i="34"/>
  <c r="B61" i="34"/>
  <c r="B62" i="34"/>
  <c r="R59" i="34" l="1"/>
  <c r="S59" i="34"/>
  <c r="Q59" i="34"/>
  <c r="A59" i="34"/>
  <c r="R47" i="34"/>
  <c r="S47" i="34"/>
  <c r="Q47" i="34"/>
  <c r="A47" i="34"/>
  <c r="S62" i="34"/>
  <c r="Q62" i="34"/>
  <c r="R62" i="34"/>
  <c r="A62" i="34"/>
  <c r="Q58" i="34"/>
  <c r="R58" i="34"/>
  <c r="S58" i="34"/>
  <c r="A58" i="34"/>
  <c r="Q54" i="34"/>
  <c r="R54" i="34"/>
  <c r="S54" i="34"/>
  <c r="A54" i="34"/>
  <c r="Q46" i="34"/>
  <c r="R46" i="34"/>
  <c r="S46" i="34"/>
  <c r="A46" i="34"/>
  <c r="Q42" i="34"/>
  <c r="R42" i="34"/>
  <c r="S42" i="34"/>
  <c r="A42" i="34"/>
  <c r="Q61" i="34"/>
  <c r="R61" i="34"/>
  <c r="A61" i="34"/>
  <c r="S61" i="34"/>
  <c r="R57" i="34"/>
  <c r="S57" i="34"/>
  <c r="Q57" i="34"/>
  <c r="A57" i="34"/>
  <c r="R53" i="34"/>
  <c r="S53" i="34"/>
  <c r="Q53" i="34"/>
  <c r="A53" i="34"/>
  <c r="R49" i="34"/>
  <c r="S49" i="34"/>
  <c r="Q49" i="34"/>
  <c r="A49" i="34"/>
  <c r="R45" i="34"/>
  <c r="S45" i="34"/>
  <c r="Q45" i="34"/>
  <c r="A45" i="34"/>
  <c r="R41" i="34"/>
  <c r="S41" i="34"/>
  <c r="Q41" i="34"/>
  <c r="A41" i="34"/>
  <c r="Q60" i="34"/>
  <c r="S60" i="34"/>
  <c r="R60" i="34"/>
  <c r="A60" i="34"/>
  <c r="Q56" i="34"/>
  <c r="R56" i="34"/>
  <c r="S56" i="34"/>
  <c r="A56" i="34"/>
  <c r="Q52" i="34"/>
  <c r="R52" i="34"/>
  <c r="S52" i="34"/>
  <c r="A52" i="34"/>
  <c r="Q48" i="34"/>
  <c r="R48" i="34"/>
  <c r="S48" i="34"/>
  <c r="A48" i="34"/>
  <c r="Q44" i="34"/>
  <c r="R44" i="34"/>
  <c r="S44" i="34"/>
  <c r="A44" i="34"/>
  <c r="R51" i="34"/>
  <c r="S51" i="34"/>
  <c r="Q51" i="34"/>
  <c r="A51" i="34"/>
  <c r="R43" i="34"/>
  <c r="S43" i="34"/>
  <c r="Q43" i="34"/>
  <c r="A43" i="34"/>
  <c r="R55" i="34"/>
  <c r="S55" i="34"/>
  <c r="Q55" i="34"/>
  <c r="A55" i="34"/>
  <c r="Q50" i="34"/>
  <c r="R50" i="34"/>
  <c r="S50" i="34"/>
  <c r="A50" i="34"/>
  <c r="M25" i="34"/>
  <c r="M33" i="34" s="1"/>
  <c r="F64" i="15"/>
  <c r="E64" i="15"/>
  <c r="F67" i="15"/>
  <c r="E67" i="15"/>
  <c r="F66" i="15"/>
  <c r="E66" i="15"/>
  <c r="A15" i="12" l="1"/>
  <c r="A18" i="12"/>
  <c r="A14" i="12"/>
  <c r="B21" i="55"/>
  <c r="A21" i="55" s="1"/>
  <c r="C24" i="34" l="1"/>
  <c r="AD24" i="34" s="1"/>
  <c r="C23" i="34"/>
  <c r="AD23" i="34" s="1"/>
  <c r="C22" i="34"/>
  <c r="AD22" i="34" s="1"/>
  <c r="B23" i="34" l="1"/>
  <c r="B22" i="34"/>
  <c r="B24" i="34"/>
  <c r="A70" i="60"/>
  <c r="D70" i="60"/>
  <c r="A71" i="60"/>
  <c r="D71" i="60"/>
  <c r="G71" i="60" s="1"/>
  <c r="Q24" i="34" l="1"/>
  <c r="R24" i="34"/>
  <c r="S24" i="34"/>
  <c r="A24" i="34"/>
  <c r="Q22" i="34"/>
  <c r="R22" i="34"/>
  <c r="S22" i="34"/>
  <c r="A22" i="34"/>
  <c r="R23" i="34"/>
  <c r="S23" i="34"/>
  <c r="Q23" i="34"/>
  <c r="A23" i="34"/>
  <c r="G70" i="60"/>
  <c r="E68" i="60"/>
  <c r="D68" i="60"/>
  <c r="D69" i="60"/>
  <c r="N50" i="60"/>
  <c r="A50" i="60"/>
  <c r="D49" i="60"/>
  <c r="G49" i="60" s="1"/>
  <c r="G69" i="60" l="1"/>
  <c r="J42" i="69" l="1"/>
  <c r="A4" i="69"/>
  <c r="A29" i="68" l="1"/>
  <c r="C21" i="68" l="1"/>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E20" i="68"/>
  <c r="A7" i="68"/>
  <c r="A42" i="68"/>
  <c r="A43" i="68"/>
  <c r="F20" i="68"/>
  <c r="C20" i="68"/>
  <c r="A12" i="68"/>
  <c r="A8" i="68"/>
  <c r="A13" i="68"/>
  <c r="B20" i="68"/>
  <c r="A20" i="68" s="1"/>
  <c r="D20" i="68"/>
  <c r="E13" i="68"/>
  <c r="E11" i="68"/>
  <c r="E30" i="68" l="1"/>
  <c r="G20" i="68" s="1"/>
  <c r="F21" i="68"/>
  <c r="A10" i="68"/>
  <c r="F22" i="68" l="1"/>
  <c r="H20" i="68"/>
  <c r="G21" i="68" s="1"/>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5"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E72" i="60"/>
  <c r="V12" i="60"/>
  <c r="V13" i="60"/>
  <c r="V14" i="60"/>
  <c r="I21" i="55" l="1" a="1"/>
  <c r="I21" i="55" s="1"/>
  <c r="G21" i="55" a="1"/>
  <c r="G21" i="55" s="1"/>
  <c r="H28" i="68"/>
  <c r="G30" i="68"/>
  <c r="K21" i="55" l="1"/>
  <c r="B25" i="34"/>
  <c r="B26" i="34"/>
  <c r="B27" i="34"/>
  <c r="B28" i="34"/>
  <c r="B29" i="34"/>
  <c r="B30" i="34"/>
  <c r="Q26" i="34" l="1"/>
  <c r="R26" i="34"/>
  <c r="S26" i="34"/>
  <c r="A26" i="34"/>
  <c r="R27" i="34"/>
  <c r="S27" i="34"/>
  <c r="Q27" i="34"/>
  <c r="A27" i="34"/>
  <c r="Q30" i="34"/>
  <c r="R30" i="34"/>
  <c r="S30" i="34"/>
  <c r="A30" i="34"/>
  <c r="R25" i="34"/>
  <c r="S25" i="34"/>
  <c r="Q25" i="34"/>
  <c r="A25" i="34"/>
  <c r="R29" i="34"/>
  <c r="S29" i="34"/>
  <c r="Q29" i="34"/>
  <c r="A29" i="34"/>
  <c r="Q28" i="34"/>
  <c r="R28" i="34"/>
  <c r="S28" i="34"/>
  <c r="A28" i="34"/>
  <c r="A132" i="34"/>
  <c r="A131" i="34"/>
  <c r="A134" i="34"/>
  <c r="A133" i="34"/>
  <c r="U11" i="34" l="1"/>
  <c r="U10" i="34"/>
  <c r="V11" i="34"/>
  <c r="V10" i="34"/>
  <c r="T11" i="34"/>
  <c r="T10" i="34"/>
  <c r="I6" i="43"/>
  <c r="I28" i="45" l="1"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G12" i="62" a="1"/>
  <c r="G12" i="62" s="1"/>
  <c r="G13" i="62" a="1"/>
  <c r="G13" i="62" s="1"/>
  <c r="G14" i="62" a="1"/>
  <c r="G14" i="62" s="1"/>
  <c r="G15" i="62" a="1"/>
  <c r="G15" i="62" s="1"/>
  <c r="I12" i="62" a="1"/>
  <c r="I12" i="62" s="1"/>
  <c r="I13" i="62" a="1"/>
  <c r="I13" i="62" s="1"/>
  <c r="I14" i="62" a="1"/>
  <c r="I14" i="62" s="1"/>
  <c r="I15" i="62" a="1"/>
  <c r="I15" i="62" s="1"/>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O32" i="45" l="1"/>
  <c r="O31" i="45"/>
  <c r="M15" i="62"/>
  <c r="O29" i="45"/>
  <c r="O27" i="45"/>
  <c r="M27" i="45"/>
  <c r="M31" i="45"/>
  <c r="M32" i="45"/>
  <c r="M30" i="45"/>
  <c r="M29" i="45"/>
  <c r="M28" i="45"/>
  <c r="M14" i="62"/>
  <c r="M13" i="62"/>
  <c r="M12" i="62"/>
  <c r="K14" i="62"/>
  <c r="K13" i="62"/>
  <c r="K12" i="62"/>
  <c r="K15" i="62"/>
  <c r="CB39" i="48"/>
  <c r="I28" i="12" l="1"/>
  <c r="I29" i="12"/>
  <c r="I30" i="12"/>
  <c r="I31" i="12"/>
  <c r="I32" i="12"/>
  <c r="I33" i="12"/>
  <c r="I34" i="12"/>
  <c r="I35" i="12"/>
  <c r="I26" i="12"/>
  <c r="I36" i="12"/>
  <c r="I37" i="12"/>
  <c r="I38" i="12"/>
  <c r="I39" i="12"/>
  <c r="I40" i="12"/>
  <c r="I41" i="12"/>
  <c r="I27" i="12"/>
  <c r="A5" i="12" l="1"/>
  <c r="A6" i="12"/>
  <c r="A7" i="12"/>
  <c r="A8" i="12"/>
  <c r="A9" i="12"/>
  <c r="A10" i="12"/>
  <c r="A11" i="12"/>
  <c r="A12" i="12"/>
  <c r="A13" i="12"/>
  <c r="A16" i="12"/>
  <c r="A17" i="12"/>
  <c r="A19" i="12"/>
  <c r="A20" i="12"/>
  <c r="A21" i="12"/>
  <c r="A22" i="12"/>
  <c r="A23" i="12"/>
  <c r="A24" i="12"/>
  <c r="A27" i="12"/>
  <c r="A28" i="12"/>
  <c r="A29" i="12"/>
  <c r="A30" i="12"/>
  <c r="A31" i="12"/>
  <c r="A32" i="12"/>
  <c r="A33" i="12"/>
  <c r="A34" i="12"/>
  <c r="A35" i="12"/>
  <c r="A26" i="12"/>
  <c r="A36" i="12"/>
  <c r="A37" i="12"/>
  <c r="A38" i="12"/>
  <c r="A39" i="12"/>
  <c r="A40" i="12"/>
  <c r="A41" i="12"/>
  <c r="A4" i="12"/>
  <c r="F57" i="55" l="1"/>
  <c r="F46" i="55"/>
  <c r="E45" i="55"/>
  <c r="G40" i="55" a="1"/>
  <c r="G40" i="55" s="1"/>
  <c r="G41" i="55" a="1"/>
  <c r="G41" i="55" s="1"/>
  <c r="G42" i="55" a="1"/>
  <c r="G42" i="55" s="1"/>
  <c r="G43" i="55" a="1"/>
  <c r="G43" i="55" s="1"/>
  <c r="G47" i="55" a="1"/>
  <c r="G47" i="55" s="1"/>
  <c r="G48" i="55" a="1"/>
  <c r="G48" i="55" s="1"/>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L7" i="60" l="1"/>
  <c r="L9" i="60"/>
  <c r="V38" i="60"/>
  <c r="V17" i="60"/>
  <c r="K24" i="55"/>
  <c r="K23" i="55"/>
  <c r="K22" i="55"/>
  <c r="K20" i="55"/>
  <c r="M20" i="34" l="1"/>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B20" i="34" l="1"/>
  <c r="B18" i="34"/>
  <c r="B17" i="34"/>
  <c r="B16" i="34"/>
  <c r="B19" i="34"/>
  <c r="Q16" i="34" l="1"/>
  <c r="R16" i="34"/>
  <c r="S16" i="34"/>
  <c r="A16" i="34"/>
  <c r="R17" i="34"/>
  <c r="S17" i="34"/>
  <c r="Q17" i="34"/>
  <c r="A17" i="34"/>
  <c r="Q18" i="34"/>
  <c r="R18" i="34"/>
  <c r="S18" i="34"/>
  <c r="A18" i="34"/>
  <c r="R19" i="34"/>
  <c r="S19" i="34"/>
  <c r="Q19" i="34"/>
  <c r="A19" i="34"/>
  <c r="Q20" i="34"/>
  <c r="R20" i="34"/>
  <c r="S20" i="34"/>
  <c r="A20" i="34"/>
  <c r="G7" i="57"/>
  <c r="D42" i="12"/>
  <c r="C42" i="12"/>
  <c r="E6" i="43" l="1"/>
  <c r="I111" i="42"/>
  <c r="G90" i="43"/>
  <c r="S9" i="43" l="1"/>
  <c r="S8" i="43"/>
  <c r="D74" i="15" l="1"/>
  <c r="C74" i="15"/>
  <c r="C23" i="15"/>
  <c r="D23" i="15"/>
  <c r="C35" i="15"/>
  <c r="D35" i="15"/>
  <c r="D32" i="15"/>
  <c r="C32" i="15"/>
  <c r="C50" i="15"/>
  <c r="D50" i="15"/>
  <c r="C43" i="15"/>
  <c r="D43" i="15"/>
  <c r="D55" i="15"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57" i="55"/>
  <c r="F56" i="55"/>
  <c r="E57" i="55" s="1"/>
  <c r="E56" i="55"/>
  <c r="A56" i="55"/>
  <c r="B55" i="55"/>
  <c r="A55"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B21" i="34"/>
  <c r="B15" i="34"/>
  <c r="B14" i="34"/>
  <c r="B13" i="34"/>
  <c r="B12" i="34"/>
  <c r="AC11" i="34"/>
  <c r="AB11" i="34"/>
  <c r="Y11" i="34"/>
  <c r="W11" i="34"/>
  <c r="P11" i="34"/>
  <c r="B11" i="34"/>
  <c r="A11" i="34" s="1"/>
  <c r="AC10" i="34"/>
  <c r="AB10" i="34"/>
  <c r="Y10" i="34"/>
  <c r="W10" i="34"/>
  <c r="P10" i="34"/>
  <c r="B10" i="34"/>
  <c r="A10" i="34" s="1"/>
  <c r="X7" i="34"/>
  <c r="D53" i="15"/>
  <c r="C53" i="15"/>
  <c r="H12" i="61"/>
  <c r="C12" i="61"/>
  <c r="F29" i="56" l="1"/>
  <c r="AA16" i="34"/>
  <c r="AA20" i="34"/>
  <c r="AA24" i="34"/>
  <c r="AA28" i="34"/>
  <c r="AA32" i="34"/>
  <c r="AA36" i="34"/>
  <c r="AA40" i="34"/>
  <c r="AA44" i="34"/>
  <c r="AA48" i="34"/>
  <c r="AA52" i="34"/>
  <c r="AA56" i="34"/>
  <c r="AA60" i="34"/>
  <c r="AA64" i="34"/>
  <c r="AA68" i="34"/>
  <c r="AA72" i="34"/>
  <c r="AA76" i="34"/>
  <c r="AA80" i="34"/>
  <c r="AA84" i="34"/>
  <c r="AA88" i="34"/>
  <c r="AA92" i="34"/>
  <c r="AA96" i="34"/>
  <c r="AA99" i="34"/>
  <c r="AA101" i="34"/>
  <c r="AA105" i="34"/>
  <c r="AA107" i="34"/>
  <c r="AA116" i="34"/>
  <c r="AA128" i="34"/>
  <c r="AA130" i="34"/>
  <c r="AA17" i="34"/>
  <c r="AA21" i="34"/>
  <c r="AA25" i="34"/>
  <c r="AA29" i="34"/>
  <c r="AA33" i="34"/>
  <c r="AA37" i="34"/>
  <c r="AA41" i="34"/>
  <c r="AA45" i="34"/>
  <c r="AA49" i="34"/>
  <c r="AA53" i="34"/>
  <c r="AA57" i="34"/>
  <c r="AA61" i="34"/>
  <c r="AA65" i="34"/>
  <c r="AA69" i="34"/>
  <c r="AA73" i="34"/>
  <c r="AA77" i="34"/>
  <c r="AA81" i="34"/>
  <c r="AA85" i="34"/>
  <c r="AA89" i="34"/>
  <c r="AA93" i="34"/>
  <c r="AA97" i="34"/>
  <c r="AA108" i="34"/>
  <c r="AA112" i="34"/>
  <c r="AA117" i="34"/>
  <c r="AA121" i="34"/>
  <c r="AA125" i="34"/>
  <c r="AA129" i="34"/>
  <c r="AA134" i="34"/>
  <c r="AA18" i="34"/>
  <c r="AA22" i="34"/>
  <c r="AA26" i="34"/>
  <c r="AA30" i="34"/>
  <c r="AA34" i="34"/>
  <c r="AA38" i="34"/>
  <c r="AA42" i="34"/>
  <c r="AA46" i="34"/>
  <c r="AA50" i="34"/>
  <c r="AA54" i="34"/>
  <c r="AA58" i="34"/>
  <c r="AA62" i="34"/>
  <c r="AA66" i="34"/>
  <c r="AA70" i="34"/>
  <c r="AA74" i="34"/>
  <c r="AA78" i="34"/>
  <c r="AA82" i="34"/>
  <c r="AA86" i="34"/>
  <c r="AA90" i="34"/>
  <c r="AA94" i="34"/>
  <c r="AA98" i="34"/>
  <c r="AA100" i="34"/>
  <c r="AA102" i="34"/>
  <c r="AA104" i="34"/>
  <c r="AA106" i="34"/>
  <c r="AA109" i="34"/>
  <c r="AA113" i="34"/>
  <c r="AA114" i="34"/>
  <c r="AA118" i="34"/>
  <c r="AA122" i="34"/>
  <c r="AA126" i="34"/>
  <c r="AA15" i="34"/>
  <c r="AA19" i="34"/>
  <c r="AA23" i="34"/>
  <c r="AA27" i="34"/>
  <c r="AA31" i="34"/>
  <c r="AA35" i="34"/>
  <c r="AA39" i="34"/>
  <c r="AA43" i="34"/>
  <c r="AA47" i="34"/>
  <c r="AA51" i="34"/>
  <c r="AA55" i="34"/>
  <c r="AA59" i="34"/>
  <c r="AA63" i="34"/>
  <c r="AA67" i="34"/>
  <c r="AA71" i="34"/>
  <c r="AA75" i="34"/>
  <c r="AA79" i="34"/>
  <c r="AA83" i="34"/>
  <c r="AA87" i="34"/>
  <c r="AA91" i="34"/>
  <c r="AA95" i="34"/>
  <c r="AA110" i="34"/>
  <c r="AA115" i="34"/>
  <c r="AA119" i="34"/>
  <c r="AA123" i="34"/>
  <c r="AA127" i="34"/>
  <c r="AA131" i="34"/>
  <c r="AA103" i="34"/>
  <c r="AA111" i="34"/>
  <c r="AA120" i="34"/>
  <c r="AA124" i="34"/>
  <c r="AA132" i="34"/>
  <c r="AA133" i="34"/>
  <c r="R21" i="34"/>
  <c r="S21" i="34"/>
  <c r="Q21" i="34"/>
  <c r="A21" i="34"/>
  <c r="X16" i="34"/>
  <c r="X18" i="34"/>
  <c r="X20" i="34"/>
  <c r="X22" i="34"/>
  <c r="X24" i="34"/>
  <c r="X26" i="34"/>
  <c r="X28" i="34"/>
  <c r="X30" i="34"/>
  <c r="X32" i="34"/>
  <c r="X34" i="34"/>
  <c r="X36" i="34"/>
  <c r="X38" i="34"/>
  <c r="X40" i="34"/>
  <c r="X42" i="34"/>
  <c r="X44" i="34"/>
  <c r="X46" i="34"/>
  <c r="X48" i="34"/>
  <c r="X50" i="34"/>
  <c r="X52" i="34"/>
  <c r="X54" i="34"/>
  <c r="X56" i="34"/>
  <c r="X58" i="34"/>
  <c r="X15" i="34"/>
  <c r="X17" i="34"/>
  <c r="X19" i="34"/>
  <c r="X21" i="34"/>
  <c r="X23" i="34"/>
  <c r="X25" i="34"/>
  <c r="X27" i="34"/>
  <c r="X29" i="34"/>
  <c r="X31" i="34"/>
  <c r="X33" i="34"/>
  <c r="X35" i="34"/>
  <c r="X37" i="34"/>
  <c r="X39" i="34"/>
  <c r="X41" i="34"/>
  <c r="X43" i="34"/>
  <c r="X45" i="34"/>
  <c r="X47" i="34"/>
  <c r="X49" i="34"/>
  <c r="X51" i="34"/>
  <c r="X53" i="34"/>
  <c r="X55" i="34"/>
  <c r="X57" i="34"/>
  <c r="X64" i="34"/>
  <c r="X66" i="34"/>
  <c r="X68" i="34"/>
  <c r="X70" i="34"/>
  <c r="X72" i="34"/>
  <c r="X74" i="34"/>
  <c r="X76" i="34"/>
  <c r="X78" i="34"/>
  <c r="X80" i="34"/>
  <c r="X82" i="34"/>
  <c r="X84" i="34"/>
  <c r="X86" i="34"/>
  <c r="X88" i="34"/>
  <c r="X90" i="34"/>
  <c r="X92" i="34"/>
  <c r="X94" i="34"/>
  <c r="X96" i="34"/>
  <c r="X98" i="34"/>
  <c r="X100" i="34"/>
  <c r="X102" i="34"/>
  <c r="X104" i="34"/>
  <c r="X106" i="34"/>
  <c r="X108" i="34"/>
  <c r="X110" i="34"/>
  <c r="X112" i="34"/>
  <c r="X114" i="34"/>
  <c r="X116" i="34"/>
  <c r="X118" i="34"/>
  <c r="X120" i="34"/>
  <c r="X122" i="34"/>
  <c r="X124" i="34"/>
  <c r="X126" i="34"/>
  <c r="X128" i="34"/>
  <c r="X130" i="34"/>
  <c r="X132" i="34"/>
  <c r="X134" i="34"/>
  <c r="X60" i="34"/>
  <c r="X59" i="34"/>
  <c r="X61" i="34"/>
  <c r="X62" i="34"/>
  <c r="X65" i="34"/>
  <c r="X67" i="34"/>
  <c r="X69" i="34"/>
  <c r="X71" i="34"/>
  <c r="X73" i="34"/>
  <c r="X75" i="34"/>
  <c r="X77" i="34"/>
  <c r="X79" i="34"/>
  <c r="X81" i="34"/>
  <c r="X83" i="34"/>
  <c r="X85" i="34"/>
  <c r="X87" i="34"/>
  <c r="X89" i="34"/>
  <c r="X91" i="34"/>
  <c r="X93" i="34"/>
  <c r="X95" i="34"/>
  <c r="X97" i="34"/>
  <c r="X99" i="34"/>
  <c r="X101" i="34"/>
  <c r="X103" i="34"/>
  <c r="X105" i="34"/>
  <c r="X107" i="34"/>
  <c r="X109" i="34"/>
  <c r="X111" i="34"/>
  <c r="X113" i="34"/>
  <c r="X115" i="34"/>
  <c r="X117" i="34"/>
  <c r="X119" i="34"/>
  <c r="X121" i="34"/>
  <c r="X123" i="34"/>
  <c r="X125" i="34"/>
  <c r="X127" i="34"/>
  <c r="X129" i="34"/>
  <c r="X63" i="34"/>
  <c r="X133" i="34"/>
  <c r="X131" i="34"/>
  <c r="R15" i="34"/>
  <c r="S15" i="34"/>
  <c r="Q15" i="34"/>
  <c r="A15" i="34"/>
  <c r="A10" i="56"/>
  <c r="X12" i="34"/>
  <c r="X13" i="34"/>
  <c r="X14" i="34"/>
  <c r="A12" i="34"/>
  <c r="Q12" i="34"/>
  <c r="R12" i="34"/>
  <c r="S12" i="34"/>
  <c r="A13" i="34"/>
  <c r="S13" i="34"/>
  <c r="Q13" i="34"/>
  <c r="R13" i="34"/>
  <c r="A14" i="34"/>
  <c r="R14" i="34"/>
  <c r="S14" i="34"/>
  <c r="Q14" i="34"/>
  <c r="AA13" i="34"/>
  <c r="AA12" i="34"/>
  <c r="AA14" i="34"/>
  <c r="AA10" i="34"/>
  <c r="AA11" i="34"/>
  <c r="A11" i="56"/>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F36" i="56"/>
  <c r="F30" i="56"/>
  <c r="G14" i="57"/>
  <c r="G16" i="57"/>
  <c r="A18" i="14"/>
  <c r="A34" i="14"/>
  <c r="A38" i="14"/>
  <c r="A17" i="14"/>
  <c r="A37" i="14"/>
  <c r="A16" i="14"/>
  <c r="A20" i="14"/>
  <c r="A36" i="14"/>
  <c r="A15" i="14"/>
  <c r="A19" i="14"/>
  <c r="A35" i="14"/>
  <c r="A14" i="14"/>
  <c r="G2" i="56"/>
  <c r="H186" i="60"/>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F13" i="57"/>
  <c r="V56" i="60"/>
  <c r="I52" i="60" s="1"/>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6"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56"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E12" i="61"/>
  <c r="F12" i="61"/>
  <c r="G12" i="61"/>
  <c r="D12" i="61"/>
  <c r="L37" i="63" l="1"/>
  <c r="M37" i="63"/>
  <c r="N37" i="63"/>
  <c r="O37" i="63"/>
  <c r="N38" i="63"/>
  <c r="O38" i="63"/>
  <c r="L38" i="63"/>
  <c r="M38" i="63"/>
  <c r="O36" i="63"/>
  <c r="N36" i="63"/>
  <c r="M36" i="63"/>
  <c r="L36" i="63"/>
  <c r="H71" i="60"/>
  <c r="I70" i="60"/>
  <c r="H70" i="60"/>
  <c r="J70" i="60"/>
  <c r="I71" i="60"/>
  <c r="J71" i="60"/>
  <c r="K71" i="60"/>
  <c r="K70" i="60"/>
  <c r="N70" i="60" s="1"/>
  <c r="P70" i="60" s="1"/>
  <c r="L72" i="60"/>
  <c r="N29" i="60"/>
  <c r="N9" i="60"/>
  <c r="J68" i="60"/>
  <c r="H69" i="60"/>
  <c r="K68" i="60"/>
  <c r="I69" i="60"/>
  <c r="J69" i="60"/>
  <c r="H68" i="60"/>
  <c r="K69" i="60"/>
  <c r="I68" i="60"/>
  <c r="I49" i="60"/>
  <c r="K49" i="60"/>
  <c r="J49" i="60"/>
  <c r="H49" i="60"/>
  <c r="J33" i="14"/>
  <c r="I33" i="14"/>
  <c r="L52" i="60"/>
  <c r="H47" i="60"/>
  <c r="I47" i="60"/>
  <c r="H48" i="60"/>
  <c r="I48" i="60"/>
  <c r="J47" i="60"/>
  <c r="K47" i="60"/>
  <c r="J48" i="60"/>
  <c r="K48" i="60"/>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17" i="63"/>
  <c r="K19" i="52"/>
  <c r="M19" i="52"/>
  <c r="N19" i="52"/>
  <c r="N45" i="63"/>
  <c r="F24" i="58"/>
  <c r="A27" i="58"/>
  <c r="J14" i="14"/>
  <c r="H21" i="52"/>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J27" i="57"/>
  <c r="F14" i="58"/>
  <c r="A25" i="58"/>
  <c r="A22" i="58"/>
  <c r="A30" i="58"/>
  <c r="E5" i="58"/>
  <c r="K21" i="57"/>
  <c r="J22" i="57"/>
  <c r="K23" i="57"/>
  <c r="H27" i="57"/>
  <c r="K22" i="57"/>
  <c r="H15" i="57"/>
  <c r="J14" i="57"/>
  <c r="J28" i="57"/>
  <c r="J19" i="57"/>
  <c r="J30" i="57"/>
  <c r="J29" i="57"/>
  <c r="H26" i="57"/>
  <c r="J18" i="57"/>
  <c r="K17" i="62"/>
  <c r="A15" i="57"/>
  <c r="A16" i="57" s="1"/>
  <c r="A17" i="57" s="1"/>
  <c r="A18" i="57" s="1"/>
  <c r="A19" i="57" s="1"/>
  <c r="A20" i="57" s="1"/>
  <c r="G32" i="57"/>
  <c r="J24" i="57"/>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56" i="55"/>
  <c r="K24" i="57"/>
  <c r="K27" i="57"/>
  <c r="K30" i="57"/>
  <c r="J17" i="57"/>
  <c r="H23" i="57"/>
  <c r="H16" i="57"/>
  <c r="K28" i="57"/>
  <c r="H18" i="57"/>
  <c r="K45" i="55"/>
  <c r="L29" i="57"/>
  <c r="K29" i="57"/>
  <c r="M17" i="62"/>
  <c r="M34" i="45"/>
  <c r="O34" i="45"/>
  <c r="B13" i="61"/>
  <c r="N71" i="60" l="1"/>
  <c r="P71" i="60" s="1"/>
  <c r="F12" i="43"/>
  <c r="N69" i="60"/>
  <c r="P69" i="60" s="1"/>
  <c r="N48" i="60"/>
  <c r="N49" i="60"/>
  <c r="P49" i="60" s="1"/>
  <c r="F68" i="60" s="1"/>
  <c r="G68" i="60" s="1"/>
  <c r="I41" i="14"/>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G49" i="43"/>
  <c r="F16" i="43"/>
  <c r="F17" i="43"/>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P212" i="60" s="1"/>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E11" i="48"/>
  <c r="B11" i="48"/>
  <c r="C11" i="48"/>
  <c r="G11" i="48"/>
  <c r="D11" i="48"/>
  <c r="H11" i="48"/>
  <c r="N217" i="60"/>
  <c r="P217" i="60" s="1"/>
  <c r="N263" i="60"/>
  <c r="P263" i="60" s="1"/>
  <c r="N87" i="60"/>
  <c r="N90" i="60" s="1"/>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L22" i="52"/>
  <c r="M22" i="52"/>
  <c r="K22" i="52"/>
  <c r="L18" i="63"/>
  <c r="N18" i="63"/>
  <c r="J41" i="14"/>
  <c r="N53" i="63"/>
  <c r="L53" i="63"/>
  <c r="I32" i="58"/>
  <c r="M53" i="63"/>
  <c r="O53" i="63"/>
  <c r="N22" i="52"/>
  <c r="M18" i="63"/>
  <c r="G51" i="47"/>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K32" i="57"/>
  <c r="J32" i="57"/>
  <c r="L14" i="57"/>
  <c r="L15" i="57" s="1"/>
  <c r="L16" i="57" s="1"/>
  <c r="L17" i="57" s="1"/>
  <c r="L18" i="57" s="1"/>
  <c r="L19" i="57" s="1"/>
  <c r="L20" i="57" s="1"/>
  <c r="H32" i="57"/>
  <c r="X14" i="48" l="1"/>
  <c r="BS32" i="48"/>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2" i="55"/>
  <c r="A51" i="55"/>
  <c r="N72" i="60"/>
  <c r="N139" i="60"/>
  <c r="N219" i="60"/>
  <c r="N191" i="60"/>
  <c r="N112" i="60"/>
  <c r="N270" i="60"/>
  <c r="N163" i="60"/>
  <c r="I16" i="14"/>
  <c r="G52" i="60"/>
  <c r="N19" i="63"/>
  <c r="A11" i="50" a="1"/>
  <c r="A11" i="50" s="1"/>
  <c r="I11" i="50" s="1"/>
  <c r="A50" i="48" a="1"/>
  <c r="A50" i="48" s="1"/>
  <c r="I50" i="48" s="1"/>
  <c r="A49" i="48" a="1"/>
  <c r="A49" i="48" s="1"/>
  <c r="I49" i="48" s="1"/>
  <c r="A11" i="51" a="1"/>
  <c r="A11" i="51" s="1"/>
  <c r="I11" i="51" s="1"/>
  <c r="L32" i="57"/>
  <c r="I17" i="14" l="1"/>
  <c r="O20" i="63"/>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3" i="55"/>
  <c r="A52" i="55"/>
  <c r="A17" i="55"/>
  <c r="P47" i="60"/>
  <c r="N52" i="60"/>
  <c r="N20" i="63"/>
  <c r="L21" i="63" s="1"/>
  <c r="AT52" i="51"/>
  <c r="T52" i="49"/>
  <c r="AQ52" i="49"/>
  <c r="AN52" i="50"/>
  <c r="AS52" i="50"/>
  <c r="AW52" i="50"/>
  <c r="AW52" i="51"/>
  <c r="AS52" i="51"/>
  <c r="AN52" i="51"/>
  <c r="AQ52" i="50"/>
  <c r="T52" i="50"/>
  <c r="AS52" i="49"/>
  <c r="AT52" i="50"/>
  <c r="T52" i="51"/>
  <c r="AQ52" i="51"/>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4" i="55"/>
  <c r="A54" i="55" s="1"/>
  <c r="A53"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AA10" i="49"/>
  <c r="AM10" i="49"/>
  <c r="X10" i="49"/>
  <c r="BK10" i="49"/>
  <c r="BZ10" i="49"/>
  <c r="BX10" i="49"/>
  <c r="AZ10" i="49"/>
  <c r="BA10" i="49"/>
  <c r="BC10" i="49"/>
  <c r="CB10" i="49"/>
  <c r="AN10" i="49"/>
  <c r="BI10" i="49"/>
  <c r="CX10" i="49"/>
  <c r="Z10" i="49"/>
  <c r="V10" i="49"/>
  <c r="AH10" i="49"/>
  <c r="AS10" i="49"/>
  <c r="AO10" i="49"/>
  <c r="AB10" i="49"/>
  <c r="CJ10" i="49"/>
  <c r="BO10" i="49"/>
  <c r="BE10" i="49"/>
  <c r="CK10" i="49"/>
  <c r="BM10" i="49"/>
  <c r="Y10" i="49"/>
  <c r="AR10" i="49"/>
  <c r="BH10" i="49"/>
  <c r="AP10" i="49"/>
  <c r="AI10" i="49"/>
  <c r="AG10" i="49"/>
  <c r="AL10" i="49"/>
  <c r="AK10" i="49"/>
  <c r="W10" i="49"/>
  <c r="AF10" i="49"/>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CB53" i="49" l="1"/>
  <c r="CB10" i="50" s="1"/>
  <c r="BP53" i="49"/>
  <c r="BP10" i="50" s="1"/>
  <c r="AF53" i="49"/>
  <c r="AF10" i="50" s="1"/>
  <c r="AK53" i="49"/>
  <c r="AK10" i="50" s="1"/>
  <c r="BC53" i="49"/>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F10" i="50"/>
  <c r="BN10" i="50"/>
  <c r="BV53" i="49"/>
  <c r="Z53" i="49"/>
  <c r="BK53" i="49"/>
  <c r="AC53" i="49"/>
  <c r="AE53" i="49"/>
  <c r="BU53" i="49"/>
  <c r="CW10" i="49"/>
  <c r="AX10" i="49"/>
  <c r="CH10" i="49"/>
  <c r="CG10" i="49"/>
  <c r="CV10" i="49"/>
  <c r="CM10" i="49"/>
  <c r="CE10" i="49"/>
  <c r="CF10" i="49"/>
  <c r="CL10" i="49"/>
  <c r="CD10" i="49"/>
  <c r="CU10" i="49"/>
  <c r="CI10" i="49"/>
  <c r="CT10" i="49"/>
  <c r="AY10" i="49"/>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AY53" i="49" l="1"/>
  <c r="AY10" i="50" s="1"/>
  <c r="CV53" i="49"/>
  <c r="CV10" i="50" s="1"/>
  <c r="J21" i="14"/>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Z10" i="50"/>
  <c r="AS10" i="50"/>
  <c r="AQ10" i="50"/>
  <c r="CA10" i="50"/>
  <c r="CA53" i="50" s="1"/>
  <c r="CA10" i="51" s="1"/>
  <c r="CJ10" i="50"/>
  <c r="CK53" i="50" s="1"/>
  <c r="CK10" i="51" s="1"/>
  <c r="BD10" i="50"/>
  <c r="BE53" i="50" s="1"/>
  <c r="BE10" i="51" s="1"/>
  <c r="CT53" i="49"/>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N25" i="63"/>
  <c r="N26" i="63" s="1"/>
  <c r="CH53" i="50" l="1"/>
  <c r="CH10" i="51" s="1"/>
  <c r="CH53" i="51" s="1"/>
  <c r="J23" i="14"/>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V53" i="50"/>
  <c r="CV10" i="51" s="1"/>
  <c r="CW53" i="50"/>
  <c r="CW10" i="51" s="1"/>
  <c r="CE53" i="50"/>
  <c r="CE10" i="51" s="1"/>
  <c r="CM53" i="50"/>
  <c r="CM10" i="51" s="1"/>
  <c r="CU53" i="50"/>
  <c r="CU10" i="51" s="1"/>
  <c r="L26" i="63"/>
  <c r="L27" i="63" s="1"/>
  <c r="F15" i="47"/>
  <c r="F51" i="47" s="1"/>
  <c r="I52" i="47" s="1"/>
  <c r="CI53" i="51" l="1"/>
  <c r="CF53" i="51"/>
  <c r="I24" i="14"/>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I28" i="14" l="1"/>
  <c r="M31" i="63"/>
  <c r="O31" i="63"/>
  <c r="N31" i="63"/>
  <c r="N32" i="63" s="1"/>
  <c r="H19" i="47"/>
  <c r="I19" i="47"/>
  <c r="I29" i="14" l="1"/>
  <c r="J29" i="14"/>
  <c r="O32" i="63"/>
  <c r="L32" i="63"/>
  <c r="L33" i="63" s="1"/>
  <c r="M32" i="63"/>
  <c r="I20" i="47"/>
  <c r="H20" i="47"/>
  <c r="M33" i="63" l="1"/>
  <c r="I30" i="14"/>
  <c r="I31" i="14" s="1"/>
  <c r="J30" i="14"/>
  <c r="N33" i="63"/>
  <c r="N34" i="63" s="1"/>
  <c r="O33" i="63"/>
  <c r="O34" i="63"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144" i="34"/>
  <c r="F57" i="15" a="1"/>
  <c r="F57" i="15" s="1"/>
  <c r="E57" i="15" a="1"/>
  <c r="E57" i="15" s="1"/>
  <c r="E15" i="12" l="1" a="1"/>
  <c r="E15" i="12" s="1"/>
  <c r="F15" i="12" a="1"/>
  <c r="F15" i="12" s="1"/>
  <c r="E18" i="12" a="1"/>
  <c r="E18" i="12" s="1"/>
  <c r="F18" i="12" a="1"/>
  <c r="F18" i="12" s="1"/>
  <c r="J31" i="14"/>
  <c r="J32" i="14" s="1"/>
  <c r="F14" i="12" a="1"/>
  <c r="F14" i="12" s="1"/>
  <c r="J21" i="55" a="1"/>
  <c r="J21" i="55" s="1"/>
  <c r="H21" i="55" a="1"/>
  <c r="H21" i="55" s="1"/>
  <c r="E14" i="12" a="1"/>
  <c r="E14" i="12" s="1"/>
  <c r="M34" i="63"/>
  <c r="M35" i="63" s="1"/>
  <c r="L34" i="63"/>
  <c r="L35" i="63" s="1"/>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E41" i="12" a="1"/>
  <c r="E41" i="12" s="1"/>
  <c r="E25" i="12" a="1"/>
  <c r="E25" i="12" s="1"/>
  <c r="F25" i="12" a="1"/>
  <c r="F25"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30" i="12" a="1"/>
  <c r="E30" i="12" s="1"/>
  <c r="J10" i="45" a="1"/>
  <c r="J10" i="45" s="1"/>
  <c r="F26" i="12" a="1"/>
  <c r="F26" i="12" s="1"/>
  <c r="F41" i="12" a="1"/>
  <c r="F41" i="12" s="1"/>
  <c r="H30" i="55" a="1"/>
  <c r="H30" i="55" s="1"/>
  <c r="E11" i="12" a="1"/>
  <c r="E11" i="12" s="1"/>
  <c r="H25" i="55" a="1"/>
  <c r="H25" i="55" s="1"/>
  <c r="F6" i="12" a="1"/>
  <c r="F6" i="12" s="1"/>
  <c r="L15" i="45" a="1"/>
  <c r="L15" i="45" s="1"/>
  <c r="F40" i="12" a="1"/>
  <c r="F40" i="12" s="1"/>
  <c r="E38" i="12" a="1"/>
  <c r="E38" i="12" s="1"/>
  <c r="F32" i="12" a="1"/>
  <c r="F32" i="12" s="1"/>
  <c r="E16" i="12" a="1"/>
  <c r="E16" i="12" s="1"/>
  <c r="E40" i="15" a="1"/>
  <c r="E40" i="15" s="1"/>
  <c r="F33" i="12" a="1"/>
  <c r="F33" i="12" s="1"/>
  <c r="E34" i="12" a="1"/>
  <c r="E34" i="12" s="1"/>
  <c r="E35" i="12" a="1"/>
  <c r="E35" i="12" s="1"/>
  <c r="F28" i="12" a="1"/>
  <c r="F28" i="12" s="1"/>
  <c r="F39" i="12" a="1"/>
  <c r="F39" i="12" s="1"/>
  <c r="E12" i="12" a="1"/>
  <c r="E12" i="12" s="1"/>
  <c r="E41" i="15" a="1"/>
  <c r="E41" i="15" s="1"/>
  <c r="H9" i="62" a="1"/>
  <c r="H9" i="62" s="1"/>
  <c r="H40" i="55" a="1"/>
  <c r="H40" i="55" s="1"/>
  <c r="F7" i="12" a="1"/>
  <c r="F7" i="12" s="1"/>
  <c r="E49" i="15" a="1"/>
  <c r="E49" i="15" s="1"/>
  <c r="L8" i="45" a="1"/>
  <c r="L8" i="45" s="1"/>
  <c r="J24" i="45" a="1"/>
  <c r="J24" i="45" s="1"/>
  <c r="L16" i="45" a="1"/>
  <c r="L16" i="45" s="1"/>
  <c r="J11" i="62" a="1"/>
  <c r="J11" i="62" s="1"/>
  <c r="E51" i="15" a="1"/>
  <c r="E51" i="15" s="1"/>
  <c r="E13" i="15" a="1"/>
  <c r="E13" i="15" s="1"/>
  <c r="H51" i="55" a="1"/>
  <c r="H51" i="55" s="1"/>
  <c r="H11" i="62" a="1"/>
  <c r="H11" i="62" s="1"/>
  <c r="E15" i="15" a="1"/>
  <c r="E15" i="15" s="1"/>
  <c r="H10" i="62" a="1"/>
  <c r="H10" i="62" s="1"/>
  <c r="H14" i="55" a="1"/>
  <c r="H14" i="55" s="1"/>
  <c r="H35" i="55" a="1"/>
  <c r="H35" i="55" s="1"/>
  <c r="H54" i="55" a="1"/>
  <c r="H54" i="55" s="1"/>
  <c r="J8" i="62" a="1"/>
  <c r="J8" i="62" s="1"/>
  <c r="E46" i="15" a="1"/>
  <c r="E46" i="15" s="1"/>
  <c r="H50" i="55" a="1"/>
  <c r="H50" i="55" s="1"/>
  <c r="L10" i="45" a="1"/>
  <c r="L10" i="45" s="1"/>
  <c r="L26" i="45" a="1"/>
  <c r="L26" i="45" s="1"/>
  <c r="E28" i="15" a="1"/>
  <c r="E28" i="15" s="1"/>
  <c r="F9" i="12" a="1"/>
  <c r="F9" i="12" s="1"/>
  <c r="F34" i="15" a="1"/>
  <c r="F34" i="15" s="1"/>
  <c r="E17" i="12" a="1"/>
  <c r="E17" i="12" s="1"/>
  <c r="J26" i="45" a="1"/>
  <c r="J26" i="45" s="1"/>
  <c r="J19" i="45" a="1"/>
  <c r="J19" i="45" s="1"/>
  <c r="E71" i="15" a="1"/>
  <c r="E71" i="15" s="1"/>
  <c r="I71" i="15" s="1"/>
  <c r="E31" i="12" a="1"/>
  <c r="E31" i="12" s="1"/>
  <c r="E37" i="12" a="1"/>
  <c r="E37" i="12" s="1"/>
  <c r="J6" i="45" a="1"/>
  <c r="J6" i="45" s="1"/>
  <c r="F48" i="15" a="1"/>
  <c r="F48" i="15" s="1"/>
  <c r="E20" i="12" a="1"/>
  <c r="E20" i="12" s="1"/>
  <c r="J18" i="45" a="1"/>
  <c r="J18" i="45" s="1"/>
  <c r="J25" i="45" a="1"/>
  <c r="J25" i="45" s="1"/>
  <c r="E36" i="15" a="1"/>
  <c r="E36" i="15" s="1"/>
  <c r="E37" i="15" s="1"/>
  <c r="J23" i="45" a="1"/>
  <c r="J23" i="45" s="1"/>
  <c r="E5" i="12" a="1"/>
  <c r="E5" i="12" s="1"/>
  <c r="F59" i="15" a="1"/>
  <c r="F59" i="15" s="1"/>
  <c r="J47" i="55" a="1"/>
  <c r="J47"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21" i="12" a="1"/>
  <c r="E21" i="12" s="1"/>
  <c r="L13" i="45" a="1"/>
  <c r="L13" i="45" s="1"/>
  <c r="F20" i="12" a="1"/>
  <c r="F20" i="12" s="1"/>
  <c r="E12" i="15" a="1"/>
  <c r="E12" i="15" s="1"/>
  <c r="F33" i="15" a="1"/>
  <c r="F33" i="15" s="1"/>
  <c r="L20" i="45" a="1"/>
  <c r="L20" i="45" s="1"/>
  <c r="E22" i="15" a="1"/>
  <c r="E22" i="15" s="1"/>
  <c r="E10" i="15" a="1"/>
  <c r="E10" i="15" s="1"/>
  <c r="E11" i="15" s="1"/>
  <c r="H49" i="55" a="1"/>
  <c r="H49" i="55" s="1"/>
  <c r="H19" i="55" a="1"/>
  <c r="H19" i="55" s="1"/>
  <c r="F21" i="12" a="1"/>
  <c r="F21" i="12" s="1"/>
  <c r="J31" i="55" a="1"/>
  <c r="J31" i="55" s="1"/>
  <c r="H86" i="43"/>
  <c r="H87" i="43" s="1"/>
  <c r="F29" i="15" a="1"/>
  <c r="F29" i="15" s="1"/>
  <c r="F27" i="12" a="1"/>
  <c r="F27" i="12" s="1"/>
  <c r="F30" i="12" a="1"/>
  <c r="F30" i="12" s="1"/>
  <c r="E6" i="12" a="1"/>
  <c r="E6" i="12" s="1"/>
  <c r="J21" i="45" a="1"/>
  <c r="J21" i="45" s="1"/>
  <c r="F28" i="15" a="1"/>
  <c r="F28" i="15" s="1"/>
  <c r="H12" i="55" a="1"/>
  <c r="H12" i="55" s="1"/>
  <c r="L25" i="45" a="1"/>
  <c r="L25" i="45" s="1"/>
  <c r="H8" i="62" a="1"/>
  <c r="H8" i="62" s="1"/>
  <c r="E26" i="15" a="1"/>
  <c r="E26" i="15" s="1"/>
  <c r="F24" i="15" a="1"/>
  <c r="F24" i="15" s="1"/>
  <c r="J9" i="45" a="1"/>
  <c r="J9" i="45" s="1"/>
  <c r="F52" i="15" a="1"/>
  <c r="F52" i="15" s="1"/>
  <c r="J39" i="55" a="1"/>
  <c r="J39" i="55" s="1"/>
  <c r="E22" i="12" a="1"/>
  <c r="E22" i="12" s="1"/>
  <c r="H5" i="62" a="1"/>
  <c r="H5" i="62" s="1"/>
  <c r="F17" i="12" a="1"/>
  <c r="F17" i="12" s="1"/>
  <c r="E4" i="12" a="1"/>
  <c r="E4" i="12" s="1"/>
  <c r="F56" i="15" a="1"/>
  <c r="F56" i="15" s="1"/>
  <c r="F58" i="15" s="1"/>
  <c r="L17" i="45" a="1"/>
  <c r="L17" i="45" s="1"/>
  <c r="E31" i="15" a="1"/>
  <c r="E31" i="15" s="1"/>
  <c r="E32" i="15" s="1"/>
  <c r="J13" i="45" a="1"/>
  <c r="J13" i="45" s="1"/>
  <c r="F19" i="12" a="1"/>
  <c r="F19" i="12" s="1"/>
  <c r="F12" i="12" a="1"/>
  <c r="F12" i="12" s="1"/>
  <c r="J10" i="62" a="1"/>
  <c r="J10" i="62" s="1"/>
  <c r="L24" i="45" a="1"/>
  <c r="L24" i="45" s="1"/>
  <c r="E20" i="15" a="1"/>
  <c r="E20" i="15" s="1"/>
  <c r="H18" i="55" a="1"/>
  <c r="H18" i="55" s="1"/>
  <c r="J5" i="45" a="1"/>
  <c r="J5" i="45" s="1"/>
  <c r="J15" i="45" a="1"/>
  <c r="J15" i="45" s="1"/>
  <c r="J20" i="45" a="1"/>
  <c r="J20" i="45" s="1"/>
  <c r="E10" i="12" a="1"/>
  <c r="E10" i="12" s="1"/>
  <c r="F51" i="15" a="1"/>
  <c r="F51" i="15" s="1"/>
  <c r="F24" i="12" a="1"/>
  <c r="F24" i="12" s="1"/>
  <c r="J16" i="45" a="1"/>
  <c r="J16" i="45" s="1"/>
  <c r="F20" i="15" a="1"/>
  <c r="F20" i="15" s="1"/>
  <c r="E48" i="15" a="1"/>
  <c r="E48" i="15" s="1"/>
  <c r="E27" i="15" a="1"/>
  <c r="E27" i="15" s="1"/>
  <c r="F41" i="15" a="1"/>
  <c r="F41" i="15" s="1"/>
  <c r="F42" i="15" s="1"/>
  <c r="E27" i="12" a="1"/>
  <c r="E27" i="12" s="1"/>
  <c r="F5" i="12" a="1"/>
  <c r="F5" i="12" s="1"/>
  <c r="H23" i="55" a="1"/>
  <c r="H23" i="55" s="1"/>
  <c r="H34" i="55" a="1"/>
  <c r="H34" i="55" s="1"/>
  <c r="H52" i="55" a="1"/>
  <c r="H52" i="55" s="1"/>
  <c r="H32" i="55" a="1"/>
  <c r="H32" i="55" s="1"/>
  <c r="E19" i="12" a="1"/>
  <c r="E19" i="12" s="1"/>
  <c r="F27" i="15" a="1"/>
  <c r="F27" i="15" s="1"/>
  <c r="J11" i="45" a="1"/>
  <c r="J11" i="45" s="1"/>
  <c r="L18" i="45" a="1"/>
  <c r="L18" i="45" s="1"/>
  <c r="H53" i="55" a="1"/>
  <c r="H53" i="55" s="1"/>
  <c r="F31" i="15" a="1"/>
  <c r="F31" i="15" s="1"/>
  <c r="H39" i="55" a="1"/>
  <c r="H39" i="55" s="1"/>
  <c r="F10" i="12" a="1"/>
  <c r="F10" i="12" s="1"/>
  <c r="L14" i="45" a="1"/>
  <c r="L14" i="45" s="1"/>
  <c r="H41" i="55" a="1"/>
  <c r="H41" i="55" s="1"/>
  <c r="H16" i="55" a="1"/>
  <c r="H16" i="55" s="1"/>
  <c r="F54" i="15" a="1"/>
  <c r="F54" i="15" s="1"/>
  <c r="F55" i="15" s="1"/>
  <c r="E21" i="15" a="1"/>
  <c r="E21" i="15" s="1"/>
  <c r="F23" i="12" a="1"/>
  <c r="F23" i="12" s="1"/>
  <c r="F4" i="12" a="1"/>
  <c r="F4" i="12" s="1"/>
  <c r="F22" i="15" a="1"/>
  <c r="F22" i="15" s="1"/>
  <c r="E39" i="15" a="1"/>
  <c r="E39" i="15" s="1"/>
  <c r="F16" i="15" a="1"/>
  <c r="F16" i="15" s="1"/>
  <c r="H13" i="55" a="1"/>
  <c r="H13" i="55" s="1"/>
  <c r="H6" i="62" a="1"/>
  <c r="H6" i="62" s="1"/>
  <c r="F11" i="12" a="1"/>
  <c r="F11" i="12" s="1"/>
  <c r="H47" i="55" a="1"/>
  <c r="H47" i="55" s="1"/>
  <c r="E25" i="15" a="1"/>
  <c r="E25" i="15" s="1"/>
  <c r="F47" i="15" a="1"/>
  <c r="F47" i="15" s="1"/>
  <c r="H48" i="55" a="1"/>
  <c r="H48" i="55" s="1"/>
  <c r="J5" i="62" a="1"/>
  <c r="J5" i="62" s="1"/>
  <c r="H28" i="55" a="1"/>
  <c r="H28" i="55" s="1"/>
  <c r="J22" i="45" a="1"/>
  <c r="J22" i="45" s="1"/>
  <c r="H15" i="55" a="1"/>
  <c r="H15" i="55" s="1"/>
  <c r="H26" i="55" a="1"/>
  <c r="H26" i="55" s="1"/>
  <c r="E16" i="15" a="1"/>
  <c r="E16" i="15" s="1"/>
  <c r="E17" i="15" s="1"/>
  <c r="E60" i="15" a="1"/>
  <c r="E60" i="15" s="1"/>
  <c r="F13" i="12" a="1"/>
  <c r="F13" i="12" s="1"/>
  <c r="L21" i="45" a="1"/>
  <c r="L21" i="45" s="1"/>
  <c r="F16" i="12" a="1"/>
  <c r="F16" i="12" s="1"/>
  <c r="F25" i="15" a="1"/>
  <c r="F25" i="15" s="1"/>
  <c r="H33" i="55" a="1"/>
  <c r="H33" i="55" s="1"/>
  <c r="F18" i="15" a="1"/>
  <c r="F18" i="15" s="1"/>
  <c r="F19" i="15" s="1"/>
  <c r="F40" i="15" a="1"/>
  <c r="F40" i="15" s="1"/>
  <c r="F44" i="15" a="1"/>
  <c r="F44" i="15" s="1"/>
  <c r="F45" i="15" s="1"/>
  <c r="F22" i="12" a="1"/>
  <c r="F22" i="12" s="1"/>
  <c r="H22" i="47"/>
  <c r="H23" i="47" s="1"/>
  <c r="J33" i="55" a="1"/>
  <c r="J33" i="55" s="1"/>
  <c r="L22" i="45" a="1"/>
  <c r="L22" i="45" s="1"/>
  <c r="E68" i="15" a="1"/>
  <c r="E68" i="15" s="1"/>
  <c r="J24" i="55" a="1"/>
  <c r="J24" i="55" s="1"/>
  <c r="E29" i="15" a="1"/>
  <c r="E29" i="15" s="1"/>
  <c r="L6" i="45" a="1"/>
  <c r="L6" i="45" s="1"/>
  <c r="F60" i="15" a="1"/>
  <c r="F60" i="15" s="1"/>
  <c r="F38" i="15" a="1"/>
  <c r="F38" i="15" s="1"/>
  <c r="F21" i="15" a="1"/>
  <c r="F21" i="15" s="1"/>
  <c r="F15" i="15" a="1"/>
  <c r="F15" i="15" s="1"/>
  <c r="J49" i="55" a="1"/>
  <c r="J49" i="55" s="1"/>
  <c r="H27" i="55" a="1"/>
  <c r="H27" i="55" s="1"/>
  <c r="L12" i="45" a="1"/>
  <c r="L12" i="45" s="1"/>
  <c r="J12" i="55" a="1"/>
  <c r="J12" i="55" s="1"/>
  <c r="E8" i="12" a="1"/>
  <c r="E8" i="12" s="1"/>
  <c r="F68" i="15" a="1"/>
  <c r="F68" i="15" s="1"/>
  <c r="F39" i="15" a="1"/>
  <c r="F39" i="15" s="1"/>
  <c r="E44" i="15" a="1"/>
  <c r="E44" i="15" s="1"/>
  <c r="E45" i="15" s="1"/>
  <c r="L5" i="45" a="1"/>
  <c r="L5" i="45" s="1"/>
  <c r="H31" i="55" a="1"/>
  <c r="H31" i="55" s="1"/>
  <c r="E54" i="15" a="1"/>
  <c r="E54" i="15" s="1"/>
  <c r="H42" i="55" a="1"/>
  <c r="H42" i="55" s="1"/>
  <c r="E47" i="15" a="1"/>
  <c r="E47" i="15" s="1"/>
  <c r="F36" i="15" a="1"/>
  <c r="F36" i="15" s="1"/>
  <c r="J53" i="55" a="1"/>
  <c r="J53" i="55" s="1"/>
  <c r="F65" i="15" a="1"/>
  <c r="F65" i="15" s="1"/>
  <c r="F26" i="15" a="1"/>
  <c r="F26" i="15" s="1"/>
  <c r="F63" i="15" a="1"/>
  <c r="F63" i="15" s="1"/>
  <c r="J51" i="55" a="1"/>
  <c r="J51" i="55" s="1"/>
  <c r="F12" i="15" a="1"/>
  <c r="F12" i="15" s="1"/>
  <c r="J7" i="62" a="1"/>
  <c r="J7" i="62" s="1"/>
  <c r="J52" i="55" a="1"/>
  <c r="J52" i="55" s="1"/>
  <c r="J15" i="55" a="1"/>
  <c r="J15" i="55" s="1"/>
  <c r="J35" i="55" a="1"/>
  <c r="J35" i="55" s="1"/>
  <c r="J43" i="55" a="1"/>
  <c r="J43" i="55" s="1"/>
  <c r="F69" i="15" a="1"/>
  <c r="F69" i="15" s="1"/>
  <c r="H57" i="15"/>
  <c r="J20" i="55" a="1"/>
  <c r="J20" i="55" s="1"/>
  <c r="J13" i="55" a="1"/>
  <c r="J13" i="55" s="1"/>
  <c r="J32" i="55" a="1"/>
  <c r="J32" i="55" s="1"/>
  <c r="J30" i="55" a="1"/>
  <c r="J30" i="55" s="1"/>
  <c r="J34" i="55" a="1"/>
  <c r="J34" i="55" s="1"/>
  <c r="J42" i="55" a="1"/>
  <c r="J42" i="55" s="1"/>
  <c r="J18" i="55" a="1"/>
  <c r="J18" i="55" s="1"/>
  <c r="E39" i="12" a="1"/>
  <c r="E39" i="12" s="1"/>
  <c r="E33" i="12" a="1"/>
  <c r="E33" i="12" s="1"/>
  <c r="E40" i="12" a="1"/>
  <c r="E40" i="12" s="1"/>
  <c r="F34" i="12" a="1"/>
  <c r="F34" i="12" s="1"/>
  <c r="E52" i="15" a="1"/>
  <c r="E52" i="15" s="1"/>
  <c r="E29" i="12" a="1"/>
  <c r="E29" i="12" s="1"/>
  <c r="H24" i="55" a="1"/>
  <c r="H24" i="55" s="1"/>
  <c r="J50" i="55" a="1"/>
  <c r="J50" i="55" s="1"/>
  <c r="J14" i="55" a="1"/>
  <c r="J14" i="55" s="1"/>
  <c r="J41" i="55" a="1"/>
  <c r="J41" i="55" s="1"/>
  <c r="J28" i="55" a="1"/>
  <c r="J28" i="55" s="1"/>
  <c r="J6" i="62" a="1"/>
  <c r="J6" i="62" s="1"/>
  <c r="H20" i="55" a="1"/>
  <c r="H20" i="55" s="1"/>
  <c r="H29" i="55" a="1"/>
  <c r="H29" i="55" s="1"/>
  <c r="F31" i="12" a="1"/>
  <c r="F31" i="12" s="1"/>
  <c r="L7" i="45" a="1"/>
  <c r="L7" i="45" s="1"/>
  <c r="J17" i="45" a="1"/>
  <c r="J17" i="45" s="1"/>
  <c r="F38" i="12" a="1"/>
  <c r="F38" i="12" s="1"/>
  <c r="E63" i="15" a="1"/>
  <c r="E63" i="15" s="1"/>
  <c r="G57" i="15"/>
  <c r="H7" i="62" a="1"/>
  <c r="H7" i="62" s="1"/>
  <c r="E36" i="12" a="1"/>
  <c r="E36" i="12" s="1"/>
  <c r="E26" i="12" a="1"/>
  <c r="E26" i="12" s="1"/>
  <c r="E24" i="12" a="1"/>
  <c r="E24" i="12" s="1"/>
  <c r="E9" i="12" a="1"/>
  <c r="E9" i="12" s="1"/>
  <c r="F49" i="15" a="1"/>
  <c r="F49" i="15" s="1"/>
  <c r="E56" i="15" a="1"/>
  <c r="E56" i="15" s="1"/>
  <c r="J12" i="45" a="1"/>
  <c r="J12" i="45" s="1"/>
  <c r="F37" i="12" a="1"/>
  <c r="F37" i="12" s="1"/>
  <c r="J40" i="55" a="1"/>
  <c r="J40" i="55" s="1"/>
  <c r="J16" i="55" a="1"/>
  <c r="J16" i="55" s="1"/>
  <c r="J48" i="55" a="1"/>
  <c r="J48" i="55" s="1"/>
  <c r="J23" i="55" a="1"/>
  <c r="J23" i="55" s="1"/>
  <c r="J29" i="55" a="1"/>
  <c r="J29" i="55" s="1"/>
  <c r="F8" i="12" a="1"/>
  <c r="F8" i="12" s="1"/>
  <c r="H22" i="55" a="1"/>
  <c r="H22" i="55" s="1"/>
  <c r="F36" i="12" a="1"/>
  <c r="F36" i="12" s="1"/>
  <c r="F29" i="12" a="1"/>
  <c r="F29" i="12" s="1"/>
  <c r="L23" i="45" a="1"/>
  <c r="L23" i="45" s="1"/>
  <c r="E28" i="12" a="1"/>
  <c r="E28" i="12" s="1"/>
  <c r="E38" i="15" a="1"/>
  <c r="E38" i="15" s="1"/>
  <c r="H17" i="55" a="1"/>
  <c r="H17" i="55" s="1"/>
  <c r="E18" i="15" a="1"/>
  <c r="E18" i="15" s="1"/>
  <c r="J19" i="55" a="1"/>
  <c r="J19" i="55" s="1"/>
  <c r="J25" i="55" a="1"/>
  <c r="J25" i="55" s="1"/>
  <c r="J22" i="55" a="1"/>
  <c r="J22" i="55" s="1"/>
  <c r="J17" i="55" a="1"/>
  <c r="J17" i="55" s="1"/>
  <c r="J27" i="55" a="1"/>
  <c r="J27" i="55" s="1"/>
  <c r="E24" i="15" a="1"/>
  <c r="E24" i="15" s="1"/>
  <c r="J26" i="55" a="1"/>
  <c r="J26" i="55" s="1"/>
  <c r="J54" i="55" a="1"/>
  <c r="J54" i="55" s="1"/>
  <c r="J8" i="45" a="1"/>
  <c r="J8" i="45" s="1"/>
  <c r="H43" i="55" a="1"/>
  <c r="H43" i="55" s="1"/>
  <c r="E23" i="12" a="1"/>
  <c r="E23" i="12" s="1"/>
  <c r="E32" i="12" a="1"/>
  <c r="E32" i="12" s="1"/>
  <c r="G32" i="12" s="1"/>
  <c r="F35" i="12" a="1"/>
  <c r="F35" i="12" s="1"/>
  <c r="L9" i="45" a="1"/>
  <c r="L9" i="45" s="1"/>
  <c r="L12" i="62" l="1"/>
  <c r="H51" i="15"/>
  <c r="G22" i="12"/>
  <c r="N24" i="45"/>
  <c r="J46" i="55"/>
  <c r="H46" i="55"/>
  <c r="H57" i="55"/>
  <c r="H38" i="55"/>
  <c r="G24" i="15"/>
  <c r="I70" i="15"/>
  <c r="G15" i="12"/>
  <c r="H15" i="12"/>
  <c r="G18" i="12"/>
  <c r="H18" i="12"/>
  <c r="I32" i="14"/>
  <c r="I66" i="15"/>
  <c r="G14" i="12"/>
  <c r="L21" i="55"/>
  <c r="H14" i="12"/>
  <c r="N35" i="63"/>
  <c r="O35" i="63"/>
  <c r="G56" i="15"/>
  <c r="G58" i="15" s="1"/>
  <c r="I67" i="15"/>
  <c r="H38" i="12"/>
  <c r="L25" i="55"/>
  <c r="L12" i="55"/>
  <c r="E35" i="15"/>
  <c r="G41" i="12"/>
  <c r="G12" i="15"/>
  <c r="H28" i="15"/>
  <c r="G28" i="12"/>
  <c r="G40" i="15"/>
  <c r="N11" i="45"/>
  <c r="H41" i="12"/>
  <c r="H37" i="12"/>
  <c r="F61" i="15"/>
  <c r="F62" i="15" s="1"/>
  <c r="G46" i="15"/>
  <c r="L13" i="62"/>
  <c r="L35" i="55"/>
  <c r="G15" i="15"/>
  <c r="P31" i="45"/>
  <c r="L50" i="55"/>
  <c r="G33" i="12"/>
  <c r="H13" i="12"/>
  <c r="P32" i="45"/>
  <c r="G48" i="15"/>
  <c r="N28" i="45"/>
  <c r="N30" i="45"/>
  <c r="P29" i="45"/>
  <c r="P28" i="45"/>
  <c r="P30" i="45"/>
  <c r="N32" i="45"/>
  <c r="N27" i="45"/>
  <c r="N29" i="45"/>
  <c r="N31" i="45"/>
  <c r="H7" i="12"/>
  <c r="L8" i="62"/>
  <c r="H25" i="12"/>
  <c r="G31" i="15"/>
  <c r="G32" i="15" s="1"/>
  <c r="N12" i="62"/>
  <c r="N13" i="62"/>
  <c r="N14" i="62"/>
  <c r="G27" i="12"/>
  <c r="N15" i="62"/>
  <c r="G25" i="12"/>
  <c r="H19" i="12"/>
  <c r="P25" i="45"/>
  <c r="N10" i="45"/>
  <c r="P10" i="45"/>
  <c r="G30" i="12"/>
  <c r="U10" i="49"/>
  <c r="T10" i="49"/>
  <c r="I23" i="47"/>
  <c r="I24" i="47" s="1"/>
  <c r="L40" i="55"/>
  <c r="L11" i="62"/>
  <c r="G26" i="12"/>
  <c r="H31" i="12"/>
  <c r="H22" i="15"/>
  <c r="N8" i="45"/>
  <c r="G40" i="12"/>
  <c r="H46" i="15"/>
  <c r="L27" i="55"/>
  <c r="H38" i="15"/>
  <c r="L16" i="55"/>
  <c r="L52" i="55"/>
  <c r="G17" i="12"/>
  <c r="G11" i="12"/>
  <c r="H5" i="12"/>
  <c r="H12" i="12"/>
  <c r="H40" i="15"/>
  <c r="H30" i="12"/>
  <c r="P7" i="45"/>
  <c r="AV53" i="48"/>
  <c r="L13" i="55"/>
  <c r="N26" i="45"/>
  <c r="H35" i="12"/>
  <c r="G41" i="15"/>
  <c r="G42" i="15" s="1"/>
  <c r="P19" i="45"/>
  <c r="G6" i="12"/>
  <c r="P9" i="45"/>
  <c r="G21" i="15"/>
  <c r="H13" i="15"/>
  <c r="AW54" i="48"/>
  <c r="AW54" i="49" s="1"/>
  <c r="AW54" i="50" s="1"/>
  <c r="AW54" i="51" s="1"/>
  <c r="AW53" i="48"/>
  <c r="J52" i="48"/>
  <c r="J54" i="48" s="1"/>
  <c r="J54" i="49" s="1"/>
  <c r="J54" i="50" s="1"/>
  <c r="J54" i="51" s="1"/>
  <c r="CR52" i="48"/>
  <c r="F44" i="48" s="1"/>
  <c r="CZ44" i="48" s="1"/>
  <c r="H25" i="15"/>
  <c r="H27" i="15"/>
  <c r="G20" i="15"/>
  <c r="G33" i="15"/>
  <c r="I59" i="15"/>
  <c r="N20" i="45"/>
  <c r="H20" i="12"/>
  <c r="H34" i="15"/>
  <c r="N8" i="62"/>
  <c r="N15" i="45"/>
  <c r="H21" i="15"/>
  <c r="P20" i="45"/>
  <c r="CP52" i="48"/>
  <c r="F43" i="48" s="1"/>
  <c r="N5" i="45"/>
  <c r="G52" i="15"/>
  <c r="BS54" i="48"/>
  <c r="BS54" i="49" s="1"/>
  <c r="BS54" i="50" s="1"/>
  <c r="BS54" i="51" s="1"/>
  <c r="BR53" i="48"/>
  <c r="BS53" i="48"/>
  <c r="P23" i="45"/>
  <c r="L30" i="55"/>
  <c r="I64" i="15"/>
  <c r="I65" i="15"/>
  <c r="N14" i="45"/>
  <c r="H10" i="12"/>
  <c r="G10" i="15"/>
  <c r="G11" i="15" s="1"/>
  <c r="G51" i="15"/>
  <c r="F35" i="15"/>
  <c r="F53" i="15"/>
  <c r="L51" i="55"/>
  <c r="G16" i="12"/>
  <c r="G28" i="15"/>
  <c r="L19" i="55"/>
  <c r="G34" i="15"/>
  <c r="G7" i="12"/>
  <c r="H31" i="15"/>
  <c r="H32" i="15" s="1"/>
  <c r="P15" i="45"/>
  <c r="P13" i="45"/>
  <c r="N9" i="62"/>
  <c r="H11" i="12"/>
  <c r="P14" i="45"/>
  <c r="P11" i="45"/>
  <c r="N10" i="62"/>
  <c r="E14" i="15"/>
  <c r="N16" i="45"/>
  <c r="H6" i="12"/>
  <c r="F11" i="15"/>
  <c r="E23" i="15"/>
  <c r="L48" i="55"/>
  <c r="H49" i="15"/>
  <c r="H41" i="15"/>
  <c r="H42" i="15" s="1"/>
  <c r="E42" i="15"/>
  <c r="E43" i="15" s="1"/>
  <c r="G5" i="12"/>
  <c r="K52" i="48"/>
  <c r="K54" i="48" s="1"/>
  <c r="K54" i="49" s="1"/>
  <c r="K54" i="50" s="1"/>
  <c r="K54" i="51" s="1"/>
  <c r="L49" i="55"/>
  <c r="F23" i="15"/>
  <c r="G9" i="12"/>
  <c r="L10" i="62"/>
  <c r="G13" i="15"/>
  <c r="H10" i="15"/>
  <c r="H11" i="15" s="1"/>
  <c r="H34" i="12"/>
  <c r="G39" i="12"/>
  <c r="L53" i="55"/>
  <c r="P16" i="45"/>
  <c r="G27" i="15"/>
  <c r="G4" i="12"/>
  <c r="N11" i="62"/>
  <c r="G16" i="15"/>
  <c r="G17" i="15" s="1"/>
  <c r="L15" i="55"/>
  <c r="H44" i="15"/>
  <c r="H16" i="15"/>
  <c r="H17" i="15" s="1"/>
  <c r="F32" i="15"/>
  <c r="H4" i="12"/>
  <c r="I69" i="15"/>
  <c r="E30" i="15"/>
  <c r="H17" i="12"/>
  <c r="F17" i="15"/>
  <c r="N13" i="45"/>
  <c r="G22" i="15"/>
  <c r="N18" i="45"/>
  <c r="L9" i="62"/>
  <c r="G12" i="12"/>
  <c r="G23" i="12"/>
  <c r="F30" i="15"/>
  <c r="H27" i="12"/>
  <c r="G24" i="12"/>
  <c r="L14" i="55"/>
  <c r="G26" i="15"/>
  <c r="H8" i="12"/>
  <c r="P24" i="45"/>
  <c r="H33" i="15"/>
  <c r="L28" i="55"/>
  <c r="L24" i="55"/>
  <c r="G19" i="12"/>
  <c r="CN52" i="48"/>
  <c r="CN54" i="48" s="1"/>
  <c r="CN54" i="49" s="1"/>
  <c r="CN54" i="50" s="1"/>
  <c r="CN54" i="51" s="1"/>
  <c r="N12" i="45"/>
  <c r="H16" i="12"/>
  <c r="G44" i="15"/>
  <c r="F43" i="15"/>
  <c r="H15" i="15"/>
  <c r="H47" i="15"/>
  <c r="P26" i="45"/>
  <c r="G25" i="15"/>
  <c r="L20" i="55"/>
  <c r="F14" i="15"/>
  <c r="H12" i="15"/>
  <c r="L42" i="55"/>
  <c r="P22" i="45"/>
  <c r="G10" i="12"/>
  <c r="N5" i="62"/>
  <c r="P21" i="45"/>
  <c r="H29" i="15"/>
  <c r="H21" i="12"/>
  <c r="E61" i="15"/>
  <c r="L7" i="62"/>
  <c r="N17" i="45"/>
  <c r="L18" i="55"/>
  <c r="J38" i="55"/>
  <c r="P18" i="45"/>
  <c r="N6" i="45"/>
  <c r="L43" i="55"/>
  <c r="N6" i="62"/>
  <c r="L32" i="55"/>
  <c r="H20" i="15"/>
  <c r="N25" i="45"/>
  <c r="G54" i="15"/>
  <c r="N22" i="45"/>
  <c r="L47" i="55"/>
  <c r="H45" i="55"/>
  <c r="L39" i="55"/>
  <c r="G47" i="15"/>
  <c r="E50" i="15"/>
  <c r="H54" i="15"/>
  <c r="E55" i="15"/>
  <c r="G55" i="15" s="1"/>
  <c r="L5" i="62"/>
  <c r="H36" i="15"/>
  <c r="L31" i="55"/>
  <c r="I68" i="15"/>
  <c r="L23" i="55"/>
  <c r="H56" i="55"/>
  <c r="L34" i="55"/>
  <c r="L26" i="55"/>
  <c r="L41" i="55"/>
  <c r="G39" i="15"/>
  <c r="H39" i="15"/>
  <c r="G21" i="12"/>
  <c r="G13" i="12"/>
  <c r="N19" i="45"/>
  <c r="G29" i="15"/>
  <c r="G38" i="12"/>
  <c r="I63" i="15"/>
  <c r="N21" i="45"/>
  <c r="G20" i="12"/>
  <c r="H48" i="15"/>
  <c r="L33" i="55"/>
  <c r="H26" i="12"/>
  <c r="H40" i="12"/>
  <c r="H45" i="15"/>
  <c r="H22" i="12"/>
  <c r="P6" i="45"/>
  <c r="I60" i="15"/>
  <c r="H36" i="12"/>
  <c r="P5" i="45"/>
  <c r="H29" i="12"/>
  <c r="F50" i="15"/>
  <c r="M52" i="48"/>
  <c r="M54" i="48" s="1"/>
  <c r="M54" i="49" s="1"/>
  <c r="M54" i="50" s="1"/>
  <c r="M54" i="51" s="1"/>
  <c r="F37" i="15"/>
  <c r="H37" i="15" s="1"/>
  <c r="H56" i="15"/>
  <c r="H58" i="15" s="1"/>
  <c r="J57" i="55"/>
  <c r="H26" i="15"/>
  <c r="G36" i="15"/>
  <c r="N52" i="48"/>
  <c r="N54" i="48" s="1"/>
  <c r="N54" i="49" s="1"/>
  <c r="N54" i="50" s="1"/>
  <c r="N54" i="51" s="1"/>
  <c r="R52" i="48"/>
  <c r="S53" i="48" s="1"/>
  <c r="Q52" i="48"/>
  <c r="P53" i="48" s="1"/>
  <c r="L52" i="48"/>
  <c r="O52" i="48"/>
  <c r="E53" i="15"/>
  <c r="P17" i="45"/>
  <c r="J56" i="55"/>
  <c r="L6" i="62"/>
  <c r="N7" i="45"/>
  <c r="H33" i="12"/>
  <c r="H52" i="15"/>
  <c r="G34" i="12"/>
  <c r="H39" i="12"/>
  <c r="J37" i="55"/>
  <c r="E19" i="15"/>
  <c r="G19" i="15" s="1"/>
  <c r="G18" i="15"/>
  <c r="H18" i="15"/>
  <c r="H32" i="12"/>
  <c r="E42" i="12"/>
  <c r="G49" i="15"/>
  <c r="H24" i="15"/>
  <c r="N7" i="62"/>
  <c r="P12" i="45"/>
  <c r="P8" i="45"/>
  <c r="L17" i="55"/>
  <c r="L29" i="55"/>
  <c r="L34" i="45"/>
  <c r="J45" i="55"/>
  <c r="I46" i="55" s="1"/>
  <c r="H9" i="12"/>
  <c r="F42" i="12"/>
  <c r="G38" i="15"/>
  <c r="H23" i="12"/>
  <c r="H37" i="55"/>
  <c r="G36" i="12"/>
  <c r="G45" i="15"/>
  <c r="E58" i="15"/>
  <c r="J34" i="45"/>
  <c r="H28" i="12"/>
  <c r="G8" i="12"/>
  <c r="L54" i="55"/>
  <c r="G37" i="12"/>
  <c r="G35" i="12"/>
  <c r="L22" i="55"/>
  <c r="H17" i="62"/>
  <c r="N9" i="45"/>
  <c r="N23" i="45"/>
  <c r="G29" i="12"/>
  <c r="H24" i="12"/>
  <c r="J17" i="62"/>
  <c r="G31" i="12"/>
  <c r="H53" i="15" l="1"/>
  <c r="P35" i="45" s="1"/>
  <c r="G57" i="55"/>
  <c r="G38" i="55"/>
  <c r="G46" i="55"/>
  <c r="L57" i="55"/>
  <c r="L38" i="55"/>
  <c r="L46" i="55"/>
  <c r="G14" i="15"/>
  <c r="F72" i="15"/>
  <c r="I61" i="15"/>
  <c r="J34" i="14"/>
  <c r="G53" i="15"/>
  <c r="H30" i="15"/>
  <c r="G43" i="15"/>
  <c r="U53" i="49"/>
  <c r="U10" i="50" s="1"/>
  <c r="T53" i="49"/>
  <c r="T10" i="50" s="1"/>
  <c r="BR10" i="49"/>
  <c r="AW10" i="49"/>
  <c r="P10" i="49"/>
  <c r="S10" i="49"/>
  <c r="BS10" i="49"/>
  <c r="AV10" i="49"/>
  <c r="H24" i="47"/>
  <c r="H25" i="47" s="1"/>
  <c r="H14" i="15"/>
  <c r="G30" i="15"/>
  <c r="G35" i="15"/>
  <c r="I38"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6" i="55"/>
  <c r="H50" i="15"/>
  <c r="K53" i="48"/>
  <c r="J53" i="48"/>
  <c r="L17" i="62"/>
  <c r="L53" i="48"/>
  <c r="L45" i="55"/>
  <c r="N17" i="62"/>
  <c r="I57"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7" i="55"/>
  <c r="G42" i="12"/>
  <c r="N34" i="45"/>
  <c r="P34" i="45"/>
  <c r="H42" i="12"/>
  <c r="P36" i="45" l="1"/>
  <c r="K46" i="55"/>
  <c r="AV53" i="49"/>
  <c r="AV10" i="50" s="1"/>
  <c r="K57" i="55"/>
  <c r="K38" i="55"/>
  <c r="G72" i="15"/>
  <c r="H72" i="15"/>
  <c r="E72" i="15"/>
  <c r="BS53" i="49"/>
  <c r="BS10" i="50" s="1"/>
  <c r="I34" i="14"/>
  <c r="I35" i="14" s="1"/>
  <c r="CZ52" i="48"/>
  <c r="CZ53" i="48" s="1"/>
  <c r="CZ10" i="49" s="1"/>
  <c r="U53" i="50"/>
  <c r="U10" i="51" s="1"/>
  <c r="T53" i="50"/>
  <c r="T10" i="51" s="1"/>
  <c r="AW53" i="49"/>
  <c r="AW10" i="50" s="1"/>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 r="B39" i="34"/>
  <c r="B40" i="34"/>
  <c r="B38" i="34"/>
  <c r="B19" i="69"/>
  <c r="J19" i="69" s="1"/>
  <c r="B14" i="69"/>
  <c r="R39" i="34" l="1"/>
  <c r="S39" i="34"/>
  <c r="Q39" i="34"/>
  <c r="A39" i="34"/>
  <c r="Q38" i="34"/>
  <c r="R38" i="34"/>
  <c r="S38" i="34"/>
  <c r="A38" i="34"/>
  <c r="Q40" i="34"/>
  <c r="R40" i="34"/>
  <c r="S40" i="34"/>
  <c r="A40" i="34"/>
  <c r="E14" i="69"/>
  <c r="C14" i="69"/>
  <c r="F14" i="69"/>
  <c r="I19" i="69"/>
  <c r="H20" i="69"/>
  <c r="A32" i="69"/>
  <c r="G35" i="69"/>
  <c r="A19" i="69"/>
  <c r="A33" i="69"/>
  <c r="I17" i="69"/>
  <c r="A14" i="69"/>
  <c r="D27" i="69"/>
  <c r="I22" i="69"/>
  <c r="H19" i="69"/>
  <c r="D36" i="69"/>
  <c r="G34" i="69"/>
  <c r="H24" i="69"/>
  <c r="A36" i="69"/>
  <c r="I28" i="69"/>
  <c r="H17" i="69"/>
  <c r="H31" i="69"/>
  <c r="I21" i="69"/>
  <c r="H22" i="69"/>
  <c r="G15" i="69"/>
  <c r="G37" i="69"/>
  <c r="A29" i="69"/>
  <c r="D40" i="69"/>
  <c r="G38" i="69"/>
  <c r="D23" i="69"/>
  <c r="H34" i="69"/>
  <c r="G27" i="69"/>
  <c r="H21" i="69"/>
  <c r="G14" i="69"/>
  <c r="D15" i="69"/>
  <c r="H26" i="69"/>
  <c r="I24" i="69"/>
  <c r="H40" i="69"/>
  <c r="B26" i="69"/>
  <c r="B29" i="69"/>
  <c r="B27" i="69"/>
  <c r="B39" i="69"/>
  <c r="B20" i="69"/>
  <c r="H27" i="69"/>
  <c r="A39" i="69"/>
  <c r="I31" i="69"/>
  <c r="A22" i="69"/>
  <c r="G17" i="69"/>
  <c r="D14" i="69"/>
  <c r="A31" i="69"/>
  <c r="I23" i="69"/>
  <c r="D19" i="69"/>
  <c r="H30" i="69"/>
  <c r="G23" i="69"/>
  <c r="I34" i="69"/>
  <c r="D26" i="69"/>
  <c r="G16" i="69"/>
  <c r="D17" i="69"/>
  <c r="H36" i="69"/>
  <c r="I26" i="69"/>
  <c r="H23" i="69"/>
  <c r="A35" i="69"/>
  <c r="I27" i="69"/>
  <c r="A18" i="69"/>
  <c r="D29" i="69"/>
  <c r="I16" i="69"/>
  <c r="D16" i="69"/>
  <c r="H35" i="69"/>
  <c r="G36" i="69"/>
  <c r="D21" i="69"/>
  <c r="G19" i="69"/>
  <c r="I30" i="69"/>
  <c r="D22" i="69"/>
  <c r="H33" i="69"/>
  <c r="G26" i="69"/>
  <c r="H16" i="69"/>
  <c r="B31" i="69"/>
  <c r="B21" i="69"/>
  <c r="B17" i="69"/>
  <c r="B28" i="69"/>
  <c r="B16" i="69"/>
  <c r="H38" i="69"/>
  <c r="I36" i="69"/>
  <c r="H25" i="69"/>
  <c r="G18" i="69"/>
  <c r="G40" i="69"/>
  <c r="D25" i="69"/>
  <c r="D39" i="69"/>
  <c r="G29" i="69"/>
  <c r="A21" i="69"/>
  <c r="H37" i="69"/>
  <c r="I35" i="69"/>
  <c r="D31" i="69"/>
  <c r="G21" i="69"/>
  <c r="D18" i="69"/>
  <c r="H29" i="69"/>
  <c r="G22" i="69"/>
  <c r="I33" i="69"/>
  <c r="A24" i="69"/>
  <c r="A38" i="69"/>
  <c r="I38" i="69"/>
  <c r="D30" i="69"/>
  <c r="I25" i="69"/>
  <c r="A16" i="69"/>
  <c r="D35" i="69"/>
  <c r="G25" i="69"/>
  <c r="A17" i="69"/>
  <c r="D28" i="69"/>
  <c r="I15" i="69"/>
  <c r="I37" i="69"/>
  <c r="D33" i="69"/>
  <c r="G31" i="69"/>
  <c r="D20" i="69"/>
  <c r="H39" i="69"/>
  <c r="I29" i="69"/>
  <c r="B33" i="69"/>
  <c r="B15" i="69"/>
  <c r="B38" i="69"/>
  <c r="B40" i="69"/>
  <c r="B34" i="69"/>
  <c r="B36" i="69"/>
  <c r="B18" i="69"/>
  <c r="B30" i="69"/>
  <c r="A20" i="69"/>
  <c r="A34" i="69"/>
  <c r="I18" i="69"/>
  <c r="H15" i="69"/>
  <c r="D32" i="69"/>
  <c r="G30" i="69"/>
  <c r="A26" i="69"/>
  <c r="D37" i="69"/>
  <c r="I40" i="69"/>
  <c r="D24" i="69"/>
  <c r="D38" i="69"/>
  <c r="G28" i="69"/>
  <c r="H18" i="69"/>
  <c r="H32" i="69"/>
  <c r="G33" i="69"/>
  <c r="A25" i="69"/>
  <c r="G20" i="69"/>
  <c r="I39" i="69"/>
  <c r="A30" i="69"/>
  <c r="I14" i="69"/>
  <c r="G39" i="69"/>
  <c r="A23" i="69"/>
  <c r="A37" i="69"/>
  <c r="G32" i="69"/>
  <c r="A28" i="69"/>
  <c r="I20" i="69"/>
  <c r="A15" i="69"/>
  <c r="D34" i="69"/>
  <c r="G24" i="69"/>
  <c r="H14" i="69"/>
  <c r="H28" i="69"/>
  <c r="A40" i="69"/>
  <c r="I32" i="69"/>
  <c r="A27" i="69"/>
  <c r="B25" i="69"/>
  <c r="B32" i="69"/>
  <c r="B37" i="69"/>
  <c r="B35" i="69"/>
  <c r="B23" i="69"/>
  <c r="B24" i="69"/>
  <c r="B22" i="69"/>
  <c r="E19" i="69"/>
  <c r="F19" i="69"/>
  <c r="J14" i="69"/>
  <c r="C19" i="69"/>
  <c r="B37" i="34"/>
  <c r="R37" i="34" l="1"/>
  <c r="S37" i="34"/>
  <c r="Q37" i="34"/>
  <c r="A37" i="34"/>
  <c r="B19" i="56"/>
  <c r="F19" i="56"/>
  <c r="B21" i="56"/>
  <c r="F20" i="56"/>
  <c r="G20" i="56"/>
  <c r="B20" i="56"/>
  <c r="G21" i="56"/>
  <c r="B22" i="56"/>
  <c r="F21" i="56"/>
  <c r="H21" i="56" s="1"/>
  <c r="F22" i="56"/>
  <c r="G19" i="56"/>
  <c r="G22" i="56"/>
  <c r="D13" i="39"/>
  <c r="E35" i="69"/>
  <c r="F35" i="69"/>
  <c r="C35" i="69"/>
  <c r="J35" i="69"/>
  <c r="C36" i="69"/>
  <c r="F36" i="69"/>
  <c r="E36" i="69"/>
  <c r="J36" i="69"/>
  <c r="C15" i="69"/>
  <c r="J15" i="69"/>
  <c r="E15" i="69"/>
  <c r="F15" i="69"/>
  <c r="E16" i="69"/>
  <c r="J16" i="69"/>
  <c r="C16" i="69"/>
  <c r="F16" i="69"/>
  <c r="F31" i="69"/>
  <c r="E31" i="69"/>
  <c r="J31" i="69"/>
  <c r="C31" i="69"/>
  <c r="C27" i="69"/>
  <c r="J27" i="69"/>
  <c r="E27" i="69"/>
  <c r="F27" i="69"/>
  <c r="C22" i="69"/>
  <c r="E22" i="69"/>
  <c r="J22" i="69"/>
  <c r="F22" i="69"/>
  <c r="E37" i="69"/>
  <c r="F37" i="69"/>
  <c r="J37" i="69"/>
  <c r="C37" i="69"/>
  <c r="J34" i="69"/>
  <c r="E34" i="69"/>
  <c r="F34" i="69"/>
  <c r="C34" i="69"/>
  <c r="C33" i="69"/>
  <c r="E33" i="69"/>
  <c r="J33" i="69"/>
  <c r="F33" i="69"/>
  <c r="E28" i="69"/>
  <c r="J28" i="69"/>
  <c r="F28" i="69"/>
  <c r="C28" i="69"/>
  <c r="F29" i="69"/>
  <c r="C29" i="69"/>
  <c r="E29" i="69"/>
  <c r="J29" i="69"/>
  <c r="J32" i="69"/>
  <c r="E32" i="69"/>
  <c r="F32" i="69"/>
  <c r="C32" i="69"/>
  <c r="E30" i="69"/>
  <c r="F30" i="69"/>
  <c r="J30" i="69"/>
  <c r="C30" i="69"/>
  <c r="E40" i="69"/>
  <c r="F40" i="69"/>
  <c r="C40" i="69"/>
  <c r="J40" i="69"/>
  <c r="J17" i="69"/>
  <c r="F17" i="69"/>
  <c r="C17" i="69"/>
  <c r="E17" i="69"/>
  <c r="C20" i="69"/>
  <c r="J20" i="69"/>
  <c r="E20" i="69"/>
  <c r="F20" i="69"/>
  <c r="C26" i="69"/>
  <c r="J26" i="69"/>
  <c r="E26" i="69"/>
  <c r="F26" i="69"/>
  <c r="F24" i="69"/>
  <c r="E24" i="69"/>
  <c r="J24" i="69"/>
  <c r="C24" i="69"/>
  <c r="G17" i="56"/>
  <c r="G8" i="56"/>
  <c r="A9" i="56"/>
  <c r="G7" i="56"/>
  <c r="B18" i="56"/>
  <c r="G18" i="56"/>
  <c r="F18" i="56"/>
  <c r="F17" i="56"/>
  <c r="D6" i="56"/>
  <c r="F28" i="56" s="1"/>
  <c r="B17" i="56"/>
  <c r="J23" i="69"/>
  <c r="C23" i="69"/>
  <c r="F23" i="69"/>
  <c r="E23" i="69"/>
  <c r="C25" i="69"/>
  <c r="J25" i="69"/>
  <c r="F25" i="69"/>
  <c r="E25" i="69"/>
  <c r="E18" i="69"/>
  <c r="F18" i="69"/>
  <c r="J18" i="69"/>
  <c r="C18" i="69"/>
  <c r="F38" i="69"/>
  <c r="E38" i="69"/>
  <c r="C38" i="69"/>
  <c r="J38" i="69"/>
  <c r="C21" i="69"/>
  <c r="E21" i="69"/>
  <c r="F21" i="69"/>
  <c r="J21" i="69"/>
  <c r="C39" i="69"/>
  <c r="J39" i="69"/>
  <c r="F39" i="69"/>
  <c r="E39" i="69"/>
  <c r="C14" i="39"/>
  <c r="H18" i="56" l="1"/>
  <c r="H20" i="56"/>
  <c r="H22" i="56"/>
  <c r="H19" i="56"/>
  <c r="D22" i="56"/>
  <c r="D21" i="56"/>
  <c r="D20" i="56"/>
  <c r="D19" i="56"/>
  <c r="C10" i="39"/>
  <c r="H5" i="39"/>
  <c r="M16" i="39" s="1"/>
  <c r="M8" i="39"/>
  <c r="C12" i="39"/>
  <c r="C15" i="39"/>
  <c r="I13" i="42"/>
  <c r="H17" i="56"/>
  <c r="N41" i="69"/>
  <c r="E41" i="69"/>
  <c r="D69" i="42"/>
  <c r="H81" i="42"/>
  <c r="C48" i="42"/>
  <c r="A102" i="42"/>
  <c r="B78" i="42"/>
  <c r="A90" i="42"/>
  <c r="F63" i="42"/>
  <c r="A54" i="42"/>
  <c r="C18" i="42"/>
  <c r="D103" i="42"/>
  <c r="A37" i="42"/>
  <c r="D48" i="42"/>
  <c r="C60" i="42"/>
  <c r="D77" i="42"/>
  <c r="H87" i="42"/>
  <c r="H41" i="42"/>
  <c r="H43" i="42"/>
  <c r="C24" i="42"/>
  <c r="H51" i="42"/>
  <c r="D44" i="42"/>
  <c r="B76" i="42"/>
  <c r="F96" i="42"/>
  <c r="A34" i="42"/>
  <c r="F86" i="42"/>
  <c r="D29" i="42"/>
  <c r="D72" i="42"/>
  <c r="D23" i="42"/>
  <c r="H103" i="42"/>
  <c r="G81" i="42"/>
  <c r="D68" i="42"/>
  <c r="H70" i="42"/>
  <c r="H97" i="42"/>
  <c r="G23" i="42"/>
  <c r="H77" i="42"/>
  <c r="G52" i="42"/>
  <c r="H78" i="42"/>
  <c r="A77" i="42"/>
  <c r="G78" i="42"/>
  <c r="H45" i="42"/>
  <c r="D58" i="42"/>
  <c r="C37" i="42"/>
  <c r="H29" i="42"/>
  <c r="D65" i="42"/>
  <c r="B58" i="42"/>
  <c r="A16" i="42"/>
  <c r="C103" i="42"/>
  <c r="C90" i="42"/>
  <c r="B31" i="42"/>
  <c r="D93" i="42"/>
  <c r="F93" i="42"/>
  <c r="B102" i="42"/>
  <c r="F18" i="42"/>
  <c r="B40" i="42"/>
  <c r="H15" i="42"/>
  <c r="C82" i="42"/>
  <c r="A97" i="42"/>
  <c r="G94" i="42"/>
  <c r="H59" i="42"/>
  <c r="H21" i="42"/>
  <c r="H52" i="42"/>
  <c r="C45" i="42"/>
  <c r="H102" i="42"/>
  <c r="F55" i="42"/>
  <c r="A40" i="42"/>
  <c r="F47" i="42"/>
  <c r="G49" i="42"/>
  <c r="F91" i="42"/>
  <c r="F56" i="42"/>
  <c r="C57" i="42"/>
  <c r="A63" i="42"/>
  <c r="C72" i="42"/>
  <c r="D16" i="42"/>
  <c r="C26" i="42"/>
  <c r="D32" i="42"/>
  <c r="G86" i="42"/>
  <c r="B47" i="42"/>
  <c r="H73" i="42"/>
  <c r="H33" i="42"/>
  <c r="G42" i="42"/>
  <c r="F104" i="42"/>
  <c r="A28" i="42"/>
  <c r="F71" i="42"/>
  <c r="G59" i="42"/>
  <c r="C31" i="42"/>
  <c r="H74" i="42"/>
  <c r="F54" i="42"/>
  <c r="C71" i="42"/>
  <c r="A68" i="42"/>
  <c r="A96" i="42"/>
  <c r="H89" i="42"/>
  <c r="G77" i="42"/>
  <c r="H40" i="42"/>
  <c r="F58" i="42"/>
  <c r="D19" i="42"/>
  <c r="A66" i="42"/>
  <c r="G73" i="42"/>
  <c r="A47" i="42"/>
  <c r="F17" i="42"/>
  <c r="C20" i="42"/>
  <c r="C61" i="42"/>
  <c r="G67" i="42"/>
  <c r="H63" i="42"/>
  <c r="D45" i="42"/>
  <c r="B52" i="42"/>
  <c r="C73" i="42"/>
  <c r="D95" i="42"/>
  <c r="C101" i="42"/>
  <c r="B93" i="42"/>
  <c r="D102" i="42"/>
  <c r="A32" i="42"/>
  <c r="G60" i="42"/>
  <c r="G47" i="42"/>
  <c r="G79" i="42"/>
  <c r="H18" i="42"/>
  <c r="A15" i="42"/>
  <c r="C46" i="42"/>
  <c r="D64" i="42"/>
  <c r="C79" i="42"/>
  <c r="F73" i="42"/>
  <c r="H35" i="42"/>
  <c r="B101" i="42"/>
  <c r="F37" i="42"/>
  <c r="H61" i="42"/>
  <c r="D97" i="42"/>
  <c r="B81" i="42"/>
  <c r="H66" i="42"/>
  <c r="F44" i="42"/>
  <c r="H17" i="42"/>
  <c r="A52" i="42"/>
  <c r="F74" i="42"/>
  <c r="D39" i="42"/>
  <c r="B104" i="42"/>
  <c r="A19" i="42"/>
  <c r="D101" i="42"/>
  <c r="B61" i="42"/>
  <c r="C85" i="42"/>
  <c r="H98" i="42"/>
  <c r="F89" i="42"/>
  <c r="D40" i="42"/>
  <c r="F94" i="42"/>
  <c r="A101" i="42"/>
  <c r="F34" i="42"/>
  <c r="D100" i="42"/>
  <c r="F50" i="42"/>
  <c r="F26" i="42"/>
  <c r="H25" i="42"/>
  <c r="H36" i="42"/>
  <c r="H23" i="42"/>
  <c r="D71" i="42"/>
  <c r="H82" i="42"/>
  <c r="F62" i="42"/>
  <c r="H22" i="42"/>
  <c r="B16" i="42"/>
  <c r="H69" i="42"/>
  <c r="F83" i="42"/>
  <c r="C89" i="42"/>
  <c r="F60" i="42"/>
  <c r="D53" i="42"/>
  <c r="H65" i="42"/>
  <c r="C14" i="42"/>
  <c r="C58" i="42"/>
  <c r="G15" i="42"/>
  <c r="A72" i="42"/>
  <c r="B98" i="42"/>
  <c r="F20" i="42"/>
  <c r="D90" i="42"/>
  <c r="H31" i="42"/>
  <c r="H84" i="42"/>
  <c r="A92" i="42"/>
  <c r="F80" i="42"/>
  <c r="D33" i="42"/>
  <c r="C29" i="42"/>
  <c r="B21" i="42"/>
  <c r="A69" i="42"/>
  <c r="B26" i="42"/>
  <c r="A27" i="42"/>
  <c r="G63" i="42"/>
  <c r="D78" i="42"/>
  <c r="D59" i="42"/>
  <c r="D94" i="42"/>
  <c r="C43" i="42"/>
  <c r="D57" i="42"/>
  <c r="B49" i="42"/>
  <c r="G26" i="42"/>
  <c r="G39" i="42"/>
  <c r="B48" i="42"/>
  <c r="G54" i="42"/>
  <c r="C102" i="42"/>
  <c r="B14" i="42"/>
  <c r="D36" i="42"/>
  <c r="G68" i="42"/>
  <c r="A42" i="42"/>
  <c r="A84" i="42"/>
  <c r="C99" i="42"/>
  <c r="D47" i="42"/>
  <c r="F78" i="42"/>
  <c r="H28" i="42"/>
  <c r="D96" i="42"/>
  <c r="H53" i="42"/>
  <c r="B15" i="42"/>
  <c r="C40" i="42"/>
  <c r="H95" i="42"/>
  <c r="G69" i="42"/>
  <c r="B24" i="42"/>
  <c r="H86" i="42"/>
  <c r="F81" i="42"/>
  <c r="D56" i="42"/>
  <c r="B68" i="42"/>
  <c r="H49" i="42"/>
  <c r="D85" i="42"/>
  <c r="G101" i="42"/>
  <c r="G31" i="42"/>
  <c r="F102" i="42"/>
  <c r="B90" i="42"/>
  <c r="C32" i="42"/>
  <c r="B91" i="42"/>
  <c r="B39" i="42"/>
  <c r="H90" i="42"/>
  <c r="A93" i="42"/>
  <c r="A55" i="42"/>
  <c r="B37" i="42"/>
  <c r="H85" i="42"/>
  <c r="B74" i="42"/>
  <c r="G36" i="42"/>
  <c r="A85" i="42"/>
  <c r="B92" i="42"/>
  <c r="H57" i="42"/>
  <c r="H68" i="42"/>
  <c r="H47" i="42"/>
  <c r="D55" i="42"/>
  <c r="D76" i="42"/>
  <c r="G100" i="42"/>
  <c r="A104" i="42"/>
  <c r="F68" i="42"/>
  <c r="D24" i="42"/>
  <c r="G41" i="42"/>
  <c r="C94" i="42"/>
  <c r="H42" i="42"/>
  <c r="F57" i="42"/>
  <c r="D74" i="42"/>
  <c r="H93" i="42"/>
  <c r="G84" i="42"/>
  <c r="B79" i="42"/>
  <c r="D37" i="42"/>
  <c r="B82" i="42"/>
  <c r="H67" i="42"/>
  <c r="D79" i="42"/>
  <c r="H55" i="42"/>
  <c r="B32" i="42"/>
  <c r="A76" i="42"/>
  <c r="C66" i="42"/>
  <c r="C104" i="42"/>
  <c r="F82" i="42"/>
  <c r="C23" i="42"/>
  <c r="D80" i="42"/>
  <c r="A60" i="42"/>
  <c r="H58" i="42"/>
  <c r="F92" i="42"/>
  <c r="H83" i="42"/>
  <c r="D50" i="42"/>
  <c r="C35" i="42"/>
  <c r="C93" i="42"/>
  <c r="H26" i="42"/>
  <c r="F25" i="42"/>
  <c r="A39" i="42"/>
  <c r="F76" i="42"/>
  <c r="C88" i="42"/>
  <c r="C38" i="42"/>
  <c r="H50" i="42"/>
  <c r="G99" i="42"/>
  <c r="A86" i="42"/>
  <c r="B71" i="42"/>
  <c r="G62" i="42"/>
  <c r="F70" i="42"/>
  <c r="H71" i="42"/>
  <c r="D98" i="42"/>
  <c r="H19" i="42"/>
  <c r="H54" i="42"/>
  <c r="A51" i="42"/>
  <c r="F42" i="42"/>
  <c r="A103" i="42"/>
  <c r="F79" i="42"/>
  <c r="F39" i="42"/>
  <c r="D21" i="42"/>
  <c r="B94" i="42"/>
  <c r="D61" i="42"/>
  <c r="A71" i="42"/>
  <c r="D88" i="42"/>
  <c r="C76" i="42"/>
  <c r="H37" i="42"/>
  <c r="F21" i="42"/>
  <c r="G102" i="42"/>
  <c r="A24" i="42"/>
  <c r="D89" i="42"/>
  <c r="G76" i="42"/>
  <c r="B57" i="42"/>
  <c r="C97" i="42"/>
  <c r="D26" i="42"/>
  <c r="A100" i="42"/>
  <c r="H39" i="42"/>
  <c r="D42" i="42"/>
  <c r="F99" i="42"/>
  <c r="C95" i="42"/>
  <c r="A35" i="42"/>
  <c r="C56" i="42"/>
  <c r="F100" i="42"/>
  <c r="A87" i="42"/>
  <c r="H99" i="42"/>
  <c r="H100" i="42"/>
  <c r="F98" i="42"/>
  <c r="H75" i="42"/>
  <c r="G21" i="42"/>
  <c r="F97" i="42"/>
  <c r="G103" i="42"/>
  <c r="G57" i="42"/>
  <c r="H27" i="42"/>
  <c r="C65" i="42"/>
  <c r="D66" i="42"/>
  <c r="F103" i="42"/>
  <c r="D104" i="42"/>
  <c r="F29" i="42"/>
  <c r="F101" i="42"/>
  <c r="A48" i="42"/>
  <c r="H91" i="42"/>
  <c r="C19" i="42"/>
  <c r="C53" i="42"/>
  <c r="B103" i="42"/>
  <c r="C16" i="42"/>
  <c r="H79" i="42"/>
  <c r="G18" i="42"/>
  <c r="B34" i="42"/>
  <c r="F64" i="42"/>
  <c r="G104" i="42"/>
  <c r="H34" i="42"/>
  <c r="B99" i="42"/>
  <c r="C81" i="42"/>
  <c r="D82" i="42"/>
  <c r="H104" i="42"/>
  <c r="G51" i="42"/>
  <c r="B59" i="42"/>
  <c r="H101" i="42"/>
  <c r="G91" i="42"/>
  <c r="F45" i="42"/>
  <c r="G44" i="42"/>
  <c r="H38" i="42"/>
  <c r="C77" i="42"/>
  <c r="C64" i="42"/>
  <c r="B72" i="42"/>
  <c r="G24" i="42"/>
  <c r="B70" i="42"/>
  <c r="H80" i="42"/>
  <c r="H72" i="42"/>
  <c r="D43" i="42"/>
  <c r="C30" i="42"/>
  <c r="D92" i="42"/>
  <c r="H30" i="42"/>
  <c r="D17" i="42"/>
  <c r="C59" i="42"/>
  <c r="B73" i="42"/>
  <c r="B88" i="42"/>
  <c r="A89" i="42"/>
  <c r="A81" i="42"/>
  <c r="C62" i="42"/>
  <c r="F14" i="42"/>
  <c r="F48" i="42"/>
  <c r="H20" i="42"/>
  <c r="B64" i="42"/>
  <c r="G83" i="42"/>
  <c r="G90" i="42"/>
  <c r="A79" i="42"/>
  <c r="B89" i="42"/>
  <c r="D35" i="42"/>
  <c r="H16" i="42"/>
  <c r="D51" i="42"/>
  <c r="D22" i="42"/>
  <c r="G29" i="42"/>
  <c r="A99" i="42"/>
  <c r="F66" i="42"/>
  <c r="A56" i="42"/>
  <c r="C51" i="42"/>
  <c r="G48" i="42"/>
  <c r="C54" i="42"/>
  <c r="F67" i="42"/>
  <c r="F59" i="42"/>
  <c r="G85" i="42"/>
  <c r="G89" i="42"/>
  <c r="C34" i="42"/>
  <c r="A21" i="42"/>
  <c r="D20" i="42"/>
  <c r="B43" i="42"/>
  <c r="D87" i="42"/>
  <c r="G34" i="42"/>
  <c r="G19" i="42"/>
  <c r="B95" i="42"/>
  <c r="G65" i="42"/>
  <c r="D70" i="42"/>
  <c r="G17" i="42"/>
  <c r="D75" i="42"/>
  <c r="A17" i="42"/>
  <c r="H88" i="42"/>
  <c r="D27" i="42"/>
  <c r="D62" i="42"/>
  <c r="H32" i="42"/>
  <c r="B17" i="42"/>
  <c r="G87" i="42"/>
  <c r="B33" i="42"/>
  <c r="A23" i="42"/>
  <c r="A25" i="42"/>
  <c r="C63" i="42"/>
  <c r="C78" i="42"/>
  <c r="C70" i="42"/>
  <c r="G88" i="42"/>
  <c r="A46" i="42"/>
  <c r="A38" i="42"/>
  <c r="B83" i="42"/>
  <c r="C74" i="42"/>
  <c r="F87" i="42"/>
  <c r="B77" i="42"/>
  <c r="A58" i="42"/>
  <c r="A43" i="42"/>
  <c r="F51" i="42"/>
  <c r="H76" i="42"/>
  <c r="D15" i="42"/>
  <c r="E104" i="42"/>
  <c r="I104" i="42" s="1"/>
  <c r="B20" i="42"/>
  <c r="B85" i="42"/>
  <c r="C47" i="42"/>
  <c r="B69" i="42"/>
  <c r="C42" i="42"/>
  <c r="F23" i="42"/>
  <c r="A98" i="42"/>
  <c r="F31" i="42"/>
  <c r="H94" i="42"/>
  <c r="D81" i="42"/>
  <c r="D41" i="42"/>
  <c r="A91" i="42"/>
  <c r="B23" i="42"/>
  <c r="A45" i="42"/>
  <c r="C55" i="42"/>
  <c r="C87" i="42"/>
  <c r="B50" i="42"/>
  <c r="G71" i="42"/>
  <c r="B19" i="42"/>
  <c r="G22" i="42"/>
  <c r="B36" i="42"/>
  <c r="G38" i="42"/>
  <c r="H96" i="42"/>
  <c r="G40" i="42"/>
  <c r="B18" i="42"/>
  <c r="B42" i="42"/>
  <c r="D83" i="42"/>
  <c r="D54" i="42"/>
  <c r="F43" i="42"/>
  <c r="D28" i="42"/>
  <c r="D52" i="42"/>
  <c r="C44" i="42"/>
  <c r="G32" i="42"/>
  <c r="F65" i="42"/>
  <c r="C100" i="42"/>
  <c r="C92" i="42"/>
  <c r="A73" i="42"/>
  <c r="F24" i="42"/>
  <c r="F16" i="42"/>
  <c r="A30" i="42"/>
  <c r="C52" i="42"/>
  <c r="F84" i="42"/>
  <c r="C36" i="42"/>
  <c r="F49" i="42"/>
  <c r="G55" i="42"/>
  <c r="C21" i="42"/>
  <c r="B29" i="42"/>
  <c r="B44" i="42"/>
  <c r="G46" i="42"/>
  <c r="B87" i="42"/>
  <c r="D46" i="42"/>
  <c r="C41" i="42"/>
  <c r="B62" i="42"/>
  <c r="B54" i="42"/>
  <c r="H64" i="42"/>
  <c r="A53" i="42"/>
  <c r="D49" i="42"/>
  <c r="D73" i="42"/>
  <c r="D60" i="42"/>
  <c r="A29" i="42"/>
  <c r="C80" i="42"/>
  <c r="B56" i="42"/>
  <c r="F53" i="42"/>
  <c r="G50" i="42"/>
  <c r="A70" i="42"/>
  <c r="G74" i="42"/>
  <c r="C27" i="42"/>
  <c r="F40" i="42"/>
  <c r="G93" i="42"/>
  <c r="B22" i="42"/>
  <c r="A14" i="42"/>
  <c r="A110" i="42" s="1"/>
  <c r="F22" i="42"/>
  <c r="C25" i="42"/>
  <c r="B25" i="42"/>
  <c r="G37" i="42"/>
  <c r="C96" i="42"/>
  <c r="F88" i="42"/>
  <c r="A64" i="42"/>
  <c r="G97" i="42"/>
  <c r="B63" i="42"/>
  <c r="A26" i="42"/>
  <c r="A50" i="42"/>
  <c r="F36" i="42"/>
  <c r="F19" i="42"/>
  <c r="D34" i="42"/>
  <c r="D18" i="42"/>
  <c r="C84" i="42"/>
  <c r="D99" i="42"/>
  <c r="G66" i="42"/>
  <c r="G58" i="42"/>
  <c r="A22" i="42"/>
  <c r="D25" i="42"/>
  <c r="A20" i="42"/>
  <c r="B41" i="42"/>
  <c r="G43" i="42"/>
  <c r="F33" i="42"/>
  <c r="B35" i="42"/>
  <c r="D31" i="42"/>
  <c r="C28" i="42"/>
  <c r="A31" i="42"/>
  <c r="G30" i="42"/>
  <c r="C22" i="42"/>
  <c r="B84" i="42"/>
  <c r="B86" i="42"/>
  <c r="C49" i="42"/>
  <c r="B53" i="42"/>
  <c r="G45" i="42"/>
  <c r="G20" i="42"/>
  <c r="G28" i="42"/>
  <c r="H62" i="42"/>
  <c r="A59" i="42"/>
  <c r="A83" i="42"/>
  <c r="A75" i="42"/>
  <c r="G82" i="42"/>
  <c r="B46" i="42"/>
  <c r="F30" i="42"/>
  <c r="B65" i="42"/>
  <c r="B80" i="42"/>
  <c r="F32" i="42"/>
  <c r="H46" i="42"/>
  <c r="G27" i="42"/>
  <c r="G53" i="42"/>
  <c r="A94" i="42"/>
  <c r="B38" i="42"/>
  <c r="C86" i="42"/>
  <c r="F52" i="42"/>
  <c r="F41" i="42"/>
  <c r="B55" i="42"/>
  <c r="A33" i="42"/>
  <c r="B67" i="42"/>
  <c r="F28" i="42"/>
  <c r="F15" i="42"/>
  <c r="G25" i="42"/>
  <c r="C69" i="42"/>
  <c r="A95" i="42"/>
  <c r="F90" i="42"/>
  <c r="C50" i="42"/>
  <c r="D84" i="42"/>
  <c r="F69" i="42"/>
  <c r="G98" i="42"/>
  <c r="F85" i="42"/>
  <c r="G80" i="42"/>
  <c r="A57" i="42"/>
  <c r="G96" i="42"/>
  <c r="G56" i="42"/>
  <c r="G95" i="42"/>
  <c r="B51" i="42"/>
  <c r="A61" i="42"/>
  <c r="G75" i="42"/>
  <c r="C17" i="42"/>
  <c r="A49" i="42"/>
  <c r="H60" i="42"/>
  <c r="H92" i="42"/>
  <c r="C15" i="42"/>
  <c r="G92" i="42"/>
  <c r="C75" i="42"/>
  <c r="B66" i="42"/>
  <c r="A78" i="42"/>
  <c r="C83" i="42"/>
  <c r="F61" i="42"/>
  <c r="C98" i="42"/>
  <c r="A67" i="42"/>
  <c r="B27" i="42"/>
  <c r="A65" i="42"/>
  <c r="G72" i="42"/>
  <c r="G64" i="42"/>
  <c r="F38" i="42"/>
  <c r="G61" i="42"/>
  <c r="B97" i="42"/>
  <c r="C33" i="42"/>
  <c r="A36" i="42"/>
  <c r="G35" i="42"/>
  <c r="A41" i="42"/>
  <c r="C91" i="42"/>
  <c r="A74" i="42"/>
  <c r="F95" i="42"/>
  <c r="B96" i="42"/>
  <c r="A82" i="42"/>
  <c r="B60" i="42"/>
  <c r="G70" i="42"/>
  <c r="A18" i="42"/>
  <c r="H56" i="42"/>
  <c r="D38" i="42"/>
  <c r="D30" i="42"/>
  <c r="A80" i="42"/>
  <c r="G16" i="42"/>
  <c r="A88" i="42"/>
  <c r="F72" i="42"/>
  <c r="A62" i="42"/>
  <c r="F77" i="42"/>
  <c r="F27" i="42"/>
  <c r="F75" i="42"/>
  <c r="B28" i="42"/>
  <c r="D86" i="42"/>
  <c r="B30" i="42"/>
  <c r="G33" i="42"/>
  <c r="A44" i="42"/>
  <c r="F46" i="42"/>
  <c r="B75" i="42"/>
  <c r="F35" i="42"/>
  <c r="B45" i="42"/>
  <c r="D63" i="42"/>
  <c r="H44" i="42"/>
  <c r="C67" i="42"/>
  <c r="D67" i="42"/>
  <c r="D91" i="42"/>
  <c r="C68" i="42"/>
  <c r="B100" i="42"/>
  <c r="C39" i="42"/>
  <c r="H24" i="42"/>
  <c r="H48" i="42"/>
  <c r="E78" i="42"/>
  <c r="I78" i="42" s="1"/>
  <c r="E46" i="42"/>
  <c r="I46" i="42" s="1"/>
  <c r="H14" i="42"/>
  <c r="E56" i="42"/>
  <c r="I56" i="42" s="1"/>
  <c r="E97" i="42"/>
  <c r="I97" i="42" s="1"/>
  <c r="E65" i="42"/>
  <c r="I65" i="42" s="1"/>
  <c r="E33" i="42"/>
  <c r="I33" i="42" s="1"/>
  <c r="E99" i="42"/>
  <c r="I99" i="42" s="1"/>
  <c r="E67" i="42"/>
  <c r="I67" i="42" s="1"/>
  <c r="E35" i="42"/>
  <c r="I35" i="42" s="1"/>
  <c r="E68" i="42"/>
  <c r="I68" i="42" s="1"/>
  <c r="D14" i="42"/>
  <c r="E74" i="42"/>
  <c r="I74" i="42" s="1"/>
  <c r="E42" i="42"/>
  <c r="I42" i="42" s="1"/>
  <c r="E96" i="42"/>
  <c r="I96" i="42" s="1"/>
  <c r="E48" i="42"/>
  <c r="I48" i="42" s="1"/>
  <c r="E93" i="42"/>
  <c r="I93" i="42" s="1"/>
  <c r="E61" i="42"/>
  <c r="I61" i="42" s="1"/>
  <c r="E29" i="42"/>
  <c r="I29" i="42" s="1"/>
  <c r="E95" i="42"/>
  <c r="I95" i="42" s="1"/>
  <c r="E63" i="42"/>
  <c r="I63" i="42" s="1"/>
  <c r="E31" i="42"/>
  <c r="I31" i="42" s="1"/>
  <c r="E60" i="42"/>
  <c r="I60" i="42" s="1"/>
  <c r="E28" i="42"/>
  <c r="I28" i="42" s="1"/>
  <c r="E89" i="42"/>
  <c r="I89" i="42" s="1"/>
  <c r="E75" i="42"/>
  <c r="I75" i="42" s="1"/>
  <c r="E100" i="42"/>
  <c r="I100" i="42" s="1"/>
  <c r="E82" i="42"/>
  <c r="I82" i="42" s="1"/>
  <c r="E18" i="42"/>
  <c r="I18" i="42" s="1"/>
  <c r="E101" i="42"/>
  <c r="I101" i="42" s="1"/>
  <c r="E37" i="42"/>
  <c r="I37" i="42" s="1"/>
  <c r="E71" i="42"/>
  <c r="I71" i="42" s="1"/>
  <c r="E76" i="42"/>
  <c r="I76" i="42" s="1"/>
  <c r="E94" i="42"/>
  <c r="I94" i="42" s="1"/>
  <c r="E62" i="42"/>
  <c r="I62" i="42" s="1"/>
  <c r="E30" i="42"/>
  <c r="I30" i="42" s="1"/>
  <c r="E84" i="42"/>
  <c r="I84" i="42" s="1"/>
  <c r="E24" i="42"/>
  <c r="I24" i="42" s="1"/>
  <c r="E81" i="42"/>
  <c r="I81" i="42" s="1"/>
  <c r="E49" i="42"/>
  <c r="I49" i="42" s="1"/>
  <c r="E17" i="42"/>
  <c r="I17" i="42" s="1"/>
  <c r="E83" i="42"/>
  <c r="I83" i="42" s="1"/>
  <c r="E51" i="42"/>
  <c r="I51" i="42" s="1"/>
  <c r="E19" i="42"/>
  <c r="I19" i="42" s="1"/>
  <c r="E36" i="42"/>
  <c r="I36" i="42" s="1"/>
  <c r="E90" i="42"/>
  <c r="I90" i="42" s="1"/>
  <c r="E58" i="42"/>
  <c r="I58" i="42" s="1"/>
  <c r="E26" i="42"/>
  <c r="I26" i="42" s="1"/>
  <c r="E80" i="42"/>
  <c r="I80" i="42" s="1"/>
  <c r="E16" i="42"/>
  <c r="I16" i="42" s="1"/>
  <c r="E77" i="42"/>
  <c r="I77" i="42" s="1"/>
  <c r="E45" i="42"/>
  <c r="I45" i="42" s="1"/>
  <c r="E14" i="42"/>
  <c r="E79" i="42"/>
  <c r="I79" i="42" s="1"/>
  <c r="E47" i="42"/>
  <c r="I47" i="42" s="1"/>
  <c r="E15" i="42"/>
  <c r="G14" i="42"/>
  <c r="E57" i="42"/>
  <c r="I57" i="42" s="1"/>
  <c r="E91" i="42"/>
  <c r="I91" i="42" s="1"/>
  <c r="E27" i="42"/>
  <c r="I27" i="42" s="1"/>
  <c r="E98" i="42"/>
  <c r="I98" i="42" s="1"/>
  <c r="E34" i="42"/>
  <c r="I34" i="42" s="1"/>
  <c r="E32" i="42"/>
  <c r="I32" i="42" s="1"/>
  <c r="E69" i="42"/>
  <c r="I69" i="42" s="1"/>
  <c r="E103" i="42"/>
  <c r="I103" i="42" s="1"/>
  <c r="E39" i="42"/>
  <c r="I39" i="42" s="1"/>
  <c r="E41" i="42"/>
  <c r="I41" i="42" s="1"/>
  <c r="E59" i="42"/>
  <c r="I59" i="42" s="1"/>
  <c r="E52" i="42"/>
  <c r="I52" i="42" s="1"/>
  <c r="E66" i="42"/>
  <c r="I66" i="42" s="1"/>
  <c r="E88" i="42"/>
  <c r="I88" i="42" s="1"/>
  <c r="E85" i="42"/>
  <c r="I85" i="42" s="1"/>
  <c r="E21" i="42"/>
  <c r="I21" i="42" s="1"/>
  <c r="E55" i="42"/>
  <c r="I55" i="42" s="1"/>
  <c r="E44" i="42"/>
  <c r="I44" i="42" s="1"/>
  <c r="E102" i="42"/>
  <c r="I102" i="42" s="1"/>
  <c r="E86" i="42"/>
  <c r="I86" i="42" s="1"/>
  <c r="E70" i="42"/>
  <c r="I70" i="42" s="1"/>
  <c r="E54" i="42"/>
  <c r="I54" i="42" s="1"/>
  <c r="E38" i="42"/>
  <c r="I38" i="42" s="1"/>
  <c r="E22" i="42"/>
  <c r="I22" i="42" s="1"/>
  <c r="E92" i="42"/>
  <c r="I92" i="42" s="1"/>
  <c r="E72" i="42"/>
  <c r="I72" i="42" s="1"/>
  <c r="E40" i="42"/>
  <c r="I40" i="42" s="1"/>
  <c r="E73" i="42"/>
  <c r="I73" i="42" s="1"/>
  <c r="E25" i="42"/>
  <c r="I25" i="42" s="1"/>
  <c r="E43" i="42"/>
  <c r="I43" i="42" s="1"/>
  <c r="E20" i="42"/>
  <c r="I20" i="42" s="1"/>
  <c r="E50" i="42"/>
  <c r="I50" i="42" s="1"/>
  <c r="E64" i="42"/>
  <c r="I64" i="42" s="1"/>
  <c r="E53" i="42"/>
  <c r="I53" i="42" s="1"/>
  <c r="E87" i="42"/>
  <c r="I87" i="42" s="1"/>
  <c r="E23" i="42"/>
  <c r="I23" i="42" s="1"/>
  <c r="A17" i="56"/>
  <c r="A18" i="56" s="1"/>
  <c r="A19" i="56" s="1"/>
  <c r="A20" i="56" s="1"/>
  <c r="A21" i="56" s="1"/>
  <c r="A22" i="56" s="1"/>
  <c r="D17" i="56"/>
  <c r="D18" i="56"/>
  <c r="H24" i="56" l="1"/>
  <c r="I14" i="42"/>
  <c r="I15" i="42" s="1"/>
  <c r="E121" i="42"/>
  <c r="G106" i="42"/>
  <c r="H106" i="42"/>
  <c r="A26" i="56"/>
  <c r="I107" i="42" l="1"/>
</calcChain>
</file>

<file path=xl/sharedStrings.xml><?xml version="1.0" encoding="utf-8"?>
<sst xmlns="http://schemas.openxmlformats.org/spreadsheetml/2006/main" count="3192" uniqueCount="893">
  <si>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</si>
  <si>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</si>
  <si>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</si>
  <si>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</si>
  <si>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</si>
  <si>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</si>
  <si>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</si>
  <si>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</si>
  <si>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</si>
  <si>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</si>
  <si>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</si>
  <si>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</si>
  <si>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</si>
  <si>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</si>
  <si>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</si>
  <si>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</si>
  <si>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</si>
  <si>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</si>
  <si>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</si>
  <si>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</si>
  <si>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</si>
  <si>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</si>
  <si>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</si>
  <si>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</si>
  <si>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</si>
  <si>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</si>
  <si>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</si>
  <si>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</si>
  <si>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</si>
  <si>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</si>
  <si>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</si>
  <si>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</si>
  <si>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</si>
  <si>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</si>
  <si>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</si>
  <si>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</si>
  <si>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</si>
  <si>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</si>
  <si>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</si>
  <si>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</si>
  <si>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</si>
  <si>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</si>
  <si>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</si>
  <si>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</si>
  <si>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</si>
  <si>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</si>
  <si>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</si>
  <si>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</si>
  <si>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</si>
  <si>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</si>
  <si>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</si>
  <si>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</si>
  <si>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</si>
  <si>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</si>
  <si>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</si>
  <si>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</si>
  <si>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</si>
  <si>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</si>
  <si>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</si>
  <si>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</si>
  <si>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</si>
  <si>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</si>
  <si>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</si>
  <si>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</si>
  <si>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</si>
  <si>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</si>
  <si>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</si>
  <si>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</si>
  <si>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</si>
  <si>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</si>
  <si>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</si>
  <si>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</si>
  <si>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</si>
  <si>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</si>
  <si>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</si>
  <si>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</si>
  <si>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</si>
  <si>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</si>
  <si>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</si>
  <si>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</si>
  <si>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</si>
  <si>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</si>
  <si>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</si>
  <si>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</si>
  <si>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</si>
  <si>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</si>
  <si>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</si>
  <si>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</si>
  <si>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</si>
  <si>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</si>
  <si>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</si>
  <si>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</si>
  <si>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</si>
  <si>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</si>
  <si>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</si>
  <si>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</si>
  <si>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</si>
  <si>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</si>
  <si>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</si>
  <si>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</si>
  <si>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</si>
  <si>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</si>
  <si>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</si>
  <si>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</si>
  <si>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</si>
  <si>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</si>
  <si>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</si>
  <si>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</si>
  <si>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</si>
  <si>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</si>
  <si>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</si>
  <si>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</si>
  <si>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</si>
  <si>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</si>
  <si>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</si>
  <si>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</si>
  <si>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</si>
  <si>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</si>
  <si>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</si>
  <si>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</si>
  <si>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</si>
  <si>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</si>
  <si>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</si>
  <si>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</si>
  <si>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</si>
  <si>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</si>
  <si>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</si>
  <si>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</si>
  <si>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</si>
  <si>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</si>
  <si>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</si>
  <si>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</si>
  <si>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</si>
  <si>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</si>
  <si>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</si>
  <si>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</si>
  <si>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</si>
  <si>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</si>
  <si>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</si>
  <si>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</si>
  <si>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</si>
  <si>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</si>
  <si>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</si>
  <si>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</si>
  <si>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</si>
  <si>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</si>
  <si>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</si>
  <si>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</si>
  <si>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</si>
  <si>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</si>
  <si>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</si>
  <si>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</si>
  <si>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</si>
  <si>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</si>
  <si>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</si>
  <si>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</si>
  <si>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</si>
  <si>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</si>
  <si>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</si>
  <si>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</si>
  <si>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</si>
  <si>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</si>
  <si>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</si>
  <si>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</si>
  <si>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</si>
  <si>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</si>
  <si>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</si>
  <si>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</si>
  <si>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</si>
  <si>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</si>
  <si>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</si>
  <si>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</si>
  <si>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</si>
  <si>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</si>
  <si>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</si>
  <si>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</si>
  <si>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</si>
  <si>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</si>
  <si>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</si>
  <si>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</si>
  <si>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</si>
  <si>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</si>
  <si>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</si>
  <si>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</si>
  <si>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</si>
  <si>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</si>
  <si>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</si>
  <si>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</si>
  <si>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</si>
  <si>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</si>
  <si>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</si>
  <si>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</si>
  <si>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</si>
  <si>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</si>
  <si>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</si>
  <si>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</si>
  <si>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</si>
  <si>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</si>
  <si>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</si>
  <si>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</si>
  <si>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</si>
  <si>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</si>
  <si>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</si>
  <si>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</si>
  <si>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</si>
  <si>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</si>
  <si>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</si>
  <si>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</si>
  <si>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</si>
  <si>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</si>
  <si>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</si>
  <si>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</si>
  <si>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</si>
  <si>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</si>
  <si>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</si>
  <si>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</si>
  <si>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</si>
  <si>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</si>
  <si>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</si>
  <si>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</si>
  <si>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</si>
  <si>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</si>
  <si>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</si>
  <si>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</si>
  <si>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</si>
  <si>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</si>
  <si>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</si>
  <si>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</si>
  <si>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</si>
  <si>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</si>
  <si>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</si>
  <si>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</si>
  <si>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</si>
  <si>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</si>
  <si>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</si>
  <si>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</si>
  <si>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</si>
  <si>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</si>
  <si>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</si>
  <si>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</si>
  <si>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</si>
  <si>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</si>
  <si>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</si>
  <si>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</si>
  <si>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</si>
  <si>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</si>
  <si>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</si>
  <si>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</si>
  <si>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</si>
  <si>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</si>
  <si>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</si>
  <si>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</si>
  <si>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</si>
  <si>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</si>
  <si>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</si>
  <si>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</si>
  <si>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</si>
  <si>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</si>
  <si>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</si>
  <si>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</si>
  <si>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</si>
  <si>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</si>
  <si>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</si>
  <si>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</si>
  <si>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</si>
  <si>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</si>
  <si>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</si>
  <si>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</si>
  <si>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</si>
  <si>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</si>
  <si>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</si>
  <si>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</si>
  <si>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</si>
  <si>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</si>
  <si>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</si>
  <si>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</si>
  <si>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</si>
  <si>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</si>
  <si>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</si>
  <si>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</si>
  <si>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</si>
  <si>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</si>
  <si>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</si>
  <si>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</si>
  <si>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</si>
  <si>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</si>
  <si>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</si>
  <si>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</si>
  <si>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</si>
  <si>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</si>
  <si>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</si>
  <si>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</si>
  <si>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</si>
  <si>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</si>
  <si>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</si>
  <si>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</si>
  <si>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</si>
  <si>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</si>
  <si>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</si>
  <si>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</si>
  <si>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</si>
  <si>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</si>
  <si>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</si>
  <si>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</si>
  <si>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</si>
  <si>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</si>
  <si>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</si>
  <si>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</si>
  <si>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</si>
  <si>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</si>
  <si>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</si>
  <si>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</si>
  <si>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</si>
  <si>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</si>
  <si>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</si>
  <si>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</si>
  <si>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</si>
  <si>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</si>
  <si>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</si>
  <si>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</si>
  <si>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</si>
  <si>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</si>
  <si>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</si>
  <si>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</si>
  <si>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</si>
  <si>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</si>
  <si>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</si>
  <si>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</si>
  <si>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</si>
  <si>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</si>
  <si>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</si>
  <si>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</si>
  <si>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</si>
  <si>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</si>
  <si>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</si>
  <si>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</si>
  <si>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</si>
  <si>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</si>
  <si>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</si>
  <si>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</si>
  <si>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</si>
  <si>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</si>
  <si>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</si>
  <si>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</si>
  <si>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</si>
  <si>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</si>
  <si>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</si>
  <si>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</si>
  <si>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</si>
  <si>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</si>
  <si>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</si>
  <si>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</si>
  <si>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</si>
  <si>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</si>
  <si>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</si>
  <si>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</si>
  <si>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</si>
  <si>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</si>
  <si>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</si>
  <si>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</si>
  <si>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</si>
  <si>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</si>
  <si>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</si>
  <si>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</si>
  <si>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</si>
  <si>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</si>
  <si>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</si>
  <si>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</si>
  <si>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</si>
  <si>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</si>
  <si>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</si>
  <si>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</si>
  <si>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</si>
  <si>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</si>
  <si>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</si>
  <si>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</si>
  <si>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</si>
  <si>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</si>
  <si>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</si>
  <si>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</si>
  <si>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</si>
  <si>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</si>
  <si>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</si>
  <si>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</si>
  <si>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</si>
  <si>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</si>
  <si>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</si>
  <si>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</si>
  <si>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</si>
  <si>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</si>
  <si>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</si>
  <si>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</si>
  <si>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</si>
  <si>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</si>
  <si>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</si>
  <si>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</si>
  <si>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</si>
  <si>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</si>
  <si>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</si>
  <si>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</si>
  <si>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</si>
  <si>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</si>
  <si>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</si>
  <si>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</si>
  <si>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</si>
  <si>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</si>
  <si>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</si>
  <si>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</si>
  <si>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</si>
  <si>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</si>
  <si>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</si>
  <si>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</si>
  <si>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</si>
  <si>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</si>
  <si>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</si>
  <si>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</si>
  <si>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</si>
  <si>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</si>
  <si>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</si>
  <si>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</si>
  <si>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</si>
  <si>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</si>
  <si>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</si>
  <si>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</si>
  <si>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</si>
  <si>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</si>
  <si>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</si>
  <si>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</si>
  <si>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</si>
  <si>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</si>
  <si>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</si>
  <si>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</si>
  <si>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</si>
  <si>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</si>
  <si>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</si>
  <si>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</si>
  <si>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</si>
  <si>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</si>
  <si>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</si>
  <si>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</si>
  <si>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</si>
  <si>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</si>
  <si>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</si>
  <si>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</si>
  <si>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</si>
  <si>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</si>
  <si>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</si>
  <si>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</si>
  <si>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</si>
  <si>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</si>
  <si>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</si>
  <si>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</si>
  <si>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</si>
  <si>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</si>
  <si>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</si>
  <si>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</si>
  <si>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</si>
  <si>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</si>
  <si>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</si>
  <si>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</si>
  <si>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</si>
  <si>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</si>
  <si>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</si>
  <si>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</si>
  <si>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</si>
  <si>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</si>
  <si>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</si>
  <si>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</si>
  <si>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</si>
  <si>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</si>
  <si>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</si>
  <si>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</si>
  <si>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</si>
  <si>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</si>
  <si>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</si>
  <si>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</si>
  <si>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</si>
  <si>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</si>
  <si>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</si>
  <si>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</si>
  <si>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</si>
  <si>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</si>
  <si>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</si>
  <si>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</si>
  <si>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</si>
  <si>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</si>
  <si>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</si>
  <si>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</si>
  <si>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</si>
  <si>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</si>
  <si>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</si>
  <si>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</si>
  <si>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</si>
  <si>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</si>
  <si>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</si>
  <si>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</si>
  <si>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</si>
  <si>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</si>
  <si>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</si>
  <si>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</si>
  <si>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</si>
  <si>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</si>
  <si>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</si>
  <si>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</si>
  <si>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</si>
  <si>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</si>
  <si>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</si>
  <si>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</si>
  <si>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</si>
  <si>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</si>
  <si>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</si>
  <si>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</si>
  <si>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</si>
  <si>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</si>
  <si>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</si>
  <si>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</si>
  <si>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</si>
  <si>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</si>
  <si>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</si>
  <si>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</si>
  <si>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</si>
  <si>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</si>
  <si>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</si>
  <si>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</si>
  <si>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</si>
  <si>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</si>
  <si>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</si>
  <si>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</si>
  <si>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</si>
  <si>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</si>
  <si>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</si>
  <si>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</si>
  <si>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</si>
  <si>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</si>
  <si>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</si>
  <si>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</si>
  <si>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</si>
  <si>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</si>
  <si>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</si>
  <si>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</si>
  <si>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</si>
  <si>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</si>
  <si>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</si>
  <si>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</si>
  <si>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</si>
  <si>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</si>
  <si>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</si>
  <si>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</si>
  <si>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</si>
  <si>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</si>
  <si>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</si>
  <si>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</si>
  <si>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</si>
  <si>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</si>
  <si>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</si>
  <si>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</si>
  <si>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</si>
  <si>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</si>
  <si>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</si>
  <si>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</si>
  <si>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</si>
  <si>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</si>
  <si>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</si>
  <si>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</si>
  <si>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</si>
  <si>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</si>
  <si>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</si>
  <si>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</si>
  <si>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</si>
  <si>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</si>
  <si>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</si>
  <si>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</si>
  <si>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</si>
  <si>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</si>
  <si>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</si>
  <si>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</si>
  <si>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</si>
  <si>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</si>
  <si>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</si>
  <si>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</si>
  <si>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</si>
  <si>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131</t>
  </si>
  <si>
    <t>2143</t>
  </si>
  <si>
    <t>2141</t>
  </si>
  <si>
    <t>641</t>
  </si>
  <si>
    <t>3341</t>
  </si>
  <si>
    <t>3383</t>
  </si>
  <si>
    <t>3384</t>
  </si>
  <si>
    <t>3386</t>
  </si>
  <si>
    <t>SAY D.S CO., LTD</t>
  </si>
  <si>
    <t>O.CHEON INDUSTRY CO.,LTD</t>
  </si>
  <si>
    <t>BIOVITAL COMPANY</t>
  </si>
  <si>
    <t>TOKAI DENPUN</t>
  </si>
  <si>
    <t>MARKOV K.A.</t>
  </si>
  <si>
    <t>JINTATSU FOODSTUFF CO., LTD</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</si>
  <si>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</si>
  <si>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</si>
  <si>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</si>
  <si>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</si>
  <si>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</si>
  <si>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</si>
  <si>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</si>
  <si>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</si>
  <si>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</si>
  <si>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DNTN SX TM XNK Khang Thịnh Phước</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</si>
  <si>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</si>
  <si>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</si>
  <si>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</si>
  <si>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</si>
  <si>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</si>
  <si>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</si>
  <si>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</si>
  <si>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</si>
  <si>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</si>
  <si>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</si>
  <si>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</si>
  <si>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</si>
  <si>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</si>
  <si>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</si>
  <si>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Hộp ghẹ</t>
  </si>
  <si>
    <t>Cty TNHH TM - DV Thanh Thanh</t>
  </si>
  <si>
    <t>CN Công Ty TNHH Tân Hy Xí Nghiệp In &amp; Bao Bì Duy Nhật</t>
  </si>
  <si>
    <t>Ghẹ NL</t>
  </si>
  <si>
    <t>Cá bò NL</t>
  </si>
  <si>
    <t>KU 1015LDS201100376</t>
  </si>
  <si>
    <t>KU 1015LDS201100377</t>
  </si>
  <si>
    <t>KU 1015LDS201501790</t>
  </si>
  <si>
    <t>KU 1402LDS201502638</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</si>
  <si>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</si>
  <si>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</si>
  <si>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</si>
  <si>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</si>
  <si>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</si>
  <si>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</si>
  <si>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</si>
  <si>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</si>
  <si>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</si>
  <si>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</si>
  <si>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</si>
  <si>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</si>
  <si>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</si>
  <si>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</si>
  <si>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KU 1015LDS201600190</t>
  </si>
  <si>
    <t>KU 1402LDS201600285</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</si>
  <si>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</si>
  <si>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</si>
  <si>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</si>
  <si>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</si>
  <si>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</si>
  <si>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</si>
  <si>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</si>
  <si>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</si>
  <si>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</si>
  <si>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</si>
  <si>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</si>
  <si>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</si>
  <si>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</si>
  <si>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</si>
  <si>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</si>
  <si>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</si>
  <si>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</si>
  <si>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Q4</t>
  </si>
  <si>
    <t>Q11</t>
  </si>
  <si>
    <t>ĐK:</t>
  </si>
  <si>
    <t>VNĐ:</t>
  </si>
  <si>
    <t>USD:</t>
  </si>
  <si>
    <t>BP</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</si>
  <si>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</si>
  <si>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</si>
  <si>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</si>
  <si>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</si>
  <si>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</si>
  <si>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</si>
  <si>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</si>
  <si>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</si>
  <si>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</si>
  <si>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</si>
  <si>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</si>
  <si>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</si>
  <si>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</si>
  <si>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</si>
  <si>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</si>
  <si>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</si>
  <si>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</si>
  <si>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</si>
  <si>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</si>
  <si>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</si>
  <si>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</si>
  <si>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</si>
  <si>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</si>
  <si>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</si>
  <si>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</si>
  <si>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</si>
  <si>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</si>
  <si>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</si>
  <si>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</si>
  <si>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</si>
  <si>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</si>
  <si>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</si>
  <si>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</si>
  <si>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</si>
  <si>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Tấm lót thùng carton 54x41</t>
  </si>
  <si>
    <t>Cty TNHH Giao Nhận Vận Chuyển Ánh Dương</t>
  </si>
  <si>
    <t>Công Ty TNHH KoolMan Việt Nam</t>
  </si>
  <si>
    <t>KU 1015LDS201600429</t>
  </si>
  <si>
    <t>KU 1015LDS201600434</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</si>
  <si>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</si>
  <si>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</si>
  <si>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</si>
  <si>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</si>
  <si>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</si>
  <si>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</si>
  <si>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</si>
  <si>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</si>
  <si>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</si>
  <si>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</si>
  <si>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</si>
  <si>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</si>
  <si>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</si>
  <si>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</si>
  <si>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</si>
  <si>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</si>
  <si>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</si>
  <si>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</si>
  <si>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</si>
  <si>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</si>
  <si>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</si>
  <si>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</si>
  <si>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</si>
  <si>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</si>
  <si>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</si>
  <si>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</si>
  <si>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</si>
  <si>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</si>
  <si>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</si>
  <si>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</si>
  <si>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</si>
  <si>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</si>
  <si>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</si>
  <si>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</si>
  <si>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</si>
  <si>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</si>
  <si>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</si>
  <si>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</si>
  <si>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</si>
  <si>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</si>
  <si>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</si>
  <si>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</si>
  <si>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</si>
  <si>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</si>
  <si>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</si>
  <si>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</si>
  <si>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</si>
  <si>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</si>
  <si>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</si>
  <si>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</si>
  <si>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</si>
  <si>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</si>
  <si>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</si>
  <si>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</si>
  <si>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</si>
  <si>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</si>
  <si>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</si>
  <si>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</si>
  <si>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</si>
  <si>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</si>
  <si>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</si>
  <si>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</si>
  <si>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</si>
  <si>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</si>
  <si>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</si>
  <si>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</si>
  <si>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</si>
  <si>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</si>
  <si>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</si>
  <si>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</si>
  <si>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</si>
  <si>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</si>
  <si>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</si>
  <si>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</si>
  <si>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</si>
  <si>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</si>
  <si>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</si>
  <si>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</si>
  <si>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</si>
  <si>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</si>
  <si>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</si>
  <si>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</si>
  <si>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</si>
  <si>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</si>
  <si>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</si>
  <si>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</si>
  <si>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</si>
  <si>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</si>
  <si>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</si>
  <si>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</si>
  <si>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SX 10/10</t>
  </si>
  <si>
    <t>01/2011</t>
  </si>
  <si>
    <t xml:space="preserve">Lý do đình chỉ: </t>
  </si>
  <si>
    <t>Đình chỉ sử dụng TSCĐ  :</t>
  </si>
  <si>
    <t>Ngày  31   tháng  12  năm  2016</t>
  </si>
  <si>
    <t>Trần Minh Nghĩa</t>
  </si>
  <si>
    <t>Hữu Hình</t>
  </si>
  <si>
    <t xml:space="preserve"> Chi phí bán hàng</t>
  </si>
  <si>
    <t>'Ghẹ khô tẩm TP</t>
  </si>
  <si>
    <t>K/C lãi ( lỗ ) SXKD - Quý I</t>
  </si>
  <si>
    <t>K/C lãi ( lỗ ) SXKD - Quý II</t>
  </si>
  <si>
    <t>K/C lãi ( lỗ ) SXKD  - Quý III</t>
  </si>
  <si>
    <t>K/C lãi ( lỗ ) SXKD  - Quý IV</t>
  </si>
  <si>
    <t>MICHANG COMMERCIAL</t>
  </si>
  <si>
    <t>Tinh bột bắp</t>
  </si>
  <si>
    <t>Cty TNHH Toàn Hưng Long</t>
  </si>
  <si>
    <t>Cty TNHH TM DV SX Bao Bì Giấy Tân Minh Thư</t>
  </si>
  <si>
    <t>TT Kỹ Thuật Tiêu Chuẩn Đo Lường Chất Lượng 3</t>
  </si>
  <si>
    <t>Cty TNHH TM DV Toàn Nguyễn</t>
  </si>
  <si>
    <t>KU 1015ESPEIB60004</t>
  </si>
  <si>
    <t/>
  </si>
  <si>
    <t>03/10</t>
  </si>
  <si>
    <t>04/10</t>
  </si>
  <si>
    <t>05/10</t>
  </si>
  <si>
    <t>01/13</t>
  </si>
  <si>
    <t>02/10</t>
  </si>
  <si>
    <t>06/10</t>
  </si>
  <si>
    <t>12/14</t>
  </si>
  <si>
    <t>13/14</t>
  </si>
  <si>
    <t>14/14</t>
  </si>
  <si>
    <t>15/14</t>
  </si>
  <si>
    <t>16/14</t>
  </si>
  <si>
    <t>17/14</t>
  </si>
  <si>
    <t>07/10</t>
  </si>
  <si>
    <t>08/10</t>
  </si>
  <si>
    <t>09/10</t>
  </si>
  <si>
    <t>10/10</t>
  </si>
  <si>
    <t>TP/X01</t>
  </si>
  <si>
    <t>Khô cá sặc</t>
  </si>
  <si>
    <t>Khô cá lóc</t>
  </si>
  <si>
    <t>Khô cá chỉ vàng tẩm</t>
  </si>
  <si>
    <t>Ruốc khô</t>
  </si>
  <si>
    <t>Khô cá chỉ vàng mặn</t>
  </si>
  <si>
    <t>Khô mực Daroma</t>
  </si>
  <si>
    <t>Tôm mặn nga</t>
  </si>
  <si>
    <t>Bánh cá Surimi</t>
  </si>
  <si>
    <t>VAT cá khô</t>
  </si>
  <si>
    <t>TP/X02</t>
  </si>
  <si>
    <t>TP/X03</t>
  </si>
  <si>
    <t>Cty TNHH Thủy Sản Việt Kim</t>
  </si>
  <si>
    <t>TP/X04</t>
  </si>
  <si>
    <t>TP/X05</t>
  </si>
  <si>
    <t>TP/X06</t>
  </si>
  <si>
    <t>Nguyễn Thị Hội</t>
  </si>
  <si>
    <t>Cá cơm NL</t>
  </si>
  <si>
    <t>NL/N01</t>
  </si>
  <si>
    <t>NL/N02</t>
  </si>
  <si>
    <t>NL/N03</t>
  </si>
  <si>
    <t>NL/N04</t>
  </si>
  <si>
    <t>NL/N05</t>
  </si>
  <si>
    <t>NL/N06</t>
  </si>
  <si>
    <t>NL/N07</t>
  </si>
  <si>
    <t>NL/N08</t>
  </si>
  <si>
    <t>NL/N09</t>
  </si>
  <si>
    <t>NL/N10</t>
  </si>
  <si>
    <t>NL/N11</t>
  </si>
  <si>
    <t>NL/N12</t>
  </si>
  <si>
    <t>NL/N13</t>
  </si>
  <si>
    <t>NL/N14</t>
  </si>
  <si>
    <t>NL/N15</t>
  </si>
  <si>
    <t>NL/N16</t>
  </si>
  <si>
    <t>NL/N17</t>
  </si>
  <si>
    <t>NL/N18</t>
  </si>
  <si>
    <t>NL/N19</t>
  </si>
  <si>
    <t>NL/N20</t>
  </si>
  <si>
    <t>NL/N21</t>
  </si>
  <si>
    <t>NL/N22</t>
  </si>
  <si>
    <t>NL/N23</t>
  </si>
  <si>
    <t>NL/N24</t>
  </si>
  <si>
    <t>NL/N25</t>
  </si>
  <si>
    <t>NL/N26</t>
  </si>
  <si>
    <t>NL/N27</t>
  </si>
  <si>
    <t>NL/N28</t>
  </si>
  <si>
    <t>NL/N29</t>
  </si>
  <si>
    <t>NL/N30</t>
  </si>
  <si>
    <t>NL/N31</t>
  </si>
  <si>
    <t>NL/N32</t>
  </si>
  <si>
    <t>Thanh toán tiền - Cá cơm NL</t>
  </si>
  <si>
    <t>C01</t>
  </si>
  <si>
    <t>C02</t>
  </si>
  <si>
    <t>C03</t>
  </si>
  <si>
    <t>C04</t>
  </si>
  <si>
    <t>C05</t>
  </si>
  <si>
    <t>C06</t>
  </si>
  <si>
    <t>NNL</t>
  </si>
  <si>
    <t xml:space="preserve">       Người lập phiếu                 Kế toán trưởng                    Thủ kho</t>
  </si>
  <si>
    <t>Địa chỉ: Số 20 Lô E, KCN Long Đức, TP. Trà Vinh, Tỉnh Trà Vinh</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</si>
</sst>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99">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rgb="FF0000FF"/>
      <name val="Times New Roman"/>
      <family val="1"/>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1"/>
      <color indexed="8"/>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6" fillId="0" borderId="0">
      <alignment horizontal="center"/>
    </xf>
    <xf numFmtId="0" fontId="50" fillId="0" borderId="0"/>
    <xf numFmtId="0" fontId="3" fillId="0" borderId="0"/>
    <xf numFmtId="0" fontId="56" fillId="0" borderId="0" applyNumberFormat="0" applyFill="0" applyBorder="0" applyAlignment="0" applyProtection="0">
      <alignment vertical="top"/>
      <protection locked="0"/>
    </xf>
    <xf numFmtId="43" fontId="61" fillId="0" borderId="0" applyFont="0" applyFill="0" applyBorder="0" applyAlignment="0" applyProtection="0"/>
    <xf numFmtId="43" fontId="4" fillId="0" borderId="0" applyFont="0" applyFill="0" applyBorder="0" applyAlignment="0" applyProtection="0"/>
    <xf numFmtId="170" fontId="61" fillId="0" borderId="0" applyFont="0" applyFill="0" applyBorder="0" applyAlignment="0" applyProtection="0"/>
    <xf numFmtId="0" fontId="61"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1" fillId="0" borderId="0"/>
    <xf numFmtId="0" fontId="89" fillId="0" borderId="0"/>
  </cellStyleXfs>
  <cellXfs count="1343">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2" fillId="0" borderId="23" xfId="74" quotePrefix="1" applyNumberFormat="1" applyFont="1" applyBorder="1" applyAlignment="1">
      <alignment horizontal="center"/>
    </xf>
    <xf numFmtId="164" fontId="43" fillId="0" borderId="23" xfId="74" applyNumberFormat="1" applyFont="1" applyBorder="1" applyAlignment="1">
      <alignment horizontal="center"/>
    </xf>
    <xf numFmtId="164" fontId="42" fillId="0" borderId="23" xfId="74" applyNumberFormat="1" applyFont="1" applyBorder="1"/>
    <xf numFmtId="164" fontId="42"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1" fillId="0" borderId="10" xfId="74" applyNumberFormat="1" applyFont="1" applyBorder="1" applyAlignment="1">
      <alignment horizontal="left"/>
    </xf>
    <xf numFmtId="164" fontId="23" fillId="0" borderId="10" xfId="74" applyNumberFormat="1" applyFont="1" applyBorder="1"/>
    <xf numFmtId="164" fontId="42"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7" fillId="0" borderId="16" xfId="76" applyNumberFormat="1" applyFont="1" applyFill="1" applyBorder="1" applyAlignment="1">
      <alignment horizontal="center" vertical="center"/>
    </xf>
    <xf numFmtId="164" fontId="47" fillId="0" borderId="16" xfId="76" applyNumberFormat="1" applyFont="1" applyFill="1" applyBorder="1" applyAlignment="1">
      <alignment horizontal="left" vertical="center"/>
    </xf>
    <xf numFmtId="49" fontId="47" fillId="0" borderId="16" xfId="76" applyNumberFormat="1" applyFont="1" applyFill="1" applyBorder="1" applyAlignment="1">
      <alignment horizontal="left" vertical="center"/>
    </xf>
    <xf numFmtId="164" fontId="47" fillId="0" borderId="16" xfId="77" applyNumberFormat="1" applyFont="1" applyFill="1" applyBorder="1" applyAlignment="1">
      <alignment vertical="center"/>
    </xf>
    <xf numFmtId="0" fontId="47"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7" fillId="0" borderId="16" xfId="76" quotePrefix="1" applyNumberFormat="1" applyFont="1" applyFill="1" applyBorder="1" applyAlignment="1">
      <alignment horizontal="center" vertical="center"/>
    </xf>
    <xf numFmtId="49" fontId="47"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21" xfId="29" applyNumberFormat="1" applyFont="1" applyBorder="1" applyAlignment="1">
      <alignment horizontal="center" vertical="center" wrapText="1"/>
    </xf>
    <xf numFmtId="0" fontId="41"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48" fillId="0" borderId="0" xfId="77" applyFont="1" applyFill="1" applyBorder="1" applyAlignment="1" applyProtection="1">
      <alignment vertical="center"/>
      <protection hidden="1"/>
    </xf>
    <xf numFmtId="0" fontId="49" fillId="0" borderId="0" xfId="77" applyFont="1" applyFill="1" applyBorder="1" applyAlignment="1" applyProtection="1">
      <alignment horizontal="center" vertical="center"/>
      <protection hidden="1"/>
    </xf>
    <xf numFmtId="0" fontId="49"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1" fillId="0" borderId="0" xfId="77" applyFont="1" applyFill="1" applyBorder="1" applyAlignment="1" applyProtection="1">
      <alignment vertical="center"/>
      <protection hidden="1"/>
    </xf>
    <xf numFmtId="0" fontId="52"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vertical="center"/>
      <protection hidden="1"/>
    </xf>
    <xf numFmtId="0" fontId="41"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55" fillId="0" borderId="0" xfId="77" applyNumberFormat="1" applyFont="1" applyFill="1" applyBorder="1" applyAlignment="1" applyProtection="1">
      <alignment vertical="center"/>
      <protection hidden="1"/>
    </xf>
    <xf numFmtId="0" fontId="48" fillId="0" borderId="0" xfId="77" applyFont="1" applyFill="1" applyBorder="1" applyAlignment="1" applyProtection="1">
      <alignment horizontal="center" vertical="center"/>
      <protection hidden="1"/>
    </xf>
    <xf numFmtId="0" fontId="53" fillId="0" borderId="0" xfId="77" applyFont="1" applyFill="1" applyBorder="1" applyAlignment="1" applyProtection="1">
      <alignment horizontal="center" vertical="center"/>
      <protection hidden="1"/>
    </xf>
    <xf numFmtId="10" fontId="57"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58" fillId="0" borderId="0" xfId="77" applyFont="1" applyFill="1" applyBorder="1" applyAlignment="1" applyProtection="1">
      <alignment horizontal="left" vertical="center"/>
      <protection hidden="1"/>
    </xf>
    <xf numFmtId="0" fontId="58" fillId="0" borderId="0" xfId="77" applyFont="1" applyFill="1" applyBorder="1" applyAlignment="1" applyProtection="1">
      <alignment horizontal="justify" vertical="center"/>
      <protection hidden="1"/>
    </xf>
    <xf numFmtId="0" fontId="58" fillId="0" borderId="0" xfId="77" applyFont="1" applyFill="1" applyBorder="1" applyAlignment="1" applyProtection="1">
      <alignment vertical="center"/>
      <protection hidden="1"/>
    </xf>
    <xf numFmtId="171" fontId="59"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58" fillId="0" borderId="0" xfId="74" applyNumberFormat="1" applyFont="1" applyFill="1" applyBorder="1" applyAlignment="1" applyProtection="1">
      <alignment vertical="center"/>
      <protection hidden="1"/>
    </xf>
    <xf numFmtId="10" fontId="58" fillId="0" borderId="0" xfId="79" applyNumberFormat="1" applyFont="1" applyFill="1" applyBorder="1" applyAlignment="1" applyProtection="1">
      <alignment vertical="center"/>
      <protection hidden="1"/>
    </xf>
    <xf numFmtId="49" fontId="60"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0" fillId="0" borderId="0" xfId="77" applyNumberFormat="1" applyFont="1" applyFill="1" applyBorder="1" applyAlignment="1" applyProtection="1">
      <alignment vertical="center"/>
      <protection hidden="1"/>
    </xf>
    <xf numFmtId="0" fontId="60" fillId="0" borderId="0" xfId="77" applyFont="1" applyFill="1" applyBorder="1" applyAlignment="1" applyProtection="1">
      <alignment horizontal="left" vertical="center"/>
      <protection hidden="1"/>
    </xf>
    <xf numFmtId="0" fontId="60" fillId="0" borderId="0" xfId="77" applyNumberFormat="1" applyFont="1" applyFill="1" applyBorder="1" applyAlignment="1" applyProtection="1">
      <alignment horizontal="left" vertical="center"/>
      <protection hidden="1"/>
    </xf>
    <xf numFmtId="10" fontId="58"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55"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1" fillId="0" borderId="0" xfId="77" applyFont="1" applyFill="1" applyBorder="1" applyAlignment="1" applyProtection="1">
      <alignment vertical="center"/>
      <protection locked="0" hidden="1"/>
    </xf>
    <xf numFmtId="172" fontId="59"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2"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3" fillId="29" borderId="0" xfId="87" applyFont="1" applyFill="1" applyAlignment="1">
      <alignment horizontal="center" vertical="center" wrapText="1"/>
    </xf>
    <xf numFmtId="14" fontId="33" fillId="0" borderId="0" xfId="87" applyNumberFormat="1" applyFont="1" applyAlignment="1">
      <alignment vertical="center"/>
    </xf>
    <xf numFmtId="0" fontId="63" fillId="29" borderId="0" xfId="87" applyFont="1" applyFill="1" applyAlignment="1">
      <alignment horizontal="center" vertical="center"/>
    </xf>
    <xf numFmtId="0" fontId="64"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67" fillId="29" borderId="2" xfId="87" applyNumberFormat="1" applyFont="1" applyFill="1" applyBorder="1" applyAlignment="1">
      <alignment horizontal="center" vertical="center" wrapText="1"/>
    </xf>
    <xf numFmtId="0" fontId="67" fillId="29" borderId="2" xfId="87" applyFont="1" applyFill="1" applyBorder="1" applyAlignment="1">
      <alignment horizontal="center" vertical="center" wrapText="1"/>
    </xf>
    <xf numFmtId="0" fontId="35" fillId="0" borderId="0" xfId="87" applyFont="1" applyAlignment="1">
      <alignment vertical="center"/>
    </xf>
    <xf numFmtId="14" fontId="68" fillId="29" borderId="2" xfId="87" applyNumberFormat="1" applyFont="1" applyFill="1" applyBorder="1" applyAlignment="1">
      <alignment vertical="center" wrapText="1"/>
    </xf>
    <xf numFmtId="0" fontId="68" fillId="29" borderId="2" xfId="87" applyFont="1" applyFill="1" applyBorder="1" applyAlignment="1">
      <alignment horizontal="center" vertical="center" wrapText="1"/>
    </xf>
    <xf numFmtId="0" fontId="68"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66" fillId="29" borderId="2" xfId="87" applyNumberFormat="1" applyFont="1" applyFill="1" applyBorder="1" applyAlignment="1">
      <alignment vertical="center" wrapText="1"/>
    </xf>
    <xf numFmtId="0" fontId="66" fillId="29" borderId="2" xfId="87" applyFont="1" applyFill="1" applyBorder="1" applyAlignment="1">
      <alignment horizontal="center" vertical="center" wrapText="1"/>
    </xf>
    <xf numFmtId="0" fontId="66" fillId="29" borderId="2" xfId="87" applyFont="1" applyFill="1" applyBorder="1" applyAlignment="1">
      <alignment vertical="center" wrapText="1"/>
    </xf>
    <xf numFmtId="164" fontId="68" fillId="29" borderId="2" xfId="87" applyNumberFormat="1" applyFont="1" applyFill="1" applyBorder="1" applyAlignment="1">
      <alignment vertical="center" wrapText="1"/>
    </xf>
    <xf numFmtId="0" fontId="66"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68" fillId="29" borderId="0" xfId="87" applyFont="1" applyFill="1" applyAlignment="1">
      <alignment vertical="center" wrapText="1"/>
    </xf>
    <xf numFmtId="0" fontId="68" fillId="29" borderId="0" xfId="87" applyFont="1" applyFill="1" applyAlignment="1">
      <alignment horizontal="center" vertical="center" wrapText="1"/>
    </xf>
    <xf numFmtId="0" fontId="69" fillId="29" borderId="0" xfId="87" applyFont="1" applyFill="1" applyAlignment="1">
      <alignment horizontal="center" vertical="center" wrapText="1"/>
    </xf>
    <xf numFmtId="0" fontId="68" fillId="29" borderId="0" xfId="87" applyFont="1" applyFill="1" applyAlignment="1">
      <alignment horizontal="center" vertical="center"/>
    </xf>
    <xf numFmtId="164" fontId="68" fillId="29" borderId="0" xfId="74" applyNumberFormat="1" applyFont="1" applyFill="1" applyAlignment="1">
      <alignment horizontal="center" vertical="center"/>
    </xf>
    <xf numFmtId="0" fontId="39" fillId="0" borderId="0" xfId="87" applyFont="1" applyAlignment="1">
      <alignment vertical="center"/>
    </xf>
    <xf numFmtId="0" fontId="66" fillId="29" borderId="0" xfId="87" applyFont="1" applyFill="1" applyAlignment="1">
      <alignment horizontal="center" vertical="center"/>
    </xf>
    <xf numFmtId="164" fontId="66" fillId="29" borderId="0" xfId="74" applyNumberFormat="1" applyFont="1" applyFill="1" applyAlignment="1">
      <alignment horizontal="center" vertical="center"/>
    </xf>
    <xf numFmtId="0" fontId="66" fillId="29" borderId="0" xfId="87" applyFont="1" applyFill="1" applyAlignment="1">
      <alignment vertical="center" wrapText="1"/>
    </xf>
    <xf numFmtId="0" fontId="70" fillId="0" borderId="0" xfId="87" applyFont="1" applyAlignment="1">
      <alignment vertical="center"/>
    </xf>
    <xf numFmtId="14" fontId="70" fillId="0" borderId="0" xfId="87" applyNumberFormat="1" applyFont="1" applyAlignment="1">
      <alignment vertical="center"/>
    </xf>
    <xf numFmtId="0" fontId="70" fillId="0" borderId="0" xfId="87" applyFont="1" applyAlignment="1">
      <alignment horizontal="center" vertical="center"/>
    </xf>
    <xf numFmtId="0" fontId="63" fillId="29" borderId="0" xfId="87" applyFont="1" applyFill="1" applyAlignment="1">
      <alignment vertical="center" wrapText="1"/>
    </xf>
    <xf numFmtId="164" fontId="71"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66" fillId="29" borderId="0" xfId="0" applyNumberFormat="1" applyFont="1" applyFill="1" applyAlignment="1">
      <alignment vertical="center"/>
    </xf>
    <xf numFmtId="0" fontId="66"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4" fillId="0" borderId="0" xfId="54" applyFont="1" applyFill="1" applyAlignment="1">
      <alignment vertical="center"/>
    </xf>
    <xf numFmtId="0" fontId="44"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5" fillId="0" borderId="2" xfId="54" applyFont="1" applyFill="1" applyBorder="1" applyAlignment="1">
      <alignment horizontal="center" vertical="center"/>
    </xf>
    <xf numFmtId="0" fontId="45"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7"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0" fillId="0" borderId="0" xfId="55" applyNumberFormat="1" applyFont="1" applyAlignment="1">
      <alignment vertical="center"/>
    </xf>
    <xf numFmtId="0" fontId="72"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2"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51" fillId="0" borderId="0" xfId="77" applyFont="1" applyFill="1" applyBorder="1" applyAlignment="1" applyProtection="1">
      <alignment horizontal="center" vertical="center"/>
      <protection hidden="1"/>
    </xf>
    <xf numFmtId="0" fontId="41"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3" fontId="34" fillId="0" borderId="16" xfId="46" applyFont="1" applyFill="1" applyBorder="1" applyAlignment="1">
      <alignment vertical="center"/>
    </xf>
    <xf numFmtId="49" fontId="0" fillId="0" borderId="0" xfId="0" applyNumberFormat="1" applyFill="1" applyAlignment="1"/>
    <xf numFmtId="0" fontId="55"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66"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55" fillId="0" borderId="0" xfId="0" applyFont="1" applyAlignment="1">
      <alignment horizontal="center"/>
    </xf>
    <xf numFmtId="0" fontId="34" fillId="0" borderId="21" xfId="55" applyNumberFormat="1" applyFont="1" applyBorder="1" applyAlignment="1">
      <alignment horizontal="left" vertical="center"/>
    </xf>
    <xf numFmtId="0" fontId="74" fillId="0" borderId="0" xfId="0" applyFont="1" applyAlignment="1">
      <alignment horizontal="center"/>
    </xf>
    <xf numFmtId="164" fontId="74"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55"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0" fillId="0" borderId="0" xfId="52" applyFont="1" applyAlignment="1">
      <alignment vertical="center"/>
    </xf>
    <xf numFmtId="14" fontId="40" fillId="0" borderId="16" xfId="54" applyNumberFormat="1" applyFont="1" applyFill="1" applyBorder="1" applyAlignment="1">
      <alignment horizontal="center" vertical="center"/>
    </xf>
    <xf numFmtId="0" fontId="40" fillId="0" borderId="16" xfId="52" applyFont="1" applyBorder="1" applyAlignment="1">
      <alignment horizontal="left" vertical="center"/>
    </xf>
    <xf numFmtId="0" fontId="40" fillId="0" borderId="16" xfId="52" quotePrefix="1" applyFont="1" applyBorder="1" applyAlignment="1">
      <alignment horizontal="center" vertical="center"/>
    </xf>
    <xf numFmtId="0" fontId="40" fillId="0" borderId="16" xfId="52" applyFont="1" applyBorder="1" applyAlignment="1">
      <alignment horizontal="center" vertical="center"/>
    </xf>
    <xf numFmtId="0" fontId="40" fillId="0" borderId="16" xfId="52" applyFont="1" applyBorder="1" applyAlignment="1">
      <alignment vertical="center"/>
    </xf>
    <xf numFmtId="164" fontId="40"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55" fillId="0" borderId="0" xfId="52" applyFont="1" applyAlignment="1">
      <alignment vertical="center"/>
    </xf>
    <xf numFmtId="0" fontId="55"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75" fillId="0" borderId="0" xfId="77" applyFont="1" applyAlignment="1">
      <alignment horizontal="center" vertical="center"/>
    </xf>
    <xf numFmtId="0" fontId="77"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7" fillId="0" borderId="16" xfId="29" applyFont="1" applyFill="1" applyBorder="1" applyAlignment="1">
      <alignment horizontal="left" vertical="center"/>
    </xf>
    <xf numFmtId="43" fontId="47"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164" fontId="47" fillId="0" borderId="16" xfId="29" applyNumberFormat="1" applyFont="1" applyFill="1" applyBorder="1" applyAlignment="1">
      <alignment horizontal="left" vertical="center"/>
    </xf>
    <xf numFmtId="164" fontId="47"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0" fontId="33" fillId="0" borderId="0" xfId="87" applyFont="1" applyAlignment="1">
      <alignment horizontal="right" vertical="center"/>
    </xf>
    <xf numFmtId="0" fontId="78"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2"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79"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68" fillId="29" borderId="0" xfId="97" applyFont="1" applyFill="1" applyAlignment="1">
      <alignment vertical="center"/>
    </xf>
    <xf numFmtId="0" fontId="63" fillId="29" borderId="0" xfId="97" applyFont="1" applyFill="1" applyAlignment="1">
      <alignment horizontal="center" vertical="center" wrapText="1"/>
    </xf>
    <xf numFmtId="0" fontId="33" fillId="0" borderId="0" xfId="97" applyFont="1" applyAlignment="1">
      <alignment vertical="center"/>
    </xf>
    <xf numFmtId="164" fontId="80" fillId="0" borderId="0" xfId="54" applyNumberFormat="1" applyFont="1" applyAlignment="1">
      <alignment horizontal="center" vertical="center" wrapText="1"/>
    </xf>
    <xf numFmtId="0" fontId="68" fillId="29" borderId="0" xfId="97" applyFont="1" applyFill="1" applyAlignment="1">
      <alignment horizontal="left" vertical="center"/>
    </xf>
    <xf numFmtId="0" fontId="63" fillId="29" borderId="0" xfId="97" applyFont="1" applyFill="1" applyAlignment="1">
      <alignment horizontal="left" vertical="center" wrapText="1"/>
    </xf>
    <xf numFmtId="164" fontId="81" fillId="0" borderId="0" xfId="54" applyNumberFormat="1" applyFont="1" applyAlignment="1">
      <alignment vertical="center" wrapText="1"/>
    </xf>
    <xf numFmtId="164" fontId="81"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78" fillId="0" borderId="0" xfId="98" applyFont="1" applyAlignment="1">
      <alignment vertical="center"/>
    </xf>
    <xf numFmtId="0" fontId="77" fillId="0" borderId="0" xfId="0" applyFont="1" applyAlignment="1">
      <alignment vertical="center"/>
    </xf>
    <xf numFmtId="0" fontId="82" fillId="0" borderId="0" xfId="0" applyFont="1" applyAlignment="1">
      <alignment vertical="center"/>
    </xf>
    <xf numFmtId="0" fontId="34" fillId="0" borderId="0" xfId="0" applyFont="1" applyAlignment="1">
      <alignment vertical="center"/>
    </xf>
    <xf numFmtId="0" fontId="81"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1"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1"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3" fillId="0" borderId="16" xfId="0" applyFont="1" applyFill="1" applyBorder="1" applyAlignment="1">
      <alignment vertical="center"/>
    </xf>
    <xf numFmtId="0" fontId="83" fillId="0" borderId="16" xfId="0" applyFont="1" applyFill="1" applyBorder="1" applyAlignment="1">
      <alignment horizontal="center" vertical="center"/>
    </xf>
    <xf numFmtId="164" fontId="83" fillId="0" borderId="16" xfId="29" applyNumberFormat="1" applyFont="1" applyFill="1" applyBorder="1" applyAlignment="1">
      <alignment vertical="center"/>
    </xf>
    <xf numFmtId="164" fontId="83" fillId="0" borderId="16" xfId="29" applyNumberFormat="1" applyFont="1" applyBorder="1" applyAlignment="1">
      <alignment vertical="center"/>
    </xf>
    <xf numFmtId="0" fontId="40"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1"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48"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5" fillId="34" borderId="17" xfId="80" applyFont="1" applyFill="1" applyBorder="1" applyAlignment="1" applyProtection="1">
      <alignment horizontal="center" vertical="center"/>
      <protection hidden="1"/>
    </xf>
    <xf numFmtId="0" fontId="45"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2" fillId="0" borderId="0" xfId="80" applyFont="1" applyAlignment="1" applyProtection="1">
      <alignment horizontal="left" vertical="center"/>
      <protection hidden="1"/>
    </xf>
    <xf numFmtId="0" fontId="72" fillId="0" borderId="0" xfId="80" applyFont="1" applyAlignment="1" applyProtection="1">
      <alignment horizontal="center" vertical="center"/>
      <protection hidden="1"/>
    </xf>
    <xf numFmtId="0" fontId="51" fillId="0" borderId="0" xfId="99" applyFont="1"/>
    <xf numFmtId="0" fontId="33" fillId="0" borderId="0" xfId="99" applyFont="1"/>
    <xf numFmtId="0" fontId="33" fillId="0" borderId="0" xfId="99" applyFont="1" applyFill="1" applyBorder="1"/>
    <xf numFmtId="0" fontId="63" fillId="29" borderId="0" xfId="97" applyFont="1" applyFill="1" applyAlignment="1">
      <alignment vertical="top"/>
    </xf>
    <xf numFmtId="0" fontId="63"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3"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1" fillId="0" borderId="22" xfId="99" applyFont="1" applyBorder="1" applyAlignment="1"/>
    <xf numFmtId="0" fontId="51"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2"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1"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55"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2" fillId="0" borderId="0" xfId="0" applyFont="1" applyAlignment="1" applyProtection="1">
      <alignment horizontal="center"/>
      <protection hidden="1"/>
    </xf>
    <xf numFmtId="0" fontId="62" fillId="0" borderId="0" xfId="0" applyNumberFormat="1" applyFont="1" applyProtection="1">
      <protection hidden="1"/>
    </xf>
    <xf numFmtId="14" fontId="62" fillId="0" borderId="0" xfId="0" applyNumberFormat="1" applyFont="1" applyProtection="1">
      <protection hidden="1"/>
    </xf>
    <xf numFmtId="164" fontId="62" fillId="0" borderId="0" xfId="29" applyNumberFormat="1" applyFont="1" applyProtection="1">
      <protection hidden="1"/>
    </xf>
    <xf numFmtId="0" fontId="70" fillId="0" borderId="0" xfId="100" applyFont="1" applyAlignment="1">
      <alignment vertical="center"/>
    </xf>
    <xf numFmtId="0" fontId="70" fillId="0" borderId="0" xfId="100" applyFont="1" applyBorder="1" applyAlignment="1">
      <alignment vertical="center"/>
    </xf>
    <xf numFmtId="14" fontId="70" fillId="0" borderId="0" xfId="100" applyNumberFormat="1" applyFont="1" applyAlignment="1">
      <alignment vertical="center"/>
    </xf>
    <xf numFmtId="0" fontId="87" fillId="0" borderId="0" xfId="100" applyFont="1" applyAlignment="1">
      <alignment vertical="center"/>
    </xf>
    <xf numFmtId="164" fontId="70" fillId="0" borderId="0" xfId="29" applyNumberFormat="1" applyFont="1" applyAlignment="1">
      <alignment vertical="center"/>
    </xf>
    <xf numFmtId="0" fontId="88"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1" fillId="0" borderId="2" xfId="100" quotePrefix="1" applyNumberFormat="1" applyFont="1" applyBorder="1" applyAlignment="1">
      <alignment horizontal="center" vertical="center"/>
    </xf>
    <xf numFmtId="0" fontId="41" fillId="0" borderId="2" xfId="100" applyFont="1" applyBorder="1" applyAlignment="1">
      <alignment horizontal="center" vertical="center"/>
    </xf>
    <xf numFmtId="164" fontId="41"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0" fillId="0" borderId="0" xfId="100" applyFont="1" applyBorder="1" applyAlignment="1">
      <alignment horizontal="center" vertical="center"/>
    </xf>
    <xf numFmtId="164" fontId="33" fillId="0" borderId="16" xfId="29" applyNumberFormat="1" applyFont="1" applyBorder="1" applyAlignment="1">
      <alignment vertical="center"/>
    </xf>
    <xf numFmtId="164" fontId="71" fillId="0" borderId="0" xfId="29" applyNumberFormat="1" applyFont="1" applyAlignment="1">
      <alignment vertical="center"/>
    </xf>
    <xf numFmtId="164" fontId="34" fillId="0" borderId="0" xfId="100" applyNumberFormat="1" applyFont="1" applyAlignment="1">
      <alignment vertical="center"/>
    </xf>
    <xf numFmtId="164" fontId="70" fillId="0" borderId="0" xfId="29" applyNumberFormat="1" applyFont="1" applyBorder="1" applyAlignment="1">
      <alignment vertical="center"/>
    </xf>
    <xf numFmtId="164" fontId="70" fillId="0" borderId="0" xfId="100" applyNumberFormat="1" applyFont="1" applyAlignment="1">
      <alignment vertical="center"/>
    </xf>
    <xf numFmtId="164" fontId="55" fillId="0" borderId="0" xfId="29" applyNumberFormat="1" applyFont="1" applyAlignment="1">
      <alignment horizontal="center" vertical="center"/>
    </xf>
    <xf numFmtId="0" fontId="55" fillId="0" borderId="0" xfId="100" applyFont="1" applyAlignment="1">
      <alignment horizontal="center" vertical="center"/>
    </xf>
    <xf numFmtId="0" fontId="71" fillId="0" borderId="0" xfId="100" applyFont="1" applyAlignment="1">
      <alignment horizontal="center" vertical="center"/>
    </xf>
    <xf numFmtId="164" fontId="71" fillId="0" borderId="0" xfId="29" applyNumberFormat="1" applyFont="1" applyAlignment="1">
      <alignment horizontal="center" vertical="center"/>
    </xf>
    <xf numFmtId="0" fontId="74" fillId="0" borderId="0" xfId="100" applyFont="1" applyAlignment="1">
      <alignment horizontal="center" vertical="center"/>
    </xf>
    <xf numFmtId="43" fontId="70" fillId="0" borderId="0" xfId="29" applyFont="1" applyAlignment="1">
      <alignment vertical="center"/>
    </xf>
    <xf numFmtId="164" fontId="74" fillId="0" borderId="0" xfId="29" applyNumberFormat="1" applyFont="1" applyAlignment="1">
      <alignment horizontal="center" vertical="center"/>
    </xf>
    <xf numFmtId="174" fontId="70" fillId="0" borderId="0" xfId="100" applyNumberFormat="1" applyFont="1" applyAlignment="1">
      <alignment horizontal="center" vertical="center"/>
    </xf>
    <xf numFmtId="14" fontId="71"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0"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1" fillId="0" borderId="23" xfId="101" applyFont="1" applyFill="1" applyBorder="1"/>
    <xf numFmtId="175" fontId="91" fillId="0" borderId="23" xfId="29" applyNumberFormat="1" applyFont="1" applyBorder="1"/>
    <xf numFmtId="164" fontId="34" fillId="0" borderId="23" xfId="29" applyNumberFormat="1" applyFont="1" applyFill="1" applyBorder="1"/>
    <xf numFmtId="164" fontId="91" fillId="0" borderId="23" xfId="29" applyNumberFormat="1" applyFont="1" applyFill="1" applyBorder="1"/>
    <xf numFmtId="164" fontId="91" fillId="29" borderId="23" xfId="29" applyNumberFormat="1" applyFont="1" applyFill="1" applyBorder="1" applyAlignment="1">
      <alignment horizontal="right"/>
    </xf>
    <xf numFmtId="164" fontId="34" fillId="0" borderId="16" xfId="29" applyNumberFormat="1" applyFont="1" applyBorder="1"/>
    <xf numFmtId="164" fontId="91" fillId="0" borderId="23" xfId="29" applyNumberFormat="1" applyFont="1" applyBorder="1" applyAlignment="1"/>
    <xf numFmtId="43" fontId="91" fillId="0" borderId="23" xfId="29" applyFont="1" applyFill="1" applyBorder="1"/>
    <xf numFmtId="164" fontId="34" fillId="0" borderId="0" xfId="29" applyNumberFormat="1" applyFont="1" applyFill="1" applyBorder="1" applyAlignment="1">
      <alignment horizontal="left"/>
    </xf>
    <xf numFmtId="0" fontId="91"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1" fillId="0" borderId="19" xfId="101" applyFont="1" applyFill="1" applyBorder="1"/>
    <xf numFmtId="175" fontId="91" fillId="0" borderId="19" xfId="29" applyNumberFormat="1" applyFont="1" applyBorder="1"/>
    <xf numFmtId="164" fontId="91" fillId="0" borderId="19" xfId="29" applyNumberFormat="1" applyFont="1" applyFill="1" applyBorder="1"/>
    <xf numFmtId="164" fontId="91" fillId="29" borderId="19" xfId="29" applyNumberFormat="1" applyFont="1" applyFill="1" applyBorder="1" applyAlignment="1">
      <alignment horizontal="right"/>
    </xf>
    <xf numFmtId="164" fontId="91"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1"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1"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0"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78"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1"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68" fillId="29" borderId="2" xfId="29" applyFont="1" applyFill="1" applyBorder="1" applyAlignment="1">
      <alignment vertical="center" wrapText="1"/>
    </xf>
    <xf numFmtId="43" fontId="34" fillId="0" borderId="16" xfId="29" applyFont="1" applyFill="1" applyBorder="1" applyAlignment="1">
      <alignment vertical="center" wrapText="1"/>
    </xf>
    <xf numFmtId="43" fontId="66" fillId="29" borderId="2" xfId="29" applyFont="1" applyFill="1" applyBorder="1" applyAlignment="1">
      <alignment vertical="center" wrapText="1"/>
    </xf>
    <xf numFmtId="164" fontId="68"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7" fillId="0" borderId="16" xfId="0" applyFont="1" applyBorder="1" applyAlignment="1">
      <alignment vertical="center"/>
    </xf>
    <xf numFmtId="0" fontId="47" fillId="0" borderId="16" xfId="0" applyFont="1" applyBorder="1" applyAlignment="1">
      <alignment horizontal="center" vertical="center"/>
    </xf>
    <xf numFmtId="164" fontId="47" fillId="0" borderId="16" xfId="29" applyNumberFormat="1" applyFont="1" applyBorder="1" applyAlignment="1">
      <alignment vertical="center"/>
    </xf>
    <xf numFmtId="164" fontId="47" fillId="0" borderId="21" xfId="29" applyNumberFormat="1" applyFont="1" applyBorder="1" applyAlignment="1">
      <alignment vertical="center"/>
    </xf>
    <xf numFmtId="164" fontId="47" fillId="0" borderId="16" xfId="29" applyNumberFormat="1" applyFont="1" applyFill="1" applyBorder="1" applyAlignment="1">
      <alignment vertical="center"/>
    </xf>
    <xf numFmtId="3" fontId="47" fillId="0" borderId="16" xfId="0" applyNumberFormat="1" applyFont="1" applyBorder="1" applyAlignment="1">
      <alignment vertical="center"/>
    </xf>
    <xf numFmtId="3" fontId="47" fillId="0" borderId="16" xfId="46" applyFont="1" applyBorder="1" applyAlignment="1">
      <alignment vertical="center"/>
    </xf>
    <xf numFmtId="164" fontId="47" fillId="0" borderId="21" xfId="29" applyNumberFormat="1" applyFont="1" applyBorder="1" applyAlignment="1">
      <alignment horizontal="center" vertical="center"/>
    </xf>
    <xf numFmtId="0" fontId="47" fillId="0" borderId="0" xfId="53" applyFont="1" applyAlignment="1">
      <alignment vertical="center"/>
    </xf>
    <xf numFmtId="164" fontId="34" fillId="0" borderId="0" xfId="29" applyNumberFormat="1" applyFont="1" applyFill="1"/>
    <xf numFmtId="164" fontId="40" fillId="0" borderId="16" xfId="54" applyNumberFormat="1" applyFont="1" applyFill="1" applyBorder="1" applyAlignment="1">
      <alignment horizontal="left" vertical="center"/>
    </xf>
    <xf numFmtId="164" fontId="40" fillId="0" borderId="16" xfId="0" applyNumberFormat="1" applyFont="1" applyFill="1" applyBorder="1" applyAlignment="1">
      <alignment vertical="center"/>
    </xf>
    <xf numFmtId="0" fontId="40" fillId="0" borderId="16" xfId="54" quotePrefix="1" applyNumberFormat="1" applyFont="1" applyFill="1" applyBorder="1" applyAlignment="1">
      <alignment horizontal="center"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34" fillId="0" borderId="16" xfId="76" quotePrefix="1" applyNumberFormat="1" applyFont="1" applyFill="1" applyBorder="1" applyAlignment="1">
      <alignment horizontal="left" vertical="center"/>
    </xf>
    <xf numFmtId="0" fontId="0" fillId="0" borderId="0" xfId="0" applyFill="1" applyAlignment="1">
      <alignment horizontal="left"/>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43" fontId="34" fillId="0" borderId="21" xfId="74" applyFont="1" applyBorder="1" applyAlignment="1">
      <alignment vertical="center"/>
    </xf>
    <xf numFmtId="164" fontId="34" fillId="0" borderId="21" xfId="74" applyNumberFormat="1" applyFont="1" applyBorder="1" applyAlignment="1">
      <alignment vertical="center"/>
    </xf>
    <xf numFmtId="0" fontId="41"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86"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2" fillId="0" borderId="2" xfId="95" applyFont="1" applyBorder="1" applyAlignment="1">
      <alignment horizontal="center" vertical="center"/>
    </xf>
    <xf numFmtId="164" fontId="92" fillId="0" borderId="2" xfId="96" applyNumberFormat="1" applyFont="1" applyBorder="1" applyAlignment="1">
      <alignment horizontal="center" vertical="center"/>
    </xf>
    <xf numFmtId="0" fontId="92"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2"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1" fillId="0" borderId="0" xfId="96" applyNumberFormat="1" applyFont="1" applyBorder="1" applyAlignment="1">
      <alignment vertical="center"/>
    </xf>
    <xf numFmtId="0" fontId="72" fillId="0" borderId="0" xfId="95" applyFont="1" applyAlignment="1">
      <alignment vertical="center"/>
    </xf>
    <xf numFmtId="0" fontId="72" fillId="0" borderId="0" xfId="95" applyFont="1" applyAlignment="1">
      <alignment horizontal="center" vertical="center"/>
    </xf>
    <xf numFmtId="164" fontId="93" fillId="0" borderId="0" xfId="96" applyNumberFormat="1" applyFont="1" applyBorder="1" applyAlignment="1">
      <alignment vertical="center"/>
    </xf>
    <xf numFmtId="164" fontId="72"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2" fillId="0" borderId="16" xfId="95" applyFont="1" applyBorder="1" applyAlignment="1">
      <alignment horizontal="center" vertical="center"/>
    </xf>
    <xf numFmtId="0" fontId="34" fillId="0" borderId="16" xfId="95" applyFont="1" applyBorder="1" applyAlignment="1">
      <alignment horizontal="center" vertical="center"/>
    </xf>
    <xf numFmtId="0" fontId="92" fillId="0" borderId="21" xfId="95" applyFont="1" applyBorder="1" applyAlignment="1">
      <alignment horizontal="center" vertical="center"/>
    </xf>
    <xf numFmtId="0" fontId="92" fillId="0" borderId="21" xfId="95" applyFont="1" applyBorder="1" applyAlignment="1">
      <alignment horizontal="left" vertical="center"/>
    </xf>
    <xf numFmtId="0" fontId="92"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2"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2"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2" fillId="0" borderId="0" xfId="95" applyFont="1" applyAlignment="1">
      <alignment horizontal="center" vertical="center"/>
    </xf>
    <xf numFmtId="0" fontId="81" fillId="0" borderId="0" xfId="95" applyFont="1" applyAlignment="1">
      <alignment vertical="center"/>
    </xf>
    <xf numFmtId="0" fontId="94" fillId="0" borderId="0" xfId="95" applyFont="1" applyAlignment="1">
      <alignment vertical="center"/>
    </xf>
    <xf numFmtId="0" fontId="80" fillId="0" borderId="0" xfId="95" applyFont="1" applyAlignment="1">
      <alignment vertical="center" wrapText="1"/>
    </xf>
    <xf numFmtId="0" fontId="95" fillId="0" borderId="0" xfId="95" applyFont="1" applyAlignment="1">
      <alignment vertical="center"/>
    </xf>
    <xf numFmtId="0" fontId="96"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97" fillId="0" borderId="0" xfId="95" applyFont="1" applyAlignment="1">
      <alignment vertical="center"/>
    </xf>
    <xf numFmtId="0" fontId="87"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4" fillId="0" borderId="0" xfId="29" applyNumberFormat="1" applyFont="1" applyAlignment="1">
      <alignment vertical="center"/>
    </xf>
    <xf numFmtId="41" fontId="84"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55" fillId="0" borderId="0" xfId="95" applyFont="1" applyAlignment="1">
      <alignment horizontal="center" vertical="center"/>
    </xf>
    <xf numFmtId="164" fontId="55" fillId="0" borderId="0" xfId="96" applyNumberFormat="1" applyFont="1" applyAlignment="1">
      <alignment horizontal="center" vertical="center"/>
    </xf>
    <xf numFmtId="164" fontId="55"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55" fillId="0" borderId="0" xfId="0" applyFont="1" applyAlignment="1" applyProtection="1">
      <alignment horizontal="center"/>
      <protection hidden="1"/>
    </xf>
    <xf numFmtId="0" fontId="74" fillId="0" borderId="0" xfId="95" applyFont="1" applyAlignment="1">
      <alignment horizontal="center" vertical="center"/>
    </xf>
    <xf numFmtId="164" fontId="74" fillId="0" borderId="0" xfId="96" applyNumberFormat="1" applyFont="1" applyAlignment="1">
      <alignment horizontal="center" vertical="center"/>
    </xf>
    <xf numFmtId="0" fontId="72" fillId="0" borderId="0" xfId="95" applyFont="1" applyAlignment="1">
      <alignment horizontal="center" vertical="center"/>
    </xf>
    <xf numFmtId="0" fontId="36" fillId="27" borderId="31" xfId="87" applyFont="1" applyFill="1" applyBorder="1" applyAlignment="1" applyProtection="1">
      <alignment vertical="center"/>
      <protection locked="0" hidden="1"/>
    </xf>
    <xf numFmtId="0" fontId="87" fillId="0" borderId="0" xfId="100" applyFont="1" applyAlignment="1">
      <alignment vertical="center" wrapText="1"/>
    </xf>
    <xf numFmtId="0" fontId="70" fillId="0" borderId="0" xfId="100" applyFont="1" applyAlignment="1">
      <alignment vertical="center" wrapText="1"/>
    </xf>
    <xf numFmtId="0" fontId="41"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1" fillId="0" borderId="0" xfId="29" applyNumberFormat="1" applyFont="1" applyAlignment="1">
      <alignment vertical="center" wrapText="1"/>
    </xf>
    <xf numFmtId="164" fontId="70" fillId="0" borderId="0" xfId="100" applyNumberFormat="1" applyFont="1" applyAlignment="1">
      <alignment vertical="center" wrapText="1"/>
    </xf>
    <xf numFmtId="43" fontId="70" fillId="0" borderId="0" xfId="29" applyFont="1" applyAlignment="1">
      <alignment horizontal="center" vertical="center" wrapText="1"/>
    </xf>
    <xf numFmtId="0" fontId="0" fillId="0" borderId="0" xfId="0" applyAlignment="1">
      <alignment wrapText="1"/>
    </xf>
    <xf numFmtId="164" fontId="34" fillId="0" borderId="0" xfId="87" applyNumberFormat="1" applyFont="1" applyFill="1" applyAlignment="1">
      <alignmen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66"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33" fillId="0" borderId="16" xfId="0" applyFont="1" applyBorder="1" applyAlignment="1">
      <alignment vertical="center"/>
    </xf>
    <xf numFmtId="0" fontId="33" fillId="0" borderId="16" xfId="0" applyFont="1" applyBorder="1"/>
    <xf numFmtId="0" fontId="98" fillId="0" borderId="16" xfId="0" applyFont="1" applyBorder="1" applyAlignment="1">
      <alignment vertical="center" wrapText="1"/>
    </xf>
    <xf numFmtId="173" fontId="34" fillId="0" borderId="16" xfId="29" applyNumberFormat="1" applyFont="1" applyFill="1" applyBorder="1" applyAlignment="1">
      <alignment horizontal="left" vertical="center"/>
    </xf>
    <xf numFmtId="0" fontId="53" fillId="0" borderId="16" xfId="98" applyNumberFormat="1" applyFont="1" applyBorder="1" applyAlignment="1" applyProtection="1">
      <alignment horizontal="center" vertical="center"/>
      <protection hidden="1"/>
    </xf>
    <xf numFmtId="0" fontId="53" fillId="0" borderId="16" xfId="0" applyFont="1" applyFill="1" applyBorder="1" applyAlignment="1" applyProtection="1">
      <alignment horizontal="left"/>
      <protection hidden="1"/>
    </xf>
    <xf numFmtId="0" fontId="53" fillId="0" borderId="16" xfId="80" applyFont="1" applyBorder="1" applyAlignment="1" applyProtection="1">
      <alignment vertical="center"/>
      <protection hidden="1"/>
    </xf>
    <xf numFmtId="0" fontId="53" fillId="0" borderId="16" xfId="80" applyFont="1" applyBorder="1" applyAlignment="1" applyProtection="1">
      <alignment horizontal="center" vertical="center"/>
      <protection hidden="1"/>
    </xf>
    <xf numFmtId="164" fontId="53" fillId="0" borderId="16" xfId="29" applyNumberFormat="1" applyFont="1" applyBorder="1" applyAlignment="1" applyProtection="1">
      <alignment vertical="center"/>
      <protection hidden="1"/>
    </xf>
    <xf numFmtId="173" fontId="53" fillId="0" borderId="16" xfId="29" applyNumberFormat="1" applyFont="1" applyFill="1" applyBorder="1" applyAlignment="1" applyProtection="1">
      <alignment horizontal="center"/>
      <protection hidden="1"/>
    </xf>
    <xf numFmtId="164" fontId="53" fillId="0" borderId="16" xfId="29" applyNumberFormat="1" applyFont="1" applyFill="1" applyBorder="1" applyAlignment="1" applyProtection="1">
      <alignment horizontal="left"/>
      <protection hidden="1"/>
    </xf>
    <xf numFmtId="0" fontId="53" fillId="0" borderId="19" xfId="98" applyNumberFormat="1" applyFont="1" applyBorder="1" applyAlignment="1" applyProtection="1">
      <alignment horizontal="center" vertical="center"/>
      <protection hidden="1"/>
    </xf>
    <xf numFmtId="0" fontId="53" fillId="0" borderId="19" xfId="0" applyFont="1" applyFill="1" applyBorder="1" applyAlignment="1" applyProtection="1">
      <alignment horizontal="left"/>
      <protection hidden="1"/>
    </xf>
    <xf numFmtId="0" fontId="53" fillId="0" borderId="19" xfId="80" applyFont="1" applyBorder="1" applyAlignment="1" applyProtection="1">
      <alignment vertical="center"/>
      <protection hidden="1"/>
    </xf>
    <xf numFmtId="0" fontId="53" fillId="0" borderId="19" xfId="80" applyFont="1" applyBorder="1" applyAlignment="1" applyProtection="1">
      <alignment horizontal="center" vertical="center"/>
      <protection hidden="1"/>
    </xf>
    <xf numFmtId="164" fontId="53" fillId="0" borderId="19" xfId="29" applyNumberFormat="1" applyFont="1" applyBorder="1" applyAlignment="1" applyProtection="1">
      <alignment vertical="center"/>
      <protection hidden="1"/>
    </xf>
    <xf numFmtId="164" fontId="53" fillId="0" borderId="19" xfId="29" applyNumberFormat="1" applyFont="1" applyFill="1" applyBorder="1" applyAlignment="1" applyProtection="1">
      <alignment horizontal="center"/>
      <protection hidden="1"/>
    </xf>
    <xf numFmtId="164" fontId="53" fillId="0" borderId="19" xfId="29" applyNumberFormat="1" applyFont="1" applyFill="1" applyBorder="1" applyAlignment="1" applyProtection="1">
      <alignment horizontal="left"/>
      <protection hidden="1"/>
    </xf>
    <xf numFmtId="0" fontId="53" fillId="0" borderId="2" xfId="80" applyFont="1" applyBorder="1" applyAlignment="1" applyProtection="1">
      <alignment vertical="center"/>
      <protection hidden="1"/>
    </xf>
    <xf numFmtId="164" fontId="53" fillId="0" borderId="2" xfId="29" applyNumberFormat="1" applyFont="1" applyBorder="1" applyAlignment="1" applyProtection="1">
      <alignment vertical="center"/>
      <protection hidden="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4"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4"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3"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55"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66" fillId="29" borderId="36" xfId="87" applyFont="1" applyFill="1" applyBorder="1" applyAlignment="1">
      <alignment horizontal="center" vertical="center" wrapText="1"/>
    </xf>
    <xf numFmtId="0" fontId="66" fillId="29" borderId="38" xfId="87" applyFont="1" applyFill="1" applyBorder="1" applyAlignment="1">
      <alignment horizontal="center" vertical="center" wrapText="1"/>
    </xf>
    <xf numFmtId="0" fontId="33" fillId="0" borderId="0" xfId="87" applyFont="1" applyAlignment="1">
      <alignment horizontal="center" vertical="center"/>
    </xf>
    <xf numFmtId="14" fontId="66" fillId="29" borderId="17" xfId="87" applyNumberFormat="1" applyFont="1" applyFill="1" applyBorder="1" applyAlignment="1">
      <alignment horizontal="center" vertical="center" wrapText="1"/>
    </xf>
    <xf numFmtId="14" fontId="66"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65" fillId="0" borderId="0" xfId="87" applyFont="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0" fillId="0" borderId="5" xfId="77" applyFont="1" applyBorder="1" applyAlignment="1">
      <alignment vertical="center"/>
    </xf>
    <xf numFmtId="0" fontId="50"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2"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2"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77"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53" fillId="0" borderId="2"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4"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55"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0" fillId="0" borderId="0" xfId="100" applyFont="1" applyAlignment="1">
      <alignment horizontal="center" vertical="center"/>
    </xf>
    <xf numFmtId="0" fontId="70" fillId="0" borderId="0" xfId="100" applyFont="1" applyAlignment="1">
      <alignment horizontal="left" vertical="center" wrapText="1"/>
    </xf>
    <xf numFmtId="0" fontId="70" fillId="0" borderId="0" xfId="100" applyFont="1" applyAlignment="1">
      <alignment horizontal="left" vertical="center"/>
    </xf>
    <xf numFmtId="0" fontId="38" fillId="0" borderId="0" xfId="100" applyFont="1" applyAlignment="1">
      <alignment horizontal="center" vertical="center" wrapText="1"/>
    </xf>
    <xf numFmtId="0" fontId="45" fillId="0" borderId="28" xfId="100" applyFont="1" applyBorder="1" applyAlignment="1">
      <alignment horizontal="center" vertical="center" wrapText="1"/>
    </xf>
    <xf numFmtId="0" fontId="45" fillId="0" borderId="29" xfId="100" applyFont="1" applyBorder="1" applyAlignment="1">
      <alignment horizontal="center" vertical="center" wrapText="1"/>
    </xf>
    <xf numFmtId="0" fontId="45" fillId="0" borderId="49" xfId="100" applyFont="1" applyBorder="1" applyAlignment="1">
      <alignment horizontal="center" vertical="center" wrapText="1"/>
    </xf>
    <xf numFmtId="0" fontId="45" fillId="0" borderId="50" xfId="100" applyFont="1" applyBorder="1" applyAlignment="1">
      <alignment horizontal="center" vertical="center" wrapText="1"/>
    </xf>
    <xf numFmtId="0" fontId="45" fillId="0" borderId="32" xfId="100" applyFont="1" applyBorder="1" applyAlignment="1">
      <alignment horizontal="center" vertical="center" wrapText="1"/>
    </xf>
    <xf numFmtId="0" fontId="45" fillId="0" borderId="33" xfId="100" applyFont="1" applyBorder="1" applyAlignment="1">
      <alignment horizontal="center" vertical="center" wrapText="1"/>
    </xf>
    <xf numFmtId="0" fontId="86"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4"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4" fillId="0" borderId="0" xfId="78" applyFont="1" applyAlignment="1">
      <alignment horizontal="center" vertical="center"/>
    </xf>
    <xf numFmtId="0" fontId="84"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2"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2" fillId="0" borderId="0" xfId="95" applyFont="1" applyAlignment="1">
      <alignment horizontal="center" vertical="center"/>
    </xf>
    <xf numFmtId="0" fontId="76"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opLeftCell="A8" workbookViewId="0">
      <pane xSplit="2" ySplit="2" topLeftCell="C22" activePane="bottomRight" state="frozen"/>
      <selection activeCell="D43" sqref="D43"/>
      <selection pane="topRight" activeCell="D43" sqref="D43"/>
      <selection pane="bottomLeft" activeCell="D43" sqref="D43"/>
      <selection pane="bottomRight" activeCell="C26" sqref="C26:G26"/>
    </sheetView>
  </sheetViews>
  <sheetFormatPr defaultColWidth="8" defaultRowHeight="13.5"/>
  <cols>
    <col min="1" max="1" width="7.42578125" style="33" customWidth="1"/>
    <col min="2" max="2" width="35" style="33" customWidth="1"/>
    <col min="3" max="3" width="14.5703125" style="32" customWidth="1"/>
    <col min="4" max="4" width="12.7109375" style="32" customWidth="1"/>
    <col min="5" max="5" width="15.140625" style="33" customWidth="1"/>
    <col min="6" max="6" width="16.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0</v>
      </c>
      <c r="F10" s="43">
        <f t="array" ref="F10">SUM(IF(A10=KHC,TH))</f>
        <v>5278000000</v>
      </c>
      <c r="G10" s="44">
        <f>MAX(C10+E10-D10-F10,0)</f>
        <v>0</v>
      </c>
      <c r="H10" s="44">
        <f>MAX(D10+F10-E10-C10,0)</f>
        <v>1572960905</v>
      </c>
      <c r="K10" s="45"/>
      <c r="L10" s="45"/>
    </row>
    <row r="11" spans="1:12" s="32" customFormat="1">
      <c r="A11" s="46" t="s">
        <v>18</v>
      </c>
      <c r="B11" s="47" t="s">
        <v>65</v>
      </c>
      <c r="C11" s="48">
        <v>3705039095</v>
      </c>
      <c r="D11" s="48">
        <v>0</v>
      </c>
      <c r="E11" s="48">
        <f>E10</f>
        <v>0</v>
      </c>
      <c r="F11" s="48">
        <f>F10</f>
        <v>5278000000</v>
      </c>
      <c r="G11" s="48">
        <f>G10</f>
        <v>0</v>
      </c>
      <c r="H11" s="48">
        <f>H10</f>
        <v>1572960905</v>
      </c>
    </row>
    <row r="12" spans="1:12" s="32" customFormat="1">
      <c r="A12" s="49" t="s">
        <v>26</v>
      </c>
      <c r="B12" s="42" t="s">
        <v>66</v>
      </c>
      <c r="C12" s="43">
        <v>19829295</v>
      </c>
      <c r="D12" s="43">
        <v>0</v>
      </c>
      <c r="E12" s="43">
        <f t="array" ref="E12">SUM(IF(A12=KHN,TH))</f>
        <v>0</v>
      </c>
      <c r="F12" s="43">
        <f t="array" ref="F12">SUM(IF(A12=KHC,TH))</f>
        <v>0</v>
      </c>
      <c r="G12" s="44">
        <f>MAX(C12+E12-D12-F12,0)</f>
        <v>19829295</v>
      </c>
      <c r="H12" s="44">
        <f>MAX(D12+F12-E12-C12,0)</f>
        <v>0</v>
      </c>
      <c r="K12" s="45"/>
      <c r="L12" s="45"/>
    </row>
    <row r="13" spans="1:12" s="32" customFormat="1">
      <c r="A13" s="49" t="s">
        <v>267</v>
      </c>
      <c r="B13" s="42" t="s">
        <v>268</v>
      </c>
      <c r="C13" s="43">
        <v>2236796790</v>
      </c>
      <c r="D13" s="43">
        <v>0</v>
      </c>
      <c r="E13" s="43">
        <f t="array" ref="E13">SUM(IF(A13=KHN,TH))</f>
        <v>0</v>
      </c>
      <c r="F13" s="43">
        <f t="array" ref="F13">SUM(IF(A13=KHC,TH))</f>
        <v>0</v>
      </c>
      <c r="G13" s="44">
        <f>MAX(C13+E13-D13-F13,0)</f>
        <v>2236796790</v>
      </c>
      <c r="H13" s="44">
        <f>MAX(D13+F13-E13-C13,0)</f>
        <v>0</v>
      </c>
      <c r="K13" s="45"/>
      <c r="L13" s="45"/>
    </row>
    <row r="14" spans="1:12" s="32" customFormat="1">
      <c r="A14" s="46" t="s">
        <v>67</v>
      </c>
      <c r="B14" s="47" t="s">
        <v>68</v>
      </c>
      <c r="C14" s="48">
        <v>2256626085</v>
      </c>
      <c r="D14" s="48">
        <v>0</v>
      </c>
      <c r="E14" s="48">
        <f>E12+E13</f>
        <v>0</v>
      </c>
      <c r="F14" s="48">
        <f>F12+F13</f>
        <v>0</v>
      </c>
      <c r="G14" s="48">
        <f>G12+G13</f>
        <v>2256626085</v>
      </c>
      <c r="H14" s="48">
        <f>H12+H13</f>
        <v>0</v>
      </c>
    </row>
    <row r="15" spans="1:12" s="32" customFormat="1">
      <c r="A15" s="46" t="s">
        <v>581</v>
      </c>
      <c r="B15" s="47" t="s">
        <v>660</v>
      </c>
      <c r="C15" s="48">
        <v>3343381600</v>
      </c>
      <c r="D15" s="48">
        <v>0</v>
      </c>
      <c r="E15" s="81">
        <f t="array" ref="E15">SUM(IF(A15=KHN,TH))</f>
        <v>114165700</v>
      </c>
      <c r="F15" s="81">
        <f t="array" ref="F15">SUM(IF(A15=KHC,TH))</f>
        <v>0</v>
      </c>
      <c r="G15" s="48">
        <f>MAX(C15+E15-D15-F15,0)</f>
        <v>3457547300</v>
      </c>
      <c r="H15" s="48">
        <f>MAX(D15+F15-E15-C15,0)</f>
        <v>0</v>
      </c>
    </row>
    <row r="16" spans="1:12" s="32" customFormat="1">
      <c r="A16" s="49" t="s">
        <v>9</v>
      </c>
      <c r="B16" s="42" t="s">
        <v>69</v>
      </c>
      <c r="C16" s="43">
        <v>162420936</v>
      </c>
      <c r="D16" s="43">
        <v>0</v>
      </c>
      <c r="E16" s="43">
        <f t="array" ref="E16">SUM(IF(A16=KHN,TH))</f>
        <v>0</v>
      </c>
      <c r="F16" s="43">
        <f t="array" ref="F16">SUM(IF(A16=KHC,TH))</f>
        <v>10378700</v>
      </c>
      <c r="G16" s="44">
        <f>MAX(C16+E16-D16-F16,0)</f>
        <v>152042236</v>
      </c>
      <c r="H16" s="44">
        <f>MAX(D16+F16-E16-C16,0)</f>
        <v>0</v>
      </c>
    </row>
    <row r="17" spans="1:8" s="32" customFormat="1">
      <c r="A17" s="46" t="s">
        <v>70</v>
      </c>
      <c r="B17" s="47" t="s">
        <v>71</v>
      </c>
      <c r="C17" s="48">
        <v>162420936</v>
      </c>
      <c r="D17" s="48">
        <v>0</v>
      </c>
      <c r="E17" s="48">
        <f>E16</f>
        <v>0</v>
      </c>
      <c r="F17" s="48">
        <f>F16</f>
        <v>10378700</v>
      </c>
      <c r="G17" s="48">
        <f>G16</f>
        <v>152042236</v>
      </c>
      <c r="H17" s="48">
        <f>H16</f>
        <v>0</v>
      </c>
    </row>
    <row r="18" spans="1:8" s="32" customFormat="1">
      <c r="A18" s="49" t="s">
        <v>72</v>
      </c>
      <c r="B18" s="42" t="s">
        <v>73</v>
      </c>
      <c r="C18" s="43">
        <v>1500000000</v>
      </c>
      <c r="D18" s="43">
        <v>0</v>
      </c>
      <c r="E18" s="43">
        <f t="array" ref="E18">SUM(IF(A18=KHN,TH))</f>
        <v>0</v>
      </c>
      <c r="F18" s="43">
        <f t="array" ref="F18">SUM(IF(A18=KHC,TH))</f>
        <v>0</v>
      </c>
      <c r="G18" s="44">
        <f t="shared" ref="G18:G41" si="0">MAX(C18+E18-D18-F18,0)</f>
        <v>1500000000</v>
      </c>
      <c r="H18" s="44">
        <f t="shared" ref="H18:H41" si="1">MAX(D18+F18-E18-C18,0)</f>
        <v>0</v>
      </c>
    </row>
    <row r="19" spans="1:8" s="32" customFormat="1">
      <c r="A19" s="46" t="s">
        <v>74</v>
      </c>
      <c r="B19" s="47" t="s">
        <v>75</v>
      </c>
      <c r="C19" s="48">
        <v>1500000000</v>
      </c>
      <c r="D19" s="48">
        <v>0</v>
      </c>
      <c r="E19" s="48">
        <f>E18</f>
        <v>0</v>
      </c>
      <c r="F19" s="48">
        <f>F18</f>
        <v>0</v>
      </c>
      <c r="G19" s="48">
        <f t="shared" si="0"/>
        <v>1500000000</v>
      </c>
      <c r="H19" s="48">
        <f t="shared" si="1"/>
        <v>0</v>
      </c>
    </row>
    <row r="20" spans="1:8" s="32" customFormat="1">
      <c r="A20" s="46" t="s">
        <v>273</v>
      </c>
      <c r="B20" s="47" t="s">
        <v>274</v>
      </c>
      <c r="C20" s="48"/>
      <c r="D20" s="48">
        <v>0</v>
      </c>
      <c r="E20" s="81">
        <f t="array" ref="E20">SUM(IF(A20=KHN,TH))</f>
        <v>0</v>
      </c>
      <c r="F20" s="81">
        <f t="array" ref="F20">SUM(IF(A20=KHC,TH))</f>
        <v>0</v>
      </c>
      <c r="G20" s="48">
        <f t="shared" si="0"/>
        <v>0</v>
      </c>
      <c r="H20" s="48">
        <f t="shared" si="1"/>
        <v>0</v>
      </c>
    </row>
    <row r="21" spans="1:8" s="32" customFormat="1">
      <c r="A21" s="49" t="s">
        <v>275</v>
      </c>
      <c r="B21" s="42" t="s">
        <v>276</v>
      </c>
      <c r="C21" s="43">
        <v>2772400000</v>
      </c>
      <c r="D21" s="43">
        <v>0</v>
      </c>
      <c r="E21" s="43">
        <f t="array" ref="E21">SUM(IF(A21=KHN,TH))</f>
        <v>5278000000</v>
      </c>
      <c r="F21" s="43">
        <f t="array" ref="F21">SUM(IF(A21=KHC,TH))</f>
        <v>0</v>
      </c>
      <c r="G21" s="44">
        <f t="shared" si="0"/>
        <v>8050400000</v>
      </c>
      <c r="H21" s="44">
        <f t="shared" si="1"/>
        <v>0</v>
      </c>
    </row>
    <row r="22" spans="1:8" s="32" customFormat="1">
      <c r="A22" s="49" t="s">
        <v>277</v>
      </c>
      <c r="B22" s="42" t="s">
        <v>278</v>
      </c>
      <c r="C22" s="43">
        <v>526519887</v>
      </c>
      <c r="D22" s="43">
        <v>0</v>
      </c>
      <c r="E22" s="43">
        <f t="array" ref="E22">SUM(IF(A22=KHN,TH))</f>
        <v>0</v>
      </c>
      <c r="F22" s="43">
        <f t="array" ref="F22">SUM(IF(A22=KHC,TH))</f>
        <v>0</v>
      </c>
      <c r="G22" s="43">
        <f t="shared" si="0"/>
        <v>526519887</v>
      </c>
      <c r="H22" s="43">
        <f t="shared" si="1"/>
        <v>0</v>
      </c>
    </row>
    <row r="23" spans="1:8" s="32" customFormat="1">
      <c r="A23" s="46" t="s">
        <v>279</v>
      </c>
      <c r="B23" s="47" t="s">
        <v>280</v>
      </c>
      <c r="C23" s="48">
        <f>C21+C22</f>
        <v>3298919887</v>
      </c>
      <c r="D23" s="48">
        <f>D21+D22</f>
        <v>0</v>
      </c>
      <c r="E23" s="48">
        <f>E21+E22</f>
        <v>5278000000</v>
      </c>
      <c r="F23" s="48">
        <f>F21+F22</f>
        <v>0</v>
      </c>
      <c r="G23" s="48">
        <f t="shared" si="0"/>
        <v>8576919887</v>
      </c>
      <c r="H23" s="48">
        <f t="shared" si="1"/>
        <v>0</v>
      </c>
    </row>
    <row r="24" spans="1:8" s="32" customFormat="1">
      <c r="A24" s="46" t="s">
        <v>281</v>
      </c>
      <c r="B24" s="47" t="s">
        <v>282</v>
      </c>
      <c r="C24" s="48"/>
      <c r="D24" s="48">
        <v>0</v>
      </c>
      <c r="E24" s="81">
        <f t="array" ref="E24">SUM(IF(A24=KHN,TH))</f>
        <v>0</v>
      </c>
      <c r="F24" s="81">
        <f t="array" ref="F24">SUM(IF(A24=KHC,TH))</f>
        <v>0</v>
      </c>
      <c r="G24" s="48">
        <f t="shared" si="0"/>
        <v>0</v>
      </c>
      <c r="H24" s="48">
        <f t="shared" si="1"/>
        <v>0</v>
      </c>
    </row>
    <row r="25" spans="1:8" s="32" customFormat="1">
      <c r="A25" s="46" t="s">
        <v>283</v>
      </c>
      <c r="B25" s="47" t="s">
        <v>284</v>
      </c>
      <c r="C25" s="48"/>
      <c r="D25" s="48">
        <v>0</v>
      </c>
      <c r="E25" s="81">
        <f t="array" ref="E25">SUM(IF(A25=KHN,TH))</f>
        <v>0</v>
      </c>
      <c r="F25" s="81">
        <f t="array" ref="F25">SUM(IF(A25=KHC,TH))</f>
        <v>0</v>
      </c>
      <c r="G25" s="48">
        <f t="shared" si="0"/>
        <v>0</v>
      </c>
      <c r="H25" s="48">
        <f t="shared" si="1"/>
        <v>0</v>
      </c>
    </row>
    <row r="26" spans="1:8" s="32" customFormat="1">
      <c r="A26" s="46" t="s">
        <v>285</v>
      </c>
      <c r="B26" s="47" t="s">
        <v>286</v>
      </c>
      <c r="C26" s="48">
        <v>9386323824</v>
      </c>
      <c r="D26" s="48">
        <v>0</v>
      </c>
      <c r="E26" s="81">
        <f t="array" ref="E26">SUM(IF(A26=KHN,TH))</f>
        <v>0</v>
      </c>
      <c r="F26" s="81">
        <f t="array" ref="F26">SUM(IF(A26=KHC,TH))</f>
        <v>103787000</v>
      </c>
      <c r="G26" s="48">
        <f t="shared" si="0"/>
        <v>9282536824</v>
      </c>
      <c r="H26" s="48">
        <f t="shared" si="1"/>
        <v>0</v>
      </c>
    </row>
    <row r="27" spans="1:8" s="32" customFormat="1">
      <c r="A27" s="422" t="s">
        <v>287</v>
      </c>
      <c r="B27" s="423" t="s">
        <v>288</v>
      </c>
      <c r="C27" s="424">
        <v>7490743648</v>
      </c>
      <c r="D27" s="424">
        <v>0</v>
      </c>
      <c r="E27" s="43">
        <f t="array" ref="E27">SUM(IF(A27=KHN,TH))</f>
        <v>0</v>
      </c>
      <c r="F27" s="43">
        <f t="array" ref="F27">SUM(IF(A27=KHC,TH))</f>
        <v>0</v>
      </c>
      <c r="G27" s="424">
        <f t="shared" si="0"/>
        <v>7490743648</v>
      </c>
      <c r="H27" s="424">
        <f t="shared" si="1"/>
        <v>0</v>
      </c>
    </row>
    <row r="28" spans="1:8" s="32" customFormat="1">
      <c r="A28" s="425" t="s">
        <v>289</v>
      </c>
      <c r="B28" s="426" t="s">
        <v>290</v>
      </c>
      <c r="C28" s="427">
        <v>3807898863</v>
      </c>
      <c r="D28" s="427">
        <v>0</v>
      </c>
      <c r="E28" s="43">
        <f t="array" ref="E28">SUM(IF(A28=KHN,TH))</f>
        <v>0</v>
      </c>
      <c r="F28" s="43">
        <f t="array" ref="F28">SUM(IF(A28=KHC,TH))</f>
        <v>0</v>
      </c>
      <c r="G28" s="427">
        <f t="shared" si="0"/>
        <v>3807898863</v>
      </c>
      <c r="H28" s="427">
        <f t="shared" si="1"/>
        <v>0</v>
      </c>
    </row>
    <row r="29" spans="1:8" s="32" customFormat="1">
      <c r="A29" s="425" t="s">
        <v>291</v>
      </c>
      <c r="B29" s="426" t="s">
        <v>292</v>
      </c>
      <c r="C29" s="427">
        <v>3790918485</v>
      </c>
      <c r="D29" s="427">
        <v>0</v>
      </c>
      <c r="E29" s="43">
        <f t="array" ref="E29">SUM(IF(A29=KHN,TH))</f>
        <v>0</v>
      </c>
      <c r="F29" s="43">
        <f t="array" ref="F29">SUM(IF(A29=KHC,TH))</f>
        <v>0</v>
      </c>
      <c r="G29" s="427">
        <f t="shared" si="0"/>
        <v>3790918485</v>
      </c>
      <c r="H29" s="427">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25" t="s">
        <v>652</v>
      </c>
      <c r="B31" s="426" t="s">
        <v>653</v>
      </c>
      <c r="C31" s="427">
        <v>5405781300</v>
      </c>
      <c r="D31" s="427">
        <v>0</v>
      </c>
      <c r="E31" s="43">
        <f t="array" ref="E31">SUM(IF(A31=KHN,TH))</f>
        <v>0</v>
      </c>
      <c r="F31" s="43">
        <f t="array" ref="F31">SUM(IF(A31=KHC,TH))</f>
        <v>0</v>
      </c>
      <c r="G31" s="427">
        <f>MAX(C31+E31-D31-F31,0)</f>
        <v>5405781300</v>
      </c>
      <c r="H31" s="427">
        <f>MAX(D31+F31-E31-C31,0)</f>
        <v>0</v>
      </c>
    </row>
    <row r="32" spans="1:8" s="32" customFormat="1">
      <c r="A32" s="50" t="s">
        <v>654</v>
      </c>
      <c r="B32" s="47" t="s">
        <v>655</v>
      </c>
      <c r="C32" s="48">
        <f t="shared" ref="C32:H32" si="2">C31</f>
        <v>5405781300</v>
      </c>
      <c r="D32" s="48">
        <f t="shared" si="2"/>
        <v>0</v>
      </c>
      <c r="E32" s="48">
        <f t="shared" si="2"/>
        <v>0</v>
      </c>
      <c r="F32" s="48">
        <f t="shared" si="2"/>
        <v>0</v>
      </c>
      <c r="G32" s="48">
        <f t="shared" si="2"/>
        <v>5405781300</v>
      </c>
      <c r="H32" s="48">
        <f t="shared" si="2"/>
        <v>0</v>
      </c>
    </row>
    <row r="33" spans="1:8" s="32" customFormat="1">
      <c r="A33" s="49" t="s">
        <v>583</v>
      </c>
      <c r="B33" s="42" t="s">
        <v>656</v>
      </c>
      <c r="C33" s="43">
        <v>0</v>
      </c>
      <c r="D33" s="43">
        <v>9132359256</v>
      </c>
      <c r="E33" s="43">
        <f t="array" ref="E33">SUM(IF(A33=KHN,TH))</f>
        <v>0</v>
      </c>
      <c r="F33" s="43">
        <f t="array" ref="F33">SUM(IF(A33=KHC,TH))</f>
        <v>0</v>
      </c>
      <c r="G33" s="43">
        <f>MAX(C33+E33-D33-F33,0)</f>
        <v>0</v>
      </c>
      <c r="H33" s="43">
        <f>MAX(D33+F33-E33-C33,0)</f>
        <v>9132359256</v>
      </c>
    </row>
    <row r="34" spans="1:8" s="32" customFormat="1">
      <c r="A34" s="41" t="s">
        <v>582</v>
      </c>
      <c r="B34" s="42" t="s">
        <v>657</v>
      </c>
      <c r="C34" s="43">
        <v>0</v>
      </c>
      <c r="D34" s="43">
        <v>600642360</v>
      </c>
      <c r="E34" s="43">
        <f t="array" ref="E34">SUM(IF(A34=KHN,TH))</f>
        <v>0</v>
      </c>
      <c r="F34" s="43">
        <f t="array" ref="F34">SUM(IF(A34=KHC,TH))</f>
        <v>0</v>
      </c>
      <c r="G34" s="43">
        <f>MAX(C34+E34-D34-F34,0)</f>
        <v>0</v>
      </c>
      <c r="H34" s="43">
        <f>MAX(D34+F34-E34-C34,0)</f>
        <v>600642360</v>
      </c>
    </row>
    <row r="35" spans="1:8" s="32" customFormat="1" ht="12.75" customHeight="1">
      <c r="A35" s="46" t="s">
        <v>658</v>
      </c>
      <c r="B35" s="47" t="s">
        <v>659</v>
      </c>
      <c r="C35" s="48">
        <f t="shared" ref="C35:H35" si="3">C33+C34</f>
        <v>0</v>
      </c>
      <c r="D35" s="48">
        <f t="shared" si="3"/>
        <v>9733001616</v>
      </c>
      <c r="E35" s="48">
        <f t="shared" si="3"/>
        <v>0</v>
      </c>
      <c r="F35" s="48">
        <f t="shared" si="3"/>
        <v>0</v>
      </c>
      <c r="G35" s="48">
        <f t="shared" si="3"/>
        <v>0</v>
      </c>
      <c r="H35" s="48">
        <f t="shared" si="3"/>
        <v>9733001616</v>
      </c>
    </row>
    <row r="36" spans="1:8" s="32" customFormat="1">
      <c r="A36" s="41" t="s">
        <v>162</v>
      </c>
      <c r="B36" s="42" t="s">
        <v>163</v>
      </c>
      <c r="C36" s="43"/>
      <c r="D36" s="43">
        <v>0</v>
      </c>
      <c r="E36" s="43">
        <f t="array" ref="E36">SUM(IF(A36=KHN,TH))</f>
        <v>0</v>
      </c>
      <c r="F36" s="43">
        <f t="array" ref="F36">SUM(IF(A36=KHC,TH))</f>
        <v>0</v>
      </c>
      <c r="G36" s="44">
        <f t="shared" si="0"/>
        <v>0</v>
      </c>
      <c r="H36" s="44">
        <f t="shared" si="1"/>
        <v>0</v>
      </c>
    </row>
    <row r="37" spans="1:8" s="32" customFormat="1">
      <c r="A37" s="50" t="s">
        <v>227</v>
      </c>
      <c r="B37" s="47" t="s">
        <v>164</v>
      </c>
      <c r="C37" s="48"/>
      <c r="D37" s="48">
        <v>0</v>
      </c>
      <c r="E37" s="48">
        <f>E36</f>
        <v>0</v>
      </c>
      <c r="F37" s="48">
        <f>F36</f>
        <v>0</v>
      </c>
      <c r="G37" s="48">
        <f t="shared" si="0"/>
        <v>0</v>
      </c>
      <c r="H37" s="48">
        <f t="shared" si="1"/>
        <v>0</v>
      </c>
    </row>
    <row r="38" spans="1:8" s="32" customFormat="1">
      <c r="A38" s="46" t="s">
        <v>8</v>
      </c>
      <c r="B38" s="47" t="s">
        <v>76</v>
      </c>
      <c r="C38" s="48">
        <v>0</v>
      </c>
      <c r="D38" s="48">
        <v>476953252</v>
      </c>
      <c r="E38" s="81">
        <f t="array" ref="E38">SUM(IF(A38=KHN,TH))</f>
        <v>5278000000</v>
      </c>
      <c r="F38" s="81">
        <f t="array" ref="F38">SUM(IF(A38=KHC,TH))</f>
        <v>5278000000</v>
      </c>
      <c r="G38" s="48">
        <f t="shared" si="0"/>
        <v>0</v>
      </c>
      <c r="H38" s="48">
        <f t="shared" si="1"/>
        <v>476953252</v>
      </c>
    </row>
    <row r="39" spans="1:8" s="32" customFormat="1">
      <c r="A39" s="49" t="s">
        <v>77</v>
      </c>
      <c r="B39" s="42" t="s">
        <v>78</v>
      </c>
      <c r="C39" s="43">
        <v>0</v>
      </c>
      <c r="D39" s="43">
        <v>3313435</v>
      </c>
      <c r="E39" s="43">
        <f t="array" ref="E39">SUM(IF(A39=KHN,TH))</f>
        <v>0</v>
      </c>
      <c r="F39" s="43">
        <f t="array" ref="F39">SUM(IF(A39=KHC,TH))</f>
        <v>0</v>
      </c>
      <c r="G39" s="43">
        <f t="shared" si="0"/>
        <v>0</v>
      </c>
      <c r="H39" s="43">
        <f t="shared" si="1"/>
        <v>3313435</v>
      </c>
    </row>
    <row r="40" spans="1:8" s="32" customFormat="1">
      <c r="A40" s="49" t="s">
        <v>650</v>
      </c>
      <c r="B40" s="42" t="s">
        <v>651</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0</v>
      </c>
      <c r="F41" s="51">
        <f t="array" ref="F41">SUM(IF(A41=KHC,TH))</f>
        <v>0</v>
      </c>
      <c r="G41" s="51">
        <f t="shared" si="0"/>
        <v>0</v>
      </c>
      <c r="H41" s="51">
        <f t="shared" si="1"/>
        <v>0</v>
      </c>
    </row>
    <row r="42" spans="1:8" s="32" customFormat="1">
      <c r="A42" s="49" t="s">
        <v>20</v>
      </c>
      <c r="B42" s="42" t="s">
        <v>81</v>
      </c>
      <c r="C42" s="43">
        <v>0</v>
      </c>
      <c r="D42" s="43">
        <v>0</v>
      </c>
      <c r="E42" s="43">
        <f>E41</f>
        <v>0</v>
      </c>
      <c r="F42" s="43">
        <f>F41</f>
        <v>0</v>
      </c>
      <c r="G42" s="43">
        <f>G41</f>
        <v>0</v>
      </c>
      <c r="H42" s="43">
        <f>H41</f>
        <v>0</v>
      </c>
    </row>
    <row r="43" spans="1:8" s="32" customFormat="1">
      <c r="A43" s="46" t="s">
        <v>82</v>
      </c>
      <c r="B43" s="47" t="s">
        <v>83</v>
      </c>
      <c r="C43" s="48">
        <f t="shared" ref="C43:H43" si="4">C39+C42+C40</f>
        <v>3389804</v>
      </c>
      <c r="D43" s="48">
        <f t="shared" si="4"/>
        <v>3313435</v>
      </c>
      <c r="E43" s="48">
        <f t="shared" si="4"/>
        <v>0</v>
      </c>
      <c r="F43" s="48">
        <f t="shared" si="4"/>
        <v>0</v>
      </c>
      <c r="G43" s="48">
        <f t="shared" si="4"/>
        <v>3389804</v>
      </c>
      <c r="H43" s="48">
        <f t="shared" si="4"/>
        <v>3313435</v>
      </c>
    </row>
    <row r="44" spans="1:8" s="32" customFormat="1">
      <c r="A44" s="49" t="s">
        <v>585</v>
      </c>
      <c r="B44" s="42" t="s">
        <v>647</v>
      </c>
      <c r="C44" s="43">
        <v>0</v>
      </c>
      <c r="D44" s="43">
        <v>0</v>
      </c>
      <c r="E44" s="43">
        <f t="array" ref="E44">SUM(IF(A44=KHN,TH))</f>
        <v>0</v>
      </c>
      <c r="F44" s="43">
        <f t="array" ref="F44">SUM(IF(A44=KHC,TH))</f>
        <v>0</v>
      </c>
      <c r="G44" s="43">
        <f t="shared" ref="G44:G49" si="5">MAX(C44+E44-D44-F44,0)</f>
        <v>0</v>
      </c>
      <c r="H44" s="43">
        <f t="shared" ref="H44:H49" si="6">MAX(D44+F44-E44-C44,0)</f>
        <v>0</v>
      </c>
    </row>
    <row r="45" spans="1:8" s="32" customFormat="1">
      <c r="A45" s="46" t="s">
        <v>648</v>
      </c>
      <c r="B45" s="47" t="s">
        <v>649</v>
      </c>
      <c r="C45" s="48">
        <v>0</v>
      </c>
      <c r="D45" s="48">
        <v>0</v>
      </c>
      <c r="E45" s="48">
        <f>E44</f>
        <v>0</v>
      </c>
      <c r="F45" s="48">
        <f>F44</f>
        <v>0</v>
      </c>
      <c r="G45" s="48">
        <f t="shared" si="5"/>
        <v>0</v>
      </c>
      <c r="H45" s="48">
        <f t="shared" si="6"/>
        <v>0</v>
      </c>
    </row>
    <row r="46" spans="1:8" s="32" customFormat="1" ht="12.75" customHeight="1">
      <c r="A46" s="41" t="s">
        <v>586</v>
      </c>
      <c r="B46" s="42" t="s">
        <v>644</v>
      </c>
      <c r="C46" s="43">
        <v>0</v>
      </c>
      <c r="D46" s="43">
        <v>40272309</v>
      </c>
      <c r="E46" s="43">
        <f t="array" ref="E46">SUM(IF(A46=KHN,TH))</f>
        <v>0</v>
      </c>
      <c r="F46" s="43">
        <f t="array" ref="F46">SUM(IF(A46=KHC,TH))</f>
        <v>0</v>
      </c>
      <c r="G46" s="43">
        <f t="shared" si="5"/>
        <v>0</v>
      </c>
      <c r="H46" s="43">
        <f t="shared" si="6"/>
        <v>40272309</v>
      </c>
    </row>
    <row r="47" spans="1:8" s="32" customFormat="1">
      <c r="A47" s="49" t="s">
        <v>587</v>
      </c>
      <c r="B47" s="42" t="s">
        <v>645</v>
      </c>
      <c r="C47" s="43">
        <v>0</v>
      </c>
      <c r="D47" s="43">
        <v>6403142</v>
      </c>
      <c r="E47" s="43">
        <f t="array" ref="E47">SUM(IF(A47=KHN,TH))</f>
        <v>0</v>
      </c>
      <c r="F47" s="43">
        <f t="array" ref="F47">SUM(IF(A47=KHC,TH))</f>
        <v>0</v>
      </c>
      <c r="G47" s="43">
        <f t="shared" si="5"/>
        <v>0</v>
      </c>
      <c r="H47" s="43">
        <f t="shared" si="6"/>
        <v>6403142</v>
      </c>
    </row>
    <row r="48" spans="1:8" s="32" customFormat="1">
      <c r="A48" s="41" t="s">
        <v>588</v>
      </c>
      <c r="B48" s="42" t="s">
        <v>646</v>
      </c>
      <c r="C48" s="43">
        <v>0</v>
      </c>
      <c r="D48" s="43">
        <v>2761373</v>
      </c>
      <c r="E48" s="43">
        <f t="array" ref="E48">SUM(IF(A48=KHN,TH))</f>
        <v>0</v>
      </c>
      <c r="F48" s="43">
        <f t="array" ref="F48">SUM(IF(A48=KHC,TH))</f>
        <v>0</v>
      </c>
      <c r="G48" s="43">
        <f t="shared" si="5"/>
        <v>0</v>
      </c>
      <c r="H48" s="43">
        <f t="shared" si="6"/>
        <v>2761373</v>
      </c>
    </row>
    <row r="49" spans="1:9" s="32" customFormat="1">
      <c r="A49" s="49" t="s">
        <v>19</v>
      </c>
      <c r="B49" s="42" t="s">
        <v>84</v>
      </c>
      <c r="C49" s="43">
        <v>0</v>
      </c>
      <c r="D49" s="43">
        <v>0</v>
      </c>
      <c r="E49" s="43">
        <f t="array" ref="E49">SUM(IF(A49=KHN,TH))</f>
        <v>0</v>
      </c>
      <c r="F49" s="43">
        <f t="array" ref="F49">SUM(IF(A49=KHC,TH))</f>
        <v>0</v>
      </c>
      <c r="G49" s="43">
        <f t="shared" si="5"/>
        <v>0</v>
      </c>
      <c r="H49" s="43">
        <f t="shared" si="6"/>
        <v>0</v>
      </c>
    </row>
    <row r="50" spans="1:9" s="32" customFormat="1">
      <c r="A50" s="46" t="s">
        <v>85</v>
      </c>
      <c r="B50" s="47" t="s">
        <v>86</v>
      </c>
      <c r="C50" s="48">
        <f t="shared" ref="C50:H50" si="7">SUM(C46:C49)</f>
        <v>0</v>
      </c>
      <c r="D50" s="48">
        <f t="shared" si="7"/>
        <v>49436824</v>
      </c>
      <c r="E50" s="48">
        <f t="shared" si="7"/>
        <v>0</v>
      </c>
      <c r="F50" s="48">
        <f t="shared" si="7"/>
        <v>0</v>
      </c>
      <c r="G50" s="48">
        <f t="shared" si="7"/>
        <v>0</v>
      </c>
      <c r="H50" s="48">
        <f t="shared" si="7"/>
        <v>49436824</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0</v>
      </c>
      <c r="F52" s="43">
        <f t="array" ref="F52">SUM(IF(A52=KHC,TH))</f>
        <v>0</v>
      </c>
      <c r="G52" s="43">
        <f>MAX(C52+E52-D52-F52,0)</f>
        <v>0</v>
      </c>
      <c r="H52" s="43">
        <f>MAX(D52+F52-E52-C52,0)</f>
        <v>21202920500</v>
      </c>
    </row>
    <row r="53" spans="1:9" s="32" customFormat="1">
      <c r="A53" s="50" t="s">
        <v>42</v>
      </c>
      <c r="B53" s="47" t="s">
        <v>88</v>
      </c>
      <c r="C53" s="48">
        <f t="shared" ref="C53:H53" si="8">SUM(C51:C52)</f>
        <v>0</v>
      </c>
      <c r="D53" s="48">
        <f t="shared" si="8"/>
        <v>23372042379</v>
      </c>
      <c r="E53" s="48">
        <f t="shared" si="8"/>
        <v>0</v>
      </c>
      <c r="F53" s="48">
        <f t="shared" si="8"/>
        <v>0</v>
      </c>
      <c r="G53" s="48">
        <f t="shared" si="8"/>
        <v>0</v>
      </c>
      <c r="H53" s="48">
        <f t="shared" si="8"/>
        <v>23372042379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0</v>
      </c>
      <c r="F56" s="43">
        <f t="array" ref="F56">SUM(IF(A56=KHC,TH))</f>
        <v>30160884.000000477</v>
      </c>
      <c r="G56" s="44">
        <f>MAX(C56+E56-D56-F56,0)</f>
        <v>0</v>
      </c>
      <c r="H56" s="44">
        <f>MAX(D56+F56-E56-C56,0)</f>
        <v>516696021.00000048</v>
      </c>
    </row>
    <row r="57" spans="1:9" s="32" customFormat="1">
      <c r="A57" s="49" t="s">
        <v>94</v>
      </c>
      <c r="B57" s="42" t="s">
        <v>95</v>
      </c>
      <c r="C57" s="43"/>
      <c r="D57" s="43">
        <v>30160884.000000477</v>
      </c>
      <c r="E57" s="43">
        <f t="array" ref="E57">SUM(IF(A57=TH!$N$10:$N$134,TH!$M$10:$M$134))</f>
        <v>217473894.5999999</v>
      </c>
      <c r="F57" s="43">
        <f t="array" ref="F57">SUM(IF(A57=TH!$O$10:$O$134,TH!$M$10:$M$134))</f>
        <v>0</v>
      </c>
      <c r="G57" s="43">
        <f>MAX(C57+E57-D57-F57,0)</f>
        <v>187313010.59999943</v>
      </c>
      <c r="H57" s="43">
        <f>MAX(D57+F57-E57-C57,0)</f>
        <v>0</v>
      </c>
    </row>
    <row r="58" spans="1:9" s="32" customFormat="1">
      <c r="A58" s="46" t="s">
        <v>96</v>
      </c>
      <c r="B58" s="47" t="s">
        <v>97</v>
      </c>
      <c r="C58" s="48"/>
      <c r="D58" s="48">
        <v>516696021.00000048</v>
      </c>
      <c r="E58" s="48">
        <f>E57+E56</f>
        <v>217473894.5999999</v>
      </c>
      <c r="F58" s="48">
        <f>F57+F56</f>
        <v>30160884.000000477</v>
      </c>
      <c r="G58" s="48">
        <f>G57+G56</f>
        <v>187313010.59999943</v>
      </c>
      <c r="H58" s="48">
        <f>H57+H56</f>
        <v>516696021.00000048</v>
      </c>
    </row>
    <row r="59" spans="1:9" s="32" customFormat="1" ht="12.75" customHeight="1">
      <c r="A59" s="428" t="s">
        <v>297</v>
      </c>
      <c r="B59" s="429" t="s">
        <v>298</v>
      </c>
      <c r="C59" s="430"/>
      <c r="D59" s="430"/>
      <c r="E59" s="431">
        <f t="array" ref="E59">SUM(IF(A59=KHN,TH))</f>
        <v>0</v>
      </c>
      <c r="F59" s="431">
        <f t="array" ref="F59">SUM(IF(A59=KHC,TH))</f>
        <v>0</v>
      </c>
      <c r="G59" s="430"/>
      <c r="H59" s="430"/>
      <c r="I59" s="32">
        <f>E59-F59</f>
        <v>0</v>
      </c>
    </row>
    <row r="60" spans="1:9" s="32" customFormat="1">
      <c r="A60" s="428" t="s">
        <v>299</v>
      </c>
      <c r="B60" s="429" t="s">
        <v>300</v>
      </c>
      <c r="C60" s="430"/>
      <c r="D60" s="430"/>
      <c r="E60" s="431">
        <f t="array" ref="E60">SUM(IF(A60=KHN,TH))</f>
        <v>0</v>
      </c>
      <c r="F60" s="431">
        <f t="array" ref="F60">SUM(IF(A60=KHC,TH))</f>
        <v>0</v>
      </c>
      <c r="G60" s="430"/>
      <c r="H60" s="430"/>
      <c r="I60" s="32">
        <f>E60-F60</f>
        <v>0</v>
      </c>
    </row>
    <row r="61" spans="1:9" s="32" customFormat="1">
      <c r="A61" s="41" t="s">
        <v>301</v>
      </c>
      <c r="B61" s="42" t="s">
        <v>302</v>
      </c>
      <c r="C61" s="43"/>
      <c r="D61" s="43"/>
      <c r="E61" s="43">
        <f>E59+E60</f>
        <v>0</v>
      </c>
      <c r="F61" s="43">
        <f>F59+F60</f>
        <v>0</v>
      </c>
      <c r="G61" s="43"/>
      <c r="H61" s="43"/>
      <c r="I61" s="32">
        <f>E61-F61</f>
        <v>0</v>
      </c>
    </row>
    <row r="62" spans="1:9" s="32" customFormat="1">
      <c r="A62" s="46" t="s">
        <v>303</v>
      </c>
      <c r="B62" s="47" t="s">
        <v>304</v>
      </c>
      <c r="C62" s="48"/>
      <c r="D62" s="48"/>
      <c r="E62" s="48">
        <f>E61</f>
        <v>0</v>
      </c>
      <c r="F62" s="48">
        <f>F61</f>
        <v>0</v>
      </c>
      <c r="G62" s="48"/>
      <c r="H62" s="48"/>
      <c r="I62" s="32">
        <f>E62-F62</f>
        <v>0</v>
      </c>
    </row>
    <row r="63" spans="1:9" s="32" customFormat="1">
      <c r="A63" s="46" t="s">
        <v>43</v>
      </c>
      <c r="B63" s="47" t="s">
        <v>98</v>
      </c>
      <c r="C63" s="48"/>
      <c r="D63" s="48"/>
      <c r="E63" s="81">
        <f t="array" ref="E63">SUM(IF(A63=KHN,TH))</f>
        <v>0</v>
      </c>
      <c r="F63" s="81">
        <f t="array" ref="F63">SUM(IF(A63=KHC,TH))</f>
        <v>0</v>
      </c>
      <c r="G63" s="48"/>
      <c r="H63" s="48"/>
      <c r="I63" s="32">
        <f t="shared" ref="I63:I71" si="9">E63-F63</f>
        <v>0</v>
      </c>
    </row>
    <row r="64" spans="1:9" s="32" customFormat="1" ht="12.75" customHeight="1">
      <c r="A64" s="46" t="s">
        <v>295</v>
      </c>
      <c r="B64" s="47" t="s">
        <v>296</v>
      </c>
      <c r="C64" s="48"/>
      <c r="D64" s="48"/>
      <c r="E64" s="81">
        <f>8153327558-200000000</f>
        <v>7953327558</v>
      </c>
      <c r="F64" s="81">
        <f>8153327558-200000000</f>
        <v>7953327558</v>
      </c>
      <c r="G64" s="48"/>
      <c r="H64" s="48"/>
      <c r="I64" s="32">
        <f t="shared" si="9"/>
        <v>0</v>
      </c>
    </row>
    <row r="65" spans="1:9" s="32" customFormat="1" ht="12.75" customHeight="1">
      <c r="A65" s="46" t="s">
        <v>99</v>
      </c>
      <c r="B65" s="47" t="s">
        <v>100</v>
      </c>
      <c r="C65" s="48"/>
      <c r="D65" s="48"/>
      <c r="E65" s="81">
        <f t="array" ref="E65">SUM(IF(A65=KHN,TH))</f>
        <v>0</v>
      </c>
      <c r="F65" s="81">
        <f t="array" ref="F65">SUM(IF(A65=KHC,TH))</f>
        <v>0</v>
      </c>
      <c r="G65" s="48"/>
      <c r="H65" s="48"/>
      <c r="I65" s="32">
        <f t="shared" si="9"/>
        <v>0</v>
      </c>
    </row>
    <row r="66" spans="1:9" s="32" customFormat="1" ht="12.75" customHeight="1">
      <c r="A66" s="50" t="s">
        <v>584</v>
      </c>
      <c r="B66" s="47" t="s">
        <v>803</v>
      </c>
      <c r="C66" s="48"/>
      <c r="D66" s="48"/>
      <c r="E66" s="81">
        <f>321667205-50000000</f>
        <v>271667205</v>
      </c>
      <c r="F66" s="81">
        <f>321667205-50000000</f>
        <v>271667205</v>
      </c>
      <c r="G66" s="48"/>
      <c r="H66" s="48"/>
      <c r="I66" s="32">
        <f>E66-F66</f>
        <v>0</v>
      </c>
    </row>
    <row r="67" spans="1:9" s="32" customFormat="1" ht="12.75" customHeight="1">
      <c r="A67" s="46" t="s">
        <v>101</v>
      </c>
      <c r="B67" s="47" t="s">
        <v>102</v>
      </c>
      <c r="C67" s="48"/>
      <c r="D67" s="48"/>
      <c r="E67" s="81">
        <f>379956130-90000000</f>
        <v>289956130</v>
      </c>
      <c r="F67" s="81">
        <f>379956130-90000000</f>
        <v>289956130</v>
      </c>
      <c r="G67" s="48"/>
      <c r="H67" s="48"/>
      <c r="I67" s="32">
        <f t="shared" si="9"/>
        <v>0</v>
      </c>
    </row>
    <row r="68" spans="1:9" s="32" customFormat="1" ht="12.75" customHeight="1">
      <c r="A68" s="50" t="s">
        <v>103</v>
      </c>
      <c r="B68" s="47" t="s">
        <v>104</v>
      </c>
      <c r="C68" s="48"/>
      <c r="D68" s="48"/>
      <c r="E68" s="81">
        <f t="array" ref="E68">SUM(IF(A68=KHN,TH))</f>
        <v>0</v>
      </c>
      <c r="F68" s="81">
        <f t="array" ref="F68">SUM(IF(A68=KHC,TH))</f>
        <v>0</v>
      </c>
      <c r="G68" s="48"/>
      <c r="H68" s="48"/>
      <c r="I68" s="32">
        <f t="shared" si="9"/>
        <v>0</v>
      </c>
    </row>
    <row r="69" spans="1:9" s="32" customFormat="1" ht="12.75" customHeight="1">
      <c r="A69" s="46" t="s">
        <v>105</v>
      </c>
      <c r="B69" s="47" t="s">
        <v>106</v>
      </c>
      <c r="C69" s="48"/>
      <c r="D69" s="48"/>
      <c r="E69" s="81">
        <f t="array" ref="E69">SUM(IF(A69=KHN,TH))</f>
        <v>0</v>
      </c>
      <c r="F69" s="81">
        <f t="array" ref="F69">SUM(IF(A69=KHC,TH))</f>
        <v>0</v>
      </c>
      <c r="G69" s="48"/>
      <c r="H69" s="48"/>
      <c r="I69" s="32">
        <f t="shared" si="9"/>
        <v>0</v>
      </c>
    </row>
    <row r="70" spans="1:9" s="32" customFormat="1" ht="12.75" customHeight="1">
      <c r="A70" s="50" t="s">
        <v>107</v>
      </c>
      <c r="B70" s="47" t="s">
        <v>108</v>
      </c>
      <c r="C70" s="48"/>
      <c r="D70" s="48"/>
      <c r="E70" s="81">
        <v>23035380</v>
      </c>
      <c r="F70" s="81">
        <v>23035380</v>
      </c>
      <c r="G70" s="48"/>
      <c r="H70" s="48"/>
      <c r="I70" s="32">
        <f t="shared" si="9"/>
        <v>0</v>
      </c>
    </row>
    <row r="71" spans="1:9" s="32" customFormat="1">
      <c r="A71" s="46" t="s">
        <v>109</v>
      </c>
      <c r="B71" s="47" t="s">
        <v>110</v>
      </c>
      <c r="C71" s="48"/>
      <c r="D71" s="48"/>
      <c r="E71" s="82">
        <f t="array" ref="E71">SUM(IF(A71=KHN,TH))</f>
        <v>0</v>
      </c>
      <c r="F71" s="82">
        <f t="array" ref="F71">SUM(IF(A71=TH!$O$10:$O$134,TH!$M$10:$M$134))</f>
        <v>187313010.59999943</v>
      </c>
      <c r="G71" s="48"/>
      <c r="H71" s="48"/>
      <c r="I71" s="32">
        <f t="shared" si="9"/>
        <v>-187313010.59999943</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19425625867.599998</v>
      </c>
      <c r="F72" s="54">
        <f t="shared" si="10"/>
        <v>19425625867.599998</v>
      </c>
      <c r="G72" s="54">
        <f t="shared" si="10"/>
        <v>45911717442.599998</v>
      </c>
      <c r="H72" s="54">
        <f t="shared" si="10"/>
        <v>45724404432</v>
      </c>
    </row>
    <row r="73" spans="1:9">
      <c r="E73" s="55"/>
      <c r="F73" s="56"/>
    </row>
    <row r="74" spans="1:9">
      <c r="C74" s="32">
        <f>[1]CDPS!$G$69</f>
        <v>44151443527</v>
      </c>
      <c r="D74" s="32">
        <f>[1]CDPS!$G$69</f>
        <v>44151443527</v>
      </c>
      <c r="E74" s="56"/>
      <c r="H74" s="56">
        <f>G72-H72</f>
        <v>187313010.59999847</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D144"/>
  <sheetViews>
    <sheetView topLeftCell="A7" workbookViewId="0">
      <pane ySplit="3" topLeftCell="A94" activePane="bottomLeft" state="frozen"/>
      <selection activeCell="A7" sqref="A7"/>
      <selection pane="bottomLeft" activeCell="H111" sqref="H111"/>
    </sheetView>
  </sheetViews>
  <sheetFormatPr defaultRowHeight="12.75"/>
  <cols>
    <col min="1" max="1" width="4.5703125" style="325" customWidth="1"/>
    <col min="2" max="2" width="4.85546875" style="315" customWidth="1"/>
    <col min="3" max="3" width="9.140625" style="315" customWidth="1"/>
    <col min="4" max="4" width="6.85546875" style="315" customWidth="1"/>
    <col min="5" max="5" width="9.140625" style="315" customWidth="1"/>
    <col min="6" max="6" width="32.7109375" style="315" customWidth="1"/>
    <col min="7" max="7" width="14.85546875" style="921" customWidth="1"/>
    <col min="8" max="8" width="40.7109375" style="331" customWidth="1"/>
    <col min="9" max="10" width="7.7109375" style="331" customWidth="1"/>
    <col min="11" max="11" width="10" style="331" customWidth="1"/>
    <col min="12" max="12" width="7.28515625" style="331" customWidth="1"/>
    <col min="13" max="13" width="13.140625" style="315" customWidth="1"/>
    <col min="14" max="15" width="7" style="315" customWidth="1"/>
    <col min="16" max="16" width="4.42578125" style="315" hidden="1" customWidth="1"/>
    <col min="17" max="19" width="2.7109375" style="315" hidden="1" customWidth="1"/>
    <col min="20" max="22" width="2.5703125" style="315" hidden="1" customWidth="1"/>
    <col min="23" max="25" width="4.42578125" style="315" hidden="1" customWidth="1"/>
    <col min="26" max="26" width="4.140625" style="315" hidden="1" customWidth="1"/>
    <col min="27" max="30" width="2.7109375" style="315" hidden="1" customWidth="1"/>
    <col min="31" max="31" width="9.140625" style="315" customWidth="1"/>
    <col min="32" max="16384" width="9.140625" style="315"/>
  </cols>
  <sheetData>
    <row r="1" spans="1:30">
      <c r="B1" s="58"/>
      <c r="C1" s="58" t="s">
        <v>121</v>
      </c>
      <c r="D1" s="59"/>
      <c r="E1" s="59"/>
      <c r="F1" s="60"/>
      <c r="G1" s="918"/>
      <c r="H1" s="86"/>
      <c r="I1" s="86"/>
      <c r="J1" s="86"/>
      <c r="K1" s="86"/>
      <c r="L1" s="86"/>
      <c r="M1" s="69"/>
      <c r="N1" s="61"/>
      <c r="O1" s="61"/>
      <c r="P1" s="61"/>
      <c r="Q1" s="61"/>
      <c r="R1" s="61"/>
      <c r="S1" s="61"/>
      <c r="T1" s="61"/>
      <c r="U1" s="61"/>
      <c r="V1" s="61"/>
      <c r="W1" s="61"/>
      <c r="X1" s="61"/>
      <c r="Y1" s="61"/>
      <c r="AA1" s="61"/>
      <c r="AB1" s="61"/>
      <c r="AC1" s="61"/>
      <c r="AD1" s="61"/>
    </row>
    <row r="2" spans="1:30">
      <c r="B2" s="58"/>
      <c r="C2" s="58" t="s">
        <v>122</v>
      </c>
      <c r="D2" s="59"/>
      <c r="E2" s="59"/>
      <c r="F2" s="59"/>
      <c r="G2" s="918"/>
      <c r="H2" s="87"/>
      <c r="I2" s="87"/>
      <c r="J2" s="87"/>
      <c r="K2" s="87"/>
      <c r="L2" s="87"/>
      <c r="M2" s="69"/>
      <c r="N2" s="61"/>
      <c r="O2" s="61"/>
      <c r="P2" s="61"/>
      <c r="Q2" s="61"/>
      <c r="R2" s="61"/>
      <c r="S2" s="61"/>
      <c r="T2" s="61"/>
      <c r="U2" s="61"/>
      <c r="V2" s="61"/>
      <c r="W2" s="61"/>
      <c r="X2" s="61"/>
      <c r="Y2" s="61"/>
      <c r="AA2" s="61"/>
      <c r="AB2" s="61"/>
      <c r="AC2" s="61"/>
      <c r="AD2" s="61"/>
    </row>
    <row r="3" spans="1:30">
      <c r="B3" s="59"/>
      <c r="C3" s="59"/>
      <c r="D3" s="59"/>
      <c r="E3" s="59"/>
      <c r="F3" s="59"/>
      <c r="G3" s="918"/>
      <c r="H3" s="87"/>
      <c r="I3" s="87"/>
      <c r="J3" s="87"/>
      <c r="K3" s="87"/>
      <c r="L3" s="87"/>
      <c r="M3" s="68"/>
      <c r="N3" s="62"/>
      <c r="O3" s="62"/>
      <c r="P3" s="62"/>
      <c r="Q3" s="62"/>
      <c r="R3" s="62"/>
      <c r="S3" s="62"/>
      <c r="T3" s="62"/>
      <c r="U3" s="62"/>
      <c r="V3" s="62"/>
      <c r="W3" s="62"/>
      <c r="X3" s="62"/>
      <c r="Y3" s="62"/>
      <c r="AA3" s="62"/>
      <c r="AB3" s="62"/>
      <c r="AC3" s="62"/>
      <c r="AD3" s="62"/>
    </row>
    <row r="4" spans="1:30" ht="22.5">
      <c r="B4" s="69"/>
      <c r="C4" s="1119" t="s">
        <v>112</v>
      </c>
      <c r="D4" s="1119"/>
      <c r="E4" s="1119"/>
      <c r="F4" s="1119"/>
      <c r="G4" s="1119"/>
      <c r="H4" s="1119"/>
      <c r="I4" s="1119"/>
      <c r="J4" s="1119"/>
      <c r="K4" s="1119"/>
      <c r="L4" s="1119"/>
      <c r="M4" s="1119"/>
      <c r="N4" s="1119"/>
      <c r="O4" s="1119"/>
    </row>
    <row r="5" spans="1:30" ht="14.25">
      <c r="B5" s="69"/>
      <c r="C5" s="1120"/>
      <c r="D5" s="1120"/>
      <c r="E5" s="1120"/>
      <c r="F5" s="1120"/>
      <c r="G5" s="1120"/>
      <c r="H5" s="1120"/>
      <c r="I5" s="1120"/>
      <c r="J5" s="1120"/>
      <c r="K5" s="1120"/>
      <c r="L5" s="1120"/>
      <c r="M5" s="1120"/>
      <c r="N5" s="1120"/>
      <c r="O5" s="1120"/>
    </row>
    <row r="6" spans="1:30">
      <c r="B6" s="69"/>
      <c r="C6" s="69"/>
      <c r="D6" s="69"/>
      <c r="E6" s="69"/>
      <c r="F6" s="69"/>
      <c r="G6" s="58"/>
      <c r="H6" s="70"/>
      <c r="I6" s="70"/>
      <c r="J6" s="70"/>
      <c r="K6" s="70"/>
      <c r="L6" s="70"/>
      <c r="M6" s="69"/>
      <c r="N6" s="61"/>
      <c r="O6" s="61"/>
      <c r="P6" s="61"/>
      <c r="Q6" s="61"/>
      <c r="R6" s="61"/>
      <c r="S6" s="61"/>
      <c r="T6" s="61"/>
      <c r="U6" s="61"/>
      <c r="V6" s="61"/>
      <c r="W6" s="61"/>
      <c r="X6" s="61"/>
      <c r="Y6" s="61"/>
      <c r="AA6" s="61"/>
      <c r="AB6" s="61"/>
      <c r="AC6" s="61"/>
      <c r="AD6" s="61"/>
    </row>
    <row r="7" spans="1:30" ht="24.75" customHeight="1">
      <c r="A7" s="1099" t="s">
        <v>141</v>
      </c>
      <c r="B7" s="1101" t="s">
        <v>123</v>
      </c>
      <c r="C7" s="1104" t="s">
        <v>22</v>
      </c>
      <c r="D7" s="1121" t="s">
        <v>1</v>
      </c>
      <c r="E7" s="1122"/>
      <c r="F7" s="1104" t="s">
        <v>0</v>
      </c>
      <c r="G7" s="1124" t="s">
        <v>140</v>
      </c>
      <c r="H7" s="1103" t="s">
        <v>47</v>
      </c>
      <c r="I7" s="1117" t="s">
        <v>579</v>
      </c>
      <c r="J7" s="1118"/>
      <c r="K7" s="1104" t="s">
        <v>266</v>
      </c>
      <c r="L7" s="1104"/>
      <c r="M7" s="1104" t="s">
        <v>265</v>
      </c>
      <c r="N7" s="1123" t="s">
        <v>114</v>
      </c>
      <c r="O7" s="1123"/>
      <c r="P7" s="1109" t="s">
        <v>8</v>
      </c>
      <c r="Q7" s="1111" t="s">
        <v>63</v>
      </c>
      <c r="R7" s="1112"/>
      <c r="S7" s="1113"/>
      <c r="T7" s="1111" t="s">
        <v>67</v>
      </c>
      <c r="U7" s="1112"/>
      <c r="V7" s="1113"/>
      <c r="W7" s="1109" t="s">
        <v>42</v>
      </c>
      <c r="X7" s="1107" t="str">
        <f>CTTK!$E$7</f>
        <v>1388</v>
      </c>
      <c r="Y7" s="1107" t="s">
        <v>581</v>
      </c>
      <c r="Z7" s="1105" t="s">
        <v>226</v>
      </c>
      <c r="AA7" s="1111" t="s">
        <v>279</v>
      </c>
      <c r="AB7" s="1112"/>
      <c r="AC7" s="1112"/>
      <c r="AD7" s="1113"/>
    </row>
    <row r="8" spans="1:30" ht="24.75" customHeight="1">
      <c r="A8" s="1100"/>
      <c r="B8" s="1102"/>
      <c r="C8" s="1104"/>
      <c r="D8" s="322" t="s">
        <v>17</v>
      </c>
      <c r="E8" s="321" t="s">
        <v>34</v>
      </c>
      <c r="F8" s="1104"/>
      <c r="G8" s="1125"/>
      <c r="H8" s="1103"/>
      <c r="I8" s="418" t="s">
        <v>471</v>
      </c>
      <c r="J8" s="418" t="s">
        <v>472</v>
      </c>
      <c r="K8" s="406" t="s">
        <v>272</v>
      </c>
      <c r="L8" s="406" t="s">
        <v>270</v>
      </c>
      <c r="M8" s="1104"/>
      <c r="N8" s="323" t="s">
        <v>24</v>
      </c>
      <c r="O8" s="323" t="s">
        <v>25</v>
      </c>
      <c r="P8" s="1110"/>
      <c r="Q8" s="1114"/>
      <c r="R8" s="1115"/>
      <c r="S8" s="1116"/>
      <c r="T8" s="1114"/>
      <c r="U8" s="1115"/>
      <c r="V8" s="1116"/>
      <c r="W8" s="1110"/>
      <c r="X8" s="1108"/>
      <c r="Y8" s="1108"/>
      <c r="Z8" s="1106"/>
      <c r="AA8" s="1114"/>
      <c r="AB8" s="1115"/>
      <c r="AC8" s="1115"/>
      <c r="AD8" s="1116"/>
    </row>
    <row r="9" spans="1:30">
      <c r="A9" s="326">
        <v>1</v>
      </c>
      <c r="B9" s="327">
        <v>2</v>
      </c>
      <c r="C9" s="327">
        <v>3</v>
      </c>
      <c r="D9" s="327">
        <v>4</v>
      </c>
      <c r="E9" s="327">
        <v>5</v>
      </c>
      <c r="F9" s="327">
        <v>6</v>
      </c>
      <c r="G9" s="919">
        <v>7</v>
      </c>
      <c r="H9" s="327">
        <v>8</v>
      </c>
      <c r="I9" s="328">
        <v>9</v>
      </c>
      <c r="J9" s="327">
        <v>10</v>
      </c>
      <c r="K9" s="328">
        <v>11</v>
      </c>
      <c r="L9" s="327">
        <v>12</v>
      </c>
      <c r="M9" s="328">
        <v>13</v>
      </c>
      <c r="N9" s="327">
        <v>14</v>
      </c>
      <c r="O9" s="328">
        <v>15</v>
      </c>
      <c r="P9" s="327">
        <v>16</v>
      </c>
      <c r="Q9" s="328">
        <v>17</v>
      </c>
      <c r="R9" s="327">
        <v>18</v>
      </c>
      <c r="S9" s="328">
        <v>19</v>
      </c>
      <c r="T9" s="327">
        <v>20</v>
      </c>
      <c r="U9" s="327"/>
      <c r="V9" s="327"/>
      <c r="W9" s="327">
        <v>26</v>
      </c>
      <c r="X9" s="328">
        <v>27</v>
      </c>
      <c r="Y9" s="328"/>
      <c r="Z9" s="327">
        <v>24</v>
      </c>
      <c r="AA9" s="327">
        <v>19</v>
      </c>
      <c r="AB9" s="327">
        <v>20</v>
      </c>
      <c r="AC9" s="327"/>
      <c r="AD9" s="327">
        <v>21</v>
      </c>
    </row>
    <row r="10" spans="1:30" s="329" customFormat="1" ht="15.75" customHeight="1">
      <c r="A10" s="324" t="str">
        <f>IF(B10&lt;&gt;"",IF(AND(B10='IN-TC'!$S$4,OR(TH!N10="1111",TH!O10="1111")),TH!D10,""),"")</f>
        <v/>
      </c>
      <c r="B10" s="63">
        <f t="shared" ref="B10:B15" si="0">IF(C10&lt;&gt;"",MONTH(C10),"")</f>
        <v>1</v>
      </c>
      <c r="C10" s="76">
        <f>E10</f>
        <v>42400</v>
      </c>
      <c r="D10" s="76" t="s">
        <v>115</v>
      </c>
      <c r="E10" s="76">
        <v>42400</v>
      </c>
      <c r="F10" s="77" t="s">
        <v>214</v>
      </c>
      <c r="G10" s="77"/>
      <c r="H10" s="78"/>
      <c r="I10" s="412"/>
      <c r="J10" s="412"/>
      <c r="K10" s="408"/>
      <c r="L10" s="412"/>
      <c r="M10" s="79">
        <f>CDPS!D57</f>
        <v>30160884.000000477</v>
      </c>
      <c r="N10" s="80" t="s">
        <v>94</v>
      </c>
      <c r="O10" s="80" t="s">
        <v>92</v>
      </c>
      <c r="P10" s="80" t="str">
        <f>IF(AND('331-CT'!$E$7=TH!H10,OR(N10="331",O10="331")),"x","")</f>
        <v/>
      </c>
      <c r="Q10" s="80" t="str">
        <f>IF(AND(B10='111'!$L$11,OR($N10=$Q$7,$O10=$Q$7)),"x","")</f>
        <v/>
      </c>
      <c r="R10" s="80" t="str">
        <f>IF(AND($N10=$Q$7,$B10&lt;'111'!$L$11),"x","")</f>
        <v/>
      </c>
      <c r="S10" s="80" t="str">
        <f>IF(AND($O10=$Q$7,$B10&lt;'111'!$L$11),"x","")</f>
        <v/>
      </c>
      <c r="T10" s="80" t="str">
        <f>IF(ISERROR(FIND('112'!$M$9,G10,1)),"",IF((AND(FIND('112'!$M$9,G10,1)&gt;=1,B10='112'!$K$9,OR($N10='112'!$I$6,$O10='112'!$I$6))),"x",""))</f>
        <v/>
      </c>
      <c r="U10" s="80" t="str">
        <f>IF(ISERROR(FIND('112'!$M$9,G10,1)),"",IF((AND(LEFT(G10,2)=LEFT('112'!$M$9,2),B10&lt;'112'!$K$9,$N10='112'!$I$6)),"x",""))</f>
        <v/>
      </c>
      <c r="V10" s="80" t="str">
        <f>IF(ISERROR(FIND('112'!$M$9,G10,1)),"",IF((AND(RIGHT(G10,2)=RIGHT('112'!$M$9,2),B10&lt;'112'!$K$9,$O10='112'!$I$6)),"x",""))</f>
        <v/>
      </c>
      <c r="W10" s="80" t="str">
        <f>IF(AND('341-CT'!$H$9=H10,OR(LEFT(N10,3)=$W$7,LEFT(O10,3)=$W$7)),"x","")</f>
        <v/>
      </c>
      <c r="X10" s="80" t="str">
        <f>IF(OR(TH!N10=TH!$X$7,O10=TH!$X$7),"x","")</f>
        <v/>
      </c>
      <c r="Y10" s="80" t="str">
        <f>IF(AND(OR(N10="131",O10="131"),H10='131-CT'!$H$9),"x","")</f>
        <v/>
      </c>
      <c r="Z10" s="80"/>
      <c r="AA10" s="80" t="str">
        <f>IF(AND(MONTH(E10)='IN-NX'!$J$5,'IN-NX'!$D$7=D10),"x","")</f>
        <v/>
      </c>
      <c r="AB10" s="80" t="str">
        <f>IF(AND(OR(LEFT(TH!N10,2)="15",LEFT(TH!O10,2)="15"),'152-CT'!$J$8=TH!F10),"x","")</f>
        <v/>
      </c>
      <c r="AC10" s="80" t="str">
        <f>IF(AND(OR(LEFT(TH!N10,2)="15",LEFT(TH!O10,2)="15"),TK!$E$7=TH!F10),"x","")</f>
        <v/>
      </c>
      <c r="AD10" s="80" t="str">
        <f>IF(AND(N10="1521",MONTH(C10)='BK-NL'!$M$11),"x","")</f>
        <v/>
      </c>
    </row>
    <row r="11" spans="1:30" s="329" customFormat="1" ht="15.75" customHeight="1">
      <c r="A11" s="324" t="str">
        <f>IF(B11&lt;&gt;"",IF(AND(B11='IN-TC'!$S$4,OR(TH!N11="1111",TH!O11="1111")),TH!D11,""),"")</f>
        <v/>
      </c>
      <c r="B11" s="63">
        <f t="shared" si="0"/>
        <v>1</v>
      </c>
      <c r="C11" s="76">
        <f t="shared" ref="C11:C20" si="1">E11</f>
        <v>42400</v>
      </c>
      <c r="D11" s="76" t="s">
        <v>115</v>
      </c>
      <c r="E11" s="76">
        <v>42400</v>
      </c>
      <c r="F11" s="77" t="s">
        <v>668</v>
      </c>
      <c r="G11" s="77"/>
      <c r="H11" s="78"/>
      <c r="I11" s="412"/>
      <c r="J11" s="412"/>
      <c r="K11" s="408"/>
      <c r="L11" s="412"/>
      <c r="M11" s="79">
        <f>SUMIF(KHC,N11,TH)</f>
        <v>0</v>
      </c>
      <c r="N11" s="83" t="s">
        <v>673</v>
      </c>
      <c r="O11" s="80" t="s">
        <v>9</v>
      </c>
      <c r="P11" s="80" t="str">
        <f>IF(AND('331-CT'!$E$7=TH!H11,OR(N11="331",O11="331")),"x","")</f>
        <v/>
      </c>
      <c r="Q11" s="80" t="str">
        <f>IF(AND(B11='111'!$L$11,OR($N11=$Q$7,$O11=$Q$7)),"x","")</f>
        <v/>
      </c>
      <c r="R11" s="80" t="str">
        <f>IF(AND($N11=$Q$7,$B11&lt;'111'!$L$11),"x","")</f>
        <v/>
      </c>
      <c r="S11" s="80" t="str">
        <f>IF(AND($O11=$Q$7,$B11&lt;'111'!$L$11),"x","")</f>
        <v/>
      </c>
      <c r="T11" s="80" t="str">
        <f>IF(ISERROR(FIND('112'!$M$9,G11,1)),"",IF((AND(FIND('112'!$M$9,G11,1)&gt;=1,B11='112'!$K$9,OR($N11='112'!$I$6,$O11='112'!$I$6))),"x",""))</f>
        <v/>
      </c>
      <c r="U11" s="80" t="str">
        <f>IF(ISERROR(FIND('112'!$M$9,G11,1)),"",IF((AND(LEFT(G11,2)=LEFT('112'!$M$9,2),B11&lt;'112'!$K$9,$N11='112'!$I$6)),"x",""))</f>
        <v/>
      </c>
      <c r="V11" s="80" t="str">
        <f>IF(ISERROR(FIND('112'!$M$9,G11,1)),"",IF((AND(RIGHT(G11,2)=RIGHT('112'!$M$9,2),B11&lt;'112'!$K$9,$O11='112'!$I$6)),"x",""))</f>
        <v/>
      </c>
      <c r="W11" s="80" t="str">
        <f>IF(AND('341-CT'!$H$9=H11,OR(LEFT(N11,3)=$W$7,LEFT(O11,3)=$W$7)),"x","")</f>
        <v/>
      </c>
      <c r="X11" s="80" t="str">
        <f>IF(OR(TH!N11=TH!$X$7,O11=TH!$X$7),"x","")</f>
        <v/>
      </c>
      <c r="Y11" s="80" t="str">
        <f>IF(AND(OR(N11="131",O11="131"),H11='131-CT'!$H$9),"x","")</f>
        <v/>
      </c>
      <c r="Z11" s="80"/>
      <c r="AA11" s="80" t="str">
        <f>IF(AND(MONTH(E11)='IN-NX'!$J$5,'IN-NX'!$D$7=D11),"x","")</f>
        <v/>
      </c>
      <c r="AB11" s="80" t="str">
        <f>IF(AND(OR(LEFT(TH!N11,2)="15",LEFT(TH!O11,2)="15"),'152-CT'!$J$8=TH!F11),"x","")</f>
        <v/>
      </c>
      <c r="AC11" s="80" t="str">
        <f>IF(AND(OR(LEFT(TH!N11,2)="15",LEFT(TH!O11,2)="15"),TK!$E$7=TH!F11),"x","")</f>
        <v/>
      </c>
      <c r="AD11" s="80" t="str">
        <f>IF(AND(N11="1521",MONTH(C11)='BK-NL'!$M$11),"x","")</f>
        <v/>
      </c>
    </row>
    <row r="12" spans="1:30" s="329" customFormat="1" ht="15.75" customHeight="1">
      <c r="A12" s="324" t="str">
        <f>IF(B12&lt;&gt;"",IF(AND(B12='IN-TC'!$S$4,OR(TH!N12="1111",TH!O12="1111")),TH!D12,""),"")</f>
        <v/>
      </c>
      <c r="B12" s="63">
        <f t="shared" si="0"/>
        <v>1</v>
      </c>
      <c r="C12" s="76">
        <f t="shared" si="1"/>
        <v>42400</v>
      </c>
      <c r="D12" s="76" t="s">
        <v>115</v>
      </c>
      <c r="E12" s="76">
        <v>42400</v>
      </c>
      <c r="F12" s="77" t="s">
        <v>669</v>
      </c>
      <c r="G12" s="77"/>
      <c r="H12" s="78"/>
      <c r="I12" s="412"/>
      <c r="J12" s="412"/>
      <c r="K12" s="408"/>
      <c r="L12" s="412"/>
      <c r="M12" s="79">
        <f>SUMIF(KHN,O12,TH)</f>
        <v>0</v>
      </c>
      <c r="N12" s="83" t="s">
        <v>109</v>
      </c>
      <c r="O12" s="80" t="s">
        <v>295</v>
      </c>
      <c r="P12" s="80" t="str">
        <f>IF(AND('331-CT'!$E$7=TH!H12,OR(N12="331",O12="331")),"x","")</f>
        <v/>
      </c>
      <c r="Q12" s="80" t="str">
        <f>IF(AND(B12='111'!$L$11,OR($N12=$Q$7,$O12=$Q$7)),"x","")</f>
        <v/>
      </c>
      <c r="R12" s="80" t="str">
        <f>IF(AND($N12=$Q$7,$B12&lt;'111'!$L$11),"x","")</f>
        <v/>
      </c>
      <c r="S12" s="80" t="str">
        <f>IF(AND($O12=$Q$7,$B12&lt;'111'!$L$11),"x","")</f>
        <v/>
      </c>
      <c r="T12" s="80" t="str">
        <f>IF(ISERROR(FIND('112'!$M$9,G12,1)),"",IF((AND(FIND('112'!$M$9,G12,1)&gt;=1,B12='112'!$K$9,OR($N12='112'!$I$6,$O12='112'!$I$6))),"x",""))</f>
        <v/>
      </c>
      <c r="U12" s="80" t="str">
        <f>IF(ISERROR(FIND('112'!$M$9,G12,1)),"",IF((AND(LEFT(G12,2)=LEFT('112'!$M$9,2),B12&lt;'112'!$K$9,$N12='112'!$I$6)),"x",""))</f>
        <v/>
      </c>
      <c r="V12" s="80" t="str">
        <f>IF(ISERROR(FIND('112'!$M$9,G12,1)),"",IF((AND(RIGHT(G12,2)=RIGHT('112'!$M$9,2),B12&lt;'112'!$K$9,$O12='112'!$I$6)),"x",""))</f>
        <v/>
      </c>
      <c r="W12" s="80" t="str">
        <f>IF(AND('341-CT'!$H$9=H12,OR(LEFT(N12,3)=$W$7,LEFT(O12,3)=$W$7)),"x","")</f>
        <v/>
      </c>
      <c r="X12" s="80" t="str">
        <f>IF(OR(TH!N12=TH!$X$7,O12=TH!$X$7),"x","")</f>
        <v/>
      </c>
      <c r="Y12" s="80" t="str">
        <f>IF(AND(OR(N12="131",O12="131"),H12='131-CT'!$H$9),"x","")</f>
        <v/>
      </c>
      <c r="Z12" s="80"/>
      <c r="AA12" s="80" t="str">
        <f>IF(AND(MONTH(E12)='IN-NX'!$J$5,'IN-NX'!$D$7=D12),"x","")</f>
        <v/>
      </c>
      <c r="AB12" s="80" t="str">
        <f>IF(AND(OR(LEFT(TH!N12,2)="15",LEFT(TH!O12,2)="15"),'152-CT'!$J$8=TH!F12),"x","")</f>
        <v/>
      </c>
      <c r="AC12" s="80" t="str">
        <f>IF(AND(OR(LEFT(TH!N12,2)="15",LEFT(TH!O12,2)="15"),TK!$E$7=TH!F12),"x","")</f>
        <v/>
      </c>
      <c r="AD12" s="80" t="str">
        <f>IF(AND(N12="1521",MONTH(C12)='BK-NL'!$M$11),"x","")</f>
        <v/>
      </c>
    </row>
    <row r="13" spans="1:30" s="329" customFormat="1" ht="15.75" customHeight="1">
      <c r="A13" s="324" t="str">
        <f>IF(B13&lt;&gt;"",IF(AND(B13='IN-TC'!$S$4,OR(TH!N13="1111",TH!O13="1111")),TH!D13,""),"")</f>
        <v/>
      </c>
      <c r="B13" s="63">
        <f t="shared" si="0"/>
        <v>1</v>
      </c>
      <c r="C13" s="76">
        <f t="shared" si="1"/>
        <v>42400</v>
      </c>
      <c r="D13" s="76" t="s">
        <v>115</v>
      </c>
      <c r="E13" s="76">
        <v>42400</v>
      </c>
      <c r="F13" s="77" t="s">
        <v>116</v>
      </c>
      <c r="G13" s="77"/>
      <c r="H13" s="84"/>
      <c r="I13" s="413"/>
      <c r="J13" s="413"/>
      <c r="K13" s="409"/>
      <c r="L13" s="413"/>
      <c r="M13" s="79">
        <f>SUMIF(KHN,O13,TH)</f>
        <v>0</v>
      </c>
      <c r="N13" s="80" t="s">
        <v>109</v>
      </c>
      <c r="O13" s="80" t="s">
        <v>99</v>
      </c>
      <c r="P13" s="80" t="str">
        <f>IF(AND('331-CT'!$E$7=TH!H13,OR(N13="331",O13="331")),"x","")</f>
        <v/>
      </c>
      <c r="Q13" s="80" t="str">
        <f>IF(AND(B13='111'!$L$11,OR($N13=$Q$7,$O13=$Q$7)),"x","")</f>
        <v/>
      </c>
      <c r="R13" s="80" t="str">
        <f>IF(AND($N13=$Q$7,$B13&lt;'111'!$L$11),"x","")</f>
        <v/>
      </c>
      <c r="S13" s="80" t="str">
        <f>IF(AND($O13=$Q$7,$B13&lt;'111'!$L$11),"x","")</f>
        <v/>
      </c>
      <c r="T13" s="80" t="str">
        <f>IF(ISERROR(FIND('112'!$M$9,G13,1)),"",IF((AND(FIND('112'!$M$9,G13,1)&gt;=1,B13='112'!$K$9,OR($N13='112'!$I$6,$O13='112'!$I$6))),"x",""))</f>
        <v/>
      </c>
      <c r="U13" s="80" t="str">
        <f>IF(ISERROR(FIND('112'!$M$9,G13,1)),"",IF((AND(LEFT(G13,2)=LEFT('112'!$M$9,2),B13&lt;'112'!$K$9,$N13='112'!$I$6)),"x",""))</f>
        <v/>
      </c>
      <c r="V13" s="80" t="str">
        <f>IF(ISERROR(FIND('112'!$M$9,G13,1)),"",IF((AND(RIGHT(G13,2)=RIGHT('112'!$M$9,2),B13&lt;'112'!$K$9,$O13='112'!$I$6)),"x",""))</f>
        <v/>
      </c>
      <c r="W13" s="80" t="str">
        <f>IF(AND('341-CT'!$H$9=H13,OR(LEFT(N13,3)=$W$7,LEFT(O13,3)=$W$7)),"x","")</f>
        <v/>
      </c>
      <c r="X13" s="80" t="str">
        <f>IF(OR(TH!N13=TH!$X$7,O13=TH!$X$7),"x","")</f>
        <v/>
      </c>
      <c r="Y13" s="80" t="str">
        <f>IF(AND(OR(N13="131",O13="131"),H13='131-CT'!$H$9),"x","")</f>
        <v/>
      </c>
      <c r="Z13" s="80"/>
      <c r="AA13" s="80" t="str">
        <f>IF(AND(MONTH(E13)='IN-NX'!$J$5,'IN-NX'!$D$7=D13),"x","")</f>
        <v/>
      </c>
      <c r="AB13" s="80" t="str">
        <f>IF(AND(OR(LEFT(TH!N13,2)="15",LEFT(TH!O13,2)="15"),'152-CT'!$J$8=TH!F13),"x","")</f>
        <v/>
      </c>
      <c r="AC13" s="80" t="str">
        <f>IF(AND(OR(LEFT(TH!N13,2)="15",LEFT(TH!O13,2)="15"),TK!$E$7=TH!F13),"x","")</f>
        <v/>
      </c>
      <c r="AD13" s="80" t="str">
        <f>IF(AND(N13="1521",MONTH(C13)='BK-NL'!$M$11),"x","")</f>
        <v/>
      </c>
    </row>
    <row r="14" spans="1:30" s="329" customFormat="1" ht="15.75" customHeight="1">
      <c r="A14" s="324" t="str">
        <f>IF(B14&lt;&gt;"",IF(AND(B14='IN-TC'!$S$4,OR(TH!N14="1111",TH!O14="1111")),TH!D14,""),"")</f>
        <v/>
      </c>
      <c r="B14" s="63">
        <f t="shared" si="0"/>
        <v>1</v>
      </c>
      <c r="C14" s="76">
        <f t="shared" si="1"/>
        <v>42400</v>
      </c>
      <c r="D14" s="76" t="s">
        <v>115</v>
      </c>
      <c r="E14" s="76">
        <v>42400</v>
      </c>
      <c r="F14" s="77" t="s">
        <v>670</v>
      </c>
      <c r="G14" s="77"/>
      <c r="H14" s="78"/>
      <c r="I14" s="412"/>
      <c r="J14" s="412"/>
      <c r="K14" s="408"/>
      <c r="L14" s="412"/>
      <c r="M14" s="79">
        <f>SUMIF(KHN,O14,TH)</f>
        <v>0</v>
      </c>
      <c r="N14" s="80" t="s">
        <v>109</v>
      </c>
      <c r="O14" s="80" t="s">
        <v>584</v>
      </c>
      <c r="P14" s="80" t="str">
        <f>IF(AND('331-CT'!$E$7=TH!H14,OR(N14="331",O14="331")),"x","")</f>
        <v/>
      </c>
      <c r="Q14" s="80" t="str">
        <f>IF(AND(B14='111'!$L$11,OR($N14=$Q$7,$O14=$Q$7)),"x","")</f>
        <v/>
      </c>
      <c r="R14" s="80" t="str">
        <f>IF(AND($N14=$Q$7,$B14&lt;'111'!$L$11),"x","")</f>
        <v/>
      </c>
      <c r="S14" s="80" t="str">
        <f>IF(AND($O14=$Q$7,$B14&lt;'111'!$L$11),"x","")</f>
        <v/>
      </c>
      <c r="T14" s="80" t="str">
        <f>IF(ISERROR(FIND('112'!$M$9,G14,1)),"",IF((AND(FIND('112'!$M$9,G14,1)&gt;=1,B14='112'!$K$9,OR($N14='112'!$I$6,$O14='112'!$I$6))),"x",""))</f>
        <v/>
      </c>
      <c r="U14" s="80" t="str">
        <f>IF(ISERROR(FIND('112'!$M$9,G14,1)),"",IF((AND(LEFT(G14,2)=LEFT('112'!$M$9,2),B14&lt;'112'!$K$9,$N14='112'!$I$6)),"x",""))</f>
        <v/>
      </c>
      <c r="V14" s="80" t="str">
        <f>IF(ISERROR(FIND('112'!$M$9,G14,1)),"",IF((AND(RIGHT(G14,2)=RIGHT('112'!$M$9,2),B14&lt;'112'!$K$9,$O14='112'!$I$6)),"x",""))</f>
        <v/>
      </c>
      <c r="W14" s="80" t="str">
        <f>IF(AND('341-CT'!$H$9=H14,OR(LEFT(N14,3)=$W$7,LEFT(O14,3)=$W$7)),"x","")</f>
        <v/>
      </c>
      <c r="X14" s="80" t="str">
        <f>IF(OR(TH!N14=TH!$X$7,O14=TH!$X$7),"x","")</f>
        <v/>
      </c>
      <c r="Y14" s="80" t="str">
        <f>IF(AND(OR(N14="131",O14="131"),H14='131-CT'!$H$9),"x","")</f>
        <v/>
      </c>
      <c r="Z14" s="80"/>
      <c r="AA14" s="80" t="str">
        <f>IF(AND(MONTH(E14)='IN-NX'!$J$5,'IN-NX'!$D$7=D14),"x","")</f>
        <v/>
      </c>
      <c r="AB14" s="80" t="str">
        <f>IF(AND(OR(LEFT(TH!N14,2)="15",LEFT(TH!O14,2)="15"),'152-CT'!$J$8=TH!F14),"x","")</f>
        <v/>
      </c>
      <c r="AC14" s="80" t="str">
        <f>IF(AND(OR(LEFT(TH!N14,2)="15",LEFT(TH!O14,2)="15"),TK!$E$7=TH!F14),"x","")</f>
        <v/>
      </c>
      <c r="AD14" s="80" t="str">
        <f>IF(AND(N14="1521",MONTH(C14)='BK-NL'!$M$11),"x","")</f>
        <v/>
      </c>
    </row>
    <row r="15" spans="1:30" s="329" customFormat="1" ht="15.75" customHeight="1">
      <c r="A15" s="324" t="str">
        <f>IF(B15&lt;&gt;"",IF(AND(B15='IN-TC'!$S$4,OR(TH!N15="1111",TH!O15="1111")),TH!D15,""),"")</f>
        <v/>
      </c>
      <c r="B15" s="63">
        <f t="shared" si="0"/>
        <v>1</v>
      </c>
      <c r="C15" s="76">
        <f t="shared" si="1"/>
        <v>42400</v>
      </c>
      <c r="D15" s="76" t="s">
        <v>115</v>
      </c>
      <c r="E15" s="76">
        <v>42400</v>
      </c>
      <c r="F15" s="77" t="s">
        <v>117</v>
      </c>
      <c r="G15" s="77"/>
      <c r="H15" s="78"/>
      <c r="I15" s="412"/>
      <c r="J15" s="412"/>
      <c r="K15" s="408"/>
      <c r="L15" s="412"/>
      <c r="M15" s="79">
        <f>SUMIF(KHN,O15,TH)</f>
        <v>0</v>
      </c>
      <c r="N15" s="80" t="s">
        <v>109</v>
      </c>
      <c r="O15" s="80" t="s">
        <v>101</v>
      </c>
      <c r="P15" s="80" t="str">
        <f>IF(AND('331-CT'!$E$7=TH!H15,OR(N15="331",O15="331")),"x","")</f>
        <v/>
      </c>
      <c r="Q15" s="80" t="str">
        <f>IF(AND(B15='111'!$L$11,OR($N15=$Q$7,$O15=$Q$7)),"x","")</f>
        <v/>
      </c>
      <c r="R15" s="80" t="str">
        <f>IF(AND($N15=$Q$7,$B15&lt;'111'!$L$11),"x","")</f>
        <v/>
      </c>
      <c r="S15" s="80" t="str">
        <f>IF(AND($O15=$Q$7,$B15&lt;'111'!$L$11),"x","")</f>
        <v/>
      </c>
      <c r="T15" s="80" t="str">
        <f>IF(ISERROR(FIND('112'!$M$9,G15,1)),"",IF((AND(FIND('112'!$M$9,G15,1)&gt;=1,B15='112'!$K$9,OR($N15='112'!$I$6,$O15='112'!$I$6))),"x",""))</f>
        <v/>
      </c>
      <c r="U15" s="80" t="str">
        <f>IF(ISERROR(FIND('112'!$M$9,G15,1)),"",IF((AND(LEFT(G15,2)=LEFT('112'!$M$9,2),B15&lt;'112'!$K$9,$N15='112'!$I$6)),"x",""))</f>
        <v/>
      </c>
      <c r="V15" s="80" t="str">
        <f>IF(ISERROR(FIND('112'!$M$9,G15,1)),"",IF((AND(RIGHT(G15,2)=RIGHT('112'!$M$9,2),B15&lt;'112'!$K$9,$O15='112'!$I$6)),"x",""))</f>
        <v/>
      </c>
      <c r="W15" s="80" t="str">
        <f>IF(AND('341-CT'!$H$9=H15,OR(LEFT(N15,3)=$W$7,LEFT(O15,3)=$W$7)),"x","")</f>
        <v/>
      </c>
      <c r="X15" s="80" t="str">
        <f>IF(OR(TH!N15=TH!$X$7,O15=TH!$X$7),"x","")</f>
        <v/>
      </c>
      <c r="Y15" s="80" t="str">
        <f>IF(AND(OR(N15="131",O15="131"),H15='131-CT'!$H$9),"x","")</f>
        <v/>
      </c>
      <c r="Z15" s="80"/>
      <c r="AA15" s="80" t="str">
        <f>IF(AND(MONTH(E15)='IN-NX'!$J$5,'IN-NX'!$D$7=D15),"x","")</f>
        <v/>
      </c>
      <c r="AB15" s="80" t="str">
        <f>IF(AND(OR(LEFT(TH!N15,2)="15",LEFT(TH!O15,2)="15"),'152-CT'!$J$8=TH!F15),"x","")</f>
        <v/>
      </c>
      <c r="AC15" s="80" t="str">
        <f>IF(AND(OR(LEFT(TH!N15,2)="15",LEFT(TH!O15,2)="15"),TK!$E$7=TH!F15),"x","")</f>
        <v/>
      </c>
      <c r="AD15" s="80" t="str">
        <f>IF(AND(N15="1521",MONTH(C15)='BK-NL'!$M$11),"x","")</f>
        <v/>
      </c>
    </row>
    <row r="16" spans="1:30" s="329" customFormat="1" ht="15.75" customHeight="1">
      <c r="A16" s="324" t="str">
        <f>IF(B16&lt;&gt;"",IF(AND(B16='IN-TC'!$S$4,OR(TH!N16="1111",TH!O16="1111")),TH!D16,""),"")</f>
        <v/>
      </c>
      <c r="B16" s="63">
        <f t="shared" ref="B16:B24" si="2">IF(C16&lt;&gt;"",MONTH(C16),"")</f>
        <v>1</v>
      </c>
      <c r="C16" s="76">
        <f t="shared" si="1"/>
        <v>42400</v>
      </c>
      <c r="D16" s="76" t="s">
        <v>115</v>
      </c>
      <c r="E16" s="76">
        <v>42400</v>
      </c>
      <c r="F16" s="77" t="s">
        <v>118</v>
      </c>
      <c r="G16" s="77"/>
      <c r="H16" s="78"/>
      <c r="I16" s="412"/>
      <c r="J16" s="412"/>
      <c r="K16" s="408"/>
      <c r="L16" s="412"/>
      <c r="M16" s="79">
        <f>SUMIF(KHC,N16,TH)</f>
        <v>0</v>
      </c>
      <c r="N16" s="83" t="s">
        <v>43</v>
      </c>
      <c r="O16" s="80" t="s">
        <v>109</v>
      </c>
      <c r="P16" s="80" t="str">
        <f>IF(AND('331-CT'!$E$7=TH!H16,OR(N16="331",O16="331")),"x","")</f>
        <v/>
      </c>
      <c r="Q16" s="80" t="str">
        <f>IF(AND(B16='111'!$L$11,OR($N16=$Q$7,$O16=$Q$7)),"x","")</f>
        <v/>
      </c>
      <c r="R16" s="80" t="str">
        <f>IF(AND($N16=$Q$7,$B16&lt;'111'!$L$11),"x","")</f>
        <v/>
      </c>
      <c r="S16" s="80" t="str">
        <f>IF(AND($O16=$Q$7,$B16&lt;'111'!$L$11),"x","")</f>
        <v/>
      </c>
      <c r="T16" s="80" t="str">
        <f>IF(ISERROR(FIND('112'!$M$9,G16,1)),"",IF((AND(FIND('112'!$M$9,G16,1)&gt;=1,B16='112'!$K$9,OR($N16='112'!$I$6,$O16='112'!$I$6))),"x",""))</f>
        <v/>
      </c>
      <c r="U16" s="80" t="str">
        <f>IF(ISERROR(FIND('112'!$M$9,G16,1)),"",IF((AND(LEFT(G16,2)=LEFT('112'!$M$9,2),B16&lt;'112'!$K$9,$N16='112'!$I$6)),"x",""))</f>
        <v/>
      </c>
      <c r="V16" s="80" t="str">
        <f>IF(ISERROR(FIND('112'!$M$9,G16,1)),"",IF((AND(RIGHT(G16,2)=RIGHT('112'!$M$9,2),B16&lt;'112'!$K$9,$O16='112'!$I$6)),"x",""))</f>
        <v/>
      </c>
      <c r="W16" s="80" t="str">
        <f>IF(AND('341-CT'!$H$9=H16,OR(LEFT(N16,3)=$W$7,LEFT(O16,3)=$W$7)),"x","")</f>
        <v/>
      </c>
      <c r="X16" s="80" t="str">
        <f>IF(OR(TH!N16=TH!$X$7,O16=TH!$X$7),"x","")</f>
        <v/>
      </c>
      <c r="Y16" s="80" t="str">
        <f>IF(AND(OR(N16="131",O16="131"),H16='131-CT'!$H$9),"x","")</f>
        <v/>
      </c>
      <c r="Z16" s="80"/>
      <c r="AA16" s="80" t="str">
        <f>IF(AND(MONTH(E16)='IN-NX'!$J$5,'IN-NX'!$D$7=D16),"x","")</f>
        <v/>
      </c>
      <c r="AB16" s="80" t="str">
        <f>IF(AND(OR(LEFT(TH!N16,2)="15",LEFT(TH!O16,2)="15"),'152-CT'!$J$8=TH!F16),"x","")</f>
        <v/>
      </c>
      <c r="AC16" s="80" t="str">
        <f>IF(AND(OR(LEFT(TH!N16,2)="15",LEFT(TH!O16,2)="15"),TK!$E$7=TH!F16),"x","")</f>
        <v/>
      </c>
      <c r="AD16" s="80" t="str">
        <f>IF(AND(N16="1521",MONTH(C16)='BK-NL'!$M$11),"x","")</f>
        <v/>
      </c>
    </row>
    <row r="17" spans="1:30" s="329" customFormat="1" ht="15.75" customHeight="1">
      <c r="A17" s="324" t="str">
        <f>IF(B17&lt;&gt;"",IF(AND(B17='IN-TC'!$S$4,OR(TH!N17="1111",TH!O17="1111")),TH!D17,""),"")</f>
        <v/>
      </c>
      <c r="B17" s="63">
        <f t="shared" si="2"/>
        <v>1</v>
      </c>
      <c r="C17" s="76">
        <f t="shared" si="1"/>
        <v>42400</v>
      </c>
      <c r="D17" s="76" t="s">
        <v>115</v>
      </c>
      <c r="E17" s="76">
        <v>42400</v>
      </c>
      <c r="F17" s="77" t="s">
        <v>671</v>
      </c>
      <c r="G17" s="77"/>
      <c r="H17" s="84"/>
      <c r="I17" s="413"/>
      <c r="J17" s="413"/>
      <c r="K17" s="409"/>
      <c r="L17" s="413"/>
      <c r="M17" s="79">
        <f>SUMIF(KHC,N17,TH)</f>
        <v>0</v>
      </c>
      <c r="N17" s="80" t="s">
        <v>297</v>
      </c>
      <c r="O17" s="80" t="s">
        <v>109</v>
      </c>
      <c r="P17" s="80" t="str">
        <f>IF(AND('331-CT'!$E$7=TH!H17,OR(N17="331",O17="331")),"x","")</f>
        <v/>
      </c>
      <c r="Q17" s="80" t="str">
        <f>IF(AND(B17='111'!$L$11,OR($N17=$Q$7,$O17=$Q$7)),"x","")</f>
        <v/>
      </c>
      <c r="R17" s="80" t="str">
        <f>IF(AND($N17=$Q$7,$B17&lt;'111'!$L$11),"x","")</f>
        <v/>
      </c>
      <c r="S17" s="80" t="str">
        <f>IF(AND($O17=$Q$7,$B17&lt;'111'!$L$11),"x","")</f>
        <v/>
      </c>
      <c r="T17" s="80" t="str">
        <f>IF(ISERROR(FIND('112'!$M$9,G17,1)),"",IF((AND(FIND('112'!$M$9,G17,1)&gt;=1,B17='112'!$K$9,OR($N17='112'!$I$6,$O17='112'!$I$6))),"x",""))</f>
        <v/>
      </c>
      <c r="U17" s="80" t="str">
        <f>IF(ISERROR(FIND('112'!$M$9,G17,1)),"",IF((AND(LEFT(G17,2)=LEFT('112'!$M$9,2),B17&lt;'112'!$K$9,$N17='112'!$I$6)),"x",""))</f>
        <v/>
      </c>
      <c r="V17" s="80" t="str">
        <f>IF(ISERROR(FIND('112'!$M$9,G17,1)),"",IF((AND(RIGHT(G17,2)=RIGHT('112'!$M$9,2),B17&lt;'112'!$K$9,$O17='112'!$I$6)),"x",""))</f>
        <v/>
      </c>
      <c r="W17" s="80" t="str">
        <f>IF(AND('341-CT'!$H$9=H17,OR(LEFT(N17,3)=$W$7,LEFT(O17,3)=$W$7)),"x","")</f>
        <v/>
      </c>
      <c r="X17" s="80" t="str">
        <f>IF(OR(TH!N17=TH!$X$7,O17=TH!$X$7),"x","")</f>
        <v/>
      </c>
      <c r="Y17" s="80" t="str">
        <f>IF(AND(OR(N17="131",O17="131"),H17='131-CT'!$H$9),"x","")</f>
        <v/>
      </c>
      <c r="Z17" s="80"/>
      <c r="AA17" s="80" t="str">
        <f>IF(AND(MONTH(E17)='IN-NX'!$J$5,'IN-NX'!$D$7=D17),"x","")</f>
        <v/>
      </c>
      <c r="AB17" s="80" t="str">
        <f>IF(AND(OR(LEFT(TH!N17,2)="15",LEFT(TH!O17,2)="15"),'152-CT'!$J$8=TH!F17),"x","")</f>
        <v/>
      </c>
      <c r="AC17" s="80" t="str">
        <f>IF(AND(OR(LEFT(TH!N17,2)="15",LEFT(TH!O17,2)="15"),TK!$E$7=TH!F17),"x","")</f>
        <v/>
      </c>
      <c r="AD17" s="80" t="str">
        <f>IF(AND(N17="1521",MONTH(C17)='BK-NL'!$M$11),"x","")</f>
        <v/>
      </c>
    </row>
    <row r="18" spans="1:30" s="329" customFormat="1" ht="15.75" customHeight="1">
      <c r="A18" s="324" t="str">
        <f>IF(B18&lt;&gt;"",IF(AND(B18='IN-TC'!$S$4,OR(TH!N18="1111",TH!O18="1111")),TH!D18,""),"")</f>
        <v/>
      </c>
      <c r="B18" s="63">
        <f t="shared" si="2"/>
        <v>1</v>
      </c>
      <c r="C18" s="76">
        <f t="shared" si="1"/>
        <v>42400</v>
      </c>
      <c r="D18" s="76" t="s">
        <v>115</v>
      </c>
      <c r="E18" s="76">
        <v>42400</v>
      </c>
      <c r="F18" s="77" t="s">
        <v>672</v>
      </c>
      <c r="G18" s="77"/>
      <c r="H18" s="78"/>
      <c r="I18" s="412"/>
      <c r="J18" s="412"/>
      <c r="K18" s="408"/>
      <c r="L18" s="412"/>
      <c r="M18" s="79">
        <f>SUMIF(KHC,N18,TH)</f>
        <v>0</v>
      </c>
      <c r="N18" s="80" t="s">
        <v>299</v>
      </c>
      <c r="O18" s="80" t="s">
        <v>109</v>
      </c>
      <c r="P18" s="80" t="str">
        <f>IF(AND('331-CT'!$E$7=TH!H18,OR(N18="331",O18="331")),"x","")</f>
        <v/>
      </c>
      <c r="Q18" s="80" t="str">
        <f>IF(AND(B18='111'!$L$11,OR($N18=$Q$7,$O18=$Q$7)),"x","")</f>
        <v/>
      </c>
      <c r="R18" s="80" t="str">
        <f>IF(AND($N18=$Q$7,$B18&lt;'111'!$L$11),"x","")</f>
        <v/>
      </c>
      <c r="S18" s="80" t="str">
        <f>IF(AND($O18=$Q$7,$B18&lt;'111'!$L$11),"x","")</f>
        <v/>
      </c>
      <c r="T18" s="80" t="str">
        <f>IF(ISERROR(FIND('112'!$M$9,G18,1)),"",IF((AND(FIND('112'!$M$9,G18,1)&gt;=1,B18='112'!$K$9,OR($N18='112'!$I$6,$O18='112'!$I$6))),"x",""))</f>
        <v/>
      </c>
      <c r="U18" s="80" t="str">
        <f>IF(ISERROR(FIND('112'!$M$9,G18,1)),"",IF((AND(LEFT(G18,2)=LEFT('112'!$M$9,2),B18&lt;'112'!$K$9,$N18='112'!$I$6)),"x",""))</f>
        <v/>
      </c>
      <c r="V18" s="80" t="str">
        <f>IF(ISERROR(FIND('112'!$M$9,G18,1)),"",IF((AND(RIGHT(G18,2)=RIGHT('112'!$M$9,2),B18&lt;'112'!$K$9,$O18='112'!$I$6)),"x",""))</f>
        <v/>
      </c>
      <c r="W18" s="80" t="str">
        <f>IF(AND('341-CT'!$H$9=H18,OR(LEFT(N18,3)=$W$7,LEFT(O18,3)=$W$7)),"x","")</f>
        <v/>
      </c>
      <c r="X18" s="80" t="str">
        <f>IF(OR(TH!N18=TH!$X$7,O18=TH!$X$7),"x","")</f>
        <v/>
      </c>
      <c r="Y18" s="80" t="str">
        <f>IF(AND(OR(N18="131",O18="131"),H18='131-CT'!$H$9),"x","")</f>
        <v/>
      </c>
      <c r="Z18" s="80"/>
      <c r="AA18" s="80" t="str">
        <f>IF(AND(MONTH(E18)='IN-NX'!$J$5,'IN-NX'!$D$7=D18),"x","")</f>
        <v/>
      </c>
      <c r="AB18" s="80" t="str">
        <f>IF(AND(OR(LEFT(TH!N18,2)="15",LEFT(TH!O18,2)="15"),'152-CT'!$J$8=TH!F18),"x","")</f>
        <v/>
      </c>
      <c r="AC18" s="80" t="str">
        <f>IF(AND(OR(LEFT(TH!N18,2)="15",LEFT(TH!O18,2)="15"),TK!$E$7=TH!F18),"x","")</f>
        <v/>
      </c>
      <c r="AD18" s="80" t="str">
        <f>IF(AND(N18="1521",MONTH(C18)='BK-NL'!$M$11),"x","")</f>
        <v/>
      </c>
    </row>
    <row r="19" spans="1:30" s="329" customFormat="1" ht="15.75" customHeight="1">
      <c r="A19" s="324" t="str">
        <f>IF(B19&lt;&gt;"",IF(AND(B19='IN-TC'!$S$4,OR(TH!N19="1111",TH!O19="1111")),TH!D19,""),"")</f>
        <v/>
      </c>
      <c r="B19" s="63">
        <f t="shared" si="2"/>
        <v>1</v>
      </c>
      <c r="C19" s="76">
        <f t="shared" si="1"/>
        <v>42400</v>
      </c>
      <c r="D19" s="76" t="s">
        <v>115</v>
      </c>
      <c r="E19" s="76">
        <v>42400</v>
      </c>
      <c r="F19" s="77" t="s">
        <v>119</v>
      </c>
      <c r="G19" s="77"/>
      <c r="H19" s="78"/>
      <c r="I19" s="412"/>
      <c r="J19" s="412"/>
      <c r="K19" s="408"/>
      <c r="L19" s="412"/>
      <c r="M19" s="79">
        <f>SUMIF(KHC,N19,TH)</f>
        <v>0</v>
      </c>
      <c r="N19" s="80" t="s">
        <v>103</v>
      </c>
      <c r="O19" s="80" t="s">
        <v>109</v>
      </c>
      <c r="P19" s="80" t="str">
        <f>IF(AND('331-CT'!$E$7=TH!H19,OR(N19="331",O19="331")),"x","")</f>
        <v/>
      </c>
      <c r="Q19" s="80" t="str">
        <f>IF(AND(B19='111'!$L$11,OR($N19=$Q$7,$O19=$Q$7)),"x","")</f>
        <v/>
      </c>
      <c r="R19" s="80" t="str">
        <f>IF(AND($N19=$Q$7,$B19&lt;'111'!$L$11),"x","")</f>
        <v/>
      </c>
      <c r="S19" s="80" t="str">
        <f>IF(AND($O19=$Q$7,$B19&lt;'111'!$L$11),"x","")</f>
        <v/>
      </c>
      <c r="T19" s="80" t="str">
        <f>IF(ISERROR(FIND('112'!$M$9,G19,1)),"",IF((AND(FIND('112'!$M$9,G19,1)&gt;=1,B19='112'!$K$9,OR($N19='112'!$I$6,$O19='112'!$I$6))),"x",""))</f>
        <v/>
      </c>
      <c r="U19" s="80" t="str">
        <f>IF(ISERROR(FIND('112'!$M$9,G19,1)),"",IF((AND(LEFT(G19,2)=LEFT('112'!$M$9,2),B19&lt;'112'!$K$9,$N19='112'!$I$6)),"x",""))</f>
        <v/>
      </c>
      <c r="V19" s="80" t="str">
        <f>IF(ISERROR(FIND('112'!$M$9,G19,1)),"",IF((AND(RIGHT(G19,2)=RIGHT('112'!$M$9,2),B19&lt;'112'!$K$9,$O19='112'!$I$6)),"x",""))</f>
        <v/>
      </c>
      <c r="W19" s="80" t="str">
        <f>IF(AND('341-CT'!$H$9=H19,OR(LEFT(N19,3)=$W$7,LEFT(O19,3)=$W$7)),"x","")</f>
        <v/>
      </c>
      <c r="X19" s="80" t="str">
        <f>IF(OR(TH!N19=TH!$X$7,O19=TH!$X$7),"x","")</f>
        <v/>
      </c>
      <c r="Y19" s="80" t="str">
        <f>IF(AND(OR(N19="131",O19="131"),H19='131-CT'!$H$9),"x","")</f>
        <v/>
      </c>
      <c r="Z19" s="80"/>
      <c r="AA19" s="80" t="str">
        <f>IF(AND(MONTH(E19)='IN-NX'!$J$5,'IN-NX'!$D$7=D19),"x","")</f>
        <v/>
      </c>
      <c r="AB19" s="80" t="str">
        <f>IF(AND(OR(LEFT(TH!N19,2)="15",LEFT(TH!O19,2)="15"),'152-CT'!$J$8=TH!F19),"x","")</f>
        <v/>
      </c>
      <c r="AC19" s="80" t="str">
        <f>IF(AND(OR(LEFT(TH!N19,2)="15",LEFT(TH!O19,2)="15"),TK!$E$7=TH!F19),"x","")</f>
        <v/>
      </c>
      <c r="AD19" s="80" t="str">
        <f>IF(AND(N19="1521",MONTH(C19)='BK-NL'!$M$11),"x","")</f>
        <v/>
      </c>
    </row>
    <row r="20" spans="1:30" s="329" customFormat="1" ht="15.75" customHeight="1">
      <c r="A20" s="324" t="str">
        <f>IF(B20&lt;&gt;"",IF(AND(B20='IN-TC'!$S$4,OR(TH!N20="1111",TH!O20="1111")),TH!D20,""),"")</f>
        <v/>
      </c>
      <c r="B20" s="63">
        <f t="shared" si="2"/>
        <v>1</v>
      </c>
      <c r="C20" s="76">
        <f t="shared" si="1"/>
        <v>42400</v>
      </c>
      <c r="D20" s="76" t="s">
        <v>115</v>
      </c>
      <c r="E20" s="76">
        <v>42400</v>
      </c>
      <c r="F20" s="77" t="s">
        <v>120</v>
      </c>
      <c r="G20" s="77"/>
      <c r="H20" s="78"/>
      <c r="I20" s="412"/>
      <c r="J20" s="412"/>
      <c r="K20" s="408"/>
      <c r="L20" s="412"/>
      <c r="M20" s="79">
        <f>SUMIF(KHN,O20,TH)</f>
        <v>0</v>
      </c>
      <c r="N20" s="83" t="s">
        <v>109</v>
      </c>
      <c r="O20" s="80" t="s">
        <v>105</v>
      </c>
      <c r="P20" s="80" t="str">
        <f>IF(AND('331-CT'!$E$7=TH!H20,OR(N20="331",O20="331")),"x","")</f>
        <v/>
      </c>
      <c r="Q20" s="80" t="str">
        <f>IF(AND(B20='111'!$L$11,OR($N20=$Q$7,$O20=$Q$7)),"x","")</f>
        <v/>
      </c>
      <c r="R20" s="80" t="str">
        <f>IF(AND($N20=$Q$7,$B20&lt;'111'!$L$11),"x","")</f>
        <v/>
      </c>
      <c r="S20" s="80" t="str">
        <f>IF(AND($O20=$Q$7,$B20&lt;'111'!$L$11),"x","")</f>
        <v/>
      </c>
      <c r="T20" s="80" t="str">
        <f>IF(ISERROR(FIND('112'!$M$9,G20,1)),"",IF((AND(FIND('112'!$M$9,G20,1)&gt;=1,B20='112'!$K$9,OR($N20='112'!$I$6,$O20='112'!$I$6))),"x",""))</f>
        <v/>
      </c>
      <c r="U20" s="80" t="str">
        <f>IF(ISERROR(FIND('112'!$M$9,G20,1)),"",IF((AND(LEFT(G20,2)=LEFT('112'!$M$9,2),B20&lt;'112'!$K$9,$N20='112'!$I$6)),"x",""))</f>
        <v/>
      </c>
      <c r="V20" s="80" t="str">
        <f>IF(ISERROR(FIND('112'!$M$9,G20,1)),"",IF((AND(RIGHT(G20,2)=RIGHT('112'!$M$9,2),B20&lt;'112'!$K$9,$O20='112'!$I$6)),"x",""))</f>
        <v/>
      </c>
      <c r="W20" s="80" t="str">
        <f>IF(AND('341-CT'!$H$9=H20,OR(LEFT(N20,3)=$W$7,LEFT(O20,3)=$W$7)),"x","")</f>
        <v/>
      </c>
      <c r="X20" s="80" t="str">
        <f>IF(OR(TH!N20=TH!$X$7,O20=TH!$X$7),"x","")</f>
        <v/>
      </c>
      <c r="Y20" s="80" t="str">
        <f>IF(AND(OR(N20="131",O20="131"),H20='131-CT'!$H$9),"x","")</f>
        <v/>
      </c>
      <c r="Z20" s="80"/>
      <c r="AA20" s="80" t="str">
        <f>IF(AND(MONTH(E20)='IN-NX'!$J$5,'IN-NX'!$D$7=D20),"x","")</f>
        <v/>
      </c>
      <c r="AB20" s="80" t="str">
        <f>IF(AND(OR(LEFT(TH!N20,2)="15",LEFT(TH!O20,2)="15"),'152-CT'!$J$8=TH!F20),"x","")</f>
        <v/>
      </c>
      <c r="AC20" s="80" t="str">
        <f>IF(AND(OR(LEFT(TH!N20,2)="15",LEFT(TH!O20,2)="15"),TK!$E$7=TH!F20),"x","")</f>
        <v/>
      </c>
      <c r="AD20" s="80" t="str">
        <f>IF(AND(N20="1521",MONTH(C20)='BK-NL'!$M$11),"x","")</f>
        <v/>
      </c>
    </row>
    <row r="21" spans="1:30" s="329" customFormat="1" ht="15.75" customHeight="1">
      <c r="A21" s="324" t="str">
        <f>IF(B21&lt;&gt;"",IF(AND(B21='IN-TC'!$S$4,OR(TH!N21="1111",TH!O21="1111")),TH!D21,""),"")</f>
        <v/>
      </c>
      <c r="B21" s="63">
        <f t="shared" si="2"/>
        <v>1</v>
      </c>
      <c r="C21" s="76">
        <f>E21</f>
        <v>42400</v>
      </c>
      <c r="D21" s="76" t="s">
        <v>115</v>
      </c>
      <c r="E21" s="76">
        <v>42400</v>
      </c>
      <c r="F21" s="77" t="s">
        <v>805</v>
      </c>
      <c r="G21" s="77"/>
      <c r="H21" s="78"/>
      <c r="I21" s="412"/>
      <c r="J21" s="412"/>
      <c r="K21" s="408"/>
      <c r="L21" s="412"/>
      <c r="M21" s="79">
        <v>83335133.599999428</v>
      </c>
      <c r="N21" s="83" t="s">
        <v>94</v>
      </c>
      <c r="O21" s="80" t="s">
        <v>109</v>
      </c>
      <c r="P21" s="80" t="str">
        <f>IF(AND('331-CT'!$E$7=TH!H21,OR(N21="331",O21="331")),"x","")</f>
        <v/>
      </c>
      <c r="Q21" s="80" t="str">
        <f>IF(AND(B21='111'!$L$11,OR($N21=$Q$7,$O21=$Q$7)),"x","")</f>
        <v/>
      </c>
      <c r="R21" s="80" t="str">
        <f>IF(AND($N21=$Q$7,$B21&lt;'111'!$L$11),"x","")</f>
        <v/>
      </c>
      <c r="S21" s="80" t="str">
        <f>IF(AND($O21=$Q$7,$B21&lt;'111'!$L$11),"x","")</f>
        <v/>
      </c>
      <c r="T21" s="80" t="str">
        <f>IF(ISERROR(FIND('112'!$M$9,G21,1)),"",IF((AND(FIND('112'!$M$9,G21,1)&gt;=1,B21='112'!$K$9,OR($N21='112'!$I$6,$O21='112'!$I$6))),"x",""))</f>
        <v/>
      </c>
      <c r="U21" s="80" t="str">
        <f>IF(ISERROR(FIND('112'!$M$9,G21,1)),"",IF((AND(LEFT(G21,2)=LEFT('112'!$M$9,2),B21&lt;'112'!$K$9,$N21='112'!$I$6)),"x",""))</f>
        <v/>
      </c>
      <c r="V21" s="80" t="str">
        <f>IF(ISERROR(FIND('112'!$M$9,G21,1)),"",IF((AND(RIGHT(G21,2)=RIGHT('112'!$M$9,2),B21&lt;'112'!$K$9,$O21='112'!$I$6)),"x",""))</f>
        <v/>
      </c>
      <c r="W21" s="80" t="str">
        <f>IF(AND('341-CT'!$H$9=H21,OR(LEFT(N21,3)=$W$7,LEFT(O21,3)=$W$7)),"x","")</f>
        <v/>
      </c>
      <c r="X21" s="80" t="str">
        <f>IF(OR(TH!N21=TH!$X$7,O21=TH!$X$7),"x","")</f>
        <v/>
      </c>
      <c r="Y21" s="80" t="str">
        <f>IF(AND(OR(N21="131",O21="131"),H21='131-CT'!$H$9),"x","")</f>
        <v/>
      </c>
      <c r="Z21" s="80"/>
      <c r="AA21" s="80" t="str">
        <f>IF(AND(MONTH(E21)='IN-NX'!$J$5,'IN-NX'!$D$7=D21),"x","")</f>
        <v/>
      </c>
      <c r="AB21" s="80" t="str">
        <f>IF(AND(OR(LEFT(TH!N21,2)="15",LEFT(TH!O21,2)="15"),'152-CT'!$J$8=TH!F21),"x","")</f>
        <v/>
      </c>
      <c r="AC21" s="80" t="str">
        <f>IF(AND(OR(LEFT(TH!N21,2)="15",LEFT(TH!O21,2)="15"),TK!$E$7=TH!F21),"x","")</f>
        <v/>
      </c>
      <c r="AD21" s="80" t="str">
        <f>IF(AND(N21="1521",MONTH(C21)='BK-NL'!$M$11),"x","")</f>
        <v/>
      </c>
    </row>
    <row r="22" spans="1:30" s="329" customFormat="1" ht="15.75" customHeight="1">
      <c r="A22" s="324" t="str">
        <f>IF(B22&lt;&gt;"",IF(AND(B22='IN-TC'!$S$4,OR(TH!N22="1111",TH!O22="1111")),TH!D22,""),"")</f>
        <v/>
      </c>
      <c r="B22" s="63">
        <f t="shared" si="2"/>
        <v>1</v>
      </c>
      <c r="C22" s="76">
        <f>E22</f>
        <v>42400</v>
      </c>
      <c r="D22" s="76" t="s">
        <v>115</v>
      </c>
      <c r="E22" s="76">
        <v>42400</v>
      </c>
      <c r="F22" s="77" t="s">
        <v>806</v>
      </c>
      <c r="G22" s="77"/>
      <c r="H22" s="78"/>
      <c r="I22" s="412"/>
      <c r="J22" s="412"/>
      <c r="K22" s="408"/>
      <c r="L22" s="412"/>
      <c r="M22" s="79">
        <v>103977877</v>
      </c>
      <c r="N22" s="83" t="s">
        <v>94</v>
      </c>
      <c r="O22" s="80" t="s">
        <v>109</v>
      </c>
      <c r="P22" s="80" t="str">
        <f>IF(AND('331-CT'!$E$7=TH!H22,OR(N22="331",O22="331")),"x","")</f>
        <v/>
      </c>
      <c r="Q22" s="80" t="str">
        <f>IF(AND(B22='111'!$L$11,OR($N22=$Q$7,$O22=$Q$7)),"x","")</f>
        <v/>
      </c>
      <c r="R22" s="80" t="str">
        <f>IF(AND($N22=$Q$7,$B22&lt;'111'!$L$11),"x","")</f>
        <v/>
      </c>
      <c r="S22" s="80" t="str">
        <f>IF(AND($O22=$Q$7,$B22&lt;'111'!$L$11),"x","")</f>
        <v/>
      </c>
      <c r="T22" s="80" t="str">
        <f>IF(ISERROR(FIND('112'!$M$9,G22,1)),"",IF((AND(FIND('112'!$M$9,G22,1)&gt;=1,B22='112'!$K$9,OR($N22='112'!$I$6,$O22='112'!$I$6))),"x",""))</f>
        <v/>
      </c>
      <c r="U22" s="80" t="str">
        <f>IF(ISERROR(FIND('112'!$M$9,G22,1)),"",IF((AND(LEFT(G22,2)=LEFT('112'!$M$9,2),B22&lt;'112'!$K$9,$N22='112'!$I$6)),"x",""))</f>
        <v/>
      </c>
      <c r="V22" s="80" t="str">
        <f>IF(ISERROR(FIND('112'!$M$9,G22,1)),"",IF((AND(RIGHT(G22,2)=RIGHT('112'!$M$9,2),B22&lt;'112'!$K$9,$O22='112'!$I$6)),"x",""))</f>
        <v/>
      </c>
      <c r="W22" s="80" t="str">
        <f>IF(AND('341-CT'!$H$9=H22,OR(LEFT(N22,3)=$W$7,LEFT(O22,3)=$W$7)),"x","")</f>
        <v/>
      </c>
      <c r="X22" s="80" t="str">
        <f>IF(OR(TH!N22=TH!$X$7,O22=TH!$X$7),"x","")</f>
        <v/>
      </c>
      <c r="Y22" s="80" t="str">
        <f>IF(AND(OR(N22="131",O22="131"),H22='131-CT'!$H$9),"x","")</f>
        <v/>
      </c>
      <c r="Z22" s="80"/>
      <c r="AA22" s="80" t="str">
        <f>IF(AND(MONTH(E22)='IN-NX'!$J$5,'IN-NX'!$D$7=D22),"x","")</f>
        <v/>
      </c>
      <c r="AB22" s="80" t="str">
        <f>IF(AND(OR(LEFT(TH!N22,2)="15",LEFT(TH!O22,2)="15"),'152-CT'!$J$8=TH!F22),"x","")</f>
        <v/>
      </c>
      <c r="AC22" s="80" t="str">
        <f>IF(AND(OR(LEFT(TH!N22,2)="15",LEFT(TH!O22,2)="15"),TK!$E$7=TH!F22),"x","")</f>
        <v/>
      </c>
      <c r="AD22" s="80" t="str">
        <f>IF(AND(N22="1521",MONTH(C22)='BK-NL'!$M$11),"x","")</f>
        <v/>
      </c>
    </row>
    <row r="23" spans="1:30" s="329" customFormat="1" ht="15.75" customHeight="1">
      <c r="A23" s="324" t="str">
        <f>IF(B23&lt;&gt;"",IF(AND(B23='IN-TC'!$S$4,OR(TH!N23="1111",TH!O23="1111")),TH!D23,""),"")</f>
        <v/>
      </c>
      <c r="B23" s="63">
        <f t="shared" si="2"/>
        <v>1</v>
      </c>
      <c r="C23" s="76">
        <f>E23</f>
        <v>42400</v>
      </c>
      <c r="D23" s="76" t="s">
        <v>115</v>
      </c>
      <c r="E23" s="76">
        <v>42400</v>
      </c>
      <c r="F23" s="77" t="s">
        <v>807</v>
      </c>
      <c r="G23" s="77"/>
      <c r="H23" s="78"/>
      <c r="I23" s="412"/>
      <c r="J23" s="412"/>
      <c r="K23" s="408"/>
      <c r="L23" s="412"/>
      <c r="M23" s="79"/>
      <c r="N23" s="83" t="s">
        <v>94</v>
      </c>
      <c r="O23" s="80" t="s">
        <v>109</v>
      </c>
      <c r="P23" s="80" t="str">
        <f>IF(AND('331-CT'!$E$7=TH!H23,OR(N23="331",O23="331")),"x","")</f>
        <v/>
      </c>
      <c r="Q23" s="80" t="str">
        <f>IF(AND(B23='111'!$L$11,OR($N23=$Q$7,$O23=$Q$7)),"x","")</f>
        <v/>
      </c>
      <c r="R23" s="80" t="str">
        <f>IF(AND($N23=$Q$7,$B23&lt;'111'!$L$11),"x","")</f>
        <v/>
      </c>
      <c r="S23" s="80" t="str">
        <f>IF(AND($O23=$Q$7,$B23&lt;'111'!$L$11),"x","")</f>
        <v/>
      </c>
      <c r="T23" s="80" t="str">
        <f>IF(ISERROR(FIND('112'!$M$9,G23,1)),"",IF((AND(FIND('112'!$M$9,G23,1)&gt;=1,B23='112'!$K$9,OR($N23='112'!$I$6,$O23='112'!$I$6))),"x",""))</f>
        <v/>
      </c>
      <c r="U23" s="80" t="str">
        <f>IF(ISERROR(FIND('112'!$M$9,G23,1)),"",IF((AND(LEFT(G23,2)=LEFT('112'!$M$9,2),B23&lt;'112'!$K$9,$N23='112'!$I$6)),"x",""))</f>
        <v/>
      </c>
      <c r="V23" s="80" t="str">
        <f>IF(ISERROR(FIND('112'!$M$9,G23,1)),"",IF((AND(RIGHT(G23,2)=RIGHT('112'!$M$9,2),B23&lt;'112'!$K$9,$O23='112'!$I$6)),"x",""))</f>
        <v/>
      </c>
      <c r="W23" s="80" t="str">
        <f>IF(AND('341-CT'!$H$9=H23,OR(LEFT(N23,3)=$W$7,LEFT(O23,3)=$W$7)),"x","")</f>
        <v/>
      </c>
      <c r="X23" s="80" t="str">
        <f>IF(OR(TH!N23=TH!$X$7,O23=TH!$X$7),"x","")</f>
        <v/>
      </c>
      <c r="Y23" s="80" t="str">
        <f>IF(AND(OR(N23="131",O23="131"),H23='131-CT'!$H$9),"x","")</f>
        <v/>
      </c>
      <c r="Z23" s="80"/>
      <c r="AA23" s="80" t="str">
        <f>IF(AND(MONTH(E23)='IN-NX'!$J$5,'IN-NX'!$D$7=D23),"x","")</f>
        <v/>
      </c>
      <c r="AB23" s="80" t="str">
        <f>IF(AND(OR(LEFT(TH!N23,2)="15",LEFT(TH!O23,2)="15"),'152-CT'!$J$8=TH!F23),"x","")</f>
        <v/>
      </c>
      <c r="AC23" s="80" t="str">
        <f>IF(AND(OR(LEFT(TH!N23,2)="15",LEFT(TH!O23,2)="15"),TK!$E$7=TH!F23),"x","")</f>
        <v/>
      </c>
      <c r="AD23" s="80" t="str">
        <f>IF(AND(N23="1521",MONTH(C23)='BK-NL'!$M$11),"x","")</f>
        <v/>
      </c>
    </row>
    <row r="24" spans="1:30" s="329" customFormat="1" ht="15.75" customHeight="1">
      <c r="A24" s="324" t="str">
        <f>IF(B24&lt;&gt;"",IF(AND(B24='IN-TC'!$S$4,OR(TH!N24="1111",TH!O24="1111")),TH!D24,""),"")</f>
        <v/>
      </c>
      <c r="B24" s="63">
        <f t="shared" si="2"/>
        <v>1</v>
      </c>
      <c r="C24" s="76">
        <f>E24</f>
        <v>42400</v>
      </c>
      <c r="D24" s="76" t="s">
        <v>115</v>
      </c>
      <c r="E24" s="76">
        <v>42400</v>
      </c>
      <c r="F24" s="77" t="s">
        <v>808</v>
      </c>
      <c r="G24" s="77"/>
      <c r="H24" s="78"/>
      <c r="I24" s="412"/>
      <c r="J24" s="412"/>
      <c r="K24" s="408"/>
      <c r="L24" s="412"/>
      <c r="M24" s="79"/>
      <c r="N24" s="83" t="s">
        <v>94</v>
      </c>
      <c r="O24" s="80" t="s">
        <v>109</v>
      </c>
      <c r="P24" s="80" t="str">
        <f>IF(AND('331-CT'!$E$7=TH!H24,OR(N24="331",O24="331")),"x","")</f>
        <v/>
      </c>
      <c r="Q24" s="80" t="str">
        <f>IF(AND(B24='111'!$L$11,OR($N24=$Q$7,$O24=$Q$7)),"x","")</f>
        <v/>
      </c>
      <c r="R24" s="80" t="str">
        <f>IF(AND($N24=$Q$7,$B24&lt;'111'!$L$11),"x","")</f>
        <v/>
      </c>
      <c r="S24" s="80" t="str">
        <f>IF(AND($O24=$Q$7,$B24&lt;'111'!$L$11),"x","")</f>
        <v/>
      </c>
      <c r="T24" s="80" t="str">
        <f>IF(ISERROR(FIND('112'!$M$9,G24,1)),"",IF((AND(FIND('112'!$M$9,G24,1)&gt;=1,B24='112'!$K$9,OR($N24='112'!$I$6,$O24='112'!$I$6))),"x",""))</f>
        <v/>
      </c>
      <c r="U24" s="80" t="str">
        <f>IF(ISERROR(FIND('112'!$M$9,G24,1)),"",IF((AND(LEFT(G24,2)=LEFT('112'!$M$9,2),B24&lt;'112'!$K$9,$N24='112'!$I$6)),"x",""))</f>
        <v/>
      </c>
      <c r="V24" s="80" t="str">
        <f>IF(ISERROR(FIND('112'!$M$9,G24,1)),"",IF((AND(RIGHT(G24,2)=RIGHT('112'!$M$9,2),B24&lt;'112'!$K$9,$O24='112'!$I$6)),"x",""))</f>
        <v/>
      </c>
      <c r="W24" s="80" t="str">
        <f>IF(AND('341-CT'!$H$9=H24,OR(LEFT(N24,3)=$W$7,LEFT(O24,3)=$W$7)),"x","")</f>
        <v/>
      </c>
      <c r="X24" s="80" t="str">
        <f>IF(OR(TH!N24=TH!$X$7,O24=TH!$X$7),"x","")</f>
        <v/>
      </c>
      <c r="Y24" s="80" t="str">
        <f>IF(AND(OR(N24="131",O24="131"),H24='131-CT'!$H$9),"x","")</f>
        <v/>
      </c>
      <c r="Z24" s="80"/>
      <c r="AA24" s="80" t="str">
        <f>IF(AND(MONTH(E24)='IN-NX'!$J$5,'IN-NX'!$D$7=D24),"x","")</f>
        <v/>
      </c>
      <c r="AB24" s="80" t="str">
        <f>IF(AND(OR(LEFT(TH!N24,2)="15",LEFT(TH!O24,2)="15"),'152-CT'!$J$8=TH!F24),"x","")</f>
        <v/>
      </c>
      <c r="AC24" s="80" t="str">
        <f>IF(AND(OR(LEFT(TH!N24,2)="15",LEFT(TH!O24,2)="15"),TK!$E$7=TH!F24),"x","")</f>
        <v/>
      </c>
      <c r="AD24" s="80" t="str">
        <f>IF(AND(N24="1521",MONTH(C24)='BK-NL'!$M$11),"x","")</f>
        <v/>
      </c>
    </row>
    <row r="25" spans="1:30" ht="15.75" customHeight="1">
      <c r="A25" s="324" t="str">
        <f>IF(B25&lt;&gt;"",IF(AND(B25='IN-TC'!$S$4,OR(TH!N25="1111",TH!O25="1111")),TH!D25,""),"")</f>
        <v/>
      </c>
      <c r="B25" s="63">
        <f t="shared" ref="B25:B30" si="3">IF(C25&lt;&gt;"",MONTH(C25),"")</f>
        <v>11</v>
      </c>
      <c r="C25" s="64">
        <f>E25</f>
        <v>42681</v>
      </c>
      <c r="D25" s="64" t="s">
        <v>833</v>
      </c>
      <c r="E25" s="64">
        <v>42681</v>
      </c>
      <c r="F25" s="306" t="s">
        <v>835</v>
      </c>
      <c r="G25" s="920"/>
      <c r="H25" s="1079" t="s">
        <v>845</v>
      </c>
      <c r="I25" s="414">
        <v>14</v>
      </c>
      <c r="J25" s="414">
        <v>220000</v>
      </c>
      <c r="K25" s="410"/>
      <c r="L25" s="414"/>
      <c r="M25" s="65">
        <f>ROUND(I25*J25,0)</f>
        <v>3080000</v>
      </c>
      <c r="N25" s="66" t="s">
        <v>581</v>
      </c>
      <c r="O25" s="66" t="s">
        <v>285</v>
      </c>
      <c r="P25" s="80" t="str">
        <f>IF(AND('331-CT'!$E$7=TH!H25,OR(N25="331",O25="331")),"x","")</f>
        <v/>
      </c>
      <c r="Q25" s="80" t="str">
        <f>IF(AND(B25='111'!$L$11,OR($N25=$Q$7,$O25=$Q$7)),"x","")</f>
        <v/>
      </c>
      <c r="R25" s="80" t="str">
        <f>IF(AND($N25=$Q$7,$B25&lt;'111'!$L$11),"x","")</f>
        <v/>
      </c>
      <c r="S25" s="80" t="str">
        <f>IF(AND($O25=$Q$7,$B25&lt;'111'!$L$11),"x","")</f>
        <v/>
      </c>
      <c r="T25" s="80" t="str">
        <f>IF(ISERROR(FIND('112'!$M$9,G25,1)),"",IF((AND(FIND('112'!$M$9,G25,1)&gt;=1,B25='112'!$K$9,OR($N25='112'!$I$6,$O25='112'!$I$6))),"x",""))</f>
        <v/>
      </c>
      <c r="U25" s="80" t="str">
        <f>IF(ISERROR(FIND('112'!$M$9,G25,1)),"",IF((AND(LEFT(G25,2)=LEFT('112'!$M$9,2),B25&lt;'112'!$K$9,$N25='112'!$I$6)),"x",""))</f>
        <v/>
      </c>
      <c r="V25" s="80" t="str">
        <f>IF(ISERROR(FIND('112'!$M$9,G25,1)),"",IF((AND(RIGHT(G25,2)=RIGHT('112'!$M$9,2),B25&lt;'112'!$K$9,$O25='112'!$I$6)),"x",""))</f>
        <v/>
      </c>
      <c r="W25" s="80" t="str">
        <f>IF(AND('341-CT'!$H$9=H25,OR(LEFT(N25,3)=$W$7,LEFT(O25,3)=$W$7)),"x","")</f>
        <v/>
      </c>
      <c r="X25" s="80" t="str">
        <f>IF(OR(TH!N25=TH!$X$7,O25=TH!$X$7),"x","")</f>
        <v/>
      </c>
      <c r="Y25" s="80" t="str">
        <f>IF(AND(OR(N25="131",O25="131"),H25='131-CT'!$H$9),"x","")</f>
        <v/>
      </c>
      <c r="Z25" s="80"/>
      <c r="AA25" s="80" t="str">
        <f>IF(AND(MONTH(E25)='IN-NX'!$J$5,'IN-NX'!$D$7=D25),"x","")</f>
        <v/>
      </c>
      <c r="AB25" s="80" t="str">
        <f>IF(AND(OR(LEFT(TH!N25,2)="15",LEFT(TH!O25,2)="15"),'152-CT'!$J$8=TH!F25),"x","")</f>
        <v/>
      </c>
      <c r="AC25" s="80" t="str">
        <f>IF(AND(OR(LEFT(TH!N25,2)="15",LEFT(TH!O25,2)="15"),TK!$E$7=TH!F25),"x","")</f>
        <v/>
      </c>
      <c r="AD25" s="80" t="str">
        <f>IF(AND(N25="1521",MONTH(C25)='BK-NL'!$M$11),"x","")</f>
        <v/>
      </c>
    </row>
    <row r="26" spans="1:30" ht="15.75" customHeight="1">
      <c r="A26" s="324" t="str">
        <f>IF(B26&lt;&gt;"",IF(AND(B26='IN-TC'!$S$4,OR(TH!N26="1111",TH!O26="1111")),TH!D26,""),"")</f>
        <v/>
      </c>
      <c r="B26" s="63">
        <f t="shared" si="3"/>
        <v>11</v>
      </c>
      <c r="C26" s="64">
        <f t="shared" ref="C26:C89" si="4">E26</f>
        <v>42681</v>
      </c>
      <c r="D26" s="64" t="s">
        <v>833</v>
      </c>
      <c r="E26" s="64">
        <v>42681</v>
      </c>
      <c r="F26" s="306" t="s">
        <v>834</v>
      </c>
      <c r="G26" s="920"/>
      <c r="H26" s="1079" t="s">
        <v>845</v>
      </c>
      <c r="I26" s="414">
        <v>16</v>
      </c>
      <c r="J26" s="414">
        <v>200000</v>
      </c>
      <c r="K26" s="410"/>
      <c r="L26" s="414"/>
      <c r="M26" s="65">
        <f t="shared" ref="M26:M32" si="5">ROUND(I26*J26,0)</f>
        <v>3200000</v>
      </c>
      <c r="N26" s="66" t="s">
        <v>581</v>
      </c>
      <c r="O26" s="66" t="s">
        <v>285</v>
      </c>
      <c r="P26" s="80" t="str">
        <f>IF(AND('331-CT'!$E$7=TH!H26,OR(N26="331",O26="331")),"x","")</f>
        <v/>
      </c>
      <c r="Q26" s="80" t="str">
        <f>IF(AND(B26='111'!$L$11,OR($N26=$Q$7,$O26=$Q$7)),"x","")</f>
        <v/>
      </c>
      <c r="R26" s="80" t="str">
        <f>IF(AND($N26=$Q$7,$B26&lt;'111'!$L$11),"x","")</f>
        <v/>
      </c>
      <c r="S26" s="80" t="str">
        <f>IF(AND($O26=$Q$7,$B26&lt;'111'!$L$11),"x","")</f>
        <v/>
      </c>
      <c r="T26" s="80" t="str">
        <f>IF(ISERROR(FIND('112'!$M$9,G26,1)),"",IF((AND(FIND('112'!$M$9,G26,1)&gt;=1,B26='112'!$K$9,OR($N26='112'!$I$6,$O26='112'!$I$6))),"x",""))</f>
        <v/>
      </c>
      <c r="U26" s="80" t="str">
        <f>IF(ISERROR(FIND('112'!$M$9,G26,1)),"",IF((AND(LEFT(G26,2)=LEFT('112'!$M$9,2),B26&lt;'112'!$K$9,$N26='112'!$I$6)),"x",""))</f>
        <v/>
      </c>
      <c r="V26" s="80" t="str">
        <f>IF(ISERROR(FIND('112'!$M$9,G26,1)),"",IF((AND(RIGHT(G26,2)=RIGHT('112'!$M$9,2),B26&lt;'112'!$K$9,$O26='112'!$I$6)),"x",""))</f>
        <v/>
      </c>
      <c r="W26" s="80" t="str">
        <f>IF(AND('341-CT'!$H$9=H26,OR(LEFT(N26,3)=$W$7,LEFT(O26,3)=$W$7)),"x","")</f>
        <v/>
      </c>
      <c r="X26" s="80" t="str">
        <f>IF(OR(TH!N26=TH!$X$7,O26=TH!$X$7),"x","")</f>
        <v/>
      </c>
      <c r="Y26" s="80" t="str">
        <f>IF(AND(OR(N26="131",O26="131"),H26='131-CT'!$H$9),"x","")</f>
        <v/>
      </c>
      <c r="Z26" s="80"/>
      <c r="AA26" s="80" t="str">
        <f>IF(AND(MONTH(E26)='IN-NX'!$J$5,'IN-NX'!$D$7=D26),"x","")</f>
        <v/>
      </c>
      <c r="AB26" s="80" t="str">
        <f>IF(AND(OR(LEFT(TH!N26,2)="15",LEFT(TH!O26,2)="15"),'152-CT'!$J$8=TH!F26),"x","")</f>
        <v/>
      </c>
      <c r="AC26" s="80" t="str">
        <f>IF(AND(OR(LEFT(TH!N26,2)="15",LEFT(TH!O26,2)="15"),TK!$E$7=TH!F26),"x","")</f>
        <v/>
      </c>
      <c r="AD26" s="80" t="str">
        <f>IF(AND(N26="1521",MONTH(C26)='BK-NL'!$M$11),"x","")</f>
        <v/>
      </c>
    </row>
    <row r="27" spans="1:30" ht="15.75" customHeight="1">
      <c r="A27" s="324" t="str">
        <f>IF(B27&lt;&gt;"",IF(AND(B27='IN-TC'!$S$4,OR(TH!N27="1111",TH!O27="1111")),TH!D27,""),"")</f>
        <v/>
      </c>
      <c r="B27" s="63">
        <f t="shared" si="3"/>
        <v>11</v>
      </c>
      <c r="C27" s="64">
        <f t="shared" si="4"/>
        <v>42681</v>
      </c>
      <c r="D27" s="64" t="s">
        <v>833</v>
      </c>
      <c r="E27" s="64">
        <v>42681</v>
      </c>
      <c r="F27" s="306" t="s">
        <v>838</v>
      </c>
      <c r="G27" s="920"/>
      <c r="H27" s="1079" t="s">
        <v>845</v>
      </c>
      <c r="I27" s="414">
        <v>16</v>
      </c>
      <c r="J27" s="414">
        <v>155000</v>
      </c>
      <c r="K27" s="410"/>
      <c r="L27" s="414"/>
      <c r="M27" s="65">
        <f t="shared" si="5"/>
        <v>2480000</v>
      </c>
      <c r="N27" s="66" t="s">
        <v>581</v>
      </c>
      <c r="O27" s="66" t="s">
        <v>285</v>
      </c>
      <c r="P27" s="80" t="str">
        <f>IF(AND('331-CT'!$E$7=TH!H27,OR(N27="331",O27="331")),"x","")</f>
        <v/>
      </c>
      <c r="Q27" s="80" t="str">
        <f>IF(AND(B27='111'!$L$11,OR($N27=$Q$7,$O27=$Q$7)),"x","")</f>
        <v/>
      </c>
      <c r="R27" s="80" t="str">
        <f>IF(AND($N27=$Q$7,$B27&lt;'111'!$L$11),"x","")</f>
        <v/>
      </c>
      <c r="S27" s="80" t="str">
        <f>IF(AND($O27=$Q$7,$B27&lt;'111'!$L$11),"x","")</f>
        <v/>
      </c>
      <c r="T27" s="80" t="str">
        <f>IF(ISERROR(FIND('112'!$M$9,G27,1)),"",IF((AND(FIND('112'!$M$9,G27,1)&gt;=1,B27='112'!$K$9,OR($N27='112'!$I$6,$O27='112'!$I$6))),"x",""))</f>
        <v/>
      </c>
      <c r="U27" s="80" t="str">
        <f>IF(ISERROR(FIND('112'!$M$9,G27,1)),"",IF((AND(LEFT(G27,2)=LEFT('112'!$M$9,2),B27&lt;'112'!$K$9,$N27='112'!$I$6)),"x",""))</f>
        <v/>
      </c>
      <c r="V27" s="80" t="str">
        <f>IF(ISERROR(FIND('112'!$M$9,G27,1)),"",IF((AND(RIGHT(G27,2)=RIGHT('112'!$M$9,2),B27&lt;'112'!$K$9,$O27='112'!$I$6)),"x",""))</f>
        <v/>
      </c>
      <c r="W27" s="80" t="str">
        <f>IF(AND('341-CT'!$H$9=H27,OR(LEFT(N27,3)=$W$7,LEFT(O27,3)=$W$7)),"x","")</f>
        <v/>
      </c>
      <c r="X27" s="80" t="str">
        <f>IF(OR(TH!N27=TH!$X$7,O27=TH!$X$7),"x","")</f>
        <v/>
      </c>
      <c r="Y27" s="80" t="str">
        <f>IF(AND(OR(N27="131",O27="131"),H27='131-CT'!$H$9),"x","")</f>
        <v/>
      </c>
      <c r="Z27" s="80"/>
      <c r="AA27" s="80" t="str">
        <f>IF(AND(MONTH(E27)='IN-NX'!$J$5,'IN-NX'!$D$7=D27),"x","")</f>
        <v/>
      </c>
      <c r="AB27" s="80" t="str">
        <f>IF(AND(OR(LEFT(TH!N27,2)="15",LEFT(TH!O27,2)="15"),'152-CT'!$J$8=TH!F27),"x","")</f>
        <v/>
      </c>
      <c r="AC27" s="80" t="str">
        <f>IF(AND(OR(LEFT(TH!N27,2)="15",LEFT(TH!O27,2)="15"),TK!$E$7=TH!F27),"x","")</f>
        <v/>
      </c>
      <c r="AD27" s="80" t="str">
        <f>IF(AND(N27="1521",MONTH(C27)='BK-NL'!$M$11),"x","")</f>
        <v/>
      </c>
    </row>
    <row r="28" spans="1:30" ht="15.75" customHeight="1">
      <c r="A28" s="324" t="str">
        <f>IF(B28&lt;&gt;"",IF(AND(B28='IN-TC'!$S$4,OR(TH!N28="1111",TH!O28="1111")),TH!D28,""),"")</f>
        <v/>
      </c>
      <c r="B28" s="63">
        <f t="shared" si="3"/>
        <v>11</v>
      </c>
      <c r="C28" s="64">
        <f t="shared" si="4"/>
        <v>42681</v>
      </c>
      <c r="D28" s="64" t="s">
        <v>833</v>
      </c>
      <c r="E28" s="64">
        <v>42681</v>
      </c>
      <c r="F28" s="306" t="s">
        <v>836</v>
      </c>
      <c r="G28" s="920"/>
      <c r="H28" s="1079" t="s">
        <v>845</v>
      </c>
      <c r="I28" s="414">
        <v>12</v>
      </c>
      <c r="J28" s="414">
        <v>147000</v>
      </c>
      <c r="K28" s="410"/>
      <c r="L28" s="414"/>
      <c r="M28" s="65">
        <f t="shared" si="5"/>
        <v>1764000</v>
      </c>
      <c r="N28" s="66" t="s">
        <v>581</v>
      </c>
      <c r="O28" s="66" t="s">
        <v>285</v>
      </c>
      <c r="P28" s="80" t="str">
        <f>IF(AND('331-CT'!$E$7=TH!H28,OR(N28="331",O28="331")),"x","")</f>
        <v/>
      </c>
      <c r="Q28" s="80" t="str">
        <f>IF(AND(B28='111'!$L$11,OR($N28=$Q$7,$O28=$Q$7)),"x","")</f>
        <v/>
      </c>
      <c r="R28" s="80" t="str">
        <f>IF(AND($N28=$Q$7,$B28&lt;'111'!$L$11),"x","")</f>
        <v/>
      </c>
      <c r="S28" s="80" t="str">
        <f>IF(AND($O28=$Q$7,$B28&lt;'111'!$L$11),"x","")</f>
        <v/>
      </c>
      <c r="T28" s="80" t="str">
        <f>IF(ISERROR(FIND('112'!$M$9,G28,1)),"",IF((AND(FIND('112'!$M$9,G28,1)&gt;=1,B28='112'!$K$9,OR($N28='112'!$I$6,$O28='112'!$I$6))),"x",""))</f>
        <v/>
      </c>
      <c r="U28" s="80" t="str">
        <f>IF(ISERROR(FIND('112'!$M$9,G28,1)),"",IF((AND(LEFT(G28,2)=LEFT('112'!$M$9,2),B28&lt;'112'!$K$9,$N28='112'!$I$6)),"x",""))</f>
        <v/>
      </c>
      <c r="V28" s="80" t="str">
        <f>IF(ISERROR(FIND('112'!$M$9,G28,1)),"",IF((AND(RIGHT(G28,2)=RIGHT('112'!$M$9,2),B28&lt;'112'!$K$9,$O28='112'!$I$6)),"x",""))</f>
        <v/>
      </c>
      <c r="W28" s="80" t="str">
        <f>IF(AND('341-CT'!$H$9=H28,OR(LEFT(N28,3)=$W$7,LEFT(O28,3)=$W$7)),"x","")</f>
        <v/>
      </c>
      <c r="X28" s="80" t="str">
        <f>IF(OR(TH!N28=TH!$X$7,O28=TH!$X$7),"x","")</f>
        <v/>
      </c>
      <c r="Y28" s="80" t="str">
        <f>IF(AND(OR(N28="131",O28="131"),H28='131-CT'!$H$9),"x","")</f>
        <v/>
      </c>
      <c r="Z28" s="80"/>
      <c r="AA28" s="80" t="str">
        <f>IF(AND(MONTH(E28)='IN-NX'!$J$5,'IN-NX'!$D$7=D28),"x","")</f>
        <v/>
      </c>
      <c r="AB28" s="80" t="str">
        <f>IF(AND(OR(LEFT(TH!N28,2)="15",LEFT(TH!O28,2)="15"),'152-CT'!$J$8=TH!F28),"x","")</f>
        <v/>
      </c>
      <c r="AC28" s="80" t="str">
        <f>IF(AND(OR(LEFT(TH!N28,2)="15",LEFT(TH!O28,2)="15"),TK!$E$7=TH!F28),"x","")</f>
        <v/>
      </c>
      <c r="AD28" s="80" t="str">
        <f>IF(AND(N28="1521",MONTH(C28)='BK-NL'!$M$11),"x","")</f>
        <v/>
      </c>
    </row>
    <row r="29" spans="1:30" ht="15.75" customHeight="1">
      <c r="A29" s="324" t="str">
        <f>IF(B29&lt;&gt;"",IF(AND(B29='IN-TC'!$S$4,OR(TH!N29="1111",TH!O29="1111")),TH!D29,""),"")</f>
        <v/>
      </c>
      <c r="B29" s="63">
        <f t="shared" si="3"/>
        <v>11</v>
      </c>
      <c r="C29" s="64">
        <f t="shared" si="4"/>
        <v>42681</v>
      </c>
      <c r="D29" s="64" t="s">
        <v>833</v>
      </c>
      <c r="E29" s="64">
        <v>42681</v>
      </c>
      <c r="F29" s="306" t="s">
        <v>837</v>
      </c>
      <c r="G29" s="920"/>
      <c r="H29" s="1079" t="s">
        <v>845</v>
      </c>
      <c r="I29" s="415">
        <v>4</v>
      </c>
      <c r="J29" s="415">
        <v>100000</v>
      </c>
      <c r="K29" s="411"/>
      <c r="L29" s="415"/>
      <c r="M29" s="65">
        <f t="shared" si="5"/>
        <v>400000</v>
      </c>
      <c r="N29" s="66" t="s">
        <v>581</v>
      </c>
      <c r="O29" s="66" t="s">
        <v>285</v>
      </c>
      <c r="P29" s="80" t="str">
        <f>IF(AND('331-CT'!$E$7=TH!H29,OR(N29="331",O29="331")),"x","")</f>
        <v/>
      </c>
      <c r="Q29" s="80" t="str">
        <f>IF(AND(B29='111'!$L$11,OR($N29=$Q$7,$O29=$Q$7)),"x","")</f>
        <v/>
      </c>
      <c r="R29" s="80" t="str">
        <f>IF(AND($N29=$Q$7,$B29&lt;'111'!$L$11),"x","")</f>
        <v/>
      </c>
      <c r="S29" s="80" t="str">
        <f>IF(AND($O29=$Q$7,$B29&lt;'111'!$L$11),"x","")</f>
        <v/>
      </c>
      <c r="T29" s="80" t="str">
        <f>IF(ISERROR(FIND('112'!$M$9,G29,1)),"",IF((AND(FIND('112'!$M$9,G29,1)&gt;=1,B29='112'!$K$9,OR($N29='112'!$I$6,$O29='112'!$I$6))),"x",""))</f>
        <v/>
      </c>
      <c r="U29" s="80" t="str">
        <f>IF(ISERROR(FIND('112'!$M$9,G29,1)),"",IF((AND(LEFT(G29,2)=LEFT('112'!$M$9,2),B29&lt;'112'!$K$9,$N29='112'!$I$6)),"x",""))</f>
        <v/>
      </c>
      <c r="V29" s="80" t="str">
        <f>IF(ISERROR(FIND('112'!$M$9,G29,1)),"",IF((AND(RIGHT(G29,2)=RIGHT('112'!$M$9,2),B29&lt;'112'!$K$9,$O29='112'!$I$6)),"x",""))</f>
        <v/>
      </c>
      <c r="W29" s="80" t="str">
        <f>IF(AND('341-CT'!$H$9=H29,OR(LEFT(N29,3)=$W$7,LEFT(O29,3)=$W$7)),"x","")</f>
        <v/>
      </c>
      <c r="X29" s="80" t="str">
        <f>IF(OR(TH!N29=TH!$X$7,O29=TH!$X$7),"x","")</f>
        <v/>
      </c>
      <c r="Y29" s="80" t="str">
        <f>IF(AND(OR(N29="131",O29="131"),H29='131-CT'!$H$9),"x","")</f>
        <v/>
      </c>
      <c r="Z29" s="80"/>
      <c r="AA29" s="80" t="str">
        <f>IF(AND(MONTH(E29)='IN-NX'!$J$5,'IN-NX'!$D$7=D29),"x","")</f>
        <v/>
      </c>
      <c r="AB29" s="80" t="str">
        <f>IF(AND(OR(LEFT(TH!N29,2)="15",LEFT(TH!O29,2)="15"),'152-CT'!$J$8=TH!F29),"x","")</f>
        <v/>
      </c>
      <c r="AC29" s="80" t="str">
        <f>IF(AND(OR(LEFT(TH!N29,2)="15",LEFT(TH!O29,2)="15"),TK!$E$7=TH!F29),"x","")</f>
        <v/>
      </c>
      <c r="AD29" s="80" t="str">
        <f>IF(AND(N29="1521",MONTH(C29)='BK-NL'!$M$11),"x","")</f>
        <v/>
      </c>
    </row>
    <row r="30" spans="1:30" ht="15.75" customHeight="1">
      <c r="A30" s="324" t="str">
        <f>IF(B30&lt;&gt;"",IF(AND(B30='IN-TC'!$S$4,OR(TH!N30="1111",TH!O30="1111")),TH!D30,""),"")</f>
        <v/>
      </c>
      <c r="B30" s="63">
        <f t="shared" si="3"/>
        <v>11</v>
      </c>
      <c r="C30" s="64">
        <f t="shared" si="4"/>
        <v>42681</v>
      </c>
      <c r="D30" s="64" t="s">
        <v>833</v>
      </c>
      <c r="E30" s="64">
        <v>42681</v>
      </c>
      <c r="F30" s="306" t="s">
        <v>839</v>
      </c>
      <c r="G30" s="920"/>
      <c r="H30" s="1079" t="s">
        <v>845</v>
      </c>
      <c r="I30" s="415">
        <v>8</v>
      </c>
      <c r="J30" s="415">
        <v>550000</v>
      </c>
      <c r="K30" s="411"/>
      <c r="L30" s="415"/>
      <c r="M30" s="65">
        <f t="shared" si="5"/>
        <v>4400000</v>
      </c>
      <c r="N30" s="66" t="s">
        <v>581</v>
      </c>
      <c r="O30" s="66" t="s">
        <v>285</v>
      </c>
      <c r="P30" s="80" t="str">
        <f>IF(AND('331-CT'!$E$7=TH!H30,OR(N30="331",O30="331")),"x","")</f>
        <v/>
      </c>
      <c r="Q30" s="80" t="str">
        <f>IF(AND(B30='111'!$L$11,OR($N30=$Q$7,$O30=$Q$7)),"x","")</f>
        <v/>
      </c>
      <c r="R30" s="80" t="str">
        <f>IF(AND($N30=$Q$7,$B30&lt;'111'!$L$11),"x","")</f>
        <v/>
      </c>
      <c r="S30" s="80" t="str">
        <f>IF(AND($O30=$Q$7,$B30&lt;'111'!$L$11),"x","")</f>
        <v/>
      </c>
      <c r="T30" s="80" t="str">
        <f>IF(ISERROR(FIND('112'!$M$9,G30,1)),"",IF((AND(FIND('112'!$M$9,G30,1)&gt;=1,B30='112'!$K$9,OR($N30='112'!$I$6,$O30='112'!$I$6))),"x",""))</f>
        <v/>
      </c>
      <c r="U30" s="80" t="str">
        <f>IF(ISERROR(FIND('112'!$M$9,G30,1)),"",IF((AND(LEFT(G30,2)=LEFT('112'!$M$9,2),B30&lt;'112'!$K$9,$N30='112'!$I$6)),"x",""))</f>
        <v/>
      </c>
      <c r="V30" s="80" t="str">
        <f>IF(ISERROR(FIND('112'!$M$9,G30,1)),"",IF((AND(RIGHT(G30,2)=RIGHT('112'!$M$9,2),B30&lt;'112'!$K$9,$O30='112'!$I$6)),"x",""))</f>
        <v/>
      </c>
      <c r="W30" s="80" t="str">
        <f>IF(AND('341-CT'!$H$9=H30,OR(LEFT(N30,3)=$W$7,LEFT(O30,3)=$W$7)),"x","")</f>
        <v/>
      </c>
      <c r="X30" s="80" t="str">
        <f>IF(OR(TH!N30=TH!$X$7,O30=TH!$X$7),"x","")</f>
        <v/>
      </c>
      <c r="Y30" s="80" t="str">
        <f>IF(AND(OR(N30="131",O30="131"),H30='131-CT'!$H$9),"x","")</f>
        <v/>
      </c>
      <c r="Z30" s="80"/>
      <c r="AA30" s="80" t="str">
        <f>IF(AND(MONTH(E30)='IN-NX'!$J$5,'IN-NX'!$D$7=D30),"x","")</f>
        <v/>
      </c>
      <c r="AB30" s="80" t="str">
        <f>IF(AND(OR(LEFT(TH!N30,2)="15",LEFT(TH!O30,2)="15"),'152-CT'!$J$8=TH!F30),"x","")</f>
        <v/>
      </c>
      <c r="AC30" s="80" t="str">
        <f>IF(AND(OR(LEFT(TH!N30,2)="15",LEFT(TH!O30,2)="15"),TK!$E$7=TH!F30),"x","")</f>
        <v/>
      </c>
      <c r="AD30" s="80" t="str">
        <f>IF(AND(N30="1521",MONTH(C30)='BK-NL'!$M$11),"x","")</f>
        <v/>
      </c>
    </row>
    <row r="31" spans="1:30" ht="15.75" customHeight="1">
      <c r="A31" s="324" t="str">
        <f>IF(B31&lt;&gt;"",IF(AND(B31='IN-TC'!$S$4,OR(TH!N31="1111",TH!O31="1111")),TH!D31,""),"")</f>
        <v/>
      </c>
      <c r="B31" s="63">
        <f t="shared" ref="B31:B34" si="6">IF(C31&lt;&gt;"",MONTH(C31),"")</f>
        <v>11</v>
      </c>
      <c r="C31" s="64">
        <f t="shared" si="4"/>
        <v>42681</v>
      </c>
      <c r="D31" s="64" t="s">
        <v>833</v>
      </c>
      <c r="E31" s="64">
        <v>42681</v>
      </c>
      <c r="F31" s="306" t="s">
        <v>840</v>
      </c>
      <c r="G31" s="920"/>
      <c r="H31" s="1079" t="s">
        <v>845</v>
      </c>
      <c r="I31" s="414">
        <v>1</v>
      </c>
      <c r="J31" s="414">
        <v>395000</v>
      </c>
      <c r="K31" s="410"/>
      <c r="L31" s="414"/>
      <c r="M31" s="65">
        <f t="shared" si="5"/>
        <v>395000</v>
      </c>
      <c r="N31" s="66" t="s">
        <v>581</v>
      </c>
      <c r="O31" s="66" t="s">
        <v>285</v>
      </c>
      <c r="P31" s="80" t="str">
        <f>IF(AND('331-CT'!$E$7=TH!H31,OR(N31="331",O31="331")),"x","")</f>
        <v/>
      </c>
      <c r="Q31" s="80" t="str">
        <f>IF(AND(B31='111'!$L$11,OR($N31=$Q$7,$O31=$Q$7)),"x","")</f>
        <v/>
      </c>
      <c r="R31" s="80" t="str">
        <f>IF(AND($N31=$Q$7,$B31&lt;'111'!$L$11),"x","")</f>
        <v/>
      </c>
      <c r="S31" s="80" t="str">
        <f>IF(AND($O31=$Q$7,$B31&lt;'111'!$L$11),"x","")</f>
        <v/>
      </c>
      <c r="T31" s="80" t="str">
        <f>IF(ISERROR(FIND('112'!$M$9,G31,1)),"",IF((AND(FIND('112'!$M$9,G31,1)&gt;=1,B31='112'!$K$9,OR($N31='112'!$I$6,$O31='112'!$I$6))),"x",""))</f>
        <v/>
      </c>
      <c r="U31" s="80" t="str">
        <f>IF(ISERROR(FIND('112'!$M$9,G31,1)),"",IF((AND(LEFT(G31,2)=LEFT('112'!$M$9,2),B31&lt;'112'!$K$9,$N31='112'!$I$6)),"x",""))</f>
        <v/>
      </c>
      <c r="V31" s="80" t="str">
        <f>IF(ISERROR(FIND('112'!$M$9,G31,1)),"",IF((AND(RIGHT(G31,2)=RIGHT('112'!$M$9,2),B31&lt;'112'!$K$9,$O31='112'!$I$6)),"x",""))</f>
        <v/>
      </c>
      <c r="W31" s="80" t="str">
        <f>IF(AND('341-CT'!$H$9=H31,OR(LEFT(N31,3)=$W$7,LEFT(O31,3)=$W$7)),"x","")</f>
        <v/>
      </c>
      <c r="X31" s="80" t="str">
        <f>IF(OR(TH!N31=TH!$X$7,O31=TH!$X$7),"x","")</f>
        <v/>
      </c>
      <c r="Y31" s="80" t="str">
        <f>IF(AND(OR(N31="131",O31="131"),H31='131-CT'!$H$9),"x","")</f>
        <v/>
      </c>
      <c r="Z31" s="80"/>
      <c r="AA31" s="80" t="str">
        <f>IF(AND(MONTH(E31)='IN-NX'!$J$5,'IN-NX'!$D$7=D31),"x","")</f>
        <v/>
      </c>
      <c r="AB31" s="80" t="str">
        <f>IF(AND(OR(LEFT(TH!N31,2)="15",LEFT(TH!O31,2)="15"),'152-CT'!$J$8=TH!F31),"x","")</f>
        <v/>
      </c>
      <c r="AC31" s="80" t="str">
        <f>IF(AND(OR(LEFT(TH!N31,2)="15",LEFT(TH!O31,2)="15"),TK!$E$7=TH!F31),"x","")</f>
        <v/>
      </c>
      <c r="AD31" s="80" t="str">
        <f>IF(AND(N31="1521",MONTH(C31)='BK-NL'!$M$11),"x","")</f>
        <v/>
      </c>
    </row>
    <row r="32" spans="1:30" ht="15.75" customHeight="1">
      <c r="A32" s="324" t="str">
        <f>IF(B32&lt;&gt;"",IF(AND(B32='IN-TC'!$S$4,OR(TH!N32="1111",TH!O32="1111")),TH!D32,""),"")</f>
        <v/>
      </c>
      <c r="B32" s="63">
        <f t="shared" si="6"/>
        <v>11</v>
      </c>
      <c r="C32" s="64">
        <f t="shared" si="4"/>
        <v>42681</v>
      </c>
      <c r="D32" s="64" t="s">
        <v>833</v>
      </c>
      <c r="E32" s="64">
        <v>42681</v>
      </c>
      <c r="F32" s="306" t="s">
        <v>841</v>
      </c>
      <c r="G32" s="920"/>
      <c r="H32" s="1079" t="s">
        <v>845</v>
      </c>
      <c r="I32" s="414">
        <v>10</v>
      </c>
      <c r="J32" s="414">
        <v>160000</v>
      </c>
      <c r="K32" s="410"/>
      <c r="L32" s="414"/>
      <c r="M32" s="65">
        <f t="shared" si="5"/>
        <v>1600000</v>
      </c>
      <c r="N32" s="66" t="s">
        <v>581</v>
      </c>
      <c r="O32" s="66" t="s">
        <v>285</v>
      </c>
      <c r="P32" s="80" t="str">
        <f>IF(AND('331-CT'!$E$7=TH!H32,OR(N32="331",O32="331")),"x","")</f>
        <v/>
      </c>
      <c r="Q32" s="80" t="str">
        <f>IF(AND(B32='111'!$L$11,OR($N32=$Q$7,$O32=$Q$7)),"x","")</f>
        <v/>
      </c>
      <c r="R32" s="80" t="str">
        <f>IF(AND($N32=$Q$7,$B32&lt;'111'!$L$11),"x","")</f>
        <v/>
      </c>
      <c r="S32" s="80" t="str">
        <f>IF(AND($O32=$Q$7,$B32&lt;'111'!$L$11),"x","")</f>
        <v/>
      </c>
      <c r="T32" s="80" t="str">
        <f>IF(ISERROR(FIND('112'!$M$9,G32,1)),"",IF((AND(FIND('112'!$M$9,G32,1)&gt;=1,B32='112'!$K$9,OR($N32='112'!$I$6,$O32='112'!$I$6))),"x",""))</f>
        <v/>
      </c>
      <c r="U32" s="80" t="str">
        <f>IF(ISERROR(FIND('112'!$M$9,G32,1)),"",IF((AND(LEFT(G32,2)=LEFT('112'!$M$9,2),B32&lt;'112'!$K$9,$N32='112'!$I$6)),"x",""))</f>
        <v/>
      </c>
      <c r="V32" s="80" t="str">
        <f>IF(ISERROR(FIND('112'!$M$9,G32,1)),"",IF((AND(RIGHT(G32,2)=RIGHT('112'!$M$9,2),B32&lt;'112'!$K$9,$O32='112'!$I$6)),"x",""))</f>
        <v/>
      </c>
      <c r="W32" s="80" t="str">
        <f>IF(AND('341-CT'!$H$9=H32,OR(LEFT(N32,3)=$W$7,LEFT(O32,3)=$W$7)),"x","")</f>
        <v/>
      </c>
      <c r="X32" s="80" t="str">
        <f>IF(OR(TH!N32=TH!$X$7,O32=TH!$X$7),"x","")</f>
        <v/>
      </c>
      <c r="Y32" s="80" t="str">
        <f>IF(AND(OR(N32="131",O32="131"),H32='131-CT'!$H$9),"x","")</f>
        <v/>
      </c>
      <c r="Z32" s="80"/>
      <c r="AA32" s="80" t="str">
        <f>IF(AND(MONTH(E32)='IN-NX'!$J$5,'IN-NX'!$D$7=D32),"x","")</f>
        <v/>
      </c>
      <c r="AB32" s="80" t="str">
        <f>IF(AND(OR(LEFT(TH!N32,2)="15",LEFT(TH!O32,2)="15"),'152-CT'!$J$8=TH!F32),"x","")</f>
        <v/>
      </c>
      <c r="AC32" s="80" t="str">
        <f>IF(AND(OR(LEFT(TH!N32,2)="15",LEFT(TH!O32,2)="15"),TK!$E$7=TH!F32),"x","")</f>
        <v/>
      </c>
      <c r="AD32" s="80" t="str">
        <f>IF(AND(N32="1521",MONTH(C32)='BK-NL'!$M$11),"x","")</f>
        <v/>
      </c>
    </row>
    <row r="33" spans="1:30" ht="15.75" customHeight="1">
      <c r="A33" s="324" t="str">
        <f>IF(B33&lt;&gt;"",IF(AND(B33='IN-TC'!$S$4,OR(TH!N33="1111",TH!O33="1111")),TH!D33,""),"")</f>
        <v/>
      </c>
      <c r="B33" s="63">
        <f t="shared" si="6"/>
        <v>11</v>
      </c>
      <c r="C33" s="64">
        <f t="shared" si="4"/>
        <v>42681</v>
      </c>
      <c r="D33" s="64" t="s">
        <v>833</v>
      </c>
      <c r="E33" s="64">
        <v>42681</v>
      </c>
      <c r="F33" s="306" t="s">
        <v>842</v>
      </c>
      <c r="G33" s="920"/>
      <c r="H33" s="1079" t="s">
        <v>845</v>
      </c>
      <c r="I33" s="414"/>
      <c r="J33" s="414"/>
      <c r="K33" s="410"/>
      <c r="L33" s="414"/>
      <c r="M33" s="65">
        <f>SUM(M25:M32)*10%</f>
        <v>1731900</v>
      </c>
      <c r="N33" s="66" t="s">
        <v>581</v>
      </c>
      <c r="O33" s="66" t="s">
        <v>9</v>
      </c>
      <c r="P33" s="80" t="str">
        <f>IF(AND('331-CT'!$E$7=TH!H33,OR(N33="331",O33="331")),"x","")</f>
        <v/>
      </c>
      <c r="Q33" s="80" t="str">
        <f>IF(AND(B33='111'!$L$11,OR($N33=$Q$7,$O33=$Q$7)),"x","")</f>
        <v/>
      </c>
      <c r="R33" s="80" t="str">
        <f>IF(AND($N33=$Q$7,$B33&lt;'111'!$L$11),"x","")</f>
        <v/>
      </c>
      <c r="S33" s="80" t="str">
        <f>IF(AND($O33=$Q$7,$B33&lt;'111'!$L$11),"x","")</f>
        <v/>
      </c>
      <c r="T33" s="80" t="str">
        <f>IF(ISERROR(FIND('112'!$M$9,G33,1)),"",IF((AND(FIND('112'!$M$9,G33,1)&gt;=1,B33='112'!$K$9,OR($N33='112'!$I$6,$O33='112'!$I$6))),"x",""))</f>
        <v/>
      </c>
      <c r="U33" s="80" t="str">
        <f>IF(ISERROR(FIND('112'!$M$9,G33,1)),"",IF((AND(LEFT(G33,2)=LEFT('112'!$M$9,2),B33&lt;'112'!$K$9,$N33='112'!$I$6)),"x",""))</f>
        <v/>
      </c>
      <c r="V33" s="80" t="str">
        <f>IF(ISERROR(FIND('112'!$M$9,G33,1)),"",IF((AND(RIGHT(G33,2)=RIGHT('112'!$M$9,2),B33&lt;'112'!$K$9,$O33='112'!$I$6)),"x",""))</f>
        <v/>
      </c>
      <c r="W33" s="80" t="str">
        <f>IF(AND('341-CT'!$H$9=H33,OR(LEFT(N33,3)=$W$7,LEFT(O33,3)=$W$7)),"x","")</f>
        <v/>
      </c>
      <c r="X33" s="80" t="str">
        <f>IF(OR(TH!N33=TH!$X$7,O33=TH!$X$7),"x","")</f>
        <v/>
      </c>
      <c r="Y33" s="80" t="str">
        <f>IF(AND(OR(N33="131",O33="131"),H33='131-CT'!$H$9),"x","")</f>
        <v/>
      </c>
      <c r="Z33" s="80"/>
      <c r="AA33" s="80" t="str">
        <f>IF(AND(MONTH(E33)='IN-NX'!$J$5,'IN-NX'!$D$7=D33),"x","")</f>
        <v/>
      </c>
      <c r="AB33" s="80" t="str">
        <f>IF(AND(OR(LEFT(TH!N33,2)="15",LEFT(TH!O33,2)="15"),'152-CT'!$J$8=TH!F33),"x","")</f>
        <v/>
      </c>
      <c r="AC33" s="80" t="str">
        <f>IF(AND(OR(LEFT(TH!N33,2)="15",LEFT(TH!O33,2)="15"),TK!$E$7=TH!F33),"x","")</f>
        <v/>
      </c>
      <c r="AD33" s="80" t="str">
        <f>IF(AND(N33="1521",MONTH(C33)='BK-NL'!$M$11),"x","")</f>
        <v/>
      </c>
    </row>
    <row r="34" spans="1:30" ht="15.75" customHeight="1">
      <c r="A34" s="324" t="str">
        <f>IF(B34&lt;&gt;"",IF(AND(B34='IN-TC'!$S$4,OR(TH!N34="1111",TH!O34="1111")),TH!D34,""),"")</f>
        <v/>
      </c>
      <c r="B34" s="63">
        <f t="shared" si="6"/>
        <v>11</v>
      </c>
      <c r="C34" s="64">
        <f t="shared" si="4"/>
        <v>42684</v>
      </c>
      <c r="D34" s="64" t="s">
        <v>843</v>
      </c>
      <c r="E34" s="64">
        <v>42684</v>
      </c>
      <c r="F34" s="306" t="s">
        <v>835</v>
      </c>
      <c r="G34" s="920"/>
      <c r="H34" s="1079" t="s">
        <v>845</v>
      </c>
      <c r="I34" s="414">
        <v>14</v>
      </c>
      <c r="J34" s="414">
        <v>220000</v>
      </c>
      <c r="K34" s="410"/>
      <c r="L34" s="414"/>
      <c r="M34" s="65">
        <f>ROUND(I34*J34,0)</f>
        <v>3080000</v>
      </c>
      <c r="N34" s="66" t="s">
        <v>581</v>
      </c>
      <c r="O34" s="66" t="s">
        <v>285</v>
      </c>
      <c r="P34" s="80" t="str">
        <f>IF(AND('331-CT'!$E$7=TH!H34,OR(N34="331",O34="331")),"x","")</f>
        <v/>
      </c>
      <c r="Q34" s="80" t="str">
        <f>IF(AND(B34='111'!$L$11,OR($N34=$Q$7,$O34=$Q$7)),"x","")</f>
        <v/>
      </c>
      <c r="R34" s="80" t="str">
        <f>IF(AND($N34=$Q$7,$B34&lt;'111'!$L$11),"x","")</f>
        <v/>
      </c>
      <c r="S34" s="80" t="str">
        <f>IF(AND($O34=$Q$7,$B34&lt;'111'!$L$11),"x","")</f>
        <v/>
      </c>
      <c r="T34" s="80" t="str">
        <f>IF(ISERROR(FIND('112'!$M$9,G34,1)),"",IF((AND(FIND('112'!$M$9,G34,1)&gt;=1,B34='112'!$K$9,OR($N34='112'!$I$6,$O34='112'!$I$6))),"x",""))</f>
        <v/>
      </c>
      <c r="U34" s="80" t="str">
        <f>IF(ISERROR(FIND('112'!$M$9,G34,1)),"",IF((AND(LEFT(G34,2)=LEFT('112'!$M$9,2),B34&lt;'112'!$K$9,$N34='112'!$I$6)),"x",""))</f>
        <v/>
      </c>
      <c r="V34" s="80" t="str">
        <f>IF(ISERROR(FIND('112'!$M$9,G34,1)),"",IF((AND(RIGHT(G34,2)=RIGHT('112'!$M$9,2),B34&lt;'112'!$K$9,$O34='112'!$I$6)),"x",""))</f>
        <v/>
      </c>
      <c r="W34" s="80" t="str">
        <f>IF(AND('341-CT'!$H$9=H34,OR(LEFT(N34,3)=$W$7,LEFT(O34,3)=$W$7)),"x","")</f>
        <v/>
      </c>
      <c r="X34" s="80" t="str">
        <f>IF(OR(TH!N34=TH!$X$7,O34=TH!$X$7),"x","")</f>
        <v/>
      </c>
      <c r="Y34" s="80" t="str">
        <f>IF(AND(OR(N34="131",O34="131"),H34='131-CT'!$H$9),"x","")</f>
        <v/>
      </c>
      <c r="Z34" s="80"/>
      <c r="AA34" s="80" t="str">
        <f>IF(AND(MONTH(E34)='IN-NX'!$J$5,'IN-NX'!$D$7=D34),"x","")</f>
        <v/>
      </c>
      <c r="AB34" s="80" t="str">
        <f>IF(AND(OR(LEFT(TH!N34,2)="15",LEFT(TH!O34,2)="15"),'152-CT'!$J$8=TH!F34),"x","")</f>
        <v/>
      </c>
      <c r="AC34" s="80" t="str">
        <f>IF(AND(OR(LEFT(TH!N34,2)="15",LEFT(TH!O34,2)="15"),TK!$E$7=TH!F34),"x","")</f>
        <v/>
      </c>
      <c r="AD34" s="80" t="str">
        <f>IF(AND(N34="1521",MONTH(C34)='BK-NL'!$M$11),"x","")</f>
        <v/>
      </c>
    </row>
    <row r="35" spans="1:30" ht="15.75" customHeight="1">
      <c r="A35" s="324" t="str">
        <f>IF(B35&lt;&gt;"",IF(AND(B35='IN-TC'!$S$4,OR(TH!N35="1111",TH!O35="1111")),TH!D35,""),"")</f>
        <v/>
      </c>
      <c r="B35" s="63">
        <f t="shared" ref="B35:B36" si="7">IF(C35&lt;&gt;"",MONTH(C35),"")</f>
        <v>11</v>
      </c>
      <c r="C35" s="64">
        <f t="shared" ref="C35:C36" si="8">E35</f>
        <v>42684</v>
      </c>
      <c r="D35" s="64" t="s">
        <v>843</v>
      </c>
      <c r="E35" s="64">
        <v>42684</v>
      </c>
      <c r="F35" s="306" t="s">
        <v>834</v>
      </c>
      <c r="G35" s="920"/>
      <c r="H35" s="1079" t="s">
        <v>845</v>
      </c>
      <c r="I35" s="414">
        <v>16</v>
      </c>
      <c r="J35" s="414">
        <v>200000</v>
      </c>
      <c r="K35" s="410"/>
      <c r="L35" s="414"/>
      <c r="M35" s="65">
        <f t="shared" ref="M35:M41" si="9">ROUND(I35*J35,0)</f>
        <v>3200000</v>
      </c>
      <c r="N35" s="66" t="s">
        <v>581</v>
      </c>
      <c r="O35" s="66" t="s">
        <v>285</v>
      </c>
      <c r="P35" s="80" t="str">
        <f>IF(AND('331-CT'!$E$7=TH!H35,OR(N35="331",O35="331")),"x","")</f>
        <v/>
      </c>
      <c r="Q35" s="80" t="str">
        <f>IF(AND(B35='111'!$L$11,OR($N35=$Q$7,$O35=$Q$7)),"x","")</f>
        <v/>
      </c>
      <c r="R35" s="80" t="str">
        <f>IF(AND($N35=$Q$7,$B35&lt;'111'!$L$11),"x","")</f>
        <v/>
      </c>
      <c r="S35" s="80" t="str">
        <f>IF(AND($O35=$Q$7,$B35&lt;'111'!$L$11),"x","")</f>
        <v/>
      </c>
      <c r="T35" s="80" t="str">
        <f>IF(ISERROR(FIND('112'!$M$9,G35,1)),"",IF((AND(FIND('112'!$M$9,G35,1)&gt;=1,B35='112'!$K$9,OR($N35='112'!$I$6,$O35='112'!$I$6))),"x",""))</f>
        <v/>
      </c>
      <c r="U35" s="80" t="str">
        <f>IF(ISERROR(FIND('112'!$M$9,G35,1)),"",IF((AND(LEFT(G35,2)=LEFT('112'!$M$9,2),B35&lt;'112'!$K$9,$N35='112'!$I$6)),"x",""))</f>
        <v/>
      </c>
      <c r="V35" s="80" t="str">
        <f>IF(ISERROR(FIND('112'!$M$9,G35,1)),"",IF((AND(RIGHT(G35,2)=RIGHT('112'!$M$9,2),B35&lt;'112'!$K$9,$O35='112'!$I$6)),"x",""))</f>
        <v/>
      </c>
      <c r="W35" s="80" t="str">
        <f>IF(AND('341-CT'!$H$9=H35,OR(LEFT(N35,3)=$W$7,LEFT(O35,3)=$W$7)),"x","")</f>
        <v/>
      </c>
      <c r="X35" s="80" t="str">
        <f>IF(OR(TH!N35=TH!$X$7,O35=TH!$X$7),"x","")</f>
        <v/>
      </c>
      <c r="Y35" s="80" t="str">
        <f>IF(AND(OR(N35="131",O35="131"),H35='131-CT'!$H$9),"x","")</f>
        <v/>
      </c>
      <c r="Z35" s="80"/>
      <c r="AA35" s="80" t="str">
        <f>IF(AND(MONTH(E35)='IN-NX'!$J$5,'IN-NX'!$D$7=D35),"x","")</f>
        <v/>
      </c>
      <c r="AB35" s="80" t="str">
        <f>IF(AND(OR(LEFT(TH!N35,2)="15",LEFT(TH!O35,2)="15"),'152-CT'!$J$8=TH!F35),"x","")</f>
        <v/>
      </c>
      <c r="AC35" s="80" t="str">
        <f>IF(AND(OR(LEFT(TH!N35,2)="15",LEFT(TH!O35,2)="15"),TK!$E$7=TH!F35),"x","")</f>
        <v/>
      </c>
      <c r="AD35" s="80" t="str">
        <f>IF(AND(N35="1521",MONTH(C35)='BK-NL'!$M$11),"x","")</f>
        <v/>
      </c>
    </row>
    <row r="36" spans="1:30" ht="15.75" customHeight="1">
      <c r="A36" s="324" t="str">
        <f>IF(B36&lt;&gt;"",IF(AND(B36='IN-TC'!$S$4,OR(TH!N36="1111",TH!O36="1111")),TH!D36,""),"")</f>
        <v/>
      </c>
      <c r="B36" s="63">
        <f t="shared" si="7"/>
        <v>11</v>
      </c>
      <c r="C36" s="64">
        <f t="shared" si="8"/>
        <v>42684</v>
      </c>
      <c r="D36" s="64" t="s">
        <v>843</v>
      </c>
      <c r="E36" s="64">
        <v>42684</v>
      </c>
      <c r="F36" s="306" t="s">
        <v>838</v>
      </c>
      <c r="G36" s="920"/>
      <c r="H36" s="1079" t="s">
        <v>845</v>
      </c>
      <c r="I36" s="414">
        <v>16</v>
      </c>
      <c r="J36" s="414">
        <v>155000</v>
      </c>
      <c r="K36" s="410"/>
      <c r="L36" s="414"/>
      <c r="M36" s="65">
        <f t="shared" si="9"/>
        <v>2480000</v>
      </c>
      <c r="N36" s="66" t="s">
        <v>581</v>
      </c>
      <c r="O36" s="66" t="s">
        <v>285</v>
      </c>
      <c r="P36" s="80" t="str">
        <f>IF(AND('331-CT'!$E$7=TH!H36,OR(N36="331",O36="331")),"x","")</f>
        <v/>
      </c>
      <c r="Q36" s="80" t="str">
        <f>IF(AND(B36='111'!$L$11,OR($N36=$Q$7,$O36=$Q$7)),"x","")</f>
        <v/>
      </c>
      <c r="R36" s="80" t="str">
        <f>IF(AND($N36=$Q$7,$B36&lt;'111'!$L$11),"x","")</f>
        <v/>
      </c>
      <c r="S36" s="80" t="str">
        <f>IF(AND($O36=$Q$7,$B36&lt;'111'!$L$11),"x","")</f>
        <v/>
      </c>
      <c r="T36" s="80" t="str">
        <f>IF(ISERROR(FIND('112'!$M$9,G36,1)),"",IF((AND(FIND('112'!$M$9,G36,1)&gt;=1,B36='112'!$K$9,OR($N36='112'!$I$6,$O36='112'!$I$6))),"x",""))</f>
        <v/>
      </c>
      <c r="U36" s="80" t="str">
        <f>IF(ISERROR(FIND('112'!$M$9,G36,1)),"",IF((AND(LEFT(G36,2)=LEFT('112'!$M$9,2),B36&lt;'112'!$K$9,$N36='112'!$I$6)),"x",""))</f>
        <v/>
      </c>
      <c r="V36" s="80" t="str">
        <f>IF(ISERROR(FIND('112'!$M$9,G36,1)),"",IF((AND(RIGHT(G36,2)=RIGHT('112'!$M$9,2),B36&lt;'112'!$K$9,$O36='112'!$I$6)),"x",""))</f>
        <v/>
      </c>
      <c r="W36" s="80" t="str">
        <f>IF(AND('341-CT'!$H$9=H36,OR(LEFT(N36,3)=$W$7,LEFT(O36,3)=$W$7)),"x","")</f>
        <v/>
      </c>
      <c r="X36" s="80" t="str">
        <f>IF(OR(TH!N36=TH!$X$7,O36=TH!$X$7),"x","")</f>
        <v/>
      </c>
      <c r="Y36" s="80" t="str">
        <f>IF(AND(OR(N36="131",O36="131"),H36='131-CT'!$H$9),"x","")</f>
        <v/>
      </c>
      <c r="Z36" s="80"/>
      <c r="AA36" s="80" t="str">
        <f>IF(AND(MONTH(E36)='IN-NX'!$J$5,'IN-NX'!$D$7=D36),"x","")</f>
        <v/>
      </c>
      <c r="AB36" s="80" t="str">
        <f>IF(AND(OR(LEFT(TH!N36,2)="15",LEFT(TH!O36,2)="15"),'152-CT'!$J$8=TH!F36),"x","")</f>
        <v/>
      </c>
      <c r="AC36" s="80" t="str">
        <f>IF(AND(OR(LEFT(TH!N36,2)="15",LEFT(TH!O36,2)="15"),TK!$E$7=TH!F36),"x","")</f>
        <v/>
      </c>
      <c r="AD36" s="80" t="str">
        <f>IF(AND(N36="1521",MONTH(C36)='BK-NL'!$M$11),"x","")</f>
        <v/>
      </c>
    </row>
    <row r="37" spans="1:30" ht="15.75" customHeight="1">
      <c r="A37" s="324" t="str">
        <f>IF(B37&lt;&gt;"",IF(AND(B37='IN-TC'!$S$4,OR(TH!N37="1111",TH!O37="1111")),TH!D37,""),"")</f>
        <v/>
      </c>
      <c r="B37" s="63">
        <f t="shared" ref="B37:B40" si="10">IF(C37&lt;&gt;"",MONTH(C37),"")</f>
        <v>11</v>
      </c>
      <c r="C37" s="64">
        <f t="shared" si="4"/>
        <v>42684</v>
      </c>
      <c r="D37" s="64" t="s">
        <v>843</v>
      </c>
      <c r="E37" s="64">
        <v>42684</v>
      </c>
      <c r="F37" s="306" t="s">
        <v>836</v>
      </c>
      <c r="G37" s="920"/>
      <c r="H37" s="1079" t="s">
        <v>845</v>
      </c>
      <c r="I37" s="414">
        <v>12</v>
      </c>
      <c r="J37" s="414">
        <v>147000</v>
      </c>
      <c r="K37" s="410"/>
      <c r="L37" s="414"/>
      <c r="M37" s="65">
        <f t="shared" si="9"/>
        <v>1764000</v>
      </c>
      <c r="N37" s="66" t="s">
        <v>581</v>
      </c>
      <c r="O37" s="66" t="s">
        <v>285</v>
      </c>
      <c r="P37" s="80" t="str">
        <f>IF(AND('331-CT'!$E$7=TH!H37,OR(N37="331",O37="331")),"x","")</f>
        <v/>
      </c>
      <c r="Q37" s="80" t="str">
        <f>IF(AND(B37='111'!$L$11,OR($N37=$Q$7,$O37=$Q$7)),"x","")</f>
        <v/>
      </c>
      <c r="R37" s="80" t="str">
        <f>IF(AND($N37=$Q$7,$B37&lt;'111'!$L$11),"x","")</f>
        <v/>
      </c>
      <c r="S37" s="80" t="str">
        <f>IF(AND($O37=$Q$7,$B37&lt;'111'!$L$11),"x","")</f>
        <v/>
      </c>
      <c r="T37" s="80" t="str">
        <f>IF(ISERROR(FIND('112'!$M$9,G37,1)),"",IF((AND(FIND('112'!$M$9,G37,1)&gt;=1,B37='112'!$K$9,OR($N37='112'!$I$6,$O37='112'!$I$6))),"x",""))</f>
        <v/>
      </c>
      <c r="U37" s="80" t="str">
        <f>IF(ISERROR(FIND('112'!$M$9,G37,1)),"",IF((AND(LEFT(G37,2)=LEFT('112'!$M$9,2),B37&lt;'112'!$K$9,$N37='112'!$I$6)),"x",""))</f>
        <v/>
      </c>
      <c r="V37" s="80" t="str">
        <f>IF(ISERROR(FIND('112'!$M$9,G37,1)),"",IF((AND(RIGHT(G37,2)=RIGHT('112'!$M$9,2),B37&lt;'112'!$K$9,$O37='112'!$I$6)),"x",""))</f>
        <v/>
      </c>
      <c r="W37" s="80" t="str">
        <f>IF(AND('341-CT'!$H$9=H37,OR(LEFT(N37,3)=$W$7,LEFT(O37,3)=$W$7)),"x","")</f>
        <v/>
      </c>
      <c r="X37" s="80" t="str">
        <f>IF(OR(TH!N37=TH!$X$7,O37=TH!$X$7),"x","")</f>
        <v/>
      </c>
      <c r="Y37" s="80" t="str">
        <f>IF(AND(OR(N37="131",O37="131"),H37='131-CT'!$H$9),"x","")</f>
        <v/>
      </c>
      <c r="Z37" s="80"/>
      <c r="AA37" s="80" t="str">
        <f>IF(AND(MONTH(E37)='IN-NX'!$J$5,'IN-NX'!$D$7=D37),"x","")</f>
        <v/>
      </c>
      <c r="AB37" s="80" t="str">
        <f>IF(AND(OR(LEFT(TH!N37,2)="15",LEFT(TH!O37,2)="15"),'152-CT'!$J$8=TH!F37),"x","")</f>
        <v/>
      </c>
      <c r="AC37" s="80" t="str">
        <f>IF(AND(OR(LEFT(TH!N37,2)="15",LEFT(TH!O37,2)="15"),TK!$E$7=TH!F37),"x","")</f>
        <v/>
      </c>
      <c r="AD37" s="80" t="str">
        <f>IF(AND(N37="1521",MONTH(C37)='BK-NL'!$M$11),"x","")</f>
        <v/>
      </c>
    </row>
    <row r="38" spans="1:30" ht="15.75" customHeight="1">
      <c r="A38" s="324" t="str">
        <f>IF(B38&lt;&gt;"",IF(AND(B38='IN-TC'!$S$4,OR(TH!N38="1111",TH!O38="1111")),TH!D38,""),"")</f>
        <v/>
      </c>
      <c r="B38" s="63">
        <f t="shared" si="10"/>
        <v>11</v>
      </c>
      <c r="C38" s="64">
        <f t="shared" si="4"/>
        <v>42684</v>
      </c>
      <c r="D38" s="64" t="s">
        <v>843</v>
      </c>
      <c r="E38" s="64">
        <v>42684</v>
      </c>
      <c r="F38" s="306" t="s">
        <v>837</v>
      </c>
      <c r="G38" s="920"/>
      <c r="H38" s="1079" t="s">
        <v>845</v>
      </c>
      <c r="I38" s="415">
        <v>4</v>
      </c>
      <c r="J38" s="415">
        <v>100000</v>
      </c>
      <c r="K38" s="411"/>
      <c r="L38" s="415"/>
      <c r="M38" s="65">
        <f t="shared" si="9"/>
        <v>400000</v>
      </c>
      <c r="N38" s="66" t="s">
        <v>581</v>
      </c>
      <c r="O38" s="66" t="s">
        <v>285</v>
      </c>
      <c r="P38" s="80" t="str">
        <f>IF(AND('331-CT'!$E$7=TH!H38,OR(N38="331",O38="331")),"x","")</f>
        <v/>
      </c>
      <c r="Q38" s="80" t="str">
        <f>IF(AND(B38='111'!$L$11,OR($N38=$Q$7,$O38=$Q$7)),"x","")</f>
        <v/>
      </c>
      <c r="R38" s="80" t="str">
        <f>IF(AND($N38=$Q$7,$B38&lt;'111'!$L$11),"x","")</f>
        <v/>
      </c>
      <c r="S38" s="80" t="str">
        <f>IF(AND($O38=$Q$7,$B38&lt;'111'!$L$11),"x","")</f>
        <v/>
      </c>
      <c r="T38" s="80" t="str">
        <f>IF(ISERROR(FIND('112'!$M$9,G38,1)),"",IF((AND(FIND('112'!$M$9,G38,1)&gt;=1,B38='112'!$K$9,OR($N38='112'!$I$6,$O38='112'!$I$6))),"x",""))</f>
        <v/>
      </c>
      <c r="U38" s="80" t="str">
        <f>IF(ISERROR(FIND('112'!$M$9,G38,1)),"",IF((AND(LEFT(G38,2)=LEFT('112'!$M$9,2),B38&lt;'112'!$K$9,$N38='112'!$I$6)),"x",""))</f>
        <v/>
      </c>
      <c r="V38" s="80" t="str">
        <f>IF(ISERROR(FIND('112'!$M$9,G38,1)),"",IF((AND(RIGHT(G38,2)=RIGHT('112'!$M$9,2),B38&lt;'112'!$K$9,$O38='112'!$I$6)),"x",""))</f>
        <v/>
      </c>
      <c r="W38" s="80" t="str">
        <f>IF(AND('341-CT'!$H$9=H38,OR(LEFT(N38,3)=$W$7,LEFT(O38,3)=$W$7)),"x","")</f>
        <v/>
      </c>
      <c r="X38" s="80" t="str">
        <f>IF(OR(TH!N38=TH!$X$7,O38=TH!$X$7),"x","")</f>
        <v/>
      </c>
      <c r="Y38" s="80" t="str">
        <f>IF(AND(OR(N38="131",O38="131"),H38='131-CT'!$H$9),"x","")</f>
        <v/>
      </c>
      <c r="Z38" s="80"/>
      <c r="AA38" s="80" t="str">
        <f>IF(AND(MONTH(E38)='IN-NX'!$J$5,'IN-NX'!$D$7=D38),"x","")</f>
        <v/>
      </c>
      <c r="AB38" s="80" t="str">
        <f>IF(AND(OR(LEFT(TH!N38,2)="15",LEFT(TH!O38,2)="15"),'152-CT'!$J$8=TH!F38),"x","")</f>
        <v/>
      </c>
      <c r="AC38" s="80" t="str">
        <f>IF(AND(OR(LEFT(TH!N38,2)="15",LEFT(TH!O38,2)="15"),TK!$E$7=TH!F38),"x","")</f>
        <v/>
      </c>
      <c r="AD38" s="80" t="str">
        <f>IF(AND(N38="1521",MONTH(C38)='BK-NL'!$M$11),"x","")</f>
        <v/>
      </c>
    </row>
    <row r="39" spans="1:30" ht="15.75" customHeight="1">
      <c r="A39" s="324" t="str">
        <f>IF(B39&lt;&gt;"",IF(AND(B39='IN-TC'!$S$4,OR(TH!N39="1111",TH!O39="1111")),TH!D39,""),"")</f>
        <v/>
      </c>
      <c r="B39" s="63">
        <f t="shared" si="10"/>
        <v>11</v>
      </c>
      <c r="C39" s="64">
        <f t="shared" si="4"/>
        <v>42684</v>
      </c>
      <c r="D39" s="64" t="s">
        <v>843</v>
      </c>
      <c r="E39" s="64">
        <v>42684</v>
      </c>
      <c r="F39" s="306" t="s">
        <v>839</v>
      </c>
      <c r="G39" s="920"/>
      <c r="H39" s="1079" t="s">
        <v>845</v>
      </c>
      <c r="I39" s="415">
        <v>8</v>
      </c>
      <c r="J39" s="415">
        <v>550000</v>
      </c>
      <c r="K39" s="411"/>
      <c r="L39" s="415"/>
      <c r="M39" s="65">
        <f t="shared" si="9"/>
        <v>4400000</v>
      </c>
      <c r="N39" s="66" t="s">
        <v>581</v>
      </c>
      <c r="O39" s="66" t="s">
        <v>285</v>
      </c>
      <c r="P39" s="80" t="str">
        <f>IF(AND('331-CT'!$E$7=TH!H39,OR(N39="331",O39="331")),"x","")</f>
        <v/>
      </c>
      <c r="Q39" s="80" t="str">
        <f>IF(AND(B39='111'!$L$11,OR($N39=$Q$7,$O39=$Q$7)),"x","")</f>
        <v/>
      </c>
      <c r="R39" s="80" t="str">
        <f>IF(AND($N39=$Q$7,$B39&lt;'111'!$L$11),"x","")</f>
        <v/>
      </c>
      <c r="S39" s="80" t="str">
        <f>IF(AND($O39=$Q$7,$B39&lt;'111'!$L$11),"x","")</f>
        <v/>
      </c>
      <c r="T39" s="80" t="str">
        <f>IF(ISERROR(FIND('112'!$M$9,G39,1)),"",IF((AND(FIND('112'!$M$9,G39,1)&gt;=1,B39='112'!$K$9,OR($N39='112'!$I$6,$O39='112'!$I$6))),"x",""))</f>
        <v/>
      </c>
      <c r="U39" s="80" t="str">
        <f>IF(ISERROR(FIND('112'!$M$9,G39,1)),"",IF((AND(LEFT(G39,2)=LEFT('112'!$M$9,2),B39&lt;'112'!$K$9,$N39='112'!$I$6)),"x",""))</f>
        <v/>
      </c>
      <c r="V39" s="80" t="str">
        <f>IF(ISERROR(FIND('112'!$M$9,G39,1)),"",IF((AND(RIGHT(G39,2)=RIGHT('112'!$M$9,2),B39&lt;'112'!$K$9,$O39='112'!$I$6)),"x",""))</f>
        <v/>
      </c>
      <c r="W39" s="80" t="str">
        <f>IF(AND('341-CT'!$H$9=H39,OR(LEFT(N39,3)=$W$7,LEFT(O39,3)=$W$7)),"x","")</f>
        <v/>
      </c>
      <c r="X39" s="80" t="str">
        <f>IF(OR(TH!N39=TH!$X$7,O39=TH!$X$7),"x","")</f>
        <v/>
      </c>
      <c r="Y39" s="80" t="str">
        <f>IF(AND(OR(N39="131",O39="131"),H39='131-CT'!$H$9),"x","")</f>
        <v/>
      </c>
      <c r="Z39" s="80"/>
      <c r="AA39" s="80" t="str">
        <f>IF(AND(MONTH(E39)='IN-NX'!$J$5,'IN-NX'!$D$7=D39),"x","")</f>
        <v/>
      </c>
      <c r="AB39" s="80" t="str">
        <f>IF(AND(OR(LEFT(TH!N39,2)="15",LEFT(TH!O39,2)="15"),'152-CT'!$J$8=TH!F39),"x","")</f>
        <v/>
      </c>
      <c r="AC39" s="80" t="str">
        <f>IF(AND(OR(LEFT(TH!N39,2)="15",LEFT(TH!O39,2)="15"),TK!$E$7=TH!F39),"x","")</f>
        <v/>
      </c>
      <c r="AD39" s="80" t="str">
        <f>IF(AND(N39="1521",MONTH(C39)='BK-NL'!$M$11),"x","")</f>
        <v/>
      </c>
    </row>
    <row r="40" spans="1:30" ht="15.75" customHeight="1">
      <c r="A40" s="324" t="str">
        <f>IF(B40&lt;&gt;"",IF(AND(B40='IN-TC'!$S$4,OR(TH!N40="1111",TH!O40="1111")),TH!D40,""),"")</f>
        <v/>
      </c>
      <c r="B40" s="63">
        <f t="shared" si="10"/>
        <v>11</v>
      </c>
      <c r="C40" s="64">
        <f t="shared" si="4"/>
        <v>42684</v>
      </c>
      <c r="D40" s="64" t="s">
        <v>843</v>
      </c>
      <c r="E40" s="64">
        <v>42684</v>
      </c>
      <c r="F40" s="306" t="s">
        <v>840</v>
      </c>
      <c r="G40" s="920"/>
      <c r="H40" s="1079" t="s">
        <v>845</v>
      </c>
      <c r="I40" s="414">
        <v>1</v>
      </c>
      <c r="J40" s="414">
        <v>395000</v>
      </c>
      <c r="K40" s="410"/>
      <c r="L40" s="414"/>
      <c r="M40" s="65">
        <f t="shared" si="9"/>
        <v>395000</v>
      </c>
      <c r="N40" s="66" t="s">
        <v>581</v>
      </c>
      <c r="O40" s="66" t="s">
        <v>285</v>
      </c>
      <c r="P40" s="80" t="str">
        <f>IF(AND('331-CT'!$E$7=TH!H40,OR(N40="331",O40="331")),"x","")</f>
        <v/>
      </c>
      <c r="Q40" s="80" t="str">
        <f>IF(AND(B40='111'!$L$11,OR($N40=$Q$7,$O40=$Q$7)),"x","")</f>
        <v/>
      </c>
      <c r="R40" s="80" t="str">
        <f>IF(AND($N40=$Q$7,$B40&lt;'111'!$L$11),"x","")</f>
        <v/>
      </c>
      <c r="S40" s="80" t="str">
        <f>IF(AND($O40=$Q$7,$B40&lt;'111'!$L$11),"x","")</f>
        <v/>
      </c>
      <c r="T40" s="80" t="str">
        <f>IF(ISERROR(FIND('112'!$M$9,G40,1)),"",IF((AND(FIND('112'!$M$9,G40,1)&gt;=1,B40='112'!$K$9,OR($N40='112'!$I$6,$O40='112'!$I$6))),"x",""))</f>
        <v/>
      </c>
      <c r="U40" s="80" t="str">
        <f>IF(ISERROR(FIND('112'!$M$9,G40,1)),"",IF((AND(LEFT(G40,2)=LEFT('112'!$M$9,2),B40&lt;'112'!$K$9,$N40='112'!$I$6)),"x",""))</f>
        <v/>
      </c>
      <c r="V40" s="80" t="str">
        <f>IF(ISERROR(FIND('112'!$M$9,G40,1)),"",IF((AND(RIGHT(G40,2)=RIGHT('112'!$M$9,2),B40&lt;'112'!$K$9,$O40='112'!$I$6)),"x",""))</f>
        <v/>
      </c>
      <c r="W40" s="80" t="str">
        <f>IF(AND('341-CT'!$H$9=H40,OR(LEFT(N40,3)=$W$7,LEFT(O40,3)=$W$7)),"x","")</f>
        <v/>
      </c>
      <c r="X40" s="80" t="str">
        <f>IF(OR(TH!N40=TH!$X$7,O40=TH!$X$7),"x","")</f>
        <v/>
      </c>
      <c r="Y40" s="80" t="str">
        <f>IF(AND(OR(N40="131",O40="131"),H40='131-CT'!$H$9),"x","")</f>
        <v/>
      </c>
      <c r="Z40" s="80"/>
      <c r="AA40" s="80" t="str">
        <f>IF(AND(MONTH(E40)='IN-NX'!$J$5,'IN-NX'!$D$7=D40),"x","")</f>
        <v/>
      </c>
      <c r="AB40" s="80" t="str">
        <f>IF(AND(OR(LEFT(TH!N40,2)="15",LEFT(TH!O40,2)="15"),'152-CT'!$J$8=TH!F40),"x","")</f>
        <v/>
      </c>
      <c r="AC40" s="80" t="str">
        <f>IF(AND(OR(LEFT(TH!N40,2)="15",LEFT(TH!O40,2)="15"),TK!$E$7=TH!F40),"x","")</f>
        <v/>
      </c>
      <c r="AD40" s="80" t="str">
        <f>IF(AND(N40="1521",MONTH(C40)='BK-NL'!$M$11),"x","")</f>
        <v/>
      </c>
    </row>
    <row r="41" spans="1:30" ht="15.75" customHeight="1">
      <c r="A41" s="324" t="str">
        <f>IF(B41&lt;&gt;"",IF(AND(B41='IN-TC'!$S$4,OR(TH!N41="1111",TH!O41="1111")),TH!D41,""),"")</f>
        <v/>
      </c>
      <c r="B41" s="63">
        <f t="shared" ref="B41:B104" si="11">IF(C41&lt;&gt;"",MONTH(C41),"")</f>
        <v>11</v>
      </c>
      <c r="C41" s="64">
        <f t="shared" si="4"/>
        <v>42684</v>
      </c>
      <c r="D41" s="64" t="s">
        <v>843</v>
      </c>
      <c r="E41" s="64">
        <v>42684</v>
      </c>
      <c r="F41" s="306" t="s">
        <v>841</v>
      </c>
      <c r="G41" s="920"/>
      <c r="H41" s="1079" t="s">
        <v>845</v>
      </c>
      <c r="I41" s="414">
        <v>10</v>
      </c>
      <c r="J41" s="414">
        <v>160000</v>
      </c>
      <c r="K41" s="410"/>
      <c r="L41" s="414"/>
      <c r="M41" s="65">
        <f t="shared" si="9"/>
        <v>1600000</v>
      </c>
      <c r="N41" s="66" t="s">
        <v>581</v>
      </c>
      <c r="O41" s="66" t="s">
        <v>285</v>
      </c>
      <c r="P41" s="80" t="str">
        <f>IF(AND('331-CT'!$E$7=TH!H41,OR(N41="331",O41="331")),"x","")</f>
        <v/>
      </c>
      <c r="Q41" s="80" t="str">
        <f>IF(AND(B41='111'!$L$11,OR($N41=$Q$7,$O41=$Q$7)),"x","")</f>
        <v/>
      </c>
      <c r="R41" s="80" t="str">
        <f>IF(AND($N41=$Q$7,$B41&lt;'111'!$L$11),"x","")</f>
        <v/>
      </c>
      <c r="S41" s="80" t="str">
        <f>IF(AND($O41=$Q$7,$B41&lt;'111'!$L$11),"x","")</f>
        <v/>
      </c>
      <c r="T41" s="80" t="str">
        <f>IF(ISERROR(FIND('112'!$M$9,G41,1)),"",IF((AND(FIND('112'!$M$9,G41,1)&gt;=1,B41='112'!$K$9,OR($N41='112'!$I$6,$O41='112'!$I$6))),"x",""))</f>
        <v/>
      </c>
      <c r="U41" s="80" t="str">
        <f>IF(ISERROR(FIND('112'!$M$9,G41,1)),"",IF((AND(LEFT(G41,2)=LEFT('112'!$M$9,2),B41&lt;'112'!$K$9,$N41='112'!$I$6)),"x",""))</f>
        <v/>
      </c>
      <c r="V41" s="80" t="str">
        <f>IF(ISERROR(FIND('112'!$M$9,G41,1)),"",IF((AND(RIGHT(G41,2)=RIGHT('112'!$M$9,2),B41&lt;'112'!$K$9,$O41='112'!$I$6)),"x",""))</f>
        <v/>
      </c>
      <c r="W41" s="80" t="str">
        <f>IF(AND('341-CT'!$H$9=H41,OR(LEFT(N41,3)=$W$7,LEFT(O41,3)=$W$7)),"x","")</f>
        <v/>
      </c>
      <c r="X41" s="80" t="str">
        <f>IF(OR(TH!N41=TH!$X$7,O41=TH!$X$7),"x","")</f>
        <v/>
      </c>
      <c r="Y41" s="80" t="str">
        <f>IF(AND(OR(N41="131",O41="131"),H41='131-CT'!$H$9),"x","")</f>
        <v/>
      </c>
      <c r="Z41" s="80"/>
      <c r="AA41" s="80" t="str">
        <f>IF(AND(MONTH(E41)='IN-NX'!$J$5,'IN-NX'!$D$7=D41),"x","")</f>
        <v/>
      </c>
      <c r="AB41" s="80" t="str">
        <f>IF(AND(OR(LEFT(TH!N41,2)="15",LEFT(TH!O41,2)="15"),'152-CT'!$J$8=TH!F41),"x","")</f>
        <v/>
      </c>
      <c r="AC41" s="80" t="str">
        <f>IF(AND(OR(LEFT(TH!N41,2)="15",LEFT(TH!O41,2)="15"),TK!$E$7=TH!F41),"x","")</f>
        <v/>
      </c>
      <c r="AD41" s="80" t="str">
        <f>IF(AND(N41="1521",MONTH(C41)='BK-NL'!$M$11),"x","")</f>
        <v/>
      </c>
    </row>
    <row r="42" spans="1:30" ht="15.75" customHeight="1">
      <c r="A42" s="324" t="str">
        <f>IF(B42&lt;&gt;"",IF(AND(B42='IN-TC'!$S$4,OR(TH!N42="1111",TH!O42="1111")),TH!D42,""),"")</f>
        <v/>
      </c>
      <c r="B42" s="63">
        <f t="shared" si="11"/>
        <v>11</v>
      </c>
      <c r="C42" s="64">
        <f t="shared" si="4"/>
        <v>42684</v>
      </c>
      <c r="D42" s="64" t="s">
        <v>843</v>
      </c>
      <c r="E42" s="64">
        <v>42684</v>
      </c>
      <c r="F42" s="306" t="s">
        <v>842</v>
      </c>
      <c r="G42" s="920"/>
      <c r="H42" s="1079" t="s">
        <v>845</v>
      </c>
      <c r="I42" s="414"/>
      <c r="J42" s="414"/>
      <c r="K42" s="410"/>
      <c r="L42" s="414"/>
      <c r="M42" s="65">
        <f>SUM(M34:M41)*10%</f>
        <v>1731900</v>
      </c>
      <c r="N42" s="66" t="s">
        <v>581</v>
      </c>
      <c r="O42" s="66" t="s">
        <v>9</v>
      </c>
      <c r="P42" s="80" t="str">
        <f>IF(AND('331-CT'!$E$7=TH!H42,OR(N42="331",O42="331")),"x","")</f>
        <v/>
      </c>
      <c r="Q42" s="80" t="str">
        <f>IF(AND(B42='111'!$L$11,OR($N42=$Q$7,$O42=$Q$7)),"x","")</f>
        <v/>
      </c>
      <c r="R42" s="80" t="str">
        <f>IF(AND($N42=$Q$7,$B42&lt;'111'!$L$11),"x","")</f>
        <v/>
      </c>
      <c r="S42" s="80" t="str">
        <f>IF(AND($O42=$Q$7,$B42&lt;'111'!$L$11),"x","")</f>
        <v/>
      </c>
      <c r="T42" s="80" t="str">
        <f>IF(ISERROR(FIND('112'!$M$9,G42,1)),"",IF((AND(FIND('112'!$M$9,G42,1)&gt;=1,B42='112'!$K$9,OR($N42='112'!$I$6,$O42='112'!$I$6))),"x",""))</f>
        <v/>
      </c>
      <c r="U42" s="80" t="str">
        <f>IF(ISERROR(FIND('112'!$M$9,G42,1)),"",IF((AND(LEFT(G42,2)=LEFT('112'!$M$9,2),B42&lt;'112'!$K$9,$N42='112'!$I$6)),"x",""))</f>
        <v/>
      </c>
      <c r="V42" s="80" t="str">
        <f>IF(ISERROR(FIND('112'!$M$9,G42,1)),"",IF((AND(RIGHT(G42,2)=RIGHT('112'!$M$9,2),B42&lt;'112'!$K$9,$O42='112'!$I$6)),"x",""))</f>
        <v/>
      </c>
      <c r="W42" s="80" t="str">
        <f>IF(AND('341-CT'!$H$9=H42,OR(LEFT(N42,3)=$W$7,LEFT(O42,3)=$W$7)),"x","")</f>
        <v/>
      </c>
      <c r="X42" s="80" t="str">
        <f>IF(OR(TH!N42=TH!$X$7,O42=TH!$X$7),"x","")</f>
        <v/>
      </c>
      <c r="Y42" s="80" t="str">
        <f>IF(AND(OR(N42="131",O42="131"),H42='131-CT'!$H$9),"x","")</f>
        <v/>
      </c>
      <c r="Z42" s="80"/>
      <c r="AA42" s="80" t="str">
        <f>IF(AND(MONTH(E42)='IN-NX'!$J$5,'IN-NX'!$D$7=D42),"x","")</f>
        <v/>
      </c>
      <c r="AB42" s="80" t="str">
        <f>IF(AND(OR(LEFT(TH!N42,2)="15",LEFT(TH!O42,2)="15"),'152-CT'!$J$8=TH!F42),"x","")</f>
        <v/>
      </c>
      <c r="AC42" s="80" t="str">
        <f>IF(AND(OR(LEFT(TH!N42,2)="15",LEFT(TH!O42,2)="15"),TK!$E$7=TH!F42),"x","")</f>
        <v/>
      </c>
      <c r="AD42" s="80" t="str">
        <f>IF(AND(N42="1521",MONTH(C42)='BK-NL'!$M$11),"x","")</f>
        <v/>
      </c>
    </row>
    <row r="43" spans="1:30" ht="15.75" customHeight="1">
      <c r="A43" s="324" t="str">
        <f>IF(B43&lt;&gt;"",IF(AND(B43='IN-TC'!$S$4,OR(TH!N43="1111",TH!O43="1111")),TH!D43,""),"")</f>
        <v/>
      </c>
      <c r="B43" s="63">
        <f t="shared" si="11"/>
        <v>11</v>
      </c>
      <c r="C43" s="64">
        <f t="shared" si="4"/>
        <v>42689</v>
      </c>
      <c r="D43" s="64" t="s">
        <v>844</v>
      </c>
      <c r="E43" s="64">
        <v>42689</v>
      </c>
      <c r="F43" s="306" t="s">
        <v>835</v>
      </c>
      <c r="G43" s="920"/>
      <c r="H43" s="1079" t="s">
        <v>845</v>
      </c>
      <c r="I43" s="414">
        <v>13</v>
      </c>
      <c r="J43" s="414">
        <v>220000</v>
      </c>
      <c r="K43" s="410"/>
      <c r="L43" s="414"/>
      <c r="M43" s="65">
        <f>ROUND(I43*J43,0)</f>
        <v>2860000</v>
      </c>
      <c r="N43" s="66" t="s">
        <v>581</v>
      </c>
      <c r="O43" s="66" t="s">
        <v>285</v>
      </c>
      <c r="P43" s="80" t="str">
        <f>IF(AND('331-CT'!$E$7=TH!H43,OR(N43="331",O43="331")),"x","")</f>
        <v/>
      </c>
      <c r="Q43" s="80" t="str">
        <f>IF(AND(B43='111'!$L$11,OR($N43=$Q$7,$O43=$Q$7)),"x","")</f>
        <v/>
      </c>
      <c r="R43" s="80" t="str">
        <f>IF(AND($N43=$Q$7,$B43&lt;'111'!$L$11),"x","")</f>
        <v/>
      </c>
      <c r="S43" s="80" t="str">
        <f>IF(AND($O43=$Q$7,$B43&lt;'111'!$L$11),"x","")</f>
        <v/>
      </c>
      <c r="T43" s="80" t="str">
        <f>IF(ISERROR(FIND('112'!$M$9,G43,1)),"",IF((AND(FIND('112'!$M$9,G43,1)&gt;=1,B43='112'!$K$9,OR($N43='112'!$I$6,$O43='112'!$I$6))),"x",""))</f>
        <v/>
      </c>
      <c r="U43" s="80" t="str">
        <f>IF(ISERROR(FIND('112'!$M$9,G43,1)),"",IF((AND(LEFT(G43,2)=LEFT('112'!$M$9,2),B43&lt;'112'!$K$9,$N43='112'!$I$6)),"x",""))</f>
        <v/>
      </c>
      <c r="V43" s="80" t="str">
        <f>IF(ISERROR(FIND('112'!$M$9,G43,1)),"",IF((AND(RIGHT(G43,2)=RIGHT('112'!$M$9,2),B43&lt;'112'!$K$9,$O43='112'!$I$6)),"x",""))</f>
        <v/>
      </c>
      <c r="W43" s="80" t="str">
        <f>IF(AND('341-CT'!$H$9=H43,OR(LEFT(N43,3)=$W$7,LEFT(O43,3)=$W$7)),"x","")</f>
        <v/>
      </c>
      <c r="X43" s="80" t="str">
        <f>IF(OR(TH!N43=TH!$X$7,O43=TH!$X$7),"x","")</f>
        <v/>
      </c>
      <c r="Y43" s="80" t="str">
        <f>IF(AND(OR(N43="131",O43="131"),H43='131-CT'!$H$9),"x","")</f>
        <v/>
      </c>
      <c r="Z43" s="80"/>
      <c r="AA43" s="80" t="str">
        <f>IF(AND(MONTH(E43)='IN-NX'!$J$5,'IN-NX'!$D$7=D43),"x","")</f>
        <v/>
      </c>
      <c r="AB43" s="80" t="str">
        <f>IF(AND(OR(LEFT(TH!N43,2)="15",LEFT(TH!O43,2)="15"),'152-CT'!$J$8=TH!F43),"x","")</f>
        <v/>
      </c>
      <c r="AC43" s="80" t="str">
        <f>IF(AND(OR(LEFT(TH!N43,2)="15",LEFT(TH!O43,2)="15"),TK!$E$7=TH!F43),"x","")</f>
        <v/>
      </c>
      <c r="AD43" s="80" t="str">
        <f>IF(AND(N43="1521",MONTH(C43)='BK-NL'!$M$11),"x","")</f>
        <v/>
      </c>
    </row>
    <row r="44" spans="1:30" ht="15.75" customHeight="1">
      <c r="A44" s="324" t="str">
        <f>IF(B44&lt;&gt;"",IF(AND(B44='IN-TC'!$S$4,OR(TH!N44="1111",TH!O44="1111")),TH!D44,""),"")</f>
        <v/>
      </c>
      <c r="B44" s="63">
        <f t="shared" si="11"/>
        <v>11</v>
      </c>
      <c r="C44" s="64">
        <f t="shared" si="4"/>
        <v>42689</v>
      </c>
      <c r="D44" s="64" t="s">
        <v>844</v>
      </c>
      <c r="E44" s="64">
        <v>42689</v>
      </c>
      <c r="F44" s="306" t="s">
        <v>834</v>
      </c>
      <c r="G44" s="920"/>
      <c r="H44" s="1079" t="s">
        <v>845</v>
      </c>
      <c r="I44" s="414">
        <v>17</v>
      </c>
      <c r="J44" s="414">
        <v>200000</v>
      </c>
      <c r="K44" s="410"/>
      <c r="L44" s="414"/>
      <c r="M44" s="65">
        <f t="shared" ref="M44:M50" si="12">ROUND(I44*J44,0)</f>
        <v>3400000</v>
      </c>
      <c r="N44" s="66" t="s">
        <v>581</v>
      </c>
      <c r="O44" s="66" t="s">
        <v>285</v>
      </c>
      <c r="P44" s="80" t="str">
        <f>IF(AND('331-CT'!$E$7=TH!H44,OR(N44="331",O44="331")),"x","")</f>
        <v/>
      </c>
      <c r="Q44" s="80" t="str">
        <f>IF(AND(B44='111'!$L$11,OR($N44=$Q$7,$O44=$Q$7)),"x","")</f>
        <v/>
      </c>
      <c r="R44" s="80" t="str">
        <f>IF(AND($N44=$Q$7,$B44&lt;'111'!$L$11),"x","")</f>
        <v/>
      </c>
      <c r="S44" s="80" t="str">
        <f>IF(AND($O44=$Q$7,$B44&lt;'111'!$L$11),"x","")</f>
        <v/>
      </c>
      <c r="T44" s="80" t="str">
        <f>IF(ISERROR(FIND('112'!$M$9,G44,1)),"",IF((AND(FIND('112'!$M$9,G44,1)&gt;=1,B44='112'!$K$9,OR($N44='112'!$I$6,$O44='112'!$I$6))),"x",""))</f>
        <v/>
      </c>
      <c r="U44" s="80" t="str">
        <f>IF(ISERROR(FIND('112'!$M$9,G44,1)),"",IF((AND(LEFT(G44,2)=LEFT('112'!$M$9,2),B44&lt;'112'!$K$9,$N44='112'!$I$6)),"x",""))</f>
        <v/>
      </c>
      <c r="V44" s="80" t="str">
        <f>IF(ISERROR(FIND('112'!$M$9,G44,1)),"",IF((AND(RIGHT(G44,2)=RIGHT('112'!$M$9,2),B44&lt;'112'!$K$9,$O44='112'!$I$6)),"x",""))</f>
        <v/>
      </c>
      <c r="W44" s="80" t="str">
        <f>IF(AND('341-CT'!$H$9=H44,OR(LEFT(N44,3)=$W$7,LEFT(O44,3)=$W$7)),"x","")</f>
        <v/>
      </c>
      <c r="X44" s="80" t="str">
        <f>IF(OR(TH!N44=TH!$X$7,O44=TH!$X$7),"x","")</f>
        <v/>
      </c>
      <c r="Y44" s="80" t="str">
        <f>IF(AND(OR(N44="131",O44="131"),H44='131-CT'!$H$9),"x","")</f>
        <v/>
      </c>
      <c r="Z44" s="80"/>
      <c r="AA44" s="80" t="str">
        <f>IF(AND(MONTH(E44)='IN-NX'!$J$5,'IN-NX'!$D$7=D44),"x","")</f>
        <v/>
      </c>
      <c r="AB44" s="80" t="str">
        <f>IF(AND(OR(LEFT(TH!N44,2)="15",LEFT(TH!O44,2)="15"),'152-CT'!$J$8=TH!F44),"x","")</f>
        <v/>
      </c>
      <c r="AC44" s="80" t="str">
        <f>IF(AND(OR(LEFT(TH!N44,2)="15",LEFT(TH!O44,2)="15"),TK!$E$7=TH!F44),"x","")</f>
        <v/>
      </c>
      <c r="AD44" s="80" t="str">
        <f>IF(AND(N44="1521",MONTH(C44)='BK-NL'!$M$11),"x","")</f>
        <v/>
      </c>
    </row>
    <row r="45" spans="1:30" ht="15.75" customHeight="1">
      <c r="A45" s="324" t="str">
        <f>IF(B45&lt;&gt;"",IF(AND(B45='IN-TC'!$S$4,OR(TH!N45="1111",TH!O45="1111")),TH!D45,""),"")</f>
        <v/>
      </c>
      <c r="B45" s="63">
        <f t="shared" si="11"/>
        <v>11</v>
      </c>
      <c r="C45" s="64">
        <f t="shared" si="4"/>
        <v>42689</v>
      </c>
      <c r="D45" s="64" t="s">
        <v>844</v>
      </c>
      <c r="E45" s="64">
        <v>42689</v>
      </c>
      <c r="F45" s="306" t="s">
        <v>838</v>
      </c>
      <c r="G45" s="920"/>
      <c r="H45" s="1079" t="s">
        <v>845</v>
      </c>
      <c r="I45" s="414">
        <v>17</v>
      </c>
      <c r="J45" s="414">
        <v>155000</v>
      </c>
      <c r="K45" s="410"/>
      <c r="L45" s="414"/>
      <c r="M45" s="65">
        <f t="shared" si="12"/>
        <v>2635000</v>
      </c>
      <c r="N45" s="66" t="s">
        <v>581</v>
      </c>
      <c r="O45" s="66" t="s">
        <v>285</v>
      </c>
      <c r="P45" s="80" t="str">
        <f>IF(AND('331-CT'!$E$7=TH!H45,OR(N45="331",O45="331")),"x","")</f>
        <v/>
      </c>
      <c r="Q45" s="80" t="str">
        <f>IF(AND(B45='111'!$L$11,OR($N45=$Q$7,$O45=$Q$7)),"x","")</f>
        <v/>
      </c>
      <c r="R45" s="80" t="str">
        <f>IF(AND($N45=$Q$7,$B45&lt;'111'!$L$11),"x","")</f>
        <v/>
      </c>
      <c r="S45" s="80" t="str">
        <f>IF(AND($O45=$Q$7,$B45&lt;'111'!$L$11),"x","")</f>
        <v/>
      </c>
      <c r="T45" s="80" t="str">
        <f>IF(ISERROR(FIND('112'!$M$9,G45,1)),"",IF((AND(FIND('112'!$M$9,G45,1)&gt;=1,B45='112'!$K$9,OR($N45='112'!$I$6,$O45='112'!$I$6))),"x",""))</f>
        <v/>
      </c>
      <c r="U45" s="80" t="str">
        <f>IF(ISERROR(FIND('112'!$M$9,G45,1)),"",IF((AND(LEFT(G45,2)=LEFT('112'!$M$9,2),B45&lt;'112'!$K$9,$N45='112'!$I$6)),"x",""))</f>
        <v/>
      </c>
      <c r="V45" s="80" t="str">
        <f>IF(ISERROR(FIND('112'!$M$9,G45,1)),"",IF((AND(RIGHT(G45,2)=RIGHT('112'!$M$9,2),B45&lt;'112'!$K$9,$O45='112'!$I$6)),"x",""))</f>
        <v/>
      </c>
      <c r="W45" s="80" t="str">
        <f>IF(AND('341-CT'!$H$9=H45,OR(LEFT(N45,3)=$W$7,LEFT(O45,3)=$W$7)),"x","")</f>
        <v/>
      </c>
      <c r="X45" s="80" t="str">
        <f>IF(OR(TH!N45=TH!$X$7,O45=TH!$X$7),"x","")</f>
        <v/>
      </c>
      <c r="Y45" s="80" t="str">
        <f>IF(AND(OR(N45="131",O45="131"),H45='131-CT'!$H$9),"x","")</f>
        <v/>
      </c>
      <c r="Z45" s="80"/>
      <c r="AA45" s="80" t="str">
        <f>IF(AND(MONTH(E45)='IN-NX'!$J$5,'IN-NX'!$D$7=D45),"x","")</f>
        <v/>
      </c>
      <c r="AB45" s="80" t="str">
        <f>IF(AND(OR(LEFT(TH!N45,2)="15",LEFT(TH!O45,2)="15"),'152-CT'!$J$8=TH!F45),"x","")</f>
        <v/>
      </c>
      <c r="AC45" s="80" t="str">
        <f>IF(AND(OR(LEFT(TH!N45,2)="15",LEFT(TH!O45,2)="15"),TK!$E$7=TH!F45),"x","")</f>
        <v/>
      </c>
      <c r="AD45" s="80" t="str">
        <f>IF(AND(N45="1521",MONTH(C45)='BK-NL'!$M$11),"x","")</f>
        <v/>
      </c>
    </row>
    <row r="46" spans="1:30" ht="15.75" customHeight="1">
      <c r="A46" s="324" t="str">
        <f>IF(B46&lt;&gt;"",IF(AND(B46='IN-TC'!$S$4,OR(TH!N46="1111",TH!O46="1111")),TH!D46,""),"")</f>
        <v/>
      </c>
      <c r="B46" s="63">
        <f t="shared" si="11"/>
        <v>11</v>
      </c>
      <c r="C46" s="64">
        <f t="shared" si="4"/>
        <v>42689</v>
      </c>
      <c r="D46" s="64" t="s">
        <v>844</v>
      </c>
      <c r="E46" s="64">
        <v>42689</v>
      </c>
      <c r="F46" s="306" t="s">
        <v>836</v>
      </c>
      <c r="G46" s="920"/>
      <c r="H46" s="1079" t="s">
        <v>845</v>
      </c>
      <c r="I46" s="414">
        <v>12</v>
      </c>
      <c r="J46" s="414">
        <v>147000</v>
      </c>
      <c r="K46" s="410"/>
      <c r="L46" s="414"/>
      <c r="M46" s="65">
        <f t="shared" si="12"/>
        <v>1764000</v>
      </c>
      <c r="N46" s="66" t="s">
        <v>581</v>
      </c>
      <c r="O46" s="66" t="s">
        <v>285</v>
      </c>
      <c r="P46" s="80" t="str">
        <f>IF(AND('331-CT'!$E$7=TH!H46,OR(N46="331",O46="331")),"x","")</f>
        <v/>
      </c>
      <c r="Q46" s="80" t="str">
        <f>IF(AND(B46='111'!$L$11,OR($N46=$Q$7,$O46=$Q$7)),"x","")</f>
        <v/>
      </c>
      <c r="R46" s="80" t="str">
        <f>IF(AND($N46=$Q$7,$B46&lt;'111'!$L$11),"x","")</f>
        <v/>
      </c>
      <c r="S46" s="80" t="str">
        <f>IF(AND($O46=$Q$7,$B46&lt;'111'!$L$11),"x","")</f>
        <v/>
      </c>
      <c r="T46" s="80" t="str">
        <f>IF(ISERROR(FIND('112'!$M$9,G46,1)),"",IF((AND(FIND('112'!$M$9,G46,1)&gt;=1,B46='112'!$K$9,OR($N46='112'!$I$6,$O46='112'!$I$6))),"x",""))</f>
        <v/>
      </c>
      <c r="U46" s="80" t="str">
        <f>IF(ISERROR(FIND('112'!$M$9,G46,1)),"",IF((AND(LEFT(G46,2)=LEFT('112'!$M$9,2),B46&lt;'112'!$K$9,$N46='112'!$I$6)),"x",""))</f>
        <v/>
      </c>
      <c r="V46" s="80" t="str">
        <f>IF(ISERROR(FIND('112'!$M$9,G46,1)),"",IF((AND(RIGHT(G46,2)=RIGHT('112'!$M$9,2),B46&lt;'112'!$K$9,$O46='112'!$I$6)),"x",""))</f>
        <v/>
      </c>
      <c r="W46" s="80" t="str">
        <f>IF(AND('341-CT'!$H$9=H46,OR(LEFT(N46,3)=$W$7,LEFT(O46,3)=$W$7)),"x","")</f>
        <v/>
      </c>
      <c r="X46" s="80" t="str">
        <f>IF(OR(TH!N46=TH!$X$7,O46=TH!$X$7),"x","")</f>
        <v/>
      </c>
      <c r="Y46" s="80" t="str">
        <f>IF(AND(OR(N46="131",O46="131"),H46='131-CT'!$H$9),"x","")</f>
        <v/>
      </c>
      <c r="Z46" s="80"/>
      <c r="AA46" s="80" t="str">
        <f>IF(AND(MONTH(E46)='IN-NX'!$J$5,'IN-NX'!$D$7=D46),"x","")</f>
        <v/>
      </c>
      <c r="AB46" s="80" t="str">
        <f>IF(AND(OR(LEFT(TH!N46,2)="15",LEFT(TH!O46,2)="15"),'152-CT'!$J$8=TH!F46),"x","")</f>
        <v/>
      </c>
      <c r="AC46" s="80" t="str">
        <f>IF(AND(OR(LEFT(TH!N46,2)="15",LEFT(TH!O46,2)="15"),TK!$E$7=TH!F46),"x","")</f>
        <v/>
      </c>
      <c r="AD46" s="80" t="str">
        <f>IF(AND(N46="1521",MONTH(C46)='BK-NL'!$M$11),"x","")</f>
        <v/>
      </c>
    </row>
    <row r="47" spans="1:30" ht="15.75" customHeight="1">
      <c r="A47" s="324" t="str">
        <f>IF(B47&lt;&gt;"",IF(AND(B47='IN-TC'!$S$4,OR(TH!N47="1111",TH!O47="1111")),TH!D47,""),"")</f>
        <v/>
      </c>
      <c r="B47" s="63">
        <f t="shared" si="11"/>
        <v>11</v>
      </c>
      <c r="C47" s="64">
        <f t="shared" si="4"/>
        <v>42689</v>
      </c>
      <c r="D47" s="64" t="s">
        <v>844</v>
      </c>
      <c r="E47" s="64">
        <v>42689</v>
      </c>
      <c r="F47" s="306" t="s">
        <v>837</v>
      </c>
      <c r="G47" s="920"/>
      <c r="H47" s="1079" t="s">
        <v>845</v>
      </c>
      <c r="I47" s="415">
        <v>3</v>
      </c>
      <c r="J47" s="415">
        <v>100000</v>
      </c>
      <c r="K47" s="411"/>
      <c r="L47" s="415"/>
      <c r="M47" s="65">
        <f t="shared" si="12"/>
        <v>300000</v>
      </c>
      <c r="N47" s="66" t="s">
        <v>581</v>
      </c>
      <c r="O47" s="66" t="s">
        <v>285</v>
      </c>
      <c r="P47" s="80" t="str">
        <f>IF(AND('331-CT'!$E$7=TH!H47,OR(N47="331",O47="331")),"x","")</f>
        <v/>
      </c>
      <c r="Q47" s="80" t="str">
        <f>IF(AND(B47='111'!$L$11,OR($N47=$Q$7,$O47=$Q$7)),"x","")</f>
        <v/>
      </c>
      <c r="R47" s="80" t="str">
        <f>IF(AND($N47=$Q$7,$B47&lt;'111'!$L$11),"x","")</f>
        <v/>
      </c>
      <c r="S47" s="80" t="str">
        <f>IF(AND($O47=$Q$7,$B47&lt;'111'!$L$11),"x","")</f>
        <v/>
      </c>
      <c r="T47" s="80" t="str">
        <f>IF(ISERROR(FIND('112'!$M$9,G47,1)),"",IF((AND(FIND('112'!$M$9,G47,1)&gt;=1,B47='112'!$K$9,OR($N47='112'!$I$6,$O47='112'!$I$6))),"x",""))</f>
        <v/>
      </c>
      <c r="U47" s="80" t="str">
        <f>IF(ISERROR(FIND('112'!$M$9,G47,1)),"",IF((AND(LEFT(G47,2)=LEFT('112'!$M$9,2),B47&lt;'112'!$K$9,$N47='112'!$I$6)),"x",""))</f>
        <v/>
      </c>
      <c r="V47" s="80" t="str">
        <f>IF(ISERROR(FIND('112'!$M$9,G47,1)),"",IF((AND(RIGHT(G47,2)=RIGHT('112'!$M$9,2),B47&lt;'112'!$K$9,$O47='112'!$I$6)),"x",""))</f>
        <v/>
      </c>
      <c r="W47" s="80" t="str">
        <f>IF(AND('341-CT'!$H$9=H47,OR(LEFT(N47,3)=$W$7,LEFT(O47,3)=$W$7)),"x","")</f>
        <v/>
      </c>
      <c r="X47" s="80" t="str">
        <f>IF(OR(TH!N47=TH!$X$7,O47=TH!$X$7),"x","")</f>
        <v/>
      </c>
      <c r="Y47" s="80" t="str">
        <f>IF(AND(OR(N47="131",O47="131"),H47='131-CT'!$H$9),"x","")</f>
        <v/>
      </c>
      <c r="Z47" s="80"/>
      <c r="AA47" s="80" t="str">
        <f>IF(AND(MONTH(E47)='IN-NX'!$J$5,'IN-NX'!$D$7=D47),"x","")</f>
        <v/>
      </c>
      <c r="AB47" s="80" t="str">
        <f>IF(AND(OR(LEFT(TH!N47,2)="15",LEFT(TH!O47,2)="15"),'152-CT'!$J$8=TH!F47),"x","")</f>
        <v/>
      </c>
      <c r="AC47" s="80" t="str">
        <f>IF(AND(OR(LEFT(TH!N47,2)="15",LEFT(TH!O47,2)="15"),TK!$E$7=TH!F47),"x","")</f>
        <v/>
      </c>
      <c r="AD47" s="80" t="str">
        <f>IF(AND(N47="1521",MONTH(C47)='BK-NL'!$M$11),"x","")</f>
        <v/>
      </c>
    </row>
    <row r="48" spans="1:30" ht="15.75" customHeight="1">
      <c r="A48" s="324" t="str">
        <f>IF(B48&lt;&gt;"",IF(AND(B48='IN-TC'!$S$4,OR(TH!N48="1111",TH!O48="1111")),TH!D48,""),"")</f>
        <v/>
      </c>
      <c r="B48" s="63">
        <f t="shared" si="11"/>
        <v>11</v>
      </c>
      <c r="C48" s="64">
        <f t="shared" si="4"/>
        <v>42689</v>
      </c>
      <c r="D48" s="64" t="s">
        <v>844</v>
      </c>
      <c r="E48" s="64">
        <v>42689</v>
      </c>
      <c r="F48" s="306" t="s">
        <v>839</v>
      </c>
      <c r="G48" s="920"/>
      <c r="H48" s="1079" t="s">
        <v>845</v>
      </c>
      <c r="I48" s="415">
        <v>8</v>
      </c>
      <c r="J48" s="415">
        <v>550000</v>
      </c>
      <c r="K48" s="411"/>
      <c r="L48" s="415"/>
      <c r="M48" s="65">
        <f t="shared" si="12"/>
        <v>4400000</v>
      </c>
      <c r="N48" s="66" t="s">
        <v>581</v>
      </c>
      <c r="O48" s="66" t="s">
        <v>285</v>
      </c>
      <c r="P48" s="80" t="str">
        <f>IF(AND('331-CT'!$E$7=TH!H48,OR(N48="331",O48="331")),"x","")</f>
        <v/>
      </c>
      <c r="Q48" s="80" t="str">
        <f>IF(AND(B48='111'!$L$11,OR($N48=$Q$7,$O48=$Q$7)),"x","")</f>
        <v/>
      </c>
      <c r="R48" s="80" t="str">
        <f>IF(AND($N48=$Q$7,$B48&lt;'111'!$L$11),"x","")</f>
        <v/>
      </c>
      <c r="S48" s="80" t="str">
        <f>IF(AND($O48=$Q$7,$B48&lt;'111'!$L$11),"x","")</f>
        <v/>
      </c>
      <c r="T48" s="80" t="str">
        <f>IF(ISERROR(FIND('112'!$M$9,G48,1)),"",IF((AND(FIND('112'!$M$9,G48,1)&gt;=1,B48='112'!$K$9,OR($N48='112'!$I$6,$O48='112'!$I$6))),"x",""))</f>
        <v/>
      </c>
      <c r="U48" s="80" t="str">
        <f>IF(ISERROR(FIND('112'!$M$9,G48,1)),"",IF((AND(LEFT(G48,2)=LEFT('112'!$M$9,2),B48&lt;'112'!$K$9,$N48='112'!$I$6)),"x",""))</f>
        <v/>
      </c>
      <c r="V48" s="80" t="str">
        <f>IF(ISERROR(FIND('112'!$M$9,G48,1)),"",IF((AND(RIGHT(G48,2)=RIGHT('112'!$M$9,2),B48&lt;'112'!$K$9,$O48='112'!$I$6)),"x",""))</f>
        <v/>
      </c>
      <c r="W48" s="80" t="str">
        <f>IF(AND('341-CT'!$H$9=H48,OR(LEFT(N48,3)=$W$7,LEFT(O48,3)=$W$7)),"x","")</f>
        <v/>
      </c>
      <c r="X48" s="80" t="str">
        <f>IF(OR(TH!N48=TH!$X$7,O48=TH!$X$7),"x","")</f>
        <v/>
      </c>
      <c r="Y48" s="80" t="str">
        <f>IF(AND(OR(N48="131",O48="131"),H48='131-CT'!$H$9),"x","")</f>
        <v/>
      </c>
      <c r="Z48" s="80"/>
      <c r="AA48" s="80" t="str">
        <f>IF(AND(MONTH(E48)='IN-NX'!$J$5,'IN-NX'!$D$7=D48),"x","")</f>
        <v/>
      </c>
      <c r="AB48" s="80" t="str">
        <f>IF(AND(OR(LEFT(TH!N48,2)="15",LEFT(TH!O48,2)="15"),'152-CT'!$J$8=TH!F48),"x","")</f>
        <v/>
      </c>
      <c r="AC48" s="80" t="str">
        <f>IF(AND(OR(LEFT(TH!N48,2)="15",LEFT(TH!O48,2)="15"),TK!$E$7=TH!F48),"x","")</f>
        <v/>
      </c>
      <c r="AD48" s="80" t="str">
        <f>IF(AND(N48="1521",MONTH(C48)='BK-NL'!$M$11),"x","")</f>
        <v/>
      </c>
    </row>
    <row r="49" spans="1:30" ht="15.75" customHeight="1">
      <c r="A49" s="324" t="str">
        <f>IF(B49&lt;&gt;"",IF(AND(B49='IN-TC'!$S$4,OR(TH!N49="1111",TH!O49="1111")),TH!D49,""),"")</f>
        <v/>
      </c>
      <c r="B49" s="63">
        <f t="shared" si="11"/>
        <v>11</v>
      </c>
      <c r="C49" s="64">
        <f t="shared" si="4"/>
        <v>42689</v>
      </c>
      <c r="D49" s="64" t="s">
        <v>844</v>
      </c>
      <c r="E49" s="64">
        <v>42689</v>
      </c>
      <c r="F49" s="306" t="s">
        <v>840</v>
      </c>
      <c r="G49" s="920"/>
      <c r="H49" s="1079" t="s">
        <v>845</v>
      </c>
      <c r="I49" s="414">
        <v>1</v>
      </c>
      <c r="J49" s="414">
        <v>395000</v>
      </c>
      <c r="K49" s="410"/>
      <c r="L49" s="414"/>
      <c r="M49" s="65">
        <f t="shared" si="12"/>
        <v>395000</v>
      </c>
      <c r="N49" s="66" t="s">
        <v>581</v>
      </c>
      <c r="O49" s="66" t="s">
        <v>285</v>
      </c>
      <c r="P49" s="80" t="str">
        <f>IF(AND('331-CT'!$E$7=TH!H49,OR(N49="331",O49="331")),"x","")</f>
        <v/>
      </c>
      <c r="Q49" s="80" t="str">
        <f>IF(AND(B49='111'!$L$11,OR($N49=$Q$7,$O49=$Q$7)),"x","")</f>
        <v/>
      </c>
      <c r="R49" s="80" t="str">
        <f>IF(AND($N49=$Q$7,$B49&lt;'111'!$L$11),"x","")</f>
        <v/>
      </c>
      <c r="S49" s="80" t="str">
        <f>IF(AND($O49=$Q$7,$B49&lt;'111'!$L$11),"x","")</f>
        <v/>
      </c>
      <c r="T49" s="80" t="str">
        <f>IF(ISERROR(FIND('112'!$M$9,G49,1)),"",IF((AND(FIND('112'!$M$9,G49,1)&gt;=1,B49='112'!$K$9,OR($N49='112'!$I$6,$O49='112'!$I$6))),"x",""))</f>
        <v/>
      </c>
      <c r="U49" s="80" t="str">
        <f>IF(ISERROR(FIND('112'!$M$9,G49,1)),"",IF((AND(LEFT(G49,2)=LEFT('112'!$M$9,2),B49&lt;'112'!$K$9,$N49='112'!$I$6)),"x",""))</f>
        <v/>
      </c>
      <c r="V49" s="80" t="str">
        <f>IF(ISERROR(FIND('112'!$M$9,G49,1)),"",IF((AND(RIGHT(G49,2)=RIGHT('112'!$M$9,2),B49&lt;'112'!$K$9,$O49='112'!$I$6)),"x",""))</f>
        <v/>
      </c>
      <c r="W49" s="80" t="str">
        <f>IF(AND('341-CT'!$H$9=H49,OR(LEFT(N49,3)=$W$7,LEFT(O49,3)=$W$7)),"x","")</f>
        <v/>
      </c>
      <c r="X49" s="80" t="str">
        <f>IF(OR(TH!N49=TH!$X$7,O49=TH!$X$7),"x","")</f>
        <v/>
      </c>
      <c r="Y49" s="80" t="str">
        <f>IF(AND(OR(N49="131",O49="131"),H49='131-CT'!$H$9),"x","")</f>
        <v/>
      </c>
      <c r="Z49" s="80"/>
      <c r="AA49" s="80" t="str">
        <f>IF(AND(MONTH(E49)='IN-NX'!$J$5,'IN-NX'!$D$7=D49),"x","")</f>
        <v/>
      </c>
      <c r="AB49" s="80" t="str">
        <f>IF(AND(OR(LEFT(TH!N49,2)="15",LEFT(TH!O49,2)="15"),'152-CT'!$J$8=TH!F49),"x","")</f>
        <v/>
      </c>
      <c r="AC49" s="80" t="str">
        <f>IF(AND(OR(LEFT(TH!N49,2)="15",LEFT(TH!O49,2)="15"),TK!$E$7=TH!F49),"x","")</f>
        <v/>
      </c>
      <c r="AD49" s="80" t="str">
        <f>IF(AND(N49="1521",MONTH(C49)='BK-NL'!$M$11),"x","")</f>
        <v/>
      </c>
    </row>
    <row r="50" spans="1:30" ht="15.75" customHeight="1">
      <c r="A50" s="324" t="str">
        <f>IF(B50&lt;&gt;"",IF(AND(B50='IN-TC'!$S$4,OR(TH!N50="1111",TH!O50="1111")),TH!D50,""),"")</f>
        <v/>
      </c>
      <c r="B50" s="63">
        <f t="shared" si="11"/>
        <v>11</v>
      </c>
      <c r="C50" s="64">
        <f t="shared" si="4"/>
        <v>42689</v>
      </c>
      <c r="D50" s="64" t="s">
        <v>844</v>
      </c>
      <c r="E50" s="64">
        <v>42689</v>
      </c>
      <c r="F50" s="306" t="s">
        <v>841</v>
      </c>
      <c r="G50" s="920"/>
      <c r="H50" s="1079" t="s">
        <v>845</v>
      </c>
      <c r="I50" s="414">
        <v>10</v>
      </c>
      <c r="J50" s="414">
        <v>160000</v>
      </c>
      <c r="K50" s="410"/>
      <c r="L50" s="414"/>
      <c r="M50" s="65">
        <f t="shared" si="12"/>
        <v>1600000</v>
      </c>
      <c r="N50" s="66" t="s">
        <v>581</v>
      </c>
      <c r="O50" s="66" t="s">
        <v>285</v>
      </c>
      <c r="P50" s="80" t="str">
        <f>IF(AND('331-CT'!$E$7=TH!H50,OR(N50="331",O50="331")),"x","")</f>
        <v/>
      </c>
      <c r="Q50" s="80" t="str">
        <f>IF(AND(B50='111'!$L$11,OR($N50=$Q$7,$O50=$Q$7)),"x","")</f>
        <v/>
      </c>
      <c r="R50" s="80" t="str">
        <f>IF(AND($N50=$Q$7,$B50&lt;'111'!$L$11),"x","")</f>
        <v/>
      </c>
      <c r="S50" s="80" t="str">
        <f>IF(AND($O50=$Q$7,$B50&lt;'111'!$L$11),"x","")</f>
        <v/>
      </c>
      <c r="T50" s="80" t="str">
        <f>IF(ISERROR(FIND('112'!$M$9,G50,1)),"",IF((AND(FIND('112'!$M$9,G50,1)&gt;=1,B50='112'!$K$9,OR($N50='112'!$I$6,$O50='112'!$I$6))),"x",""))</f>
        <v/>
      </c>
      <c r="U50" s="80" t="str">
        <f>IF(ISERROR(FIND('112'!$M$9,G50,1)),"",IF((AND(LEFT(G50,2)=LEFT('112'!$M$9,2),B50&lt;'112'!$K$9,$N50='112'!$I$6)),"x",""))</f>
        <v/>
      </c>
      <c r="V50" s="80" t="str">
        <f>IF(ISERROR(FIND('112'!$M$9,G50,1)),"",IF((AND(RIGHT(G50,2)=RIGHT('112'!$M$9,2),B50&lt;'112'!$K$9,$O50='112'!$I$6)),"x",""))</f>
        <v/>
      </c>
      <c r="W50" s="80" t="str">
        <f>IF(AND('341-CT'!$H$9=H50,OR(LEFT(N50,3)=$W$7,LEFT(O50,3)=$W$7)),"x","")</f>
        <v/>
      </c>
      <c r="X50" s="80" t="str">
        <f>IF(OR(TH!N50=TH!$X$7,O50=TH!$X$7),"x","")</f>
        <v/>
      </c>
      <c r="Y50" s="80" t="str">
        <f>IF(AND(OR(N50="131",O50="131"),H50='131-CT'!$H$9),"x","")</f>
        <v/>
      </c>
      <c r="Z50" s="80"/>
      <c r="AA50" s="80" t="str">
        <f>IF(AND(MONTH(E50)='IN-NX'!$J$5,'IN-NX'!$D$7=D50),"x","")</f>
        <v/>
      </c>
      <c r="AB50" s="80" t="str">
        <f>IF(AND(OR(LEFT(TH!N50,2)="15",LEFT(TH!O50,2)="15"),'152-CT'!$J$8=TH!F50),"x","")</f>
        <v/>
      </c>
      <c r="AC50" s="80" t="str">
        <f>IF(AND(OR(LEFT(TH!N50,2)="15",LEFT(TH!O50,2)="15"),TK!$E$7=TH!F50),"x","")</f>
        <v/>
      </c>
      <c r="AD50" s="80" t="str">
        <f>IF(AND(N50="1521",MONTH(C50)='BK-NL'!$M$11),"x","")</f>
        <v/>
      </c>
    </row>
    <row r="51" spans="1:30" ht="15.75" customHeight="1">
      <c r="A51" s="324" t="str">
        <f>IF(B51&lt;&gt;"",IF(AND(B51='IN-TC'!$S$4,OR(TH!N51="1111",TH!O51="1111")),TH!D51,""),"")</f>
        <v/>
      </c>
      <c r="B51" s="63">
        <f t="shared" si="11"/>
        <v>11</v>
      </c>
      <c r="C51" s="64">
        <f t="shared" si="4"/>
        <v>42689</v>
      </c>
      <c r="D51" s="64" t="s">
        <v>844</v>
      </c>
      <c r="E51" s="64">
        <v>42689</v>
      </c>
      <c r="F51" s="306" t="s">
        <v>842</v>
      </c>
      <c r="G51" s="920"/>
      <c r="H51" s="1079" t="s">
        <v>845</v>
      </c>
      <c r="I51" s="414"/>
      <c r="J51" s="414"/>
      <c r="K51" s="410"/>
      <c r="L51" s="414"/>
      <c r="M51" s="65">
        <f>SUM(M43:M50)*10%</f>
        <v>1735400</v>
      </c>
      <c r="N51" s="66" t="s">
        <v>581</v>
      </c>
      <c r="O51" s="66" t="s">
        <v>9</v>
      </c>
      <c r="P51" s="80" t="str">
        <f>IF(AND('331-CT'!$E$7=TH!H51,OR(N51="331",O51="331")),"x","")</f>
        <v/>
      </c>
      <c r="Q51" s="80" t="str">
        <f>IF(AND(B51='111'!$L$11,OR($N51=$Q$7,$O51=$Q$7)),"x","")</f>
        <v/>
      </c>
      <c r="R51" s="80" t="str">
        <f>IF(AND($N51=$Q$7,$B51&lt;'111'!$L$11),"x","")</f>
        <v/>
      </c>
      <c r="S51" s="80" t="str">
        <f>IF(AND($O51=$Q$7,$B51&lt;'111'!$L$11),"x","")</f>
        <v/>
      </c>
      <c r="T51" s="80" t="str">
        <f>IF(ISERROR(FIND('112'!$M$9,G51,1)),"",IF((AND(FIND('112'!$M$9,G51,1)&gt;=1,B51='112'!$K$9,OR($N51='112'!$I$6,$O51='112'!$I$6))),"x",""))</f>
        <v/>
      </c>
      <c r="U51" s="80" t="str">
        <f>IF(ISERROR(FIND('112'!$M$9,G51,1)),"",IF((AND(LEFT(G51,2)=LEFT('112'!$M$9,2),B51&lt;'112'!$K$9,$N51='112'!$I$6)),"x",""))</f>
        <v/>
      </c>
      <c r="V51" s="80" t="str">
        <f>IF(ISERROR(FIND('112'!$M$9,G51,1)),"",IF((AND(RIGHT(G51,2)=RIGHT('112'!$M$9,2),B51&lt;'112'!$K$9,$O51='112'!$I$6)),"x",""))</f>
        <v/>
      </c>
      <c r="W51" s="80" t="str">
        <f>IF(AND('341-CT'!$H$9=H51,OR(LEFT(N51,3)=$W$7,LEFT(O51,3)=$W$7)),"x","")</f>
        <v/>
      </c>
      <c r="X51" s="80" t="str">
        <f>IF(OR(TH!N51=TH!$X$7,O51=TH!$X$7),"x","")</f>
        <v/>
      </c>
      <c r="Y51" s="80" t="str">
        <f>IF(AND(OR(N51="131",O51="131"),H51='131-CT'!$H$9),"x","")</f>
        <v/>
      </c>
      <c r="Z51" s="80"/>
      <c r="AA51" s="80" t="str">
        <f>IF(AND(MONTH(E51)='IN-NX'!$J$5,'IN-NX'!$D$7=D51),"x","")</f>
        <v/>
      </c>
      <c r="AB51" s="80" t="str">
        <f>IF(AND(OR(LEFT(TH!N51,2)="15",LEFT(TH!O51,2)="15"),'152-CT'!$J$8=TH!F51),"x","")</f>
        <v/>
      </c>
      <c r="AC51" s="80" t="str">
        <f>IF(AND(OR(LEFT(TH!N51,2)="15",LEFT(TH!O51,2)="15"),TK!$E$7=TH!F51),"x","")</f>
        <v/>
      </c>
      <c r="AD51" s="80" t="str">
        <f>IF(AND(N51="1521",MONTH(C51)='BK-NL'!$M$11),"x","")</f>
        <v/>
      </c>
    </row>
    <row r="52" spans="1:30" ht="15.75" customHeight="1">
      <c r="A52" s="324" t="str">
        <f>IF(B52&lt;&gt;"",IF(AND(B52='IN-TC'!$S$4,OR(TH!N52="1111",TH!O52="1111")),TH!D52,""),"")</f>
        <v/>
      </c>
      <c r="B52" s="63">
        <f t="shared" si="11"/>
        <v>11</v>
      </c>
      <c r="C52" s="64">
        <f t="shared" si="4"/>
        <v>42692</v>
      </c>
      <c r="D52" s="64" t="s">
        <v>846</v>
      </c>
      <c r="E52" s="64">
        <v>42692</v>
      </c>
      <c r="F52" s="306" t="s">
        <v>835</v>
      </c>
      <c r="G52" s="920"/>
      <c r="H52" s="1079" t="s">
        <v>845</v>
      </c>
      <c r="I52" s="414">
        <v>13</v>
      </c>
      <c r="J52" s="414">
        <v>220000</v>
      </c>
      <c r="K52" s="410"/>
      <c r="L52" s="414"/>
      <c r="M52" s="65">
        <f>ROUND(I52*J52,0)</f>
        <v>2860000</v>
      </c>
      <c r="N52" s="66" t="s">
        <v>581</v>
      </c>
      <c r="O52" s="66" t="s">
        <v>285</v>
      </c>
      <c r="P52" s="80" t="str">
        <f>IF(AND('331-CT'!$E$7=TH!H52,OR(N52="331",O52="331")),"x","")</f>
        <v/>
      </c>
      <c r="Q52" s="80" t="str">
        <f>IF(AND(B52='111'!$L$11,OR($N52=$Q$7,$O52=$Q$7)),"x","")</f>
        <v/>
      </c>
      <c r="R52" s="80" t="str">
        <f>IF(AND($N52=$Q$7,$B52&lt;'111'!$L$11),"x","")</f>
        <v/>
      </c>
      <c r="S52" s="80" t="str">
        <f>IF(AND($O52=$Q$7,$B52&lt;'111'!$L$11),"x","")</f>
        <v/>
      </c>
      <c r="T52" s="80" t="str">
        <f>IF(ISERROR(FIND('112'!$M$9,G52,1)),"",IF((AND(FIND('112'!$M$9,G52,1)&gt;=1,B52='112'!$K$9,OR($N52='112'!$I$6,$O52='112'!$I$6))),"x",""))</f>
        <v/>
      </c>
      <c r="U52" s="80" t="str">
        <f>IF(ISERROR(FIND('112'!$M$9,G52,1)),"",IF((AND(LEFT(G52,2)=LEFT('112'!$M$9,2),B52&lt;'112'!$K$9,$N52='112'!$I$6)),"x",""))</f>
        <v/>
      </c>
      <c r="V52" s="80" t="str">
        <f>IF(ISERROR(FIND('112'!$M$9,G52,1)),"",IF((AND(RIGHT(G52,2)=RIGHT('112'!$M$9,2),B52&lt;'112'!$K$9,$O52='112'!$I$6)),"x",""))</f>
        <v/>
      </c>
      <c r="W52" s="80" t="str">
        <f>IF(AND('341-CT'!$H$9=H52,OR(LEFT(N52,3)=$W$7,LEFT(O52,3)=$W$7)),"x","")</f>
        <v/>
      </c>
      <c r="X52" s="80" t="str">
        <f>IF(OR(TH!N52=TH!$X$7,O52=TH!$X$7),"x","")</f>
        <v/>
      </c>
      <c r="Y52" s="80" t="str">
        <f>IF(AND(OR(N52="131",O52="131"),H52='131-CT'!$H$9),"x","")</f>
        <v/>
      </c>
      <c r="Z52" s="80"/>
      <c r="AA52" s="80" t="str">
        <f>IF(AND(MONTH(E52)='IN-NX'!$J$5,'IN-NX'!$D$7=D52),"x","")</f>
        <v/>
      </c>
      <c r="AB52" s="80" t="str">
        <f>IF(AND(OR(LEFT(TH!N52,2)="15",LEFT(TH!O52,2)="15"),'152-CT'!$J$8=TH!F52),"x","")</f>
        <v/>
      </c>
      <c r="AC52" s="80" t="str">
        <f>IF(AND(OR(LEFT(TH!N52,2)="15",LEFT(TH!O52,2)="15"),TK!$E$7=TH!F52),"x","")</f>
        <v/>
      </c>
      <c r="AD52" s="80" t="str">
        <f>IF(AND(N52="1521",MONTH(C52)='BK-NL'!$M$11),"x","")</f>
        <v/>
      </c>
    </row>
    <row r="53" spans="1:30" ht="15.75" customHeight="1">
      <c r="A53" s="324" t="str">
        <f>IF(B53&lt;&gt;"",IF(AND(B53='IN-TC'!$S$4,OR(TH!N53="1111",TH!O53="1111")),TH!D53,""),"")</f>
        <v/>
      </c>
      <c r="B53" s="63">
        <f t="shared" si="11"/>
        <v>11</v>
      </c>
      <c r="C53" s="64">
        <f t="shared" si="4"/>
        <v>42692</v>
      </c>
      <c r="D53" s="64" t="s">
        <v>846</v>
      </c>
      <c r="E53" s="64">
        <v>42692</v>
      </c>
      <c r="F53" s="306" t="s">
        <v>834</v>
      </c>
      <c r="G53" s="920"/>
      <c r="H53" s="1079" t="s">
        <v>845</v>
      </c>
      <c r="I53" s="414">
        <v>17</v>
      </c>
      <c r="J53" s="414">
        <v>200000</v>
      </c>
      <c r="K53" s="410"/>
      <c r="L53" s="414"/>
      <c r="M53" s="65">
        <f t="shared" ref="M53:M58" si="13">ROUND(I53*J53,0)</f>
        <v>3400000</v>
      </c>
      <c r="N53" s="66" t="s">
        <v>581</v>
      </c>
      <c r="O53" s="66" t="s">
        <v>285</v>
      </c>
      <c r="P53" s="80" t="str">
        <f>IF(AND('331-CT'!$E$7=TH!H53,OR(N53="331",O53="331")),"x","")</f>
        <v/>
      </c>
      <c r="Q53" s="80" t="str">
        <f>IF(AND(B53='111'!$L$11,OR($N53=$Q$7,$O53=$Q$7)),"x","")</f>
        <v/>
      </c>
      <c r="R53" s="80" t="str">
        <f>IF(AND($N53=$Q$7,$B53&lt;'111'!$L$11),"x","")</f>
        <v/>
      </c>
      <c r="S53" s="80" t="str">
        <f>IF(AND($O53=$Q$7,$B53&lt;'111'!$L$11),"x","")</f>
        <v/>
      </c>
      <c r="T53" s="80" t="str">
        <f>IF(ISERROR(FIND('112'!$M$9,G53,1)),"",IF((AND(FIND('112'!$M$9,G53,1)&gt;=1,B53='112'!$K$9,OR($N53='112'!$I$6,$O53='112'!$I$6))),"x",""))</f>
        <v/>
      </c>
      <c r="U53" s="80" t="str">
        <f>IF(ISERROR(FIND('112'!$M$9,G53,1)),"",IF((AND(LEFT(G53,2)=LEFT('112'!$M$9,2),B53&lt;'112'!$K$9,$N53='112'!$I$6)),"x",""))</f>
        <v/>
      </c>
      <c r="V53" s="80" t="str">
        <f>IF(ISERROR(FIND('112'!$M$9,G53,1)),"",IF((AND(RIGHT(G53,2)=RIGHT('112'!$M$9,2),B53&lt;'112'!$K$9,$O53='112'!$I$6)),"x",""))</f>
        <v/>
      </c>
      <c r="W53" s="80" t="str">
        <f>IF(AND('341-CT'!$H$9=H53,OR(LEFT(N53,3)=$W$7,LEFT(O53,3)=$W$7)),"x","")</f>
        <v/>
      </c>
      <c r="X53" s="80" t="str">
        <f>IF(OR(TH!N53=TH!$X$7,O53=TH!$X$7),"x","")</f>
        <v/>
      </c>
      <c r="Y53" s="80" t="str">
        <f>IF(AND(OR(N53="131",O53="131"),H53='131-CT'!$H$9),"x","")</f>
        <v/>
      </c>
      <c r="Z53" s="80"/>
      <c r="AA53" s="80" t="str">
        <f>IF(AND(MONTH(E53)='IN-NX'!$J$5,'IN-NX'!$D$7=D53),"x","")</f>
        <v/>
      </c>
      <c r="AB53" s="80" t="str">
        <f>IF(AND(OR(LEFT(TH!N53,2)="15",LEFT(TH!O53,2)="15"),'152-CT'!$J$8=TH!F53),"x","")</f>
        <v/>
      </c>
      <c r="AC53" s="80" t="str">
        <f>IF(AND(OR(LEFT(TH!N53,2)="15",LEFT(TH!O53,2)="15"),TK!$E$7=TH!F53),"x","")</f>
        <v/>
      </c>
      <c r="AD53" s="80" t="str">
        <f>IF(AND(N53="1521",MONTH(C53)='BK-NL'!$M$11),"x","")</f>
        <v/>
      </c>
    </row>
    <row r="54" spans="1:30" ht="15.75" customHeight="1">
      <c r="A54" s="324" t="str">
        <f>IF(B54&lt;&gt;"",IF(AND(B54='IN-TC'!$S$4,OR(TH!N54="1111",TH!O54="1111")),TH!D54,""),"")</f>
        <v/>
      </c>
      <c r="B54" s="63">
        <f t="shared" si="11"/>
        <v>11</v>
      </c>
      <c r="C54" s="64">
        <f t="shared" si="4"/>
        <v>42692</v>
      </c>
      <c r="D54" s="64" t="s">
        <v>846</v>
      </c>
      <c r="E54" s="64">
        <v>42692</v>
      </c>
      <c r="F54" s="306" t="s">
        <v>838</v>
      </c>
      <c r="G54" s="920"/>
      <c r="H54" s="1079" t="s">
        <v>845</v>
      </c>
      <c r="I54" s="414">
        <v>17</v>
      </c>
      <c r="J54" s="414">
        <v>155000</v>
      </c>
      <c r="K54" s="410"/>
      <c r="L54" s="414"/>
      <c r="M54" s="65">
        <f t="shared" si="13"/>
        <v>2635000</v>
      </c>
      <c r="N54" s="66" t="s">
        <v>581</v>
      </c>
      <c r="O54" s="66" t="s">
        <v>285</v>
      </c>
      <c r="P54" s="80" t="str">
        <f>IF(AND('331-CT'!$E$7=TH!H54,OR(N54="331",O54="331")),"x","")</f>
        <v/>
      </c>
      <c r="Q54" s="80" t="str">
        <f>IF(AND(B54='111'!$L$11,OR($N54=$Q$7,$O54=$Q$7)),"x","")</f>
        <v/>
      </c>
      <c r="R54" s="80" t="str">
        <f>IF(AND($N54=$Q$7,$B54&lt;'111'!$L$11),"x","")</f>
        <v/>
      </c>
      <c r="S54" s="80" t="str">
        <f>IF(AND($O54=$Q$7,$B54&lt;'111'!$L$11),"x","")</f>
        <v/>
      </c>
      <c r="T54" s="80" t="str">
        <f>IF(ISERROR(FIND('112'!$M$9,G54,1)),"",IF((AND(FIND('112'!$M$9,G54,1)&gt;=1,B54='112'!$K$9,OR($N54='112'!$I$6,$O54='112'!$I$6))),"x",""))</f>
        <v/>
      </c>
      <c r="U54" s="80" t="str">
        <f>IF(ISERROR(FIND('112'!$M$9,G54,1)),"",IF((AND(LEFT(G54,2)=LEFT('112'!$M$9,2),B54&lt;'112'!$K$9,$N54='112'!$I$6)),"x",""))</f>
        <v/>
      </c>
      <c r="V54" s="80" t="str">
        <f>IF(ISERROR(FIND('112'!$M$9,G54,1)),"",IF((AND(RIGHT(G54,2)=RIGHT('112'!$M$9,2),B54&lt;'112'!$K$9,$O54='112'!$I$6)),"x",""))</f>
        <v/>
      </c>
      <c r="W54" s="80" t="str">
        <f>IF(AND('341-CT'!$H$9=H54,OR(LEFT(N54,3)=$W$7,LEFT(O54,3)=$W$7)),"x","")</f>
        <v/>
      </c>
      <c r="X54" s="80" t="str">
        <f>IF(OR(TH!N54=TH!$X$7,O54=TH!$X$7),"x","")</f>
        <v/>
      </c>
      <c r="Y54" s="80" t="str">
        <f>IF(AND(OR(N54="131",O54="131"),H54='131-CT'!$H$9),"x","")</f>
        <v/>
      </c>
      <c r="Z54" s="80"/>
      <c r="AA54" s="80" t="str">
        <f>IF(AND(MONTH(E54)='IN-NX'!$J$5,'IN-NX'!$D$7=D54),"x","")</f>
        <v/>
      </c>
      <c r="AB54" s="80" t="str">
        <f>IF(AND(OR(LEFT(TH!N54,2)="15",LEFT(TH!O54,2)="15"),'152-CT'!$J$8=TH!F54),"x","")</f>
        <v/>
      </c>
      <c r="AC54" s="80" t="str">
        <f>IF(AND(OR(LEFT(TH!N54,2)="15",LEFT(TH!O54,2)="15"),TK!$E$7=TH!F54),"x","")</f>
        <v/>
      </c>
      <c r="AD54" s="80" t="str">
        <f>IF(AND(N54="1521",MONTH(C54)='BK-NL'!$M$11),"x","")</f>
        <v/>
      </c>
    </row>
    <row r="55" spans="1:30" ht="15.75" customHeight="1">
      <c r="A55" s="324" t="str">
        <f>IF(B55&lt;&gt;"",IF(AND(B55='IN-TC'!$S$4,OR(TH!N55="1111",TH!O55="1111")),TH!D55,""),"")</f>
        <v/>
      </c>
      <c r="B55" s="63">
        <f t="shared" si="11"/>
        <v>11</v>
      </c>
      <c r="C55" s="64">
        <f t="shared" si="4"/>
        <v>42692</v>
      </c>
      <c r="D55" s="64" t="s">
        <v>846</v>
      </c>
      <c r="E55" s="64">
        <v>42692</v>
      </c>
      <c r="F55" s="306" t="s">
        <v>836</v>
      </c>
      <c r="G55" s="920"/>
      <c r="H55" s="1079" t="s">
        <v>845</v>
      </c>
      <c r="I55" s="414">
        <v>12</v>
      </c>
      <c r="J55" s="414">
        <v>147000</v>
      </c>
      <c r="K55" s="410"/>
      <c r="L55" s="414"/>
      <c r="M55" s="65">
        <f t="shared" si="13"/>
        <v>1764000</v>
      </c>
      <c r="N55" s="66" t="s">
        <v>581</v>
      </c>
      <c r="O55" s="66" t="s">
        <v>285</v>
      </c>
      <c r="P55" s="80" t="str">
        <f>IF(AND('331-CT'!$E$7=TH!H55,OR(N55="331",O55="331")),"x","")</f>
        <v/>
      </c>
      <c r="Q55" s="80" t="str">
        <f>IF(AND(B55='111'!$L$11,OR($N55=$Q$7,$O55=$Q$7)),"x","")</f>
        <v/>
      </c>
      <c r="R55" s="80" t="str">
        <f>IF(AND($N55=$Q$7,$B55&lt;'111'!$L$11),"x","")</f>
        <v/>
      </c>
      <c r="S55" s="80" t="str">
        <f>IF(AND($O55=$Q$7,$B55&lt;'111'!$L$11),"x","")</f>
        <v/>
      </c>
      <c r="T55" s="80" t="str">
        <f>IF(ISERROR(FIND('112'!$M$9,G55,1)),"",IF((AND(FIND('112'!$M$9,G55,1)&gt;=1,B55='112'!$K$9,OR($N55='112'!$I$6,$O55='112'!$I$6))),"x",""))</f>
        <v/>
      </c>
      <c r="U55" s="80" t="str">
        <f>IF(ISERROR(FIND('112'!$M$9,G55,1)),"",IF((AND(LEFT(G55,2)=LEFT('112'!$M$9,2),B55&lt;'112'!$K$9,$N55='112'!$I$6)),"x",""))</f>
        <v/>
      </c>
      <c r="V55" s="80" t="str">
        <f>IF(ISERROR(FIND('112'!$M$9,G55,1)),"",IF((AND(RIGHT(G55,2)=RIGHT('112'!$M$9,2),B55&lt;'112'!$K$9,$O55='112'!$I$6)),"x",""))</f>
        <v/>
      </c>
      <c r="W55" s="80" t="str">
        <f>IF(AND('341-CT'!$H$9=H55,OR(LEFT(N55,3)=$W$7,LEFT(O55,3)=$W$7)),"x","")</f>
        <v/>
      </c>
      <c r="X55" s="80" t="str">
        <f>IF(OR(TH!N55=TH!$X$7,O55=TH!$X$7),"x","")</f>
        <v/>
      </c>
      <c r="Y55" s="80" t="str">
        <f>IF(AND(OR(N55="131",O55="131"),H55='131-CT'!$H$9),"x","")</f>
        <v/>
      </c>
      <c r="Z55" s="80"/>
      <c r="AA55" s="80" t="str">
        <f>IF(AND(MONTH(E55)='IN-NX'!$J$5,'IN-NX'!$D$7=D55),"x","")</f>
        <v/>
      </c>
      <c r="AB55" s="80" t="str">
        <f>IF(AND(OR(LEFT(TH!N55,2)="15",LEFT(TH!O55,2)="15"),'152-CT'!$J$8=TH!F55),"x","")</f>
        <v/>
      </c>
      <c r="AC55" s="80" t="str">
        <f>IF(AND(OR(LEFT(TH!N55,2)="15",LEFT(TH!O55,2)="15"),TK!$E$7=TH!F55),"x","")</f>
        <v/>
      </c>
      <c r="AD55" s="80" t="str">
        <f>IF(AND(N55="1521",MONTH(C55)='BK-NL'!$M$11),"x","")</f>
        <v/>
      </c>
    </row>
    <row r="56" spans="1:30" ht="15.75" customHeight="1">
      <c r="A56" s="324" t="str">
        <f>IF(B56&lt;&gt;"",IF(AND(B56='IN-TC'!$S$4,OR(TH!N56="1111",TH!O56="1111")),TH!D56,""),"")</f>
        <v/>
      </c>
      <c r="B56" s="63">
        <f t="shared" si="11"/>
        <v>11</v>
      </c>
      <c r="C56" s="64">
        <f t="shared" si="4"/>
        <v>42692</v>
      </c>
      <c r="D56" s="64" t="s">
        <v>846</v>
      </c>
      <c r="E56" s="64">
        <v>42692</v>
      </c>
      <c r="F56" s="306" t="s">
        <v>837</v>
      </c>
      <c r="G56" s="920"/>
      <c r="H56" s="1079" t="s">
        <v>845</v>
      </c>
      <c r="I56" s="415">
        <v>3</v>
      </c>
      <c r="J56" s="415">
        <v>100000</v>
      </c>
      <c r="K56" s="411"/>
      <c r="L56" s="415"/>
      <c r="M56" s="65">
        <f t="shared" si="13"/>
        <v>300000</v>
      </c>
      <c r="N56" s="66" t="s">
        <v>581</v>
      </c>
      <c r="O56" s="66" t="s">
        <v>285</v>
      </c>
      <c r="P56" s="80" t="str">
        <f>IF(AND('331-CT'!$E$7=TH!H56,OR(N56="331",O56="331")),"x","")</f>
        <v/>
      </c>
      <c r="Q56" s="80" t="str">
        <f>IF(AND(B56='111'!$L$11,OR($N56=$Q$7,$O56=$Q$7)),"x","")</f>
        <v/>
      </c>
      <c r="R56" s="80" t="str">
        <f>IF(AND($N56=$Q$7,$B56&lt;'111'!$L$11),"x","")</f>
        <v/>
      </c>
      <c r="S56" s="80" t="str">
        <f>IF(AND($O56=$Q$7,$B56&lt;'111'!$L$11),"x","")</f>
        <v/>
      </c>
      <c r="T56" s="80" t="str">
        <f>IF(ISERROR(FIND('112'!$M$9,G56,1)),"",IF((AND(FIND('112'!$M$9,G56,1)&gt;=1,B56='112'!$K$9,OR($N56='112'!$I$6,$O56='112'!$I$6))),"x",""))</f>
        <v/>
      </c>
      <c r="U56" s="80" t="str">
        <f>IF(ISERROR(FIND('112'!$M$9,G56,1)),"",IF((AND(LEFT(G56,2)=LEFT('112'!$M$9,2),B56&lt;'112'!$K$9,$N56='112'!$I$6)),"x",""))</f>
        <v/>
      </c>
      <c r="V56" s="80" t="str">
        <f>IF(ISERROR(FIND('112'!$M$9,G56,1)),"",IF((AND(RIGHT(G56,2)=RIGHT('112'!$M$9,2),B56&lt;'112'!$K$9,$O56='112'!$I$6)),"x",""))</f>
        <v/>
      </c>
      <c r="W56" s="80" t="str">
        <f>IF(AND('341-CT'!$H$9=H56,OR(LEFT(N56,3)=$W$7,LEFT(O56,3)=$W$7)),"x","")</f>
        <v/>
      </c>
      <c r="X56" s="80" t="str">
        <f>IF(OR(TH!N56=TH!$X$7,O56=TH!$X$7),"x","")</f>
        <v/>
      </c>
      <c r="Y56" s="80" t="str">
        <f>IF(AND(OR(N56="131",O56="131"),H56='131-CT'!$H$9),"x","")</f>
        <v/>
      </c>
      <c r="Z56" s="80"/>
      <c r="AA56" s="80" t="str">
        <f>IF(AND(MONTH(E56)='IN-NX'!$J$5,'IN-NX'!$D$7=D56),"x","")</f>
        <v/>
      </c>
      <c r="AB56" s="80" t="str">
        <f>IF(AND(OR(LEFT(TH!N56,2)="15",LEFT(TH!O56,2)="15"),'152-CT'!$J$8=TH!F56),"x","")</f>
        <v/>
      </c>
      <c r="AC56" s="80" t="str">
        <f>IF(AND(OR(LEFT(TH!N56,2)="15",LEFT(TH!O56,2)="15"),TK!$E$7=TH!F56),"x","")</f>
        <v/>
      </c>
      <c r="AD56" s="80" t="str">
        <f>IF(AND(N56="1521",MONTH(C56)='BK-NL'!$M$11),"x","")</f>
        <v/>
      </c>
    </row>
    <row r="57" spans="1:30" ht="15.75" customHeight="1">
      <c r="A57" s="324" t="str">
        <f>IF(B57&lt;&gt;"",IF(AND(B57='IN-TC'!$S$4,OR(TH!N57="1111",TH!O57="1111")),TH!D57,""),"")</f>
        <v/>
      </c>
      <c r="B57" s="63">
        <f t="shared" si="11"/>
        <v>11</v>
      </c>
      <c r="C57" s="64">
        <f t="shared" si="4"/>
        <v>42692</v>
      </c>
      <c r="D57" s="64" t="s">
        <v>846</v>
      </c>
      <c r="E57" s="64">
        <v>42692</v>
      </c>
      <c r="F57" s="306" t="s">
        <v>839</v>
      </c>
      <c r="G57" s="920"/>
      <c r="H57" s="1079" t="s">
        <v>845</v>
      </c>
      <c r="I57" s="415">
        <v>8</v>
      </c>
      <c r="J57" s="415">
        <v>550000</v>
      </c>
      <c r="K57" s="411"/>
      <c r="L57" s="415"/>
      <c r="M57" s="65">
        <f t="shared" si="13"/>
        <v>4400000</v>
      </c>
      <c r="N57" s="66" t="s">
        <v>581</v>
      </c>
      <c r="O57" s="66" t="s">
        <v>285</v>
      </c>
      <c r="P57" s="80" t="str">
        <f>IF(AND('331-CT'!$E$7=TH!H57,OR(N57="331",O57="331")),"x","")</f>
        <v/>
      </c>
      <c r="Q57" s="80" t="str">
        <f>IF(AND(B57='111'!$L$11,OR($N57=$Q$7,$O57=$Q$7)),"x","")</f>
        <v/>
      </c>
      <c r="R57" s="80" t="str">
        <f>IF(AND($N57=$Q$7,$B57&lt;'111'!$L$11),"x","")</f>
        <v/>
      </c>
      <c r="S57" s="80" t="str">
        <f>IF(AND($O57=$Q$7,$B57&lt;'111'!$L$11),"x","")</f>
        <v/>
      </c>
      <c r="T57" s="80" t="str">
        <f>IF(ISERROR(FIND('112'!$M$9,G57,1)),"",IF((AND(FIND('112'!$M$9,G57,1)&gt;=1,B57='112'!$K$9,OR($N57='112'!$I$6,$O57='112'!$I$6))),"x",""))</f>
        <v/>
      </c>
      <c r="U57" s="80" t="str">
        <f>IF(ISERROR(FIND('112'!$M$9,G57,1)),"",IF((AND(LEFT(G57,2)=LEFT('112'!$M$9,2),B57&lt;'112'!$K$9,$N57='112'!$I$6)),"x",""))</f>
        <v/>
      </c>
      <c r="V57" s="80" t="str">
        <f>IF(ISERROR(FIND('112'!$M$9,G57,1)),"",IF((AND(RIGHT(G57,2)=RIGHT('112'!$M$9,2),B57&lt;'112'!$K$9,$O57='112'!$I$6)),"x",""))</f>
        <v/>
      </c>
      <c r="W57" s="80" t="str">
        <f>IF(AND('341-CT'!$H$9=H57,OR(LEFT(N57,3)=$W$7,LEFT(O57,3)=$W$7)),"x","")</f>
        <v/>
      </c>
      <c r="X57" s="80" t="str">
        <f>IF(OR(TH!N57=TH!$X$7,O57=TH!$X$7),"x","")</f>
        <v/>
      </c>
      <c r="Y57" s="80" t="str">
        <f>IF(AND(OR(N57="131",O57="131"),H57='131-CT'!$H$9),"x","")</f>
        <v/>
      </c>
      <c r="Z57" s="80"/>
      <c r="AA57" s="80" t="str">
        <f>IF(AND(MONTH(E57)='IN-NX'!$J$5,'IN-NX'!$D$7=D57),"x","")</f>
        <v/>
      </c>
      <c r="AB57" s="80" t="str">
        <f>IF(AND(OR(LEFT(TH!N57,2)="15",LEFT(TH!O57,2)="15"),'152-CT'!$J$8=TH!F57),"x","")</f>
        <v/>
      </c>
      <c r="AC57" s="80" t="str">
        <f>IF(AND(OR(LEFT(TH!N57,2)="15",LEFT(TH!O57,2)="15"),TK!$E$7=TH!F57),"x","")</f>
        <v/>
      </c>
      <c r="AD57" s="80" t="str">
        <f>IF(AND(N57="1521",MONTH(C57)='BK-NL'!$M$11),"x","")</f>
        <v/>
      </c>
    </row>
    <row r="58" spans="1:30" ht="15.75" customHeight="1">
      <c r="A58" s="324" t="str">
        <f>IF(B58&lt;&gt;"",IF(AND(B58='IN-TC'!$S$4,OR(TH!N58="1111",TH!O58="1111")),TH!D58,""),"")</f>
        <v/>
      </c>
      <c r="B58" s="63">
        <f t="shared" si="11"/>
        <v>11</v>
      </c>
      <c r="C58" s="64">
        <f t="shared" si="4"/>
        <v>42692</v>
      </c>
      <c r="D58" s="64" t="s">
        <v>846</v>
      </c>
      <c r="E58" s="64">
        <v>42692</v>
      </c>
      <c r="F58" s="306" t="s">
        <v>841</v>
      </c>
      <c r="G58" s="920"/>
      <c r="H58" s="1079" t="s">
        <v>845</v>
      </c>
      <c r="I58" s="414">
        <v>10</v>
      </c>
      <c r="J58" s="414">
        <v>160000</v>
      </c>
      <c r="K58" s="410"/>
      <c r="L58" s="414"/>
      <c r="M58" s="65">
        <f t="shared" si="13"/>
        <v>1600000</v>
      </c>
      <c r="N58" s="66" t="s">
        <v>581</v>
      </c>
      <c r="O58" s="66" t="s">
        <v>285</v>
      </c>
      <c r="P58" s="80" t="str">
        <f>IF(AND('331-CT'!$E$7=TH!H58,OR(N58="331",O58="331")),"x","")</f>
        <v/>
      </c>
      <c r="Q58" s="80" t="str">
        <f>IF(AND(B58='111'!$L$11,OR($N58=$Q$7,$O58=$Q$7)),"x","")</f>
        <v/>
      </c>
      <c r="R58" s="80" t="str">
        <f>IF(AND($N58=$Q$7,$B58&lt;'111'!$L$11),"x","")</f>
        <v/>
      </c>
      <c r="S58" s="80" t="str">
        <f>IF(AND($O58=$Q$7,$B58&lt;'111'!$L$11),"x","")</f>
        <v/>
      </c>
      <c r="T58" s="80" t="str">
        <f>IF(ISERROR(FIND('112'!$M$9,G58,1)),"",IF((AND(FIND('112'!$M$9,G58,1)&gt;=1,B58='112'!$K$9,OR($N58='112'!$I$6,$O58='112'!$I$6))),"x",""))</f>
        <v/>
      </c>
      <c r="U58" s="80" t="str">
        <f>IF(ISERROR(FIND('112'!$M$9,G58,1)),"",IF((AND(LEFT(G58,2)=LEFT('112'!$M$9,2),B58&lt;'112'!$K$9,$N58='112'!$I$6)),"x",""))</f>
        <v/>
      </c>
      <c r="V58" s="80" t="str">
        <f>IF(ISERROR(FIND('112'!$M$9,G58,1)),"",IF((AND(RIGHT(G58,2)=RIGHT('112'!$M$9,2),B58&lt;'112'!$K$9,$O58='112'!$I$6)),"x",""))</f>
        <v/>
      </c>
      <c r="W58" s="80" t="str">
        <f>IF(AND('341-CT'!$H$9=H58,OR(LEFT(N58,3)=$W$7,LEFT(O58,3)=$W$7)),"x","")</f>
        <v/>
      </c>
      <c r="X58" s="80" t="str">
        <f>IF(OR(TH!N58=TH!$X$7,O58=TH!$X$7),"x","")</f>
        <v/>
      </c>
      <c r="Y58" s="80" t="str">
        <f>IF(AND(OR(N58="131",O58="131"),H58='131-CT'!$H$9),"x","")</f>
        <v/>
      </c>
      <c r="Z58" s="80"/>
      <c r="AA58" s="80" t="str">
        <f>IF(AND(MONTH(E58)='IN-NX'!$J$5,'IN-NX'!$D$7=D58),"x","")</f>
        <v/>
      </c>
      <c r="AB58" s="80" t="str">
        <f>IF(AND(OR(LEFT(TH!N58,2)="15",LEFT(TH!O58,2)="15"),'152-CT'!$J$8=TH!F58),"x","")</f>
        <v/>
      </c>
      <c r="AC58" s="80" t="str">
        <f>IF(AND(OR(LEFT(TH!N58,2)="15",LEFT(TH!O58,2)="15"),TK!$E$7=TH!F58),"x","")</f>
        <v/>
      </c>
      <c r="AD58" s="80" t="str">
        <f>IF(AND(N58="1521",MONTH(C58)='BK-NL'!$M$11),"x","")</f>
        <v/>
      </c>
    </row>
    <row r="59" spans="1:30" ht="15.75" customHeight="1">
      <c r="A59" s="324" t="str">
        <f>IF(B59&lt;&gt;"",IF(AND(B59='IN-TC'!$S$4,OR(TH!N59="1111",TH!O59="1111")),TH!D59,""),"")</f>
        <v/>
      </c>
      <c r="B59" s="63">
        <f t="shared" si="11"/>
        <v>11</v>
      </c>
      <c r="C59" s="64">
        <f t="shared" si="4"/>
        <v>42692</v>
      </c>
      <c r="D59" s="64" t="s">
        <v>846</v>
      </c>
      <c r="E59" s="64">
        <v>42692</v>
      </c>
      <c r="F59" s="306" t="s">
        <v>842</v>
      </c>
      <c r="G59" s="920"/>
      <c r="H59" s="1079" t="s">
        <v>845</v>
      </c>
      <c r="I59" s="414"/>
      <c r="J59" s="414"/>
      <c r="K59" s="410"/>
      <c r="L59" s="414"/>
      <c r="M59" s="65">
        <f>SUM(M52:M58)*10%</f>
        <v>1695900</v>
      </c>
      <c r="N59" s="66" t="s">
        <v>581</v>
      </c>
      <c r="O59" s="66" t="s">
        <v>9</v>
      </c>
      <c r="P59" s="80" t="str">
        <f>IF(AND('331-CT'!$E$7=TH!H59,OR(N59="331",O59="331")),"x","")</f>
        <v/>
      </c>
      <c r="Q59" s="80" t="str">
        <f>IF(AND(B59='111'!$L$11,OR($N59=$Q$7,$O59=$Q$7)),"x","")</f>
        <v/>
      </c>
      <c r="R59" s="80" t="str">
        <f>IF(AND($N59=$Q$7,$B59&lt;'111'!$L$11),"x","")</f>
        <v/>
      </c>
      <c r="S59" s="80" t="str">
        <f>IF(AND($O59=$Q$7,$B59&lt;'111'!$L$11),"x","")</f>
        <v/>
      </c>
      <c r="T59" s="80" t="str">
        <f>IF(ISERROR(FIND('112'!$M$9,G59,1)),"",IF((AND(FIND('112'!$M$9,G59,1)&gt;=1,B59='112'!$K$9,OR($N59='112'!$I$6,$O59='112'!$I$6))),"x",""))</f>
        <v/>
      </c>
      <c r="U59" s="80" t="str">
        <f>IF(ISERROR(FIND('112'!$M$9,G59,1)),"",IF((AND(LEFT(G59,2)=LEFT('112'!$M$9,2),B59&lt;'112'!$K$9,$N59='112'!$I$6)),"x",""))</f>
        <v/>
      </c>
      <c r="V59" s="80" t="str">
        <f>IF(ISERROR(FIND('112'!$M$9,G59,1)),"",IF((AND(RIGHT(G59,2)=RIGHT('112'!$M$9,2),B59&lt;'112'!$K$9,$O59='112'!$I$6)),"x",""))</f>
        <v/>
      </c>
      <c r="W59" s="80" t="str">
        <f>IF(AND('341-CT'!$H$9=H59,OR(LEFT(N59,3)=$W$7,LEFT(O59,3)=$W$7)),"x","")</f>
        <v/>
      </c>
      <c r="X59" s="80" t="str">
        <f>IF(OR(TH!N59=TH!$X$7,O59=TH!$X$7),"x","")</f>
        <v/>
      </c>
      <c r="Y59" s="80" t="str">
        <f>IF(AND(OR(N59="131",O59="131"),H59='131-CT'!$H$9),"x","")</f>
        <v/>
      </c>
      <c r="Z59" s="80"/>
      <c r="AA59" s="80" t="str">
        <f>IF(AND(MONTH(E59)='IN-NX'!$J$5,'IN-NX'!$D$7=D59),"x","")</f>
        <v/>
      </c>
      <c r="AB59" s="80" t="str">
        <f>IF(AND(OR(LEFT(TH!N59,2)="15",LEFT(TH!O59,2)="15"),'152-CT'!$J$8=TH!F59),"x","")</f>
        <v/>
      </c>
      <c r="AC59" s="80" t="str">
        <f>IF(AND(OR(LEFT(TH!N59,2)="15",LEFT(TH!O59,2)="15"),TK!$E$7=TH!F59),"x","")</f>
        <v/>
      </c>
      <c r="AD59" s="80" t="str">
        <f>IF(AND(N59="1521",MONTH(C59)='BK-NL'!$M$11),"x","")</f>
        <v/>
      </c>
    </row>
    <row r="60" spans="1:30" ht="15.75" customHeight="1">
      <c r="A60" s="324" t="str">
        <f>IF(B60&lt;&gt;"",IF(AND(B60='IN-TC'!$S$4,OR(TH!N60="1111",TH!O60="1111")),TH!D60,""),"")</f>
        <v/>
      </c>
      <c r="B60" s="63">
        <f t="shared" si="11"/>
        <v>11</v>
      </c>
      <c r="C60" s="64">
        <f t="shared" si="4"/>
        <v>42696</v>
      </c>
      <c r="D60" s="64" t="s">
        <v>847</v>
      </c>
      <c r="E60" s="64">
        <v>42696</v>
      </c>
      <c r="F60" s="306" t="s">
        <v>835</v>
      </c>
      <c r="G60" s="920"/>
      <c r="H60" s="1079" t="s">
        <v>845</v>
      </c>
      <c r="I60" s="414">
        <v>13</v>
      </c>
      <c r="J60" s="414">
        <v>220000</v>
      </c>
      <c r="K60" s="410"/>
      <c r="L60" s="414"/>
      <c r="M60" s="65">
        <f>ROUND(I60*J60,0)</f>
        <v>2860000</v>
      </c>
      <c r="N60" s="66" t="s">
        <v>581</v>
      </c>
      <c r="O60" s="66" t="s">
        <v>285</v>
      </c>
      <c r="P60" s="80" t="str">
        <f>IF(AND('331-CT'!$E$7=TH!H60,OR(N60="331",O60="331")),"x","")</f>
        <v/>
      </c>
      <c r="Q60" s="80" t="str">
        <f>IF(AND(B60='111'!$L$11,OR($N60=$Q$7,$O60=$Q$7)),"x","")</f>
        <v/>
      </c>
      <c r="R60" s="80" t="str">
        <f>IF(AND($N60=$Q$7,$B60&lt;'111'!$L$11),"x","")</f>
        <v/>
      </c>
      <c r="S60" s="80" t="str">
        <f>IF(AND($O60=$Q$7,$B60&lt;'111'!$L$11),"x","")</f>
        <v/>
      </c>
      <c r="T60" s="80" t="str">
        <f>IF(ISERROR(FIND('112'!$M$9,G60,1)),"",IF((AND(FIND('112'!$M$9,G60,1)&gt;=1,B60='112'!$K$9,OR($N60='112'!$I$6,$O60='112'!$I$6))),"x",""))</f>
        <v/>
      </c>
      <c r="U60" s="80" t="str">
        <f>IF(ISERROR(FIND('112'!$M$9,G60,1)),"",IF((AND(LEFT(G60,2)=LEFT('112'!$M$9,2),B60&lt;'112'!$K$9,$N60='112'!$I$6)),"x",""))</f>
        <v/>
      </c>
      <c r="V60" s="80" t="str">
        <f>IF(ISERROR(FIND('112'!$M$9,G60,1)),"",IF((AND(RIGHT(G60,2)=RIGHT('112'!$M$9,2),B60&lt;'112'!$K$9,$O60='112'!$I$6)),"x",""))</f>
        <v/>
      </c>
      <c r="W60" s="80" t="str">
        <f>IF(AND('341-CT'!$H$9=H60,OR(LEFT(N60,3)=$W$7,LEFT(O60,3)=$W$7)),"x","")</f>
        <v/>
      </c>
      <c r="X60" s="80" t="str">
        <f>IF(OR(TH!N60=TH!$X$7,O60=TH!$X$7),"x","")</f>
        <v/>
      </c>
      <c r="Y60" s="80" t="str">
        <f>IF(AND(OR(N60="131",O60="131"),H60='131-CT'!$H$9),"x","")</f>
        <v/>
      </c>
      <c r="Z60" s="80"/>
      <c r="AA60" s="80" t="str">
        <f>IF(AND(MONTH(E60)='IN-NX'!$J$5,'IN-NX'!$D$7=D60),"x","")</f>
        <v/>
      </c>
      <c r="AB60" s="80" t="str">
        <f>IF(AND(OR(LEFT(TH!N60,2)="15",LEFT(TH!O60,2)="15"),'152-CT'!$J$8=TH!F60),"x","")</f>
        <v/>
      </c>
      <c r="AC60" s="80" t="str">
        <f>IF(AND(OR(LEFT(TH!N60,2)="15",LEFT(TH!O60,2)="15"),TK!$E$7=TH!F60),"x","")</f>
        <v/>
      </c>
      <c r="AD60" s="80" t="str">
        <f>IF(AND(N60="1521",MONTH(C60)='BK-NL'!$M$11),"x","")</f>
        <v/>
      </c>
    </row>
    <row r="61" spans="1:30" ht="15.75" customHeight="1">
      <c r="A61" s="324" t="str">
        <f>IF(B61&lt;&gt;"",IF(AND(B61='IN-TC'!$S$4,OR(TH!N61="1111",TH!O61="1111")),TH!D61,""),"")</f>
        <v/>
      </c>
      <c r="B61" s="63">
        <f t="shared" si="11"/>
        <v>11</v>
      </c>
      <c r="C61" s="64">
        <f t="shared" si="4"/>
        <v>42696</v>
      </c>
      <c r="D61" s="64" t="s">
        <v>847</v>
      </c>
      <c r="E61" s="64">
        <v>42696</v>
      </c>
      <c r="F61" s="306" t="s">
        <v>834</v>
      </c>
      <c r="G61" s="920"/>
      <c r="H61" s="1079" t="s">
        <v>845</v>
      </c>
      <c r="I61" s="414">
        <v>17</v>
      </c>
      <c r="J61" s="414">
        <v>200000</v>
      </c>
      <c r="K61" s="410"/>
      <c r="L61" s="414"/>
      <c r="M61" s="65">
        <f t="shared" ref="M61:M66" si="14">ROUND(I61*J61,0)</f>
        <v>3400000</v>
      </c>
      <c r="N61" s="66" t="s">
        <v>581</v>
      </c>
      <c r="O61" s="66" t="s">
        <v>285</v>
      </c>
      <c r="P61" s="80" t="str">
        <f>IF(AND('331-CT'!$E$7=TH!H61,OR(N61="331",O61="331")),"x","")</f>
        <v/>
      </c>
      <c r="Q61" s="80" t="str">
        <f>IF(AND(B61='111'!$L$11,OR($N61=$Q$7,$O61=$Q$7)),"x","")</f>
        <v/>
      </c>
      <c r="R61" s="80" t="str">
        <f>IF(AND($N61=$Q$7,$B61&lt;'111'!$L$11),"x","")</f>
        <v/>
      </c>
      <c r="S61" s="80" t="str">
        <f>IF(AND($O61=$Q$7,$B61&lt;'111'!$L$11),"x","")</f>
        <v/>
      </c>
      <c r="T61" s="80" t="str">
        <f>IF(ISERROR(FIND('112'!$M$9,G61,1)),"",IF((AND(FIND('112'!$M$9,G61,1)&gt;=1,B61='112'!$K$9,OR($N61='112'!$I$6,$O61='112'!$I$6))),"x",""))</f>
        <v/>
      </c>
      <c r="U61" s="80" t="str">
        <f>IF(ISERROR(FIND('112'!$M$9,G61,1)),"",IF((AND(LEFT(G61,2)=LEFT('112'!$M$9,2),B61&lt;'112'!$K$9,$N61='112'!$I$6)),"x",""))</f>
        <v/>
      </c>
      <c r="V61" s="80" t="str">
        <f>IF(ISERROR(FIND('112'!$M$9,G61,1)),"",IF((AND(RIGHT(G61,2)=RIGHT('112'!$M$9,2),B61&lt;'112'!$K$9,$O61='112'!$I$6)),"x",""))</f>
        <v/>
      </c>
      <c r="W61" s="80" t="str">
        <f>IF(AND('341-CT'!$H$9=H61,OR(LEFT(N61,3)=$W$7,LEFT(O61,3)=$W$7)),"x","")</f>
        <v/>
      </c>
      <c r="X61" s="80" t="str">
        <f>IF(OR(TH!N61=TH!$X$7,O61=TH!$X$7),"x","")</f>
        <v/>
      </c>
      <c r="Y61" s="80" t="str">
        <f>IF(AND(OR(N61="131",O61="131"),H61='131-CT'!$H$9),"x","")</f>
        <v/>
      </c>
      <c r="Z61" s="80"/>
      <c r="AA61" s="80" t="str">
        <f>IF(AND(MONTH(E61)='IN-NX'!$J$5,'IN-NX'!$D$7=D61),"x","")</f>
        <v/>
      </c>
      <c r="AB61" s="80" t="str">
        <f>IF(AND(OR(LEFT(TH!N61,2)="15",LEFT(TH!O61,2)="15"),'152-CT'!$J$8=TH!F61),"x","")</f>
        <v/>
      </c>
      <c r="AC61" s="80" t="str">
        <f>IF(AND(OR(LEFT(TH!N61,2)="15",LEFT(TH!O61,2)="15"),TK!$E$7=TH!F61),"x","")</f>
        <v/>
      </c>
      <c r="AD61" s="80" t="str">
        <f>IF(AND(N61="1521",MONTH(C61)='BK-NL'!$M$11),"x","")</f>
        <v/>
      </c>
    </row>
    <row r="62" spans="1:30" ht="15.75" customHeight="1">
      <c r="A62" s="324" t="str">
        <f>IF(B62&lt;&gt;"",IF(AND(B62='IN-TC'!$S$4,OR(TH!N62="1111",TH!O62="1111")),TH!D62,""),"")</f>
        <v/>
      </c>
      <c r="B62" s="63">
        <f t="shared" si="11"/>
        <v>11</v>
      </c>
      <c r="C62" s="64">
        <f t="shared" si="4"/>
        <v>42696</v>
      </c>
      <c r="D62" s="64" t="s">
        <v>847</v>
      </c>
      <c r="E62" s="64">
        <v>42696</v>
      </c>
      <c r="F62" s="306" t="s">
        <v>838</v>
      </c>
      <c r="G62" s="920"/>
      <c r="H62" s="1079" t="s">
        <v>845</v>
      </c>
      <c r="I62" s="414">
        <v>17</v>
      </c>
      <c r="J62" s="414">
        <v>155000</v>
      </c>
      <c r="K62" s="410"/>
      <c r="L62" s="414"/>
      <c r="M62" s="65">
        <f t="shared" si="14"/>
        <v>2635000</v>
      </c>
      <c r="N62" s="66" t="s">
        <v>581</v>
      </c>
      <c r="O62" s="66" t="s">
        <v>285</v>
      </c>
      <c r="P62" s="80" t="str">
        <f>IF(AND('331-CT'!$E$7=TH!H62,OR(N62="331",O62="331")),"x","")</f>
        <v/>
      </c>
      <c r="Q62" s="80" t="str">
        <f>IF(AND(B62='111'!$L$11,OR($N62=$Q$7,$O62=$Q$7)),"x","")</f>
        <v/>
      </c>
      <c r="R62" s="80" t="str">
        <f>IF(AND($N62=$Q$7,$B62&lt;'111'!$L$11),"x","")</f>
        <v/>
      </c>
      <c r="S62" s="80" t="str">
        <f>IF(AND($O62=$Q$7,$B62&lt;'111'!$L$11),"x","")</f>
        <v/>
      </c>
      <c r="T62" s="80" t="str">
        <f>IF(ISERROR(FIND('112'!$M$9,G62,1)),"",IF((AND(FIND('112'!$M$9,G62,1)&gt;=1,B62='112'!$K$9,OR($N62='112'!$I$6,$O62='112'!$I$6))),"x",""))</f>
        <v/>
      </c>
      <c r="U62" s="80" t="str">
        <f>IF(ISERROR(FIND('112'!$M$9,G62,1)),"",IF((AND(LEFT(G62,2)=LEFT('112'!$M$9,2),B62&lt;'112'!$K$9,$N62='112'!$I$6)),"x",""))</f>
        <v/>
      </c>
      <c r="V62" s="80" t="str">
        <f>IF(ISERROR(FIND('112'!$M$9,G62,1)),"",IF((AND(RIGHT(G62,2)=RIGHT('112'!$M$9,2),B62&lt;'112'!$K$9,$O62='112'!$I$6)),"x",""))</f>
        <v/>
      </c>
      <c r="W62" s="80" t="str">
        <f>IF(AND('341-CT'!$H$9=H62,OR(LEFT(N62,3)=$W$7,LEFT(O62,3)=$W$7)),"x","")</f>
        <v/>
      </c>
      <c r="X62" s="80" t="str">
        <f>IF(OR(TH!N62=TH!$X$7,O62=TH!$X$7),"x","")</f>
        <v/>
      </c>
      <c r="Y62" s="80" t="str">
        <f>IF(AND(OR(N62="131",O62="131"),H62='131-CT'!$H$9),"x","")</f>
        <v/>
      </c>
      <c r="Z62" s="80"/>
      <c r="AA62" s="80" t="str">
        <f>IF(AND(MONTH(E62)='IN-NX'!$J$5,'IN-NX'!$D$7=D62),"x","")</f>
        <v/>
      </c>
      <c r="AB62" s="80" t="str">
        <f>IF(AND(OR(LEFT(TH!N62,2)="15",LEFT(TH!O62,2)="15"),'152-CT'!$J$8=TH!F62),"x","")</f>
        <v/>
      </c>
      <c r="AC62" s="80" t="str">
        <f>IF(AND(OR(LEFT(TH!N62,2)="15",LEFT(TH!O62,2)="15"),TK!$E$7=TH!F62),"x","")</f>
        <v/>
      </c>
      <c r="AD62" s="80" t="str">
        <f>IF(AND(N62="1521",MONTH(C62)='BK-NL'!$M$11),"x","")</f>
        <v/>
      </c>
    </row>
    <row r="63" spans="1:30" ht="15.75" customHeight="1">
      <c r="A63" s="324" t="str">
        <f>IF(B63&lt;&gt;"",IF(AND(B63='IN-TC'!$S$4,OR(TH!N63="1111",TH!O63="1111")),TH!D63,""),"")</f>
        <v/>
      </c>
      <c r="B63" s="63">
        <f t="shared" si="11"/>
        <v>11</v>
      </c>
      <c r="C63" s="64">
        <f t="shared" si="4"/>
        <v>42696</v>
      </c>
      <c r="D63" s="64" t="s">
        <v>847</v>
      </c>
      <c r="E63" s="64">
        <v>42696</v>
      </c>
      <c r="F63" s="306" t="s">
        <v>836</v>
      </c>
      <c r="G63" s="920"/>
      <c r="H63" s="1079" t="s">
        <v>845</v>
      </c>
      <c r="I63" s="414">
        <v>11</v>
      </c>
      <c r="J63" s="414">
        <v>147000</v>
      </c>
      <c r="K63" s="410"/>
      <c r="L63" s="414"/>
      <c r="M63" s="65">
        <f t="shared" si="14"/>
        <v>1617000</v>
      </c>
      <c r="N63" s="66" t="s">
        <v>581</v>
      </c>
      <c r="O63" s="66" t="s">
        <v>285</v>
      </c>
      <c r="P63" s="80" t="str">
        <f>IF(AND('331-CT'!$E$7=TH!H63,OR(N63="331",O63="331")),"x","")</f>
        <v/>
      </c>
      <c r="Q63" s="80" t="str">
        <f>IF(AND(B63='111'!$L$11,OR($N63=$Q$7,$O63=$Q$7)),"x","")</f>
        <v/>
      </c>
      <c r="R63" s="80" t="str">
        <f>IF(AND($N63=$Q$7,$B63&lt;'111'!$L$11),"x","")</f>
        <v/>
      </c>
      <c r="S63" s="80" t="str">
        <f>IF(AND($O63=$Q$7,$B63&lt;'111'!$L$11),"x","")</f>
        <v/>
      </c>
      <c r="T63" s="80" t="str">
        <f>IF(ISERROR(FIND('112'!$M$9,G63,1)),"",IF((AND(FIND('112'!$M$9,G63,1)&gt;=1,B63='112'!$K$9,OR($N63='112'!$I$6,$O63='112'!$I$6))),"x",""))</f>
        <v/>
      </c>
      <c r="U63" s="80" t="str">
        <f>IF(ISERROR(FIND('112'!$M$9,G63,1)),"",IF((AND(LEFT(G63,2)=LEFT('112'!$M$9,2),B63&lt;'112'!$K$9,$N63='112'!$I$6)),"x",""))</f>
        <v/>
      </c>
      <c r="V63" s="80" t="str">
        <f>IF(ISERROR(FIND('112'!$M$9,G63,1)),"",IF((AND(RIGHT(G63,2)=RIGHT('112'!$M$9,2),B63&lt;'112'!$K$9,$O63='112'!$I$6)),"x",""))</f>
        <v/>
      </c>
      <c r="W63" s="80" t="str">
        <f>IF(AND('341-CT'!$H$9=H63,OR(LEFT(N63,3)=$W$7,LEFT(O63,3)=$W$7)),"x","")</f>
        <v/>
      </c>
      <c r="X63" s="80" t="str">
        <f>IF(OR(TH!N63=TH!$X$7,O63=TH!$X$7),"x","")</f>
        <v/>
      </c>
      <c r="Y63" s="80" t="str">
        <f>IF(AND(OR(N63="131",O63="131"),H63='131-CT'!$H$9),"x","")</f>
        <v/>
      </c>
      <c r="Z63" s="80"/>
      <c r="AA63" s="80" t="str">
        <f>IF(AND(MONTH(E63)='IN-NX'!$J$5,'IN-NX'!$D$7=D63),"x","")</f>
        <v/>
      </c>
      <c r="AB63" s="80" t="str">
        <f>IF(AND(OR(LEFT(TH!N63,2)="15",LEFT(TH!O63,2)="15"),'152-CT'!$J$8=TH!F63),"x","")</f>
        <v/>
      </c>
      <c r="AC63" s="80" t="str">
        <f>IF(AND(OR(LEFT(TH!N63,2)="15",LEFT(TH!O63,2)="15"),TK!$E$7=TH!F63),"x","")</f>
        <v/>
      </c>
      <c r="AD63" s="80" t="str">
        <f>IF(AND(N63="1521",MONTH(C63)='BK-NL'!$M$11),"x","")</f>
        <v/>
      </c>
    </row>
    <row r="64" spans="1:30" ht="15.75" customHeight="1">
      <c r="A64" s="324" t="str">
        <f>IF(B64&lt;&gt;"",IF(AND(B64='IN-TC'!$S$4,OR(TH!N64="1111",TH!O64="1111")),TH!D64,""),"")</f>
        <v/>
      </c>
      <c r="B64" s="63">
        <f t="shared" si="11"/>
        <v>11</v>
      </c>
      <c r="C64" s="64">
        <f t="shared" si="4"/>
        <v>42696</v>
      </c>
      <c r="D64" s="64" t="s">
        <v>847</v>
      </c>
      <c r="E64" s="64">
        <v>42696</v>
      </c>
      <c r="F64" s="306" t="s">
        <v>837</v>
      </c>
      <c r="G64" s="920"/>
      <c r="H64" s="1079" t="s">
        <v>845</v>
      </c>
      <c r="I64" s="415">
        <v>3</v>
      </c>
      <c r="J64" s="415">
        <v>100000</v>
      </c>
      <c r="K64" s="411"/>
      <c r="L64" s="415"/>
      <c r="M64" s="65">
        <f t="shared" si="14"/>
        <v>300000</v>
      </c>
      <c r="N64" s="66" t="s">
        <v>581</v>
      </c>
      <c r="O64" s="66" t="s">
        <v>285</v>
      </c>
      <c r="P64" s="80" t="str">
        <f>IF(AND('331-CT'!$E$7=TH!H64,OR(N64="331",O64="331")),"x","")</f>
        <v/>
      </c>
      <c r="Q64" s="80" t="str">
        <f>IF(AND(B64='111'!$L$11,OR($N64=$Q$7,$O64=$Q$7)),"x","")</f>
        <v/>
      </c>
      <c r="R64" s="80" t="str">
        <f>IF(AND($N64=$Q$7,$B64&lt;'111'!$L$11),"x","")</f>
        <v/>
      </c>
      <c r="S64" s="80" t="str">
        <f>IF(AND($O64=$Q$7,$B64&lt;'111'!$L$11),"x","")</f>
        <v/>
      </c>
      <c r="T64" s="80" t="str">
        <f>IF(ISERROR(FIND('112'!$M$9,G64,1)),"",IF((AND(FIND('112'!$M$9,G64,1)&gt;=1,B64='112'!$K$9,OR($N64='112'!$I$6,$O64='112'!$I$6))),"x",""))</f>
        <v/>
      </c>
      <c r="U64" s="80" t="str">
        <f>IF(ISERROR(FIND('112'!$M$9,G64,1)),"",IF((AND(LEFT(G64,2)=LEFT('112'!$M$9,2),B64&lt;'112'!$K$9,$N64='112'!$I$6)),"x",""))</f>
        <v/>
      </c>
      <c r="V64" s="80" t="str">
        <f>IF(ISERROR(FIND('112'!$M$9,G64,1)),"",IF((AND(RIGHT(G64,2)=RIGHT('112'!$M$9,2),B64&lt;'112'!$K$9,$O64='112'!$I$6)),"x",""))</f>
        <v/>
      </c>
      <c r="W64" s="80" t="str">
        <f>IF(AND('341-CT'!$H$9=H64,OR(LEFT(N64,3)=$W$7,LEFT(O64,3)=$W$7)),"x","")</f>
        <v/>
      </c>
      <c r="X64" s="80" t="str">
        <f>IF(OR(TH!N64=TH!$X$7,O64=TH!$X$7),"x","")</f>
        <v/>
      </c>
      <c r="Y64" s="80" t="str">
        <f>IF(AND(OR(N64="131",O64="131"),H64='131-CT'!$H$9),"x","")</f>
        <v/>
      </c>
      <c r="Z64" s="80"/>
      <c r="AA64" s="80" t="str">
        <f>IF(AND(MONTH(E64)='IN-NX'!$J$5,'IN-NX'!$D$7=D64),"x","")</f>
        <v/>
      </c>
      <c r="AB64" s="80" t="str">
        <f>IF(AND(OR(LEFT(TH!N64,2)="15",LEFT(TH!O64,2)="15"),'152-CT'!$J$8=TH!F64),"x","")</f>
        <v/>
      </c>
      <c r="AC64" s="80" t="str">
        <f>IF(AND(OR(LEFT(TH!N64,2)="15",LEFT(TH!O64,2)="15"),TK!$E$7=TH!F64),"x","")</f>
        <v/>
      </c>
      <c r="AD64" s="80" t="str">
        <f>IF(AND(N64="1521",MONTH(C64)='BK-NL'!$M$11),"x","")</f>
        <v/>
      </c>
    </row>
    <row r="65" spans="1:30" ht="15.75" customHeight="1">
      <c r="A65" s="324" t="str">
        <f>IF(B65&lt;&gt;"",IF(AND(B65='IN-TC'!$S$4,OR(TH!N65="1111",TH!O65="1111")),TH!D65,""),"")</f>
        <v/>
      </c>
      <c r="B65" s="63">
        <f t="shared" si="11"/>
        <v>11</v>
      </c>
      <c r="C65" s="64">
        <f t="shared" si="4"/>
        <v>42696</v>
      </c>
      <c r="D65" s="64" t="s">
        <v>847</v>
      </c>
      <c r="E65" s="64">
        <v>42696</v>
      </c>
      <c r="F65" s="306" t="s">
        <v>839</v>
      </c>
      <c r="G65" s="920"/>
      <c r="H65" s="1079" t="s">
        <v>845</v>
      </c>
      <c r="I65" s="415">
        <v>9</v>
      </c>
      <c r="J65" s="415">
        <v>550000</v>
      </c>
      <c r="K65" s="411"/>
      <c r="L65" s="415"/>
      <c r="M65" s="65">
        <f t="shared" si="14"/>
        <v>4950000</v>
      </c>
      <c r="N65" s="66" t="s">
        <v>581</v>
      </c>
      <c r="O65" s="66" t="s">
        <v>285</v>
      </c>
      <c r="P65" s="80" t="str">
        <f>IF(AND('331-CT'!$E$7=TH!H65,OR(N65="331",O65="331")),"x","")</f>
        <v/>
      </c>
      <c r="Q65" s="80" t="str">
        <f>IF(AND(B65='111'!$L$11,OR($N65=$Q$7,$O65=$Q$7)),"x","")</f>
        <v/>
      </c>
      <c r="R65" s="80" t="str">
        <f>IF(AND($N65=$Q$7,$B65&lt;'111'!$L$11),"x","")</f>
        <v/>
      </c>
      <c r="S65" s="80" t="str">
        <f>IF(AND($O65=$Q$7,$B65&lt;'111'!$L$11),"x","")</f>
        <v/>
      </c>
      <c r="T65" s="80" t="str">
        <f>IF(ISERROR(FIND('112'!$M$9,G65,1)),"",IF((AND(FIND('112'!$M$9,G65,1)&gt;=1,B65='112'!$K$9,OR($N65='112'!$I$6,$O65='112'!$I$6))),"x",""))</f>
        <v/>
      </c>
      <c r="U65" s="80" t="str">
        <f>IF(ISERROR(FIND('112'!$M$9,G65,1)),"",IF((AND(LEFT(G65,2)=LEFT('112'!$M$9,2),B65&lt;'112'!$K$9,$N65='112'!$I$6)),"x",""))</f>
        <v/>
      </c>
      <c r="V65" s="80" t="str">
        <f>IF(ISERROR(FIND('112'!$M$9,G65,1)),"",IF((AND(RIGHT(G65,2)=RIGHT('112'!$M$9,2),B65&lt;'112'!$K$9,$O65='112'!$I$6)),"x",""))</f>
        <v/>
      </c>
      <c r="W65" s="80" t="str">
        <f>IF(AND('341-CT'!$H$9=H65,OR(LEFT(N65,3)=$W$7,LEFT(O65,3)=$W$7)),"x","")</f>
        <v/>
      </c>
      <c r="X65" s="80" t="str">
        <f>IF(OR(TH!N65=TH!$X$7,O65=TH!$X$7),"x","")</f>
        <v/>
      </c>
      <c r="Y65" s="80" t="str">
        <f>IF(AND(OR(N65="131",O65="131"),H65='131-CT'!$H$9),"x","")</f>
        <v/>
      </c>
      <c r="Z65" s="80"/>
      <c r="AA65" s="80" t="str">
        <f>IF(AND(MONTH(E65)='IN-NX'!$J$5,'IN-NX'!$D$7=D65),"x","")</f>
        <v/>
      </c>
      <c r="AB65" s="80" t="str">
        <f>IF(AND(OR(LEFT(TH!N65,2)="15",LEFT(TH!O65,2)="15"),'152-CT'!$J$8=TH!F65),"x","")</f>
        <v/>
      </c>
      <c r="AC65" s="80" t="str">
        <f>IF(AND(OR(LEFT(TH!N65,2)="15",LEFT(TH!O65,2)="15"),TK!$E$7=TH!F65),"x","")</f>
        <v/>
      </c>
      <c r="AD65" s="80" t="str">
        <f>IF(AND(N65="1521",MONTH(C65)='BK-NL'!$M$11),"x","")</f>
        <v/>
      </c>
    </row>
    <row r="66" spans="1:30" ht="15.75" customHeight="1">
      <c r="A66" s="324" t="str">
        <f>IF(B66&lt;&gt;"",IF(AND(B66='IN-TC'!$S$4,OR(TH!N66="1111",TH!O66="1111")),TH!D66,""),"")</f>
        <v/>
      </c>
      <c r="B66" s="63">
        <f t="shared" si="11"/>
        <v>11</v>
      </c>
      <c r="C66" s="64">
        <f t="shared" si="4"/>
        <v>42696</v>
      </c>
      <c r="D66" s="64" t="s">
        <v>847</v>
      </c>
      <c r="E66" s="64">
        <v>42696</v>
      </c>
      <c r="F66" s="306" t="s">
        <v>841</v>
      </c>
      <c r="G66" s="920"/>
      <c r="H66" s="1079" t="s">
        <v>845</v>
      </c>
      <c r="I66" s="414">
        <v>10</v>
      </c>
      <c r="J66" s="414">
        <v>160000</v>
      </c>
      <c r="K66" s="410"/>
      <c r="L66" s="414"/>
      <c r="M66" s="65">
        <f t="shared" si="14"/>
        <v>1600000</v>
      </c>
      <c r="N66" s="66" t="s">
        <v>581</v>
      </c>
      <c r="O66" s="66" t="s">
        <v>285</v>
      </c>
      <c r="P66" s="80" t="str">
        <f>IF(AND('331-CT'!$E$7=TH!H66,OR(N66="331",O66="331")),"x","")</f>
        <v/>
      </c>
      <c r="Q66" s="80" t="str">
        <f>IF(AND(B66='111'!$L$11,OR($N66=$Q$7,$O66=$Q$7)),"x","")</f>
        <v/>
      </c>
      <c r="R66" s="80" t="str">
        <f>IF(AND($N66=$Q$7,$B66&lt;'111'!$L$11),"x","")</f>
        <v/>
      </c>
      <c r="S66" s="80" t="str">
        <f>IF(AND($O66=$Q$7,$B66&lt;'111'!$L$11),"x","")</f>
        <v/>
      </c>
      <c r="T66" s="80" t="str">
        <f>IF(ISERROR(FIND('112'!$M$9,G66,1)),"",IF((AND(FIND('112'!$M$9,G66,1)&gt;=1,B66='112'!$K$9,OR($N66='112'!$I$6,$O66='112'!$I$6))),"x",""))</f>
        <v/>
      </c>
      <c r="U66" s="80" t="str">
        <f>IF(ISERROR(FIND('112'!$M$9,G66,1)),"",IF((AND(LEFT(G66,2)=LEFT('112'!$M$9,2),B66&lt;'112'!$K$9,$N66='112'!$I$6)),"x",""))</f>
        <v/>
      </c>
      <c r="V66" s="80" t="str">
        <f>IF(ISERROR(FIND('112'!$M$9,G66,1)),"",IF((AND(RIGHT(G66,2)=RIGHT('112'!$M$9,2),B66&lt;'112'!$K$9,$O66='112'!$I$6)),"x",""))</f>
        <v/>
      </c>
      <c r="W66" s="80" t="str">
        <f>IF(AND('341-CT'!$H$9=H66,OR(LEFT(N66,3)=$W$7,LEFT(O66,3)=$W$7)),"x","")</f>
        <v/>
      </c>
      <c r="X66" s="80" t="str">
        <f>IF(OR(TH!N66=TH!$X$7,O66=TH!$X$7),"x","")</f>
        <v/>
      </c>
      <c r="Y66" s="80" t="str">
        <f>IF(AND(OR(N66="131",O66="131"),H66='131-CT'!$H$9),"x","")</f>
        <v/>
      </c>
      <c r="Z66" s="80"/>
      <c r="AA66" s="80" t="str">
        <f>IF(AND(MONTH(E66)='IN-NX'!$J$5,'IN-NX'!$D$7=D66),"x","")</f>
        <v/>
      </c>
      <c r="AB66" s="80" t="str">
        <f>IF(AND(OR(LEFT(TH!N66,2)="15",LEFT(TH!O66,2)="15"),'152-CT'!$J$8=TH!F66),"x","")</f>
        <v/>
      </c>
      <c r="AC66" s="80" t="str">
        <f>IF(AND(OR(LEFT(TH!N66,2)="15",LEFT(TH!O66,2)="15"),TK!$E$7=TH!F66),"x","")</f>
        <v/>
      </c>
      <c r="AD66" s="80" t="str">
        <f>IF(AND(N66="1521",MONTH(C66)='BK-NL'!$M$11),"x","")</f>
        <v/>
      </c>
    </row>
    <row r="67" spans="1:30" ht="15.75" customHeight="1">
      <c r="A67" s="324" t="str">
        <f>IF(B67&lt;&gt;"",IF(AND(B67='IN-TC'!$S$4,OR(TH!N67="1111",TH!O67="1111")),TH!D67,""),"")</f>
        <v/>
      </c>
      <c r="B67" s="63">
        <f t="shared" si="11"/>
        <v>11</v>
      </c>
      <c r="C67" s="64">
        <f t="shared" si="4"/>
        <v>42696</v>
      </c>
      <c r="D67" s="64" t="s">
        <v>847</v>
      </c>
      <c r="E67" s="64">
        <v>42696</v>
      </c>
      <c r="F67" s="306" t="s">
        <v>842</v>
      </c>
      <c r="G67" s="920"/>
      <c r="H67" s="1079" t="s">
        <v>845</v>
      </c>
      <c r="I67" s="414"/>
      <c r="J67" s="414"/>
      <c r="K67" s="410"/>
      <c r="L67" s="414"/>
      <c r="M67" s="65">
        <f>SUM(M60:M66)*10%</f>
        <v>1736200</v>
      </c>
      <c r="N67" s="66" t="s">
        <v>581</v>
      </c>
      <c r="O67" s="66" t="s">
        <v>9</v>
      </c>
      <c r="P67" s="80" t="str">
        <f>IF(AND('331-CT'!$E$7=TH!H67,OR(N67="331",O67="331")),"x","")</f>
        <v/>
      </c>
      <c r="Q67" s="80" t="str">
        <f>IF(AND(B67='111'!$L$11,OR($N67=$Q$7,$O67=$Q$7)),"x","")</f>
        <v/>
      </c>
      <c r="R67" s="80" t="str">
        <f>IF(AND($N67=$Q$7,$B67&lt;'111'!$L$11),"x","")</f>
        <v/>
      </c>
      <c r="S67" s="80" t="str">
        <f>IF(AND($O67=$Q$7,$B67&lt;'111'!$L$11),"x","")</f>
        <v/>
      </c>
      <c r="T67" s="80" t="str">
        <f>IF(ISERROR(FIND('112'!$M$9,G67,1)),"",IF((AND(FIND('112'!$M$9,G67,1)&gt;=1,B67='112'!$K$9,OR($N67='112'!$I$6,$O67='112'!$I$6))),"x",""))</f>
        <v/>
      </c>
      <c r="U67" s="80" t="str">
        <f>IF(ISERROR(FIND('112'!$M$9,G67,1)),"",IF((AND(LEFT(G67,2)=LEFT('112'!$M$9,2),B67&lt;'112'!$K$9,$N67='112'!$I$6)),"x",""))</f>
        <v/>
      </c>
      <c r="V67" s="80" t="str">
        <f>IF(ISERROR(FIND('112'!$M$9,G67,1)),"",IF((AND(RIGHT(G67,2)=RIGHT('112'!$M$9,2),B67&lt;'112'!$K$9,$O67='112'!$I$6)),"x",""))</f>
        <v/>
      </c>
      <c r="W67" s="80" t="str">
        <f>IF(AND('341-CT'!$H$9=H67,OR(LEFT(N67,3)=$W$7,LEFT(O67,3)=$W$7)),"x","")</f>
        <v/>
      </c>
      <c r="X67" s="80" t="str">
        <f>IF(OR(TH!N67=TH!$X$7,O67=TH!$X$7),"x","")</f>
        <v/>
      </c>
      <c r="Y67" s="80" t="str">
        <f>IF(AND(OR(N67="131",O67="131"),H67='131-CT'!$H$9),"x","")</f>
        <v/>
      </c>
      <c r="Z67" s="80"/>
      <c r="AA67" s="80" t="str">
        <f>IF(AND(MONTH(E67)='IN-NX'!$J$5,'IN-NX'!$D$7=D67),"x","")</f>
        <v/>
      </c>
      <c r="AB67" s="80" t="str">
        <f>IF(AND(OR(LEFT(TH!N67,2)="15",LEFT(TH!O67,2)="15"),'152-CT'!$J$8=TH!F67),"x","")</f>
        <v/>
      </c>
      <c r="AC67" s="80" t="str">
        <f>IF(AND(OR(LEFT(TH!N67,2)="15",LEFT(TH!O67,2)="15"),TK!$E$7=TH!F67),"x","")</f>
        <v/>
      </c>
      <c r="AD67" s="80" t="str">
        <f>IF(AND(N67="1521",MONTH(C67)='BK-NL'!$M$11),"x","")</f>
        <v/>
      </c>
    </row>
    <row r="68" spans="1:30" ht="15.75" customHeight="1">
      <c r="A68" s="324" t="str">
        <f>IF(B68&lt;&gt;"",IF(AND(B68='IN-TC'!$S$4,OR(TH!N68="1111",TH!O68="1111")),TH!D68,""),"")</f>
        <v/>
      </c>
      <c r="B68" s="63">
        <f t="shared" si="11"/>
        <v>11</v>
      </c>
      <c r="C68" s="64">
        <f t="shared" si="4"/>
        <v>42702</v>
      </c>
      <c r="D68" s="64" t="s">
        <v>848</v>
      </c>
      <c r="E68" s="305">
        <v>42702</v>
      </c>
      <c r="F68" s="306" t="s">
        <v>835</v>
      </c>
      <c r="G68" s="920"/>
      <c r="H68" s="1079" t="s">
        <v>845</v>
      </c>
      <c r="I68" s="414">
        <v>13</v>
      </c>
      <c r="J68" s="414">
        <v>220000</v>
      </c>
      <c r="K68" s="410"/>
      <c r="L68" s="414"/>
      <c r="M68" s="65">
        <f>ROUND(I68*J68,0)</f>
        <v>2860000</v>
      </c>
      <c r="N68" s="66" t="s">
        <v>581</v>
      </c>
      <c r="O68" s="66" t="s">
        <v>285</v>
      </c>
      <c r="P68" s="80" t="str">
        <f>IF(AND('331-CT'!$E$7=TH!H68,OR(N68="331",O68="331")),"x","")</f>
        <v/>
      </c>
      <c r="Q68" s="80" t="str">
        <f>IF(AND(B68='111'!$L$11,OR($N68=$Q$7,$O68=$Q$7)),"x","")</f>
        <v/>
      </c>
      <c r="R68" s="80" t="str">
        <f>IF(AND($N68=$Q$7,$B68&lt;'111'!$L$11),"x","")</f>
        <v/>
      </c>
      <c r="S68" s="80" t="str">
        <f>IF(AND($O68=$Q$7,$B68&lt;'111'!$L$11),"x","")</f>
        <v/>
      </c>
      <c r="T68" s="80" t="str">
        <f>IF(ISERROR(FIND('112'!$M$9,G68,1)),"",IF((AND(FIND('112'!$M$9,G68,1)&gt;=1,B68='112'!$K$9,OR($N68='112'!$I$6,$O68='112'!$I$6))),"x",""))</f>
        <v/>
      </c>
      <c r="U68" s="80" t="str">
        <f>IF(ISERROR(FIND('112'!$M$9,G68,1)),"",IF((AND(LEFT(G68,2)=LEFT('112'!$M$9,2),B68&lt;'112'!$K$9,$N68='112'!$I$6)),"x",""))</f>
        <v/>
      </c>
      <c r="V68" s="80" t="str">
        <f>IF(ISERROR(FIND('112'!$M$9,G68,1)),"",IF((AND(RIGHT(G68,2)=RIGHT('112'!$M$9,2),B68&lt;'112'!$K$9,$O68='112'!$I$6)),"x",""))</f>
        <v/>
      </c>
      <c r="W68" s="80" t="str">
        <f>IF(AND('341-CT'!$H$9=H68,OR(LEFT(N68,3)=$W$7,LEFT(O68,3)=$W$7)),"x","")</f>
        <v/>
      </c>
      <c r="X68" s="80" t="str">
        <f>IF(OR(TH!N68=TH!$X$7,O68=TH!$X$7),"x","")</f>
        <v/>
      </c>
      <c r="Y68" s="80" t="str">
        <f>IF(AND(OR(N68="131",O68="131"),H68='131-CT'!$H$9),"x","")</f>
        <v/>
      </c>
      <c r="Z68" s="80"/>
      <c r="AA68" s="80" t="str">
        <f>IF(AND(MONTH(E68)='IN-NX'!$J$5,'IN-NX'!$D$7=D68),"x","")</f>
        <v/>
      </c>
      <c r="AB68" s="80" t="str">
        <f>IF(AND(OR(LEFT(TH!N68,2)="15",LEFT(TH!O68,2)="15"),'152-CT'!$J$8=TH!F68),"x","")</f>
        <v/>
      </c>
      <c r="AC68" s="80" t="str">
        <f>IF(AND(OR(LEFT(TH!N68,2)="15",LEFT(TH!O68,2)="15"),TK!$E$7=TH!F68),"x","")</f>
        <v/>
      </c>
      <c r="AD68" s="80" t="str">
        <f>IF(AND(N68="1521",MONTH(C68)='BK-NL'!$M$11),"x","")</f>
        <v/>
      </c>
    </row>
    <row r="69" spans="1:30" ht="15.75" customHeight="1">
      <c r="A69" s="324" t="str">
        <f>IF(B69&lt;&gt;"",IF(AND(B69='IN-TC'!$S$4,OR(TH!N69="1111",TH!O69="1111")),TH!D69,""),"")</f>
        <v/>
      </c>
      <c r="B69" s="63">
        <f t="shared" si="11"/>
        <v>11</v>
      </c>
      <c r="C69" s="64">
        <f t="shared" si="4"/>
        <v>42702</v>
      </c>
      <c r="D69" s="64" t="s">
        <v>848</v>
      </c>
      <c r="E69" s="305">
        <v>42702</v>
      </c>
      <c r="F69" s="306" t="s">
        <v>834</v>
      </c>
      <c r="G69" s="920"/>
      <c r="H69" s="1079" t="s">
        <v>845</v>
      </c>
      <c r="I69" s="414">
        <v>17</v>
      </c>
      <c r="J69" s="414">
        <v>200000</v>
      </c>
      <c r="K69" s="410"/>
      <c r="L69" s="414"/>
      <c r="M69" s="65">
        <f t="shared" ref="M69:M76" si="15">ROUND(I69*J69,0)</f>
        <v>3400000</v>
      </c>
      <c r="N69" s="66" t="s">
        <v>581</v>
      </c>
      <c r="O69" s="66" t="s">
        <v>285</v>
      </c>
      <c r="P69" s="80" t="str">
        <f>IF(AND('331-CT'!$E$7=TH!H69,OR(N69="331",O69="331")),"x","")</f>
        <v/>
      </c>
      <c r="Q69" s="80" t="str">
        <f>IF(AND(B69='111'!$L$11,OR($N69=$Q$7,$O69=$Q$7)),"x","")</f>
        <v/>
      </c>
      <c r="R69" s="80" t="str">
        <f>IF(AND($N69=$Q$7,$B69&lt;'111'!$L$11),"x","")</f>
        <v/>
      </c>
      <c r="S69" s="80" t="str">
        <f>IF(AND($O69=$Q$7,$B69&lt;'111'!$L$11),"x","")</f>
        <v/>
      </c>
      <c r="T69" s="80" t="str">
        <f>IF(ISERROR(FIND('112'!$M$9,G69,1)),"",IF((AND(FIND('112'!$M$9,G69,1)&gt;=1,B69='112'!$K$9,OR($N69='112'!$I$6,$O69='112'!$I$6))),"x",""))</f>
        <v/>
      </c>
      <c r="U69" s="80" t="str">
        <f>IF(ISERROR(FIND('112'!$M$9,G69,1)),"",IF((AND(LEFT(G69,2)=LEFT('112'!$M$9,2),B69&lt;'112'!$K$9,$N69='112'!$I$6)),"x",""))</f>
        <v/>
      </c>
      <c r="V69" s="80" t="str">
        <f>IF(ISERROR(FIND('112'!$M$9,G69,1)),"",IF((AND(RIGHT(G69,2)=RIGHT('112'!$M$9,2),B69&lt;'112'!$K$9,$O69='112'!$I$6)),"x",""))</f>
        <v/>
      </c>
      <c r="W69" s="80" t="str">
        <f>IF(AND('341-CT'!$H$9=H69,OR(LEFT(N69,3)=$W$7,LEFT(O69,3)=$W$7)),"x","")</f>
        <v/>
      </c>
      <c r="X69" s="80" t="str">
        <f>IF(OR(TH!N69=TH!$X$7,O69=TH!$X$7),"x","")</f>
        <v/>
      </c>
      <c r="Y69" s="80" t="str">
        <f>IF(AND(OR(N69="131",O69="131"),H69='131-CT'!$H$9),"x","")</f>
        <v/>
      </c>
      <c r="Z69" s="80"/>
      <c r="AA69" s="80" t="str">
        <f>IF(AND(MONTH(E69)='IN-NX'!$J$5,'IN-NX'!$D$7=D69),"x","")</f>
        <v/>
      </c>
      <c r="AB69" s="80" t="str">
        <f>IF(AND(OR(LEFT(TH!N69,2)="15",LEFT(TH!O69,2)="15"),'152-CT'!$J$8=TH!F69),"x","")</f>
        <v/>
      </c>
      <c r="AC69" s="80" t="str">
        <f>IF(AND(OR(LEFT(TH!N69,2)="15",LEFT(TH!O69,2)="15"),TK!$E$7=TH!F69),"x","")</f>
        <v/>
      </c>
      <c r="AD69" s="80" t="str">
        <f>IF(AND(N69="1521",MONTH(C69)='BK-NL'!$M$11),"x","")</f>
        <v/>
      </c>
    </row>
    <row r="70" spans="1:30" ht="15.75" customHeight="1">
      <c r="A70" s="324" t="str">
        <f>IF(B70&lt;&gt;"",IF(AND(B70='IN-TC'!$S$4,OR(TH!N70="1111",TH!O70="1111")),TH!D70,""),"")</f>
        <v/>
      </c>
      <c r="B70" s="63">
        <f t="shared" si="11"/>
        <v>11</v>
      </c>
      <c r="C70" s="64">
        <f t="shared" si="4"/>
        <v>42702</v>
      </c>
      <c r="D70" s="64" t="s">
        <v>848</v>
      </c>
      <c r="E70" s="305">
        <v>42702</v>
      </c>
      <c r="F70" s="306" t="s">
        <v>838</v>
      </c>
      <c r="G70" s="920"/>
      <c r="H70" s="1079" t="s">
        <v>845</v>
      </c>
      <c r="I70" s="414">
        <v>17</v>
      </c>
      <c r="J70" s="414">
        <v>155000</v>
      </c>
      <c r="K70" s="410"/>
      <c r="L70" s="414"/>
      <c r="M70" s="65">
        <f t="shared" si="15"/>
        <v>2635000</v>
      </c>
      <c r="N70" s="66" t="s">
        <v>581</v>
      </c>
      <c r="O70" s="66" t="s">
        <v>285</v>
      </c>
      <c r="P70" s="80" t="str">
        <f>IF(AND('331-CT'!$E$7=TH!H70,OR(N70="331",O70="331")),"x","")</f>
        <v/>
      </c>
      <c r="Q70" s="80" t="str">
        <f>IF(AND(B70='111'!$L$11,OR($N70=$Q$7,$O70=$Q$7)),"x","")</f>
        <v/>
      </c>
      <c r="R70" s="80" t="str">
        <f>IF(AND($N70=$Q$7,$B70&lt;'111'!$L$11),"x","")</f>
        <v/>
      </c>
      <c r="S70" s="80" t="str">
        <f>IF(AND($O70=$Q$7,$B70&lt;'111'!$L$11),"x","")</f>
        <v/>
      </c>
      <c r="T70" s="80" t="str">
        <f>IF(ISERROR(FIND('112'!$M$9,G70,1)),"",IF((AND(FIND('112'!$M$9,G70,1)&gt;=1,B70='112'!$K$9,OR($N70='112'!$I$6,$O70='112'!$I$6))),"x",""))</f>
        <v/>
      </c>
      <c r="U70" s="80" t="str">
        <f>IF(ISERROR(FIND('112'!$M$9,G70,1)),"",IF((AND(LEFT(G70,2)=LEFT('112'!$M$9,2),B70&lt;'112'!$K$9,$N70='112'!$I$6)),"x",""))</f>
        <v/>
      </c>
      <c r="V70" s="80" t="str">
        <f>IF(ISERROR(FIND('112'!$M$9,G70,1)),"",IF((AND(RIGHT(G70,2)=RIGHT('112'!$M$9,2),B70&lt;'112'!$K$9,$O70='112'!$I$6)),"x",""))</f>
        <v/>
      </c>
      <c r="W70" s="80" t="str">
        <f>IF(AND('341-CT'!$H$9=H70,OR(LEFT(N70,3)=$W$7,LEFT(O70,3)=$W$7)),"x","")</f>
        <v/>
      </c>
      <c r="X70" s="80" t="str">
        <f>IF(OR(TH!N70=TH!$X$7,O70=TH!$X$7),"x","")</f>
        <v/>
      </c>
      <c r="Y70" s="80" t="str">
        <f>IF(AND(OR(N70="131",O70="131"),H70='131-CT'!$H$9),"x","")</f>
        <v/>
      </c>
      <c r="Z70" s="80"/>
      <c r="AA70" s="80" t="str">
        <f>IF(AND(MONTH(E70)='IN-NX'!$J$5,'IN-NX'!$D$7=D70),"x","")</f>
        <v/>
      </c>
      <c r="AB70" s="80" t="str">
        <f>IF(AND(OR(LEFT(TH!N70,2)="15",LEFT(TH!O70,2)="15"),'152-CT'!$J$8=TH!F70),"x","")</f>
        <v/>
      </c>
      <c r="AC70" s="80" t="str">
        <f>IF(AND(OR(LEFT(TH!N70,2)="15",LEFT(TH!O70,2)="15"),TK!$E$7=TH!F70),"x","")</f>
        <v/>
      </c>
      <c r="AD70" s="80" t="str">
        <f>IF(AND(N70="1521",MONTH(C70)='BK-NL'!$M$11),"x","")</f>
        <v/>
      </c>
    </row>
    <row r="71" spans="1:30" ht="15.75" customHeight="1">
      <c r="A71" s="324" t="str">
        <f>IF(B71&lt;&gt;"",IF(AND(B71='IN-TC'!$S$4,OR(TH!N71="1111",TH!O71="1111")),TH!D71,""),"")</f>
        <v/>
      </c>
      <c r="B71" s="63">
        <f t="shared" si="11"/>
        <v>11</v>
      </c>
      <c r="C71" s="64">
        <f t="shared" si="4"/>
        <v>42702</v>
      </c>
      <c r="D71" s="64" t="s">
        <v>848</v>
      </c>
      <c r="E71" s="305">
        <v>42702</v>
      </c>
      <c r="F71" s="306" t="s">
        <v>836</v>
      </c>
      <c r="G71" s="920"/>
      <c r="H71" s="1079" t="s">
        <v>845</v>
      </c>
      <c r="I71" s="414">
        <v>11</v>
      </c>
      <c r="J71" s="414">
        <v>147000</v>
      </c>
      <c r="K71" s="410"/>
      <c r="L71" s="414"/>
      <c r="M71" s="65">
        <f t="shared" si="15"/>
        <v>1617000</v>
      </c>
      <c r="N71" s="66" t="s">
        <v>581</v>
      </c>
      <c r="O71" s="66" t="s">
        <v>285</v>
      </c>
      <c r="P71" s="80" t="str">
        <f>IF(AND('331-CT'!$E$7=TH!H71,OR(N71="331",O71="331")),"x","")</f>
        <v/>
      </c>
      <c r="Q71" s="80" t="str">
        <f>IF(AND(B71='111'!$L$11,OR($N71=$Q$7,$O71=$Q$7)),"x","")</f>
        <v/>
      </c>
      <c r="R71" s="80" t="str">
        <f>IF(AND($N71=$Q$7,$B71&lt;'111'!$L$11),"x","")</f>
        <v/>
      </c>
      <c r="S71" s="80" t="str">
        <f>IF(AND($O71=$Q$7,$B71&lt;'111'!$L$11),"x","")</f>
        <v/>
      </c>
      <c r="T71" s="80" t="str">
        <f>IF(ISERROR(FIND('112'!$M$9,G71,1)),"",IF((AND(FIND('112'!$M$9,G71,1)&gt;=1,B71='112'!$K$9,OR($N71='112'!$I$6,$O71='112'!$I$6))),"x",""))</f>
        <v/>
      </c>
      <c r="U71" s="80" t="str">
        <f>IF(ISERROR(FIND('112'!$M$9,G71,1)),"",IF((AND(LEFT(G71,2)=LEFT('112'!$M$9,2),B71&lt;'112'!$K$9,$N71='112'!$I$6)),"x",""))</f>
        <v/>
      </c>
      <c r="V71" s="80" t="str">
        <f>IF(ISERROR(FIND('112'!$M$9,G71,1)),"",IF((AND(RIGHT(G71,2)=RIGHT('112'!$M$9,2),B71&lt;'112'!$K$9,$O71='112'!$I$6)),"x",""))</f>
        <v/>
      </c>
      <c r="W71" s="80" t="str">
        <f>IF(AND('341-CT'!$H$9=H71,OR(LEFT(N71,3)=$W$7,LEFT(O71,3)=$W$7)),"x","")</f>
        <v/>
      </c>
      <c r="X71" s="80" t="str">
        <f>IF(OR(TH!N71=TH!$X$7,O71=TH!$X$7),"x","")</f>
        <v/>
      </c>
      <c r="Y71" s="80" t="str">
        <f>IF(AND(OR(N71="131",O71="131"),H71='131-CT'!$H$9),"x","")</f>
        <v/>
      </c>
      <c r="Z71" s="80"/>
      <c r="AA71" s="80" t="str">
        <f>IF(AND(MONTH(E71)='IN-NX'!$J$5,'IN-NX'!$D$7=D71),"x","")</f>
        <v/>
      </c>
      <c r="AB71" s="80" t="str">
        <f>IF(AND(OR(LEFT(TH!N71,2)="15",LEFT(TH!O71,2)="15"),'152-CT'!$J$8=TH!F71),"x","")</f>
        <v/>
      </c>
      <c r="AC71" s="80" t="str">
        <f>IF(AND(OR(LEFT(TH!N71,2)="15",LEFT(TH!O71,2)="15"),TK!$E$7=TH!F71),"x","")</f>
        <v/>
      </c>
      <c r="AD71" s="80" t="str">
        <f>IF(AND(N71="1521",MONTH(C71)='BK-NL'!$M$11),"x","")</f>
        <v/>
      </c>
    </row>
    <row r="72" spans="1:30" ht="15.75" customHeight="1">
      <c r="A72" s="324" t="str">
        <f>IF(B72&lt;&gt;"",IF(AND(B72='IN-TC'!$S$4,OR(TH!N72="1111",TH!O72="1111")),TH!D72,""),"")</f>
        <v/>
      </c>
      <c r="B72" s="63">
        <f t="shared" si="11"/>
        <v>11</v>
      </c>
      <c r="C72" s="64">
        <f t="shared" si="4"/>
        <v>42702</v>
      </c>
      <c r="D72" s="64" t="s">
        <v>848</v>
      </c>
      <c r="E72" s="305">
        <v>42702</v>
      </c>
      <c r="F72" s="306" t="s">
        <v>837</v>
      </c>
      <c r="G72" s="920"/>
      <c r="H72" s="1079" t="s">
        <v>845</v>
      </c>
      <c r="I72" s="415">
        <v>3</v>
      </c>
      <c r="J72" s="415">
        <v>100000</v>
      </c>
      <c r="K72" s="411"/>
      <c r="L72" s="415"/>
      <c r="M72" s="65">
        <f t="shared" si="15"/>
        <v>300000</v>
      </c>
      <c r="N72" s="66" t="s">
        <v>581</v>
      </c>
      <c r="O72" s="66" t="s">
        <v>285</v>
      </c>
      <c r="P72" s="80" t="str">
        <f>IF(AND('331-CT'!$E$7=TH!H72,OR(N72="331",O72="331")),"x","")</f>
        <v/>
      </c>
      <c r="Q72" s="80" t="str">
        <f>IF(AND(B72='111'!$L$11,OR($N72=$Q$7,$O72=$Q$7)),"x","")</f>
        <v/>
      </c>
      <c r="R72" s="80" t="str">
        <f>IF(AND($N72=$Q$7,$B72&lt;'111'!$L$11),"x","")</f>
        <v/>
      </c>
      <c r="S72" s="80" t="str">
        <f>IF(AND($O72=$Q$7,$B72&lt;'111'!$L$11),"x","")</f>
        <v/>
      </c>
      <c r="T72" s="80" t="str">
        <f>IF(ISERROR(FIND('112'!$M$9,G72,1)),"",IF((AND(FIND('112'!$M$9,G72,1)&gt;=1,B72='112'!$K$9,OR($N72='112'!$I$6,$O72='112'!$I$6))),"x",""))</f>
        <v/>
      </c>
      <c r="U72" s="80" t="str">
        <f>IF(ISERROR(FIND('112'!$M$9,G72,1)),"",IF((AND(LEFT(G72,2)=LEFT('112'!$M$9,2),B72&lt;'112'!$K$9,$N72='112'!$I$6)),"x",""))</f>
        <v/>
      </c>
      <c r="V72" s="80" t="str">
        <f>IF(ISERROR(FIND('112'!$M$9,G72,1)),"",IF((AND(RIGHT(G72,2)=RIGHT('112'!$M$9,2),B72&lt;'112'!$K$9,$O72='112'!$I$6)),"x",""))</f>
        <v/>
      </c>
      <c r="W72" s="80" t="str">
        <f>IF(AND('341-CT'!$H$9=H72,OR(LEFT(N72,3)=$W$7,LEFT(O72,3)=$W$7)),"x","")</f>
        <v/>
      </c>
      <c r="X72" s="80" t="str">
        <f>IF(OR(TH!N72=TH!$X$7,O72=TH!$X$7),"x","")</f>
        <v/>
      </c>
      <c r="Y72" s="80" t="str">
        <f>IF(AND(OR(N72="131",O72="131"),H72='131-CT'!$H$9),"x","")</f>
        <v/>
      </c>
      <c r="Z72" s="80"/>
      <c r="AA72" s="80" t="str">
        <f>IF(AND(MONTH(E72)='IN-NX'!$J$5,'IN-NX'!$D$7=D72),"x","")</f>
        <v/>
      </c>
      <c r="AB72" s="80" t="str">
        <f>IF(AND(OR(LEFT(TH!N72,2)="15",LEFT(TH!O72,2)="15"),'152-CT'!$J$8=TH!F72),"x","")</f>
        <v/>
      </c>
      <c r="AC72" s="80" t="str">
        <f>IF(AND(OR(LEFT(TH!N72,2)="15",LEFT(TH!O72,2)="15"),TK!$E$7=TH!F72),"x","")</f>
        <v/>
      </c>
      <c r="AD72" s="80" t="str">
        <f>IF(AND(N72="1521",MONTH(C72)='BK-NL'!$M$11),"x","")</f>
        <v/>
      </c>
    </row>
    <row r="73" spans="1:30" ht="15.75" customHeight="1">
      <c r="A73" s="324" t="str">
        <f>IF(B73&lt;&gt;"",IF(AND(B73='IN-TC'!$S$4,OR(TH!N73="1111",TH!O73="1111")),TH!D73,""),"")</f>
        <v/>
      </c>
      <c r="B73" s="63">
        <f t="shared" si="11"/>
        <v>11</v>
      </c>
      <c r="C73" s="64">
        <f t="shared" si="4"/>
        <v>42702</v>
      </c>
      <c r="D73" s="64" t="s">
        <v>848</v>
      </c>
      <c r="E73" s="305">
        <v>42702</v>
      </c>
      <c r="F73" s="306" t="s">
        <v>839</v>
      </c>
      <c r="G73" s="920"/>
      <c r="H73" s="1079" t="s">
        <v>845</v>
      </c>
      <c r="I73" s="415">
        <v>9</v>
      </c>
      <c r="J73" s="415">
        <v>550000</v>
      </c>
      <c r="K73" s="411"/>
      <c r="L73" s="415"/>
      <c r="M73" s="65">
        <f t="shared" si="15"/>
        <v>4950000</v>
      </c>
      <c r="N73" s="66" t="s">
        <v>581</v>
      </c>
      <c r="O73" s="66" t="s">
        <v>285</v>
      </c>
      <c r="P73" s="80" t="str">
        <f>IF(AND('331-CT'!$E$7=TH!H73,OR(N73="331",O73="331")),"x","")</f>
        <v/>
      </c>
      <c r="Q73" s="80" t="str">
        <f>IF(AND(B73='111'!$L$11,OR($N73=$Q$7,$O73=$Q$7)),"x","")</f>
        <v/>
      </c>
      <c r="R73" s="80" t="str">
        <f>IF(AND($N73=$Q$7,$B73&lt;'111'!$L$11),"x","")</f>
        <v/>
      </c>
      <c r="S73" s="80" t="str">
        <f>IF(AND($O73=$Q$7,$B73&lt;'111'!$L$11),"x","")</f>
        <v/>
      </c>
      <c r="T73" s="80" t="str">
        <f>IF(ISERROR(FIND('112'!$M$9,G73,1)),"",IF((AND(FIND('112'!$M$9,G73,1)&gt;=1,B73='112'!$K$9,OR($N73='112'!$I$6,$O73='112'!$I$6))),"x",""))</f>
        <v/>
      </c>
      <c r="U73" s="80" t="str">
        <f>IF(ISERROR(FIND('112'!$M$9,G73,1)),"",IF((AND(LEFT(G73,2)=LEFT('112'!$M$9,2),B73&lt;'112'!$K$9,$N73='112'!$I$6)),"x",""))</f>
        <v/>
      </c>
      <c r="V73" s="80" t="str">
        <f>IF(ISERROR(FIND('112'!$M$9,G73,1)),"",IF((AND(RIGHT(G73,2)=RIGHT('112'!$M$9,2),B73&lt;'112'!$K$9,$O73='112'!$I$6)),"x",""))</f>
        <v/>
      </c>
      <c r="W73" s="80" t="str">
        <f>IF(AND('341-CT'!$H$9=H73,OR(LEFT(N73,3)=$W$7,LEFT(O73,3)=$W$7)),"x","")</f>
        <v/>
      </c>
      <c r="X73" s="80" t="str">
        <f>IF(OR(TH!N73=TH!$X$7,O73=TH!$X$7),"x","")</f>
        <v/>
      </c>
      <c r="Y73" s="80" t="str">
        <f>IF(AND(OR(N73="131",O73="131"),H73='131-CT'!$H$9),"x","")</f>
        <v/>
      </c>
      <c r="Z73" s="80"/>
      <c r="AA73" s="80" t="str">
        <f>IF(AND(MONTH(E73)='IN-NX'!$J$5,'IN-NX'!$D$7=D73),"x","")</f>
        <v/>
      </c>
      <c r="AB73" s="80" t="str">
        <f>IF(AND(OR(LEFT(TH!N73,2)="15",LEFT(TH!O73,2)="15"),'152-CT'!$J$8=TH!F73),"x","")</f>
        <v/>
      </c>
      <c r="AC73" s="80" t="str">
        <f>IF(AND(OR(LEFT(TH!N73,2)="15",LEFT(TH!O73,2)="15"),TK!$E$7=TH!F73),"x","")</f>
        <v/>
      </c>
      <c r="AD73" s="80" t="str">
        <f>IF(AND(N73="1521",MONTH(C73)='BK-NL'!$M$11),"x","")</f>
        <v/>
      </c>
    </row>
    <row r="74" spans="1:30" ht="15.75" customHeight="1">
      <c r="A74" s="324" t="str">
        <f>IF(B74&lt;&gt;"",IF(AND(B74='IN-TC'!$S$4,OR(TH!N74="1111",TH!O74="1111")),TH!D74,""),"")</f>
        <v/>
      </c>
      <c r="B74" s="63">
        <f t="shared" si="11"/>
        <v>11</v>
      </c>
      <c r="C74" s="64">
        <f t="shared" si="4"/>
        <v>42702</v>
      </c>
      <c r="D74" s="64" t="s">
        <v>848</v>
      </c>
      <c r="E74" s="305">
        <v>42702</v>
      </c>
      <c r="F74" s="306" t="s">
        <v>841</v>
      </c>
      <c r="G74" s="920"/>
      <c r="H74" s="1079" t="s">
        <v>845</v>
      </c>
      <c r="I74" s="1082">
        <v>10.7</v>
      </c>
      <c r="J74" s="414">
        <v>160000</v>
      </c>
      <c r="K74" s="410"/>
      <c r="L74" s="414"/>
      <c r="M74" s="65">
        <f t="shared" si="15"/>
        <v>1712000</v>
      </c>
      <c r="N74" s="66" t="s">
        <v>581</v>
      </c>
      <c r="O74" s="66" t="s">
        <v>285</v>
      </c>
      <c r="P74" s="80" t="str">
        <f>IF(AND('331-CT'!$E$7=TH!H74,OR(N74="331",O74="331")),"x","")</f>
        <v/>
      </c>
      <c r="Q74" s="80" t="str">
        <f>IF(AND(B74='111'!$L$11,OR($N74=$Q$7,$O74=$Q$7)),"x","")</f>
        <v/>
      </c>
      <c r="R74" s="80" t="str">
        <f>IF(AND($N74=$Q$7,$B74&lt;'111'!$L$11),"x","")</f>
        <v/>
      </c>
      <c r="S74" s="80" t="str">
        <f>IF(AND($O74=$Q$7,$B74&lt;'111'!$L$11),"x","")</f>
        <v/>
      </c>
      <c r="T74" s="80" t="str">
        <f>IF(ISERROR(FIND('112'!$M$9,G74,1)),"",IF((AND(FIND('112'!$M$9,G74,1)&gt;=1,B74='112'!$K$9,OR($N74='112'!$I$6,$O74='112'!$I$6))),"x",""))</f>
        <v/>
      </c>
      <c r="U74" s="80" t="str">
        <f>IF(ISERROR(FIND('112'!$M$9,G74,1)),"",IF((AND(LEFT(G74,2)=LEFT('112'!$M$9,2),B74&lt;'112'!$K$9,$N74='112'!$I$6)),"x",""))</f>
        <v/>
      </c>
      <c r="V74" s="80" t="str">
        <f>IF(ISERROR(FIND('112'!$M$9,G74,1)),"",IF((AND(RIGHT(G74,2)=RIGHT('112'!$M$9,2),B74&lt;'112'!$K$9,$O74='112'!$I$6)),"x",""))</f>
        <v/>
      </c>
      <c r="W74" s="80" t="str">
        <f>IF(AND('341-CT'!$H$9=H74,OR(LEFT(N74,3)=$W$7,LEFT(O74,3)=$W$7)),"x","")</f>
        <v/>
      </c>
      <c r="X74" s="80" t="str">
        <f>IF(OR(TH!N74=TH!$X$7,O74=TH!$X$7),"x","")</f>
        <v/>
      </c>
      <c r="Y74" s="80" t="str">
        <f>IF(AND(OR(N74="131",O74="131"),H74='131-CT'!$H$9),"x","")</f>
        <v/>
      </c>
      <c r="Z74" s="80"/>
      <c r="AA74" s="80" t="str">
        <f>IF(AND(MONTH(E74)='IN-NX'!$J$5,'IN-NX'!$D$7=D74),"x","")</f>
        <v/>
      </c>
      <c r="AB74" s="80" t="str">
        <f>IF(AND(OR(LEFT(TH!N74,2)="15",LEFT(TH!O74,2)="15"),'152-CT'!$J$8=TH!F74),"x","")</f>
        <v/>
      </c>
      <c r="AC74" s="80" t="str">
        <f>IF(AND(OR(LEFT(TH!N74,2)="15",LEFT(TH!O74,2)="15"),TK!$E$7=TH!F74),"x","")</f>
        <v/>
      </c>
      <c r="AD74" s="80" t="str">
        <f>IF(AND(N74="1521",MONTH(C74)='BK-NL'!$M$11),"x","")</f>
        <v/>
      </c>
    </row>
    <row r="75" spans="1:30" ht="15.75" customHeight="1">
      <c r="A75" s="324" t="str">
        <f>IF(B75&lt;&gt;"",IF(AND(B75='IN-TC'!$S$4,OR(TH!N75="1111",TH!O75="1111")),TH!D75,""),"")</f>
        <v/>
      </c>
      <c r="B75" s="63">
        <f t="shared" si="11"/>
        <v>11</v>
      </c>
      <c r="C75" s="64">
        <f t="shared" si="4"/>
        <v>42702</v>
      </c>
      <c r="D75" s="64" t="s">
        <v>848</v>
      </c>
      <c r="E75" s="305">
        <v>42702</v>
      </c>
      <c r="F75" s="306" t="s">
        <v>842</v>
      </c>
      <c r="G75" s="920"/>
      <c r="H75" s="1079" t="s">
        <v>845</v>
      </c>
      <c r="I75" s="414"/>
      <c r="J75" s="414"/>
      <c r="K75" s="410"/>
      <c r="L75" s="414"/>
      <c r="M75" s="65">
        <f>SUM(M68:M74)*10%</f>
        <v>1747400</v>
      </c>
      <c r="N75" s="66" t="s">
        <v>581</v>
      </c>
      <c r="O75" s="66" t="s">
        <v>9</v>
      </c>
      <c r="P75" s="80" t="str">
        <f>IF(AND('331-CT'!$E$7=TH!H75,OR(N75="331",O75="331")),"x","")</f>
        <v/>
      </c>
      <c r="Q75" s="80" t="str">
        <f>IF(AND(B75='111'!$L$11,OR($N75=$Q$7,$O75=$Q$7)),"x","")</f>
        <v/>
      </c>
      <c r="R75" s="80" t="str">
        <f>IF(AND($N75=$Q$7,$B75&lt;'111'!$L$11),"x","")</f>
        <v/>
      </c>
      <c r="S75" s="80" t="str">
        <f>IF(AND($O75=$Q$7,$B75&lt;'111'!$L$11),"x","")</f>
        <v/>
      </c>
      <c r="T75" s="80" t="str">
        <f>IF(ISERROR(FIND('112'!$M$9,G75,1)),"",IF((AND(FIND('112'!$M$9,G75,1)&gt;=1,B75='112'!$K$9,OR($N75='112'!$I$6,$O75='112'!$I$6))),"x",""))</f>
        <v/>
      </c>
      <c r="U75" s="80" t="str">
        <f>IF(ISERROR(FIND('112'!$M$9,G75,1)),"",IF((AND(LEFT(G75,2)=LEFT('112'!$M$9,2),B75&lt;'112'!$K$9,$N75='112'!$I$6)),"x",""))</f>
        <v/>
      </c>
      <c r="V75" s="80" t="str">
        <f>IF(ISERROR(FIND('112'!$M$9,G75,1)),"",IF((AND(RIGHT(G75,2)=RIGHT('112'!$M$9,2),B75&lt;'112'!$K$9,$O75='112'!$I$6)),"x",""))</f>
        <v/>
      </c>
      <c r="W75" s="80" t="str">
        <f>IF(AND('341-CT'!$H$9=H75,OR(LEFT(N75,3)=$W$7,LEFT(O75,3)=$W$7)),"x","")</f>
        <v/>
      </c>
      <c r="X75" s="80" t="str">
        <f>IF(OR(TH!N75=TH!$X$7,O75=TH!$X$7),"x","")</f>
        <v/>
      </c>
      <c r="Y75" s="80" t="str">
        <f>IF(AND(OR(N75="131",O75="131"),H75='131-CT'!$H$9),"x","")</f>
        <v/>
      </c>
      <c r="Z75" s="80"/>
      <c r="AA75" s="80" t="str">
        <f>IF(AND(MONTH(E75)='IN-NX'!$J$5,'IN-NX'!$D$7=D75),"x","")</f>
        <v/>
      </c>
      <c r="AB75" s="80" t="str">
        <f>IF(AND(OR(LEFT(TH!N75,2)="15",LEFT(TH!O75,2)="15"),'152-CT'!$J$8=TH!F75),"x","")</f>
        <v/>
      </c>
      <c r="AC75" s="80" t="str">
        <f>IF(AND(OR(LEFT(TH!N75,2)="15",LEFT(TH!O75,2)="15"),TK!$E$7=TH!F75),"x","")</f>
        <v/>
      </c>
      <c r="AD75" s="80" t="str">
        <f>IF(AND(N75="1521",MONTH(C75)='BK-NL'!$M$11),"x","")</f>
        <v/>
      </c>
    </row>
    <row r="76" spans="1:30" ht="15.75" customHeight="1">
      <c r="A76" s="324" t="str">
        <f>IF(B76&lt;&gt;"",IF(AND(B76='IN-TC'!$S$4,OR(TH!N76="1111",TH!O76="1111")),TH!D76,""),"")</f>
        <v/>
      </c>
      <c r="B76" s="63">
        <f t="shared" si="11"/>
        <v>11</v>
      </c>
      <c r="C76" s="64">
        <f t="shared" si="4"/>
        <v>42699</v>
      </c>
      <c r="D76" s="64" t="s">
        <v>851</v>
      </c>
      <c r="E76" s="305">
        <v>42699</v>
      </c>
      <c r="F76" s="67" t="s">
        <v>850</v>
      </c>
      <c r="G76" s="67"/>
      <c r="H76" s="1080" t="s">
        <v>389</v>
      </c>
      <c r="I76" s="414">
        <v>11650</v>
      </c>
      <c r="J76" s="414">
        <v>14500</v>
      </c>
      <c r="K76" s="410"/>
      <c r="L76" s="414"/>
      <c r="M76" s="65">
        <f t="shared" si="15"/>
        <v>168925000</v>
      </c>
      <c r="N76" s="66" t="s">
        <v>275</v>
      </c>
      <c r="O76" s="66" t="s">
        <v>8</v>
      </c>
      <c r="P76" s="80" t="str">
        <f>IF(AND('331-CT'!$E$7=TH!H76,OR(N76="331",O76="331")),"x","")</f>
        <v/>
      </c>
      <c r="Q76" s="80" t="str">
        <f>IF(AND(B76='111'!$L$11,OR($N76=$Q$7,$O76=$Q$7)),"x","")</f>
        <v/>
      </c>
      <c r="R76" s="80" t="str">
        <f>IF(AND($N76=$Q$7,$B76&lt;'111'!$L$11),"x","")</f>
        <v/>
      </c>
      <c r="S76" s="80" t="str">
        <f>IF(AND($O76=$Q$7,$B76&lt;'111'!$L$11),"x","")</f>
        <v/>
      </c>
      <c r="T76" s="80" t="str">
        <f>IF(ISERROR(FIND('112'!$M$9,G76,1)),"",IF((AND(FIND('112'!$M$9,G76,1)&gt;=1,B76='112'!$K$9,OR($N76='112'!$I$6,$O76='112'!$I$6))),"x",""))</f>
        <v/>
      </c>
      <c r="U76" s="80" t="str">
        <f>IF(ISERROR(FIND('112'!$M$9,G76,1)),"",IF((AND(LEFT(G76,2)=LEFT('112'!$M$9,2),B76&lt;'112'!$K$9,$N76='112'!$I$6)),"x",""))</f>
        <v/>
      </c>
      <c r="V76" s="80" t="str">
        <f>IF(ISERROR(FIND('112'!$M$9,G76,1)),"",IF((AND(RIGHT(G76,2)=RIGHT('112'!$M$9,2),B76&lt;'112'!$K$9,$O76='112'!$I$6)),"x",""))</f>
        <v/>
      </c>
      <c r="W76" s="80" t="str">
        <f>IF(AND('341-CT'!$H$9=H76,OR(LEFT(N76,3)=$W$7,LEFT(O76,3)=$W$7)),"x","")</f>
        <v/>
      </c>
      <c r="X76" s="80" t="str">
        <f>IF(OR(TH!N76=TH!$X$7,O76=TH!$X$7),"x","")</f>
        <v/>
      </c>
      <c r="Y76" s="80" t="str">
        <f>IF(AND(OR(N76="131",O76="131"),H76='131-CT'!$H$9),"x","")</f>
        <v/>
      </c>
      <c r="Z76" s="80"/>
      <c r="AA76" s="80" t="str">
        <f>IF(AND(MONTH(E76)='IN-NX'!$J$5,'IN-NX'!$D$7=D76),"x","")</f>
        <v/>
      </c>
      <c r="AB76" s="80" t="str">
        <f>IF(AND(OR(LEFT(TH!N76,2)="15",LEFT(TH!O76,2)="15"),'152-CT'!$J$8=TH!F76),"x","")</f>
        <v/>
      </c>
      <c r="AC76" s="80" t="str">
        <f>IF(AND(OR(LEFT(TH!N76,2)="15",LEFT(TH!O76,2)="15"),TK!$E$7=TH!F76),"x","")</f>
        <v/>
      </c>
      <c r="AD76" s="80" t="str">
        <f>IF(AND(N76="1521",MONTH(C76)='BK-NL'!$M$11),"x","")</f>
        <v/>
      </c>
    </row>
    <row r="77" spans="1:30" ht="15.75" customHeight="1">
      <c r="A77" s="324" t="str">
        <f>IF(B77&lt;&gt;"",IF(AND(B77='IN-TC'!$S$4,OR(TH!N77="1111",TH!O77="1111")),TH!D77,""),"")</f>
        <v/>
      </c>
      <c r="B77" s="63">
        <f t="shared" si="11"/>
        <v>11</v>
      </c>
      <c r="C77" s="64">
        <f t="shared" si="4"/>
        <v>42699</v>
      </c>
      <c r="D77" s="64" t="s">
        <v>852</v>
      </c>
      <c r="E77" s="305">
        <v>42699</v>
      </c>
      <c r="F77" s="67" t="s">
        <v>850</v>
      </c>
      <c r="G77" s="67"/>
      <c r="H77" s="1080" t="s">
        <v>392</v>
      </c>
      <c r="I77" s="414">
        <v>11680</v>
      </c>
      <c r="J77" s="414">
        <v>14500</v>
      </c>
      <c r="K77" s="410"/>
      <c r="L77" s="414"/>
      <c r="M77" s="65">
        <f t="shared" ref="M77:M107" si="16">ROUND(I77*J77,0)</f>
        <v>169360000</v>
      </c>
      <c r="N77" s="66" t="s">
        <v>275</v>
      </c>
      <c r="O77" s="66" t="s">
        <v>8</v>
      </c>
      <c r="P77" s="80" t="str">
        <f>IF(AND('331-CT'!$E$7=TH!H77,OR(N77="331",O77="331")),"x","")</f>
        <v/>
      </c>
      <c r="Q77" s="80" t="str">
        <f>IF(AND(B77='111'!$L$11,OR($N77=$Q$7,$O77=$Q$7)),"x","")</f>
        <v/>
      </c>
      <c r="R77" s="80" t="str">
        <f>IF(AND($N77=$Q$7,$B77&lt;'111'!$L$11),"x","")</f>
        <v/>
      </c>
      <c r="S77" s="80" t="str">
        <f>IF(AND($O77=$Q$7,$B77&lt;'111'!$L$11),"x","")</f>
        <v/>
      </c>
      <c r="T77" s="80" t="str">
        <f>IF(ISERROR(FIND('112'!$M$9,G77,1)),"",IF((AND(FIND('112'!$M$9,G77,1)&gt;=1,B77='112'!$K$9,OR($N77='112'!$I$6,$O77='112'!$I$6))),"x",""))</f>
        <v/>
      </c>
      <c r="U77" s="80" t="str">
        <f>IF(ISERROR(FIND('112'!$M$9,G77,1)),"",IF((AND(LEFT(G77,2)=LEFT('112'!$M$9,2),B77&lt;'112'!$K$9,$N77='112'!$I$6)),"x",""))</f>
        <v/>
      </c>
      <c r="V77" s="80" t="str">
        <f>IF(ISERROR(FIND('112'!$M$9,G77,1)),"",IF((AND(RIGHT(G77,2)=RIGHT('112'!$M$9,2),B77&lt;'112'!$K$9,$O77='112'!$I$6)),"x",""))</f>
        <v/>
      </c>
      <c r="W77" s="80" t="str">
        <f>IF(AND('341-CT'!$H$9=H77,OR(LEFT(N77,3)=$W$7,LEFT(O77,3)=$W$7)),"x","")</f>
        <v/>
      </c>
      <c r="X77" s="80" t="str">
        <f>IF(OR(TH!N77=TH!$X$7,O77=TH!$X$7),"x","")</f>
        <v/>
      </c>
      <c r="Y77" s="80" t="str">
        <f>IF(AND(OR(N77="131",O77="131"),H77='131-CT'!$H$9),"x","")</f>
        <v/>
      </c>
      <c r="Z77" s="80"/>
      <c r="AA77" s="80" t="str">
        <f>IF(AND(MONTH(E77)='IN-NX'!$J$5,'IN-NX'!$D$7=D77),"x","")</f>
        <v/>
      </c>
      <c r="AB77" s="80" t="str">
        <f>IF(AND(OR(LEFT(TH!N77,2)="15",LEFT(TH!O77,2)="15"),'152-CT'!$J$8=TH!F77),"x","")</f>
        <v/>
      </c>
      <c r="AC77" s="80" t="str">
        <f>IF(AND(OR(LEFT(TH!N77,2)="15",LEFT(TH!O77,2)="15"),TK!$E$7=TH!F77),"x","")</f>
        <v/>
      </c>
      <c r="AD77" s="80" t="str">
        <f>IF(AND(N77="1521",MONTH(C77)='BK-NL'!$M$11),"x","")</f>
        <v/>
      </c>
    </row>
    <row r="78" spans="1:30" ht="15.75" customHeight="1">
      <c r="A78" s="324" t="str">
        <f>IF(B78&lt;&gt;"",IF(AND(B78='IN-TC'!$S$4,OR(TH!N78="1111",TH!O78="1111")),TH!D78,""),"")</f>
        <v/>
      </c>
      <c r="B78" s="63">
        <f t="shared" si="11"/>
        <v>11</v>
      </c>
      <c r="C78" s="64">
        <f t="shared" si="4"/>
        <v>42699</v>
      </c>
      <c r="D78" s="64" t="s">
        <v>853</v>
      </c>
      <c r="E78" s="305">
        <v>42699</v>
      </c>
      <c r="F78" s="67" t="s">
        <v>850</v>
      </c>
      <c r="G78" s="67"/>
      <c r="H78" s="1080" t="s">
        <v>386</v>
      </c>
      <c r="I78" s="414">
        <v>11302</v>
      </c>
      <c r="J78" s="414">
        <v>14500</v>
      </c>
      <c r="K78" s="410"/>
      <c r="L78" s="414"/>
      <c r="M78" s="65">
        <f t="shared" si="16"/>
        <v>163879000</v>
      </c>
      <c r="N78" s="66" t="s">
        <v>275</v>
      </c>
      <c r="O78" s="66" t="s">
        <v>8</v>
      </c>
      <c r="P78" s="80" t="str">
        <f>IF(AND('331-CT'!$E$7=TH!H78,OR(N78="331",O78="331")),"x","")</f>
        <v/>
      </c>
      <c r="Q78" s="80" t="str">
        <f>IF(AND(B78='111'!$L$11,OR($N78=$Q$7,$O78=$Q$7)),"x","")</f>
        <v/>
      </c>
      <c r="R78" s="80" t="str">
        <f>IF(AND($N78=$Q$7,$B78&lt;'111'!$L$11),"x","")</f>
        <v/>
      </c>
      <c r="S78" s="80" t="str">
        <f>IF(AND($O78=$Q$7,$B78&lt;'111'!$L$11),"x","")</f>
        <v/>
      </c>
      <c r="T78" s="80" t="str">
        <f>IF(ISERROR(FIND('112'!$M$9,G78,1)),"",IF((AND(FIND('112'!$M$9,G78,1)&gt;=1,B78='112'!$K$9,OR($N78='112'!$I$6,$O78='112'!$I$6))),"x",""))</f>
        <v/>
      </c>
      <c r="U78" s="80" t="str">
        <f>IF(ISERROR(FIND('112'!$M$9,G78,1)),"",IF((AND(LEFT(G78,2)=LEFT('112'!$M$9,2),B78&lt;'112'!$K$9,$N78='112'!$I$6)),"x",""))</f>
        <v/>
      </c>
      <c r="V78" s="80" t="str">
        <f>IF(ISERROR(FIND('112'!$M$9,G78,1)),"",IF((AND(RIGHT(G78,2)=RIGHT('112'!$M$9,2),B78&lt;'112'!$K$9,$O78='112'!$I$6)),"x",""))</f>
        <v/>
      </c>
      <c r="W78" s="80" t="str">
        <f>IF(AND('341-CT'!$H$9=H78,OR(LEFT(N78,3)=$W$7,LEFT(O78,3)=$W$7)),"x","")</f>
        <v/>
      </c>
      <c r="X78" s="80" t="str">
        <f>IF(OR(TH!N78=TH!$X$7,O78=TH!$X$7),"x","")</f>
        <v/>
      </c>
      <c r="Y78" s="80" t="str">
        <f>IF(AND(OR(N78="131",O78="131"),H78='131-CT'!$H$9),"x","")</f>
        <v/>
      </c>
      <c r="Z78" s="80"/>
      <c r="AA78" s="80" t="str">
        <f>IF(AND(MONTH(E78)='IN-NX'!$J$5,'IN-NX'!$D$7=D78),"x","")</f>
        <v/>
      </c>
      <c r="AB78" s="80" t="str">
        <f>IF(AND(OR(LEFT(TH!N78,2)="15",LEFT(TH!O78,2)="15"),'152-CT'!$J$8=TH!F78),"x","")</f>
        <v/>
      </c>
      <c r="AC78" s="80" t="str">
        <f>IF(AND(OR(LEFT(TH!N78,2)="15",LEFT(TH!O78,2)="15"),TK!$E$7=TH!F78),"x","")</f>
        <v/>
      </c>
      <c r="AD78" s="80" t="str">
        <f>IF(AND(N78="1521",MONTH(C78)='BK-NL'!$M$11),"x","")</f>
        <v/>
      </c>
    </row>
    <row r="79" spans="1:30" ht="15.75" customHeight="1">
      <c r="A79" s="324" t="str">
        <f>IF(B79&lt;&gt;"",IF(AND(B79='IN-TC'!$S$4,OR(TH!N79="1111",TH!O79="1111")),TH!D79,""),"")</f>
        <v/>
      </c>
      <c r="B79" s="63">
        <f t="shared" si="11"/>
        <v>11</v>
      </c>
      <c r="C79" s="64">
        <f t="shared" si="4"/>
        <v>42699</v>
      </c>
      <c r="D79" s="64" t="s">
        <v>854</v>
      </c>
      <c r="E79" s="305">
        <v>42699</v>
      </c>
      <c r="F79" s="67" t="s">
        <v>850</v>
      </c>
      <c r="G79" s="67"/>
      <c r="H79" s="1080" t="s">
        <v>849</v>
      </c>
      <c r="I79" s="414">
        <v>11078</v>
      </c>
      <c r="J79" s="414">
        <v>14500</v>
      </c>
      <c r="K79" s="410"/>
      <c r="L79" s="414"/>
      <c r="M79" s="65">
        <f t="shared" si="16"/>
        <v>160631000</v>
      </c>
      <c r="N79" s="66" t="s">
        <v>275</v>
      </c>
      <c r="O79" s="66" t="s">
        <v>8</v>
      </c>
      <c r="P79" s="80" t="str">
        <f>IF(AND('331-CT'!$E$7=TH!H79,OR(N79="331",O79="331")),"x","")</f>
        <v/>
      </c>
      <c r="Q79" s="80" t="str">
        <f>IF(AND(B79='111'!$L$11,OR($N79=$Q$7,$O79=$Q$7)),"x","")</f>
        <v/>
      </c>
      <c r="R79" s="80" t="str">
        <f>IF(AND($N79=$Q$7,$B79&lt;'111'!$L$11),"x","")</f>
        <v/>
      </c>
      <c r="S79" s="80" t="str">
        <f>IF(AND($O79=$Q$7,$B79&lt;'111'!$L$11),"x","")</f>
        <v/>
      </c>
      <c r="T79" s="80" t="str">
        <f>IF(ISERROR(FIND('112'!$M$9,G79,1)),"",IF((AND(FIND('112'!$M$9,G79,1)&gt;=1,B79='112'!$K$9,OR($N79='112'!$I$6,$O79='112'!$I$6))),"x",""))</f>
        <v/>
      </c>
      <c r="U79" s="80" t="str">
        <f>IF(ISERROR(FIND('112'!$M$9,G79,1)),"",IF((AND(LEFT(G79,2)=LEFT('112'!$M$9,2),B79&lt;'112'!$K$9,$N79='112'!$I$6)),"x",""))</f>
        <v/>
      </c>
      <c r="V79" s="80" t="str">
        <f>IF(ISERROR(FIND('112'!$M$9,G79,1)),"",IF((AND(RIGHT(G79,2)=RIGHT('112'!$M$9,2),B79&lt;'112'!$K$9,$O79='112'!$I$6)),"x",""))</f>
        <v/>
      </c>
      <c r="W79" s="80" t="str">
        <f>IF(AND('341-CT'!$H$9=H79,OR(LEFT(N79,3)=$W$7,LEFT(O79,3)=$W$7)),"x","")</f>
        <v/>
      </c>
      <c r="X79" s="80" t="str">
        <f>IF(OR(TH!N79=TH!$X$7,O79=TH!$X$7),"x","")</f>
        <v/>
      </c>
      <c r="Y79" s="80" t="str">
        <f>IF(AND(OR(N79="131",O79="131"),H79='131-CT'!$H$9),"x","")</f>
        <v/>
      </c>
      <c r="Z79" s="80"/>
      <c r="AA79" s="80" t="str">
        <f>IF(AND(MONTH(E79)='IN-NX'!$J$5,'IN-NX'!$D$7=D79),"x","")</f>
        <v/>
      </c>
      <c r="AB79" s="80" t="str">
        <f>IF(AND(OR(LEFT(TH!N79,2)="15",LEFT(TH!O79,2)="15"),'152-CT'!$J$8=TH!F79),"x","")</f>
        <v/>
      </c>
      <c r="AC79" s="80" t="str">
        <f>IF(AND(OR(LEFT(TH!N79,2)="15",LEFT(TH!O79,2)="15"),TK!$E$7=TH!F79),"x","")</f>
        <v/>
      </c>
      <c r="AD79" s="80" t="str">
        <f>IF(AND(N79="1521",MONTH(C79)='BK-NL'!$M$11),"x","")</f>
        <v/>
      </c>
    </row>
    <row r="80" spans="1:30" ht="15.75" customHeight="1">
      <c r="A80" s="324" t="str">
        <f>IF(B80&lt;&gt;"",IF(AND(B80='IN-TC'!$S$4,OR(TH!N80="1111",TH!O80="1111")),TH!D80,""),"")</f>
        <v/>
      </c>
      <c r="B80" s="63">
        <f t="shared" si="11"/>
        <v>11</v>
      </c>
      <c r="C80" s="64">
        <f t="shared" si="4"/>
        <v>42701</v>
      </c>
      <c r="D80" s="64" t="s">
        <v>855</v>
      </c>
      <c r="E80" s="305">
        <v>42701</v>
      </c>
      <c r="F80" s="67" t="s">
        <v>850</v>
      </c>
      <c r="G80" s="67"/>
      <c r="H80" s="1080" t="s">
        <v>394</v>
      </c>
      <c r="I80" s="414">
        <v>11520</v>
      </c>
      <c r="J80" s="414">
        <v>14500</v>
      </c>
      <c r="K80" s="410"/>
      <c r="L80" s="414"/>
      <c r="M80" s="65">
        <f t="shared" si="16"/>
        <v>167040000</v>
      </c>
      <c r="N80" s="66" t="s">
        <v>275</v>
      </c>
      <c r="O80" s="66" t="s">
        <v>8</v>
      </c>
      <c r="P80" s="80" t="str">
        <f>IF(AND('331-CT'!$E$7=TH!H80,OR(N80="331",O80="331")),"x","")</f>
        <v/>
      </c>
      <c r="Q80" s="80" t="str">
        <f>IF(AND(B80='111'!$L$11,OR($N80=$Q$7,$O80=$Q$7)),"x","")</f>
        <v/>
      </c>
      <c r="R80" s="80" t="str">
        <f>IF(AND($N80=$Q$7,$B80&lt;'111'!$L$11),"x","")</f>
        <v/>
      </c>
      <c r="S80" s="80" t="str">
        <f>IF(AND($O80=$Q$7,$B80&lt;'111'!$L$11),"x","")</f>
        <v/>
      </c>
      <c r="T80" s="80" t="str">
        <f>IF(ISERROR(FIND('112'!$M$9,G80,1)),"",IF((AND(FIND('112'!$M$9,G80,1)&gt;=1,B80='112'!$K$9,OR($N80='112'!$I$6,$O80='112'!$I$6))),"x",""))</f>
        <v/>
      </c>
      <c r="U80" s="80" t="str">
        <f>IF(ISERROR(FIND('112'!$M$9,G80,1)),"",IF((AND(LEFT(G80,2)=LEFT('112'!$M$9,2),B80&lt;'112'!$K$9,$N80='112'!$I$6)),"x",""))</f>
        <v/>
      </c>
      <c r="V80" s="80" t="str">
        <f>IF(ISERROR(FIND('112'!$M$9,G80,1)),"",IF((AND(RIGHT(G80,2)=RIGHT('112'!$M$9,2),B80&lt;'112'!$K$9,$O80='112'!$I$6)),"x",""))</f>
        <v/>
      </c>
      <c r="W80" s="80" t="str">
        <f>IF(AND('341-CT'!$H$9=H80,OR(LEFT(N80,3)=$W$7,LEFT(O80,3)=$W$7)),"x","")</f>
        <v/>
      </c>
      <c r="X80" s="80" t="str">
        <f>IF(OR(TH!N80=TH!$X$7,O80=TH!$X$7),"x","")</f>
        <v/>
      </c>
      <c r="Y80" s="80" t="str">
        <f>IF(AND(OR(N80="131",O80="131"),H80='131-CT'!$H$9),"x","")</f>
        <v/>
      </c>
      <c r="Z80" s="80"/>
      <c r="AA80" s="80" t="str">
        <f>IF(AND(MONTH(E80)='IN-NX'!$J$5,'IN-NX'!$D$7=D80),"x","")</f>
        <v/>
      </c>
      <c r="AB80" s="80" t="str">
        <f>IF(AND(OR(LEFT(TH!N80,2)="15",LEFT(TH!O80,2)="15"),'152-CT'!$J$8=TH!F80),"x","")</f>
        <v/>
      </c>
      <c r="AC80" s="80" t="str">
        <f>IF(AND(OR(LEFT(TH!N80,2)="15",LEFT(TH!O80,2)="15"),TK!$E$7=TH!F80),"x","")</f>
        <v/>
      </c>
      <c r="AD80" s="80" t="str">
        <f>IF(AND(N80="1521",MONTH(C80)='BK-NL'!$M$11),"x","")</f>
        <v/>
      </c>
    </row>
    <row r="81" spans="1:30" ht="15.75" customHeight="1">
      <c r="A81" s="324" t="str">
        <f>IF(B81&lt;&gt;"",IF(AND(B81='IN-TC'!$S$4,OR(TH!N81="1111",TH!O81="1111")),TH!D81,""),"")</f>
        <v/>
      </c>
      <c r="B81" s="63">
        <f t="shared" si="11"/>
        <v>11</v>
      </c>
      <c r="C81" s="64">
        <f t="shared" si="4"/>
        <v>42701</v>
      </c>
      <c r="D81" s="64" t="s">
        <v>856</v>
      </c>
      <c r="E81" s="305">
        <v>42701</v>
      </c>
      <c r="F81" s="67" t="s">
        <v>850</v>
      </c>
      <c r="G81" s="920"/>
      <c r="H81" s="1080" t="s">
        <v>379</v>
      </c>
      <c r="I81" s="414">
        <v>11460</v>
      </c>
      <c r="J81" s="414">
        <v>14500</v>
      </c>
      <c r="K81" s="410"/>
      <c r="L81" s="414"/>
      <c r="M81" s="65">
        <f t="shared" si="16"/>
        <v>166170000</v>
      </c>
      <c r="N81" s="66" t="s">
        <v>275</v>
      </c>
      <c r="O81" s="66" t="s">
        <v>8</v>
      </c>
      <c r="P81" s="80" t="str">
        <f>IF(AND('331-CT'!$E$7=TH!H81,OR(N81="331",O81="331")),"x","")</f>
        <v/>
      </c>
      <c r="Q81" s="80" t="str">
        <f>IF(AND(B81='111'!$L$11,OR($N81=$Q$7,$O81=$Q$7)),"x","")</f>
        <v/>
      </c>
      <c r="R81" s="80" t="str">
        <f>IF(AND($N81=$Q$7,$B81&lt;'111'!$L$11),"x","")</f>
        <v/>
      </c>
      <c r="S81" s="80" t="str">
        <f>IF(AND($O81=$Q$7,$B81&lt;'111'!$L$11),"x","")</f>
        <v/>
      </c>
      <c r="T81" s="80" t="str">
        <f>IF(ISERROR(FIND('112'!$M$9,G81,1)),"",IF((AND(FIND('112'!$M$9,G81,1)&gt;=1,B81='112'!$K$9,OR($N81='112'!$I$6,$O81='112'!$I$6))),"x",""))</f>
        <v/>
      </c>
      <c r="U81" s="80" t="str">
        <f>IF(ISERROR(FIND('112'!$M$9,G81,1)),"",IF((AND(LEFT(G81,2)=LEFT('112'!$M$9,2),B81&lt;'112'!$K$9,$N81='112'!$I$6)),"x",""))</f>
        <v/>
      </c>
      <c r="V81" s="80" t="str">
        <f>IF(ISERROR(FIND('112'!$M$9,G81,1)),"",IF((AND(RIGHT(G81,2)=RIGHT('112'!$M$9,2),B81&lt;'112'!$K$9,$O81='112'!$I$6)),"x",""))</f>
        <v/>
      </c>
      <c r="W81" s="80" t="str">
        <f>IF(AND('341-CT'!$H$9=H81,OR(LEFT(N81,3)=$W$7,LEFT(O81,3)=$W$7)),"x","")</f>
        <v/>
      </c>
      <c r="X81" s="80" t="str">
        <f>IF(OR(TH!N81=TH!$X$7,O81=TH!$X$7),"x","")</f>
        <v/>
      </c>
      <c r="Y81" s="80" t="str">
        <f>IF(AND(OR(N81="131",O81="131"),H81='131-CT'!$H$9),"x","")</f>
        <v/>
      </c>
      <c r="Z81" s="80"/>
      <c r="AA81" s="80" t="str">
        <f>IF(AND(MONTH(E81)='IN-NX'!$J$5,'IN-NX'!$D$7=D81),"x","")</f>
        <v/>
      </c>
      <c r="AB81" s="80" t="str">
        <f>IF(AND(OR(LEFT(TH!N81,2)="15",LEFT(TH!O81,2)="15"),'152-CT'!$J$8=TH!F81),"x","")</f>
        <v/>
      </c>
      <c r="AC81" s="80" t="str">
        <f>IF(AND(OR(LEFT(TH!N81,2)="15",LEFT(TH!O81,2)="15"),TK!$E$7=TH!F81),"x","")</f>
        <v/>
      </c>
      <c r="AD81" s="80" t="str">
        <f>IF(AND(N81="1521",MONTH(C81)='BK-NL'!$M$11),"x","")</f>
        <v/>
      </c>
    </row>
    <row r="82" spans="1:30" ht="15.75" customHeight="1">
      <c r="A82" s="324" t="str">
        <f>IF(B82&lt;&gt;"",IF(AND(B82='IN-TC'!$S$4,OR(TH!N82="1111",TH!O82="1111")),TH!D82,""),"")</f>
        <v/>
      </c>
      <c r="B82" s="63">
        <f t="shared" si="11"/>
        <v>11</v>
      </c>
      <c r="C82" s="64">
        <f t="shared" si="4"/>
        <v>42701</v>
      </c>
      <c r="D82" s="64" t="s">
        <v>857</v>
      </c>
      <c r="E82" s="305">
        <v>42701</v>
      </c>
      <c r="F82" s="67" t="s">
        <v>850</v>
      </c>
      <c r="G82" s="920"/>
      <c r="H82" s="1080" t="s">
        <v>386</v>
      </c>
      <c r="I82" s="414">
        <v>11040</v>
      </c>
      <c r="J82" s="414">
        <v>14500</v>
      </c>
      <c r="K82" s="410"/>
      <c r="L82" s="414"/>
      <c r="M82" s="65">
        <f t="shared" si="16"/>
        <v>160080000</v>
      </c>
      <c r="N82" s="66" t="s">
        <v>275</v>
      </c>
      <c r="O82" s="66" t="s">
        <v>8</v>
      </c>
      <c r="P82" s="80" t="str">
        <f>IF(AND('331-CT'!$E$7=TH!H82,OR(N82="331",O82="331")),"x","")</f>
        <v/>
      </c>
      <c r="Q82" s="80" t="str">
        <f>IF(AND(B82='111'!$L$11,OR($N82=$Q$7,$O82=$Q$7)),"x","")</f>
        <v/>
      </c>
      <c r="R82" s="80" t="str">
        <f>IF(AND($N82=$Q$7,$B82&lt;'111'!$L$11),"x","")</f>
        <v/>
      </c>
      <c r="S82" s="80" t="str">
        <f>IF(AND($O82=$Q$7,$B82&lt;'111'!$L$11),"x","")</f>
        <v/>
      </c>
      <c r="T82" s="80" t="str">
        <f>IF(ISERROR(FIND('112'!$M$9,G82,1)),"",IF((AND(FIND('112'!$M$9,G82,1)&gt;=1,B82='112'!$K$9,OR($N82='112'!$I$6,$O82='112'!$I$6))),"x",""))</f>
        <v/>
      </c>
      <c r="U82" s="80" t="str">
        <f>IF(ISERROR(FIND('112'!$M$9,G82,1)),"",IF((AND(LEFT(G82,2)=LEFT('112'!$M$9,2),B82&lt;'112'!$K$9,$N82='112'!$I$6)),"x",""))</f>
        <v/>
      </c>
      <c r="V82" s="80" t="str">
        <f>IF(ISERROR(FIND('112'!$M$9,G82,1)),"",IF((AND(RIGHT(G82,2)=RIGHT('112'!$M$9,2),B82&lt;'112'!$K$9,$O82='112'!$I$6)),"x",""))</f>
        <v/>
      </c>
      <c r="W82" s="80" t="str">
        <f>IF(AND('341-CT'!$H$9=H82,OR(LEFT(N82,3)=$W$7,LEFT(O82,3)=$W$7)),"x","")</f>
        <v/>
      </c>
      <c r="X82" s="80" t="str">
        <f>IF(OR(TH!N82=TH!$X$7,O82=TH!$X$7),"x","")</f>
        <v/>
      </c>
      <c r="Y82" s="80" t="str">
        <f>IF(AND(OR(N82="131",O82="131"),H82='131-CT'!$H$9),"x","")</f>
        <v/>
      </c>
      <c r="Z82" s="80"/>
      <c r="AA82" s="80" t="str">
        <f>IF(AND(MONTH(E82)='IN-NX'!$J$5,'IN-NX'!$D$7=D82),"x","")</f>
        <v/>
      </c>
      <c r="AB82" s="80" t="str">
        <f>IF(AND(OR(LEFT(TH!N82,2)="15",LEFT(TH!O82,2)="15"),'152-CT'!$J$8=TH!F82),"x","")</f>
        <v/>
      </c>
      <c r="AC82" s="80" t="str">
        <f>IF(AND(OR(LEFT(TH!N82,2)="15",LEFT(TH!O82,2)="15"),TK!$E$7=TH!F82),"x","")</f>
        <v/>
      </c>
      <c r="AD82" s="80" t="str">
        <f>IF(AND(N82="1521",MONTH(C82)='BK-NL'!$M$11),"x","")</f>
        <v/>
      </c>
    </row>
    <row r="83" spans="1:30" ht="15.75" customHeight="1">
      <c r="A83" s="324" t="str">
        <f>IF(B83&lt;&gt;"",IF(AND(B83='IN-TC'!$S$4,OR(TH!N83="1111",TH!O83="1111")),TH!D83,""),"")</f>
        <v/>
      </c>
      <c r="B83" s="63">
        <f t="shared" si="11"/>
        <v>11</v>
      </c>
      <c r="C83" s="64">
        <f t="shared" si="4"/>
        <v>42701</v>
      </c>
      <c r="D83" s="64" t="s">
        <v>858</v>
      </c>
      <c r="E83" s="305">
        <v>42701</v>
      </c>
      <c r="F83" s="67" t="s">
        <v>850</v>
      </c>
      <c r="G83" s="920"/>
      <c r="H83" s="1080" t="s">
        <v>392</v>
      </c>
      <c r="I83" s="414">
        <v>11420</v>
      </c>
      <c r="J83" s="414">
        <v>14500</v>
      </c>
      <c r="K83" s="410"/>
      <c r="L83" s="414"/>
      <c r="M83" s="65">
        <f t="shared" si="16"/>
        <v>165590000</v>
      </c>
      <c r="N83" s="66" t="s">
        <v>275</v>
      </c>
      <c r="O83" s="66" t="s">
        <v>8</v>
      </c>
      <c r="P83" s="80" t="str">
        <f>IF(AND('331-CT'!$E$7=TH!H83,OR(N83="331",O83="331")),"x","")</f>
        <v/>
      </c>
      <c r="Q83" s="80" t="str">
        <f>IF(AND(B83='111'!$L$11,OR($N83=$Q$7,$O83=$Q$7)),"x","")</f>
        <v/>
      </c>
      <c r="R83" s="80" t="str">
        <f>IF(AND($N83=$Q$7,$B83&lt;'111'!$L$11),"x","")</f>
        <v/>
      </c>
      <c r="S83" s="80" t="str">
        <f>IF(AND($O83=$Q$7,$B83&lt;'111'!$L$11),"x","")</f>
        <v/>
      </c>
      <c r="T83" s="80" t="str">
        <f>IF(ISERROR(FIND('112'!$M$9,G83,1)),"",IF((AND(FIND('112'!$M$9,G83,1)&gt;=1,B83='112'!$K$9,OR($N83='112'!$I$6,$O83='112'!$I$6))),"x",""))</f>
        <v/>
      </c>
      <c r="U83" s="80" t="str">
        <f>IF(ISERROR(FIND('112'!$M$9,G83,1)),"",IF((AND(LEFT(G83,2)=LEFT('112'!$M$9,2),B83&lt;'112'!$K$9,$N83='112'!$I$6)),"x",""))</f>
        <v/>
      </c>
      <c r="V83" s="80" t="str">
        <f>IF(ISERROR(FIND('112'!$M$9,G83,1)),"",IF((AND(RIGHT(G83,2)=RIGHT('112'!$M$9,2),B83&lt;'112'!$K$9,$O83='112'!$I$6)),"x",""))</f>
        <v/>
      </c>
      <c r="W83" s="80" t="str">
        <f>IF(AND('341-CT'!$H$9=H83,OR(LEFT(N83,3)=$W$7,LEFT(O83,3)=$W$7)),"x","")</f>
        <v/>
      </c>
      <c r="X83" s="80" t="str">
        <f>IF(OR(TH!N83=TH!$X$7,O83=TH!$X$7),"x","")</f>
        <v/>
      </c>
      <c r="Y83" s="80" t="str">
        <f>IF(AND(OR(N83="131",O83="131"),H83='131-CT'!$H$9),"x","")</f>
        <v/>
      </c>
      <c r="Z83" s="80"/>
      <c r="AA83" s="80" t="str">
        <f>IF(AND(MONTH(E83)='IN-NX'!$J$5,'IN-NX'!$D$7=D83),"x","")</f>
        <v/>
      </c>
      <c r="AB83" s="80" t="str">
        <f>IF(AND(OR(LEFT(TH!N83,2)="15",LEFT(TH!O83,2)="15"),'152-CT'!$J$8=TH!F83),"x","")</f>
        <v/>
      </c>
      <c r="AC83" s="80" t="str">
        <f>IF(AND(OR(LEFT(TH!N83,2)="15",LEFT(TH!O83,2)="15"),TK!$E$7=TH!F83),"x","")</f>
        <v/>
      </c>
      <c r="AD83" s="80" t="str">
        <f>IF(AND(N83="1521",MONTH(C83)='BK-NL'!$M$11),"x","")</f>
        <v/>
      </c>
    </row>
    <row r="84" spans="1:30" ht="15.75" customHeight="1">
      <c r="A84" s="324" t="str">
        <f>IF(B84&lt;&gt;"",IF(AND(B84='IN-TC'!$S$4,OR(TH!N84="1111",TH!O84="1111")),TH!D84,""),"")</f>
        <v/>
      </c>
      <c r="B84" s="63">
        <f t="shared" si="11"/>
        <v>11</v>
      </c>
      <c r="C84" s="64">
        <f t="shared" si="4"/>
        <v>42703</v>
      </c>
      <c r="D84" s="64" t="s">
        <v>859</v>
      </c>
      <c r="E84" s="305">
        <v>42703</v>
      </c>
      <c r="F84" s="67" t="s">
        <v>850</v>
      </c>
      <c r="G84" s="920"/>
      <c r="H84" s="1080" t="s">
        <v>394</v>
      </c>
      <c r="I84" s="414">
        <v>11820</v>
      </c>
      <c r="J84" s="414">
        <v>14500</v>
      </c>
      <c r="K84" s="410"/>
      <c r="L84" s="414"/>
      <c r="M84" s="65">
        <f t="shared" si="16"/>
        <v>171390000</v>
      </c>
      <c r="N84" s="66" t="s">
        <v>275</v>
      </c>
      <c r="O84" s="66" t="s">
        <v>8</v>
      </c>
      <c r="P84" s="80" t="str">
        <f>IF(AND('331-CT'!$E$7=TH!H84,OR(N84="331",O84="331")),"x","")</f>
        <v/>
      </c>
      <c r="Q84" s="80" t="str">
        <f>IF(AND(B84='111'!$L$11,OR($N84=$Q$7,$O84=$Q$7)),"x","")</f>
        <v/>
      </c>
      <c r="R84" s="80" t="str">
        <f>IF(AND($N84=$Q$7,$B84&lt;'111'!$L$11),"x","")</f>
        <v/>
      </c>
      <c r="S84" s="80" t="str">
        <f>IF(AND($O84=$Q$7,$B84&lt;'111'!$L$11),"x","")</f>
        <v/>
      </c>
      <c r="T84" s="80" t="str">
        <f>IF(ISERROR(FIND('112'!$M$9,G84,1)),"",IF((AND(FIND('112'!$M$9,G84,1)&gt;=1,B84='112'!$K$9,OR($N84='112'!$I$6,$O84='112'!$I$6))),"x",""))</f>
        <v/>
      </c>
      <c r="U84" s="80" t="str">
        <f>IF(ISERROR(FIND('112'!$M$9,G84,1)),"",IF((AND(LEFT(G84,2)=LEFT('112'!$M$9,2),B84&lt;'112'!$K$9,$N84='112'!$I$6)),"x",""))</f>
        <v/>
      </c>
      <c r="V84" s="80" t="str">
        <f>IF(ISERROR(FIND('112'!$M$9,G84,1)),"",IF((AND(RIGHT(G84,2)=RIGHT('112'!$M$9,2),B84&lt;'112'!$K$9,$O84='112'!$I$6)),"x",""))</f>
        <v/>
      </c>
      <c r="W84" s="80" t="str">
        <f>IF(AND('341-CT'!$H$9=H84,OR(LEFT(N84,3)=$W$7,LEFT(O84,3)=$W$7)),"x","")</f>
        <v/>
      </c>
      <c r="X84" s="80" t="str">
        <f>IF(OR(TH!N84=TH!$X$7,O84=TH!$X$7),"x","")</f>
        <v/>
      </c>
      <c r="Y84" s="80" t="str">
        <f>IF(AND(OR(N84="131",O84="131"),H84='131-CT'!$H$9),"x","")</f>
        <v/>
      </c>
      <c r="Z84" s="80"/>
      <c r="AA84" s="80" t="str">
        <f>IF(AND(MONTH(E84)='IN-NX'!$J$5,'IN-NX'!$D$7=D84),"x","")</f>
        <v/>
      </c>
      <c r="AB84" s="80" t="str">
        <f>IF(AND(OR(LEFT(TH!N84,2)="15",LEFT(TH!O84,2)="15"),'152-CT'!$J$8=TH!F84),"x","")</f>
        <v/>
      </c>
      <c r="AC84" s="80" t="str">
        <f>IF(AND(OR(LEFT(TH!N84,2)="15",LEFT(TH!O84,2)="15"),TK!$E$7=TH!F84),"x","")</f>
        <v/>
      </c>
      <c r="AD84" s="80" t="str">
        <f>IF(AND(N84="1521",MONTH(C84)='BK-NL'!$M$11),"x","")</f>
        <v/>
      </c>
    </row>
    <row r="85" spans="1:30" ht="15.75" customHeight="1">
      <c r="A85" s="324" t="str">
        <f>IF(B85&lt;&gt;"",IF(AND(B85='IN-TC'!$S$4,OR(TH!N85="1111",TH!O85="1111")),TH!D85,""),"")</f>
        <v/>
      </c>
      <c r="B85" s="63">
        <f t="shared" si="11"/>
        <v>11</v>
      </c>
      <c r="C85" s="64">
        <f t="shared" si="4"/>
        <v>42703</v>
      </c>
      <c r="D85" s="64" t="s">
        <v>860</v>
      </c>
      <c r="E85" s="305">
        <v>42703</v>
      </c>
      <c r="F85" s="67" t="s">
        <v>850</v>
      </c>
      <c r="G85" s="920"/>
      <c r="H85" s="1080" t="s">
        <v>379</v>
      </c>
      <c r="I85" s="414">
        <v>11256</v>
      </c>
      <c r="J85" s="414">
        <v>14500</v>
      </c>
      <c r="K85" s="410"/>
      <c r="L85" s="414"/>
      <c r="M85" s="65">
        <f t="shared" si="16"/>
        <v>163212000</v>
      </c>
      <c r="N85" s="66" t="s">
        <v>275</v>
      </c>
      <c r="O85" s="66" t="s">
        <v>8</v>
      </c>
      <c r="P85" s="80" t="str">
        <f>IF(AND('331-CT'!$E$7=TH!H85,OR(N85="331",O85="331")),"x","")</f>
        <v/>
      </c>
      <c r="Q85" s="80" t="str">
        <f>IF(AND(B85='111'!$L$11,OR($N85=$Q$7,$O85=$Q$7)),"x","")</f>
        <v/>
      </c>
      <c r="R85" s="80" t="str">
        <f>IF(AND($N85=$Q$7,$B85&lt;'111'!$L$11),"x","")</f>
        <v/>
      </c>
      <c r="S85" s="80" t="str">
        <f>IF(AND($O85=$Q$7,$B85&lt;'111'!$L$11),"x","")</f>
        <v/>
      </c>
      <c r="T85" s="80" t="str">
        <f>IF(ISERROR(FIND('112'!$M$9,G85,1)),"",IF((AND(FIND('112'!$M$9,G85,1)&gt;=1,B85='112'!$K$9,OR($N85='112'!$I$6,$O85='112'!$I$6))),"x",""))</f>
        <v/>
      </c>
      <c r="U85" s="80" t="str">
        <f>IF(ISERROR(FIND('112'!$M$9,G85,1)),"",IF((AND(LEFT(G85,2)=LEFT('112'!$M$9,2),B85&lt;'112'!$K$9,$N85='112'!$I$6)),"x",""))</f>
        <v/>
      </c>
      <c r="V85" s="80" t="str">
        <f>IF(ISERROR(FIND('112'!$M$9,G85,1)),"",IF((AND(RIGHT(G85,2)=RIGHT('112'!$M$9,2),B85&lt;'112'!$K$9,$O85='112'!$I$6)),"x",""))</f>
        <v/>
      </c>
      <c r="W85" s="80" t="str">
        <f>IF(AND('341-CT'!$H$9=H85,OR(LEFT(N85,3)=$W$7,LEFT(O85,3)=$W$7)),"x","")</f>
        <v/>
      </c>
      <c r="X85" s="80" t="str">
        <f>IF(OR(TH!N85=TH!$X$7,O85=TH!$X$7),"x","")</f>
        <v/>
      </c>
      <c r="Y85" s="80" t="str">
        <f>IF(AND(OR(N85="131",O85="131"),H85='131-CT'!$H$9),"x","")</f>
        <v/>
      </c>
      <c r="Z85" s="80"/>
      <c r="AA85" s="80" t="str">
        <f>IF(AND(MONTH(E85)='IN-NX'!$J$5,'IN-NX'!$D$7=D85),"x","")</f>
        <v/>
      </c>
      <c r="AB85" s="80" t="str">
        <f>IF(AND(OR(LEFT(TH!N85,2)="15",LEFT(TH!O85,2)="15"),'152-CT'!$J$8=TH!F85),"x","")</f>
        <v/>
      </c>
      <c r="AC85" s="80" t="str">
        <f>IF(AND(OR(LEFT(TH!N85,2)="15",LEFT(TH!O85,2)="15"),TK!$E$7=TH!F85),"x","")</f>
        <v/>
      </c>
      <c r="AD85" s="80" t="str">
        <f>IF(AND(N85="1521",MONTH(C85)='BK-NL'!$M$11),"x","")</f>
        <v/>
      </c>
    </row>
    <row r="86" spans="1:30" ht="15.75" customHeight="1">
      <c r="A86" s="324" t="str">
        <f>IF(B86&lt;&gt;"",IF(AND(B86='IN-TC'!$S$4,OR(TH!N86="1111",TH!O86="1111")),TH!D86,""),"")</f>
        <v/>
      </c>
      <c r="B86" s="63">
        <f t="shared" si="11"/>
        <v>11</v>
      </c>
      <c r="C86" s="64">
        <f t="shared" si="4"/>
        <v>42703</v>
      </c>
      <c r="D86" s="64" t="s">
        <v>861</v>
      </c>
      <c r="E86" s="305">
        <v>42703</v>
      </c>
      <c r="F86" s="67" t="s">
        <v>850</v>
      </c>
      <c r="G86" s="920"/>
      <c r="H86" s="1080" t="s">
        <v>392</v>
      </c>
      <c r="I86" s="414">
        <v>11230</v>
      </c>
      <c r="J86" s="414">
        <v>14500</v>
      </c>
      <c r="K86" s="410"/>
      <c r="L86" s="414"/>
      <c r="M86" s="65">
        <f t="shared" si="16"/>
        <v>162835000</v>
      </c>
      <c r="N86" s="66" t="s">
        <v>275</v>
      </c>
      <c r="O86" s="66" t="s">
        <v>8</v>
      </c>
      <c r="P86" s="80" t="str">
        <f>IF(AND('331-CT'!$E$7=TH!H86,OR(N86="331",O86="331")),"x","")</f>
        <v/>
      </c>
      <c r="Q86" s="80" t="str">
        <f>IF(AND(B86='111'!$L$11,OR($N86=$Q$7,$O86=$Q$7)),"x","")</f>
        <v/>
      </c>
      <c r="R86" s="80" t="str">
        <f>IF(AND($N86=$Q$7,$B86&lt;'111'!$L$11),"x","")</f>
        <v/>
      </c>
      <c r="S86" s="80" t="str">
        <f>IF(AND($O86=$Q$7,$B86&lt;'111'!$L$11),"x","")</f>
        <v/>
      </c>
      <c r="T86" s="80" t="str">
        <f>IF(ISERROR(FIND('112'!$M$9,G86,1)),"",IF((AND(FIND('112'!$M$9,G86,1)&gt;=1,B86='112'!$K$9,OR($N86='112'!$I$6,$O86='112'!$I$6))),"x",""))</f>
        <v/>
      </c>
      <c r="U86" s="80" t="str">
        <f>IF(ISERROR(FIND('112'!$M$9,G86,1)),"",IF((AND(LEFT(G86,2)=LEFT('112'!$M$9,2),B86&lt;'112'!$K$9,$N86='112'!$I$6)),"x",""))</f>
        <v/>
      </c>
      <c r="V86" s="80" t="str">
        <f>IF(ISERROR(FIND('112'!$M$9,G86,1)),"",IF((AND(RIGHT(G86,2)=RIGHT('112'!$M$9,2),B86&lt;'112'!$K$9,$O86='112'!$I$6)),"x",""))</f>
        <v/>
      </c>
      <c r="W86" s="80" t="str">
        <f>IF(AND('341-CT'!$H$9=H86,OR(LEFT(N86,3)=$W$7,LEFT(O86,3)=$W$7)),"x","")</f>
        <v/>
      </c>
      <c r="X86" s="80" t="str">
        <f>IF(OR(TH!N86=TH!$X$7,O86=TH!$X$7),"x","")</f>
        <v/>
      </c>
      <c r="Y86" s="80" t="str">
        <f>IF(AND(OR(N86="131",O86="131"),H86='131-CT'!$H$9),"x","")</f>
        <v/>
      </c>
      <c r="Z86" s="80"/>
      <c r="AA86" s="80" t="str">
        <f>IF(AND(MONTH(E86)='IN-NX'!$J$5,'IN-NX'!$D$7=D86),"x","")</f>
        <v/>
      </c>
      <c r="AB86" s="80" t="str">
        <f>IF(AND(OR(LEFT(TH!N86,2)="15",LEFT(TH!O86,2)="15"),'152-CT'!$J$8=TH!F86),"x","")</f>
        <v/>
      </c>
      <c r="AC86" s="80" t="str">
        <f>IF(AND(OR(LEFT(TH!N86,2)="15",LEFT(TH!O86,2)="15"),TK!$E$7=TH!F86),"x","")</f>
        <v/>
      </c>
      <c r="AD86" s="80" t="str">
        <f>IF(AND(N86="1521",MONTH(C86)='BK-NL'!$M$11),"x","")</f>
        <v/>
      </c>
    </row>
    <row r="87" spans="1:30" ht="15.75" customHeight="1">
      <c r="A87" s="324" t="str">
        <f>IF(B87&lt;&gt;"",IF(AND(B87='IN-TC'!$S$4,OR(TH!N87="1111",TH!O87="1111")),TH!D87,""),"")</f>
        <v/>
      </c>
      <c r="B87" s="63">
        <f t="shared" si="11"/>
        <v>11</v>
      </c>
      <c r="C87" s="64">
        <f t="shared" si="4"/>
        <v>42703</v>
      </c>
      <c r="D87" s="64" t="s">
        <v>862</v>
      </c>
      <c r="E87" s="305">
        <v>42703</v>
      </c>
      <c r="F87" s="67" t="s">
        <v>850</v>
      </c>
      <c r="G87" s="920"/>
      <c r="H87" s="1080" t="s">
        <v>386</v>
      </c>
      <c r="I87" s="414">
        <v>11049</v>
      </c>
      <c r="J87" s="414">
        <v>14500</v>
      </c>
      <c r="K87" s="410"/>
      <c r="L87" s="414"/>
      <c r="M87" s="65">
        <f t="shared" si="16"/>
        <v>160210500</v>
      </c>
      <c r="N87" s="66" t="s">
        <v>275</v>
      </c>
      <c r="O87" s="66" t="s">
        <v>8</v>
      </c>
      <c r="P87" s="80" t="str">
        <f>IF(AND('331-CT'!$E$7=TH!H87,OR(N87="331",O87="331")),"x","")</f>
        <v/>
      </c>
      <c r="Q87" s="80" t="str">
        <f>IF(AND(B87='111'!$L$11,OR($N87=$Q$7,$O87=$Q$7)),"x","")</f>
        <v/>
      </c>
      <c r="R87" s="80" t="str">
        <f>IF(AND($N87=$Q$7,$B87&lt;'111'!$L$11),"x","")</f>
        <v/>
      </c>
      <c r="S87" s="80" t="str">
        <f>IF(AND($O87=$Q$7,$B87&lt;'111'!$L$11),"x","")</f>
        <v/>
      </c>
      <c r="T87" s="80" t="str">
        <f>IF(ISERROR(FIND('112'!$M$9,G87,1)),"",IF((AND(FIND('112'!$M$9,G87,1)&gt;=1,B87='112'!$K$9,OR($N87='112'!$I$6,$O87='112'!$I$6))),"x",""))</f>
        <v/>
      </c>
      <c r="U87" s="80" t="str">
        <f>IF(ISERROR(FIND('112'!$M$9,G87,1)),"",IF((AND(LEFT(G87,2)=LEFT('112'!$M$9,2),B87&lt;'112'!$K$9,$N87='112'!$I$6)),"x",""))</f>
        <v/>
      </c>
      <c r="V87" s="80" t="str">
        <f>IF(ISERROR(FIND('112'!$M$9,G87,1)),"",IF((AND(RIGHT(G87,2)=RIGHT('112'!$M$9,2),B87&lt;'112'!$K$9,$O87='112'!$I$6)),"x",""))</f>
        <v/>
      </c>
      <c r="W87" s="80" t="str">
        <f>IF(AND('341-CT'!$H$9=H87,OR(LEFT(N87,3)=$W$7,LEFT(O87,3)=$W$7)),"x","")</f>
        <v/>
      </c>
      <c r="X87" s="80" t="str">
        <f>IF(OR(TH!N87=TH!$X$7,O87=TH!$X$7),"x","")</f>
        <v/>
      </c>
      <c r="Y87" s="80" t="str">
        <f>IF(AND(OR(N87="131",O87="131"),H87='131-CT'!$H$9),"x","")</f>
        <v/>
      </c>
      <c r="Z87" s="80"/>
      <c r="AA87" s="80" t="str">
        <f>IF(AND(MONTH(E87)='IN-NX'!$J$5,'IN-NX'!$D$7=D87),"x","")</f>
        <v/>
      </c>
      <c r="AB87" s="80" t="str">
        <f>IF(AND(OR(LEFT(TH!N87,2)="15",LEFT(TH!O87,2)="15"),'152-CT'!$J$8=TH!F87),"x","")</f>
        <v/>
      </c>
      <c r="AC87" s="80" t="str">
        <f>IF(AND(OR(LEFT(TH!N87,2)="15",LEFT(TH!O87,2)="15"),TK!$E$7=TH!F87),"x","")</f>
        <v/>
      </c>
      <c r="AD87" s="80" t="str">
        <f>IF(AND(N87="1521",MONTH(C87)='BK-NL'!$M$11),"x","")</f>
        <v/>
      </c>
    </row>
    <row r="88" spans="1:30" ht="15.75" customHeight="1">
      <c r="A88" s="324" t="str">
        <f>IF(B88&lt;&gt;"",IF(AND(B88='IN-TC'!$S$4,OR(TH!N88="1111",TH!O88="1111")),TH!D88,""),"")</f>
        <v/>
      </c>
      <c r="B88" s="63">
        <f t="shared" si="11"/>
        <v>12</v>
      </c>
      <c r="C88" s="64">
        <f t="shared" si="4"/>
        <v>42705</v>
      </c>
      <c r="D88" s="64" t="s">
        <v>863</v>
      </c>
      <c r="E88" s="305">
        <v>42705</v>
      </c>
      <c r="F88" s="67" t="s">
        <v>850</v>
      </c>
      <c r="G88" s="920"/>
      <c r="H88" s="1080" t="s">
        <v>392</v>
      </c>
      <c r="I88" s="414">
        <v>11025</v>
      </c>
      <c r="J88" s="414">
        <v>14500</v>
      </c>
      <c r="K88" s="410"/>
      <c r="L88" s="414"/>
      <c r="M88" s="65">
        <f t="shared" si="16"/>
        <v>159862500</v>
      </c>
      <c r="N88" s="66" t="s">
        <v>275</v>
      </c>
      <c r="O88" s="66" t="s">
        <v>8</v>
      </c>
      <c r="P88" s="80" t="str">
        <f>IF(AND('331-CT'!$E$7=TH!H88,OR(N88="331",O88="331")),"x","")</f>
        <v/>
      </c>
      <c r="Q88" s="80" t="str">
        <f>IF(AND(B88='111'!$L$11,OR($N88=$Q$7,$O88=$Q$7)),"x","")</f>
        <v/>
      </c>
      <c r="R88" s="80" t="str">
        <f>IF(AND($N88=$Q$7,$B88&lt;'111'!$L$11),"x","")</f>
        <v/>
      </c>
      <c r="S88" s="80" t="str">
        <f>IF(AND($O88=$Q$7,$B88&lt;'111'!$L$11),"x","")</f>
        <v/>
      </c>
      <c r="T88" s="80" t="str">
        <f>IF(ISERROR(FIND('112'!$M$9,G88,1)),"",IF((AND(FIND('112'!$M$9,G88,1)&gt;=1,B88='112'!$K$9,OR($N88='112'!$I$6,$O88='112'!$I$6))),"x",""))</f>
        <v/>
      </c>
      <c r="U88" s="80" t="str">
        <f>IF(ISERROR(FIND('112'!$M$9,G88,1)),"",IF((AND(LEFT(G88,2)=LEFT('112'!$M$9,2),B88&lt;'112'!$K$9,$N88='112'!$I$6)),"x",""))</f>
        <v/>
      </c>
      <c r="V88" s="80" t="str">
        <f>IF(ISERROR(FIND('112'!$M$9,G88,1)),"",IF((AND(RIGHT(G88,2)=RIGHT('112'!$M$9,2),B88&lt;'112'!$K$9,$O88='112'!$I$6)),"x",""))</f>
        <v/>
      </c>
      <c r="W88" s="80" t="str">
        <f>IF(AND('341-CT'!$H$9=H88,OR(LEFT(N88,3)=$W$7,LEFT(O88,3)=$W$7)),"x","")</f>
        <v/>
      </c>
      <c r="X88" s="80" t="str">
        <f>IF(OR(TH!N88=TH!$X$7,O88=TH!$X$7),"x","")</f>
        <v/>
      </c>
      <c r="Y88" s="80" t="str">
        <f>IF(AND(OR(N88="131",O88="131"),H88='131-CT'!$H$9),"x","")</f>
        <v/>
      </c>
      <c r="Z88" s="80"/>
      <c r="AA88" s="80" t="str">
        <f>IF(AND(MONTH(E88)='IN-NX'!$J$5,'IN-NX'!$D$7=D88),"x","")</f>
        <v/>
      </c>
      <c r="AB88" s="80" t="str">
        <f>IF(AND(OR(LEFT(TH!N88,2)="15",LEFT(TH!O88,2)="15"),'152-CT'!$J$8=TH!F88),"x","")</f>
        <v/>
      </c>
      <c r="AC88" s="80" t="str">
        <f>IF(AND(OR(LEFT(TH!N88,2)="15",LEFT(TH!O88,2)="15"),TK!$E$7=TH!F88),"x","")</f>
        <v/>
      </c>
      <c r="AD88" s="80" t="str">
        <f>IF(AND(N88="1521",MONTH(C88)='BK-NL'!$M$11),"x","")</f>
        <v/>
      </c>
    </row>
    <row r="89" spans="1:30" ht="15.75" customHeight="1">
      <c r="A89" s="324" t="str">
        <f>IF(B89&lt;&gt;"",IF(AND(B89='IN-TC'!$S$4,OR(TH!N89="1111",TH!O89="1111")),TH!D89,""),"")</f>
        <v/>
      </c>
      <c r="B89" s="63">
        <f t="shared" si="11"/>
        <v>12</v>
      </c>
      <c r="C89" s="64">
        <f t="shared" si="4"/>
        <v>42705</v>
      </c>
      <c r="D89" s="64" t="s">
        <v>864</v>
      </c>
      <c r="E89" s="305">
        <v>42705</v>
      </c>
      <c r="F89" s="67" t="s">
        <v>850</v>
      </c>
      <c r="G89" s="920"/>
      <c r="H89" s="1080" t="s">
        <v>394</v>
      </c>
      <c r="I89" s="414">
        <v>11230</v>
      </c>
      <c r="J89" s="414">
        <v>14500</v>
      </c>
      <c r="K89" s="410"/>
      <c r="L89" s="414"/>
      <c r="M89" s="65">
        <f t="shared" si="16"/>
        <v>162835000</v>
      </c>
      <c r="N89" s="66" t="s">
        <v>275</v>
      </c>
      <c r="O89" s="66" t="s">
        <v>8</v>
      </c>
      <c r="P89" s="80" t="str">
        <f>IF(AND('331-CT'!$E$7=TH!H89,OR(N89="331",O89="331")),"x","")</f>
        <v/>
      </c>
      <c r="Q89" s="80" t="str">
        <f>IF(AND(B89='111'!$L$11,OR($N89=$Q$7,$O89=$Q$7)),"x","")</f>
        <v/>
      </c>
      <c r="R89" s="80" t="str">
        <f>IF(AND($N89=$Q$7,$B89&lt;'111'!$L$11),"x","")</f>
        <v/>
      </c>
      <c r="S89" s="80" t="str">
        <f>IF(AND($O89=$Q$7,$B89&lt;'111'!$L$11),"x","")</f>
        <v/>
      </c>
      <c r="T89" s="80" t="str">
        <f>IF(ISERROR(FIND('112'!$M$9,G89,1)),"",IF((AND(FIND('112'!$M$9,G89,1)&gt;=1,B89='112'!$K$9,OR($N89='112'!$I$6,$O89='112'!$I$6))),"x",""))</f>
        <v/>
      </c>
      <c r="U89" s="80" t="str">
        <f>IF(ISERROR(FIND('112'!$M$9,G89,1)),"",IF((AND(LEFT(G89,2)=LEFT('112'!$M$9,2),B89&lt;'112'!$K$9,$N89='112'!$I$6)),"x",""))</f>
        <v/>
      </c>
      <c r="V89" s="80" t="str">
        <f>IF(ISERROR(FIND('112'!$M$9,G89,1)),"",IF((AND(RIGHT(G89,2)=RIGHT('112'!$M$9,2),B89&lt;'112'!$K$9,$O89='112'!$I$6)),"x",""))</f>
        <v/>
      </c>
      <c r="W89" s="80" t="str">
        <f>IF(AND('341-CT'!$H$9=H89,OR(LEFT(N89,3)=$W$7,LEFT(O89,3)=$W$7)),"x","")</f>
        <v/>
      </c>
      <c r="X89" s="80" t="str">
        <f>IF(OR(TH!N89=TH!$X$7,O89=TH!$X$7),"x","")</f>
        <v/>
      </c>
      <c r="Y89" s="80" t="str">
        <f>IF(AND(OR(N89="131",O89="131"),H89='131-CT'!$H$9),"x","")</f>
        <v/>
      </c>
      <c r="Z89" s="80"/>
      <c r="AA89" s="80" t="str">
        <f>IF(AND(MONTH(E89)='IN-NX'!$J$5,'IN-NX'!$D$7=D89),"x","")</f>
        <v/>
      </c>
      <c r="AB89" s="80" t="str">
        <f>IF(AND(OR(LEFT(TH!N89,2)="15",LEFT(TH!O89,2)="15"),'152-CT'!$J$8=TH!F89),"x","")</f>
        <v/>
      </c>
      <c r="AC89" s="80" t="str">
        <f>IF(AND(OR(LEFT(TH!N89,2)="15",LEFT(TH!O89,2)="15"),TK!$E$7=TH!F89),"x","")</f>
        <v/>
      </c>
      <c r="AD89" s="80" t="str">
        <f>IF(AND(N89="1521",MONTH(C89)='BK-NL'!$M$11),"x","")</f>
        <v/>
      </c>
    </row>
    <row r="90" spans="1:30" ht="15.75" customHeight="1">
      <c r="A90" s="324" t="str">
        <f>IF(B90&lt;&gt;"",IF(AND(B90='IN-TC'!$S$4,OR(TH!N90="1111",TH!O90="1111")),TH!D90,""),"")</f>
        <v/>
      </c>
      <c r="B90" s="63">
        <f t="shared" si="11"/>
        <v>12</v>
      </c>
      <c r="C90" s="64">
        <f t="shared" ref="C90:C113" si="17">E90</f>
        <v>42705</v>
      </c>
      <c r="D90" s="64" t="s">
        <v>865</v>
      </c>
      <c r="E90" s="305">
        <v>42705</v>
      </c>
      <c r="F90" s="67" t="s">
        <v>850</v>
      </c>
      <c r="G90" s="67"/>
      <c r="H90" s="1080" t="s">
        <v>386</v>
      </c>
      <c r="I90" s="414">
        <v>11385</v>
      </c>
      <c r="J90" s="414">
        <v>14500</v>
      </c>
      <c r="K90" s="410"/>
      <c r="L90" s="414"/>
      <c r="M90" s="65">
        <f t="shared" si="16"/>
        <v>165082500</v>
      </c>
      <c r="N90" s="66" t="s">
        <v>275</v>
      </c>
      <c r="O90" s="66" t="s">
        <v>8</v>
      </c>
      <c r="P90" s="80" t="str">
        <f>IF(AND('331-CT'!$E$7=TH!H90,OR(N90="331",O90="331")),"x","")</f>
        <v/>
      </c>
      <c r="Q90" s="80" t="str">
        <f>IF(AND(B90='111'!$L$11,OR($N90=$Q$7,$O90=$Q$7)),"x","")</f>
        <v/>
      </c>
      <c r="R90" s="80" t="str">
        <f>IF(AND($N90=$Q$7,$B90&lt;'111'!$L$11),"x","")</f>
        <v/>
      </c>
      <c r="S90" s="80" t="str">
        <f>IF(AND($O90=$Q$7,$B90&lt;'111'!$L$11),"x","")</f>
        <v/>
      </c>
      <c r="T90" s="80" t="str">
        <f>IF(ISERROR(FIND('112'!$M$9,G90,1)),"",IF((AND(FIND('112'!$M$9,G90,1)&gt;=1,B90='112'!$K$9,OR($N90='112'!$I$6,$O90='112'!$I$6))),"x",""))</f>
        <v/>
      </c>
      <c r="U90" s="80" t="str">
        <f>IF(ISERROR(FIND('112'!$M$9,G90,1)),"",IF((AND(LEFT(G90,2)=LEFT('112'!$M$9,2),B90&lt;'112'!$K$9,$N90='112'!$I$6)),"x",""))</f>
        <v/>
      </c>
      <c r="V90" s="80" t="str">
        <f>IF(ISERROR(FIND('112'!$M$9,G90,1)),"",IF((AND(RIGHT(G90,2)=RIGHT('112'!$M$9,2),B90&lt;'112'!$K$9,$O90='112'!$I$6)),"x",""))</f>
        <v/>
      </c>
      <c r="W90" s="80" t="str">
        <f>IF(AND('341-CT'!$H$9=H90,OR(LEFT(N90,3)=$W$7,LEFT(O90,3)=$W$7)),"x","")</f>
        <v/>
      </c>
      <c r="X90" s="80" t="str">
        <f>IF(OR(TH!N90=TH!$X$7,O90=TH!$X$7),"x","")</f>
        <v/>
      </c>
      <c r="Y90" s="80" t="str">
        <f>IF(AND(OR(N90="131",O90="131"),H90='131-CT'!$H$9),"x","")</f>
        <v/>
      </c>
      <c r="Z90" s="80"/>
      <c r="AA90" s="80" t="str">
        <f>IF(AND(MONTH(E90)='IN-NX'!$J$5,'IN-NX'!$D$7=D90),"x","")</f>
        <v/>
      </c>
      <c r="AB90" s="80" t="str">
        <f>IF(AND(OR(LEFT(TH!N90,2)="15",LEFT(TH!O90,2)="15"),'152-CT'!$J$8=TH!F90),"x","")</f>
        <v/>
      </c>
      <c r="AC90" s="80" t="str">
        <f>IF(AND(OR(LEFT(TH!N90,2)="15",LEFT(TH!O90,2)="15"),TK!$E$7=TH!F90),"x","")</f>
        <v/>
      </c>
      <c r="AD90" s="80" t="str">
        <f>IF(AND(N90="1521",MONTH(C90)='BK-NL'!$M$11),"x","")</f>
        <v/>
      </c>
    </row>
    <row r="91" spans="1:30" ht="15.75" customHeight="1">
      <c r="A91" s="324" t="str">
        <f>IF(B91&lt;&gt;"",IF(AND(B91='IN-TC'!$S$4,OR(TH!N91="1111",TH!O91="1111")),TH!D91,""),"")</f>
        <v/>
      </c>
      <c r="B91" s="63">
        <f t="shared" si="11"/>
        <v>12</v>
      </c>
      <c r="C91" s="64">
        <f t="shared" si="17"/>
        <v>42705</v>
      </c>
      <c r="D91" s="64" t="s">
        <v>866</v>
      </c>
      <c r="E91" s="305">
        <v>42705</v>
      </c>
      <c r="F91" s="67" t="s">
        <v>850</v>
      </c>
      <c r="G91" s="67"/>
      <c r="H91" s="1080" t="s">
        <v>389</v>
      </c>
      <c r="I91" s="414">
        <v>11450</v>
      </c>
      <c r="J91" s="414">
        <v>14500</v>
      </c>
      <c r="K91" s="410"/>
      <c r="L91" s="414"/>
      <c r="M91" s="65">
        <f t="shared" si="16"/>
        <v>166025000</v>
      </c>
      <c r="N91" s="66" t="s">
        <v>275</v>
      </c>
      <c r="O91" s="66" t="s">
        <v>8</v>
      </c>
      <c r="P91" s="80" t="str">
        <f>IF(AND('331-CT'!$E$7=TH!H91,OR(N91="331",O91="331")),"x","")</f>
        <v/>
      </c>
      <c r="Q91" s="80" t="str">
        <f>IF(AND(B91='111'!$L$11,OR($N91=$Q$7,$O91=$Q$7)),"x","")</f>
        <v/>
      </c>
      <c r="R91" s="80" t="str">
        <f>IF(AND($N91=$Q$7,$B91&lt;'111'!$L$11),"x","")</f>
        <v/>
      </c>
      <c r="S91" s="80" t="str">
        <f>IF(AND($O91=$Q$7,$B91&lt;'111'!$L$11),"x","")</f>
        <v/>
      </c>
      <c r="T91" s="80" t="str">
        <f>IF(ISERROR(FIND('112'!$M$9,G91,1)),"",IF((AND(FIND('112'!$M$9,G91,1)&gt;=1,B91='112'!$K$9,OR($N91='112'!$I$6,$O91='112'!$I$6))),"x",""))</f>
        <v/>
      </c>
      <c r="U91" s="80" t="str">
        <f>IF(ISERROR(FIND('112'!$M$9,G91,1)),"",IF((AND(LEFT(G91,2)=LEFT('112'!$M$9,2),B91&lt;'112'!$K$9,$N91='112'!$I$6)),"x",""))</f>
        <v/>
      </c>
      <c r="V91" s="80" t="str">
        <f>IF(ISERROR(FIND('112'!$M$9,G91,1)),"",IF((AND(RIGHT(G91,2)=RIGHT('112'!$M$9,2),B91&lt;'112'!$K$9,$O91='112'!$I$6)),"x",""))</f>
        <v/>
      </c>
      <c r="W91" s="80" t="str">
        <f>IF(AND('341-CT'!$H$9=H91,OR(LEFT(N91,3)=$W$7,LEFT(O91,3)=$W$7)),"x","")</f>
        <v/>
      </c>
      <c r="X91" s="80" t="str">
        <f>IF(OR(TH!N91=TH!$X$7,O91=TH!$X$7),"x","")</f>
        <v/>
      </c>
      <c r="Y91" s="80" t="str">
        <f>IF(AND(OR(N91="131",O91="131"),H91='131-CT'!$H$9),"x","")</f>
        <v/>
      </c>
      <c r="Z91" s="80"/>
      <c r="AA91" s="80" t="str">
        <f>IF(AND(MONTH(E91)='IN-NX'!$J$5,'IN-NX'!$D$7=D91),"x","")</f>
        <v/>
      </c>
      <c r="AB91" s="80" t="str">
        <f>IF(AND(OR(LEFT(TH!N91,2)="15",LEFT(TH!O91,2)="15"),'152-CT'!$J$8=TH!F91),"x","")</f>
        <v/>
      </c>
      <c r="AC91" s="80" t="str">
        <f>IF(AND(OR(LEFT(TH!N91,2)="15",LEFT(TH!O91,2)="15"),TK!$E$7=TH!F91),"x","")</f>
        <v/>
      </c>
      <c r="AD91" s="80" t="str">
        <f>IF(AND(N91="1521",MONTH(C91)='BK-NL'!$M$11),"x","")</f>
        <v/>
      </c>
    </row>
    <row r="92" spans="1:30" ht="15.75" customHeight="1">
      <c r="A92" s="324" t="str">
        <f>IF(B92&lt;&gt;"",IF(AND(B92='IN-TC'!$S$4,OR(TH!N92="1111",TH!O92="1111")),TH!D92,""),"")</f>
        <v/>
      </c>
      <c r="B92" s="63">
        <f t="shared" si="11"/>
        <v>12</v>
      </c>
      <c r="C92" s="64">
        <f t="shared" si="17"/>
        <v>42708</v>
      </c>
      <c r="D92" s="64" t="s">
        <v>867</v>
      </c>
      <c r="E92" s="305">
        <v>42708</v>
      </c>
      <c r="F92" s="67" t="s">
        <v>850</v>
      </c>
      <c r="G92" s="67"/>
      <c r="H92" s="1080" t="s">
        <v>392</v>
      </c>
      <c r="I92" s="414">
        <v>11680</v>
      </c>
      <c r="J92" s="414">
        <v>14500</v>
      </c>
      <c r="K92" s="410"/>
      <c r="L92" s="414"/>
      <c r="M92" s="65">
        <f t="shared" si="16"/>
        <v>169360000</v>
      </c>
      <c r="N92" s="66" t="s">
        <v>275</v>
      </c>
      <c r="O92" s="66" t="s">
        <v>8</v>
      </c>
      <c r="P92" s="80" t="str">
        <f>IF(AND('331-CT'!$E$7=TH!H92,OR(N92="331",O92="331")),"x","")</f>
        <v/>
      </c>
      <c r="Q92" s="80" t="str">
        <f>IF(AND(B92='111'!$L$11,OR($N92=$Q$7,$O92=$Q$7)),"x","")</f>
        <v/>
      </c>
      <c r="R92" s="80" t="str">
        <f>IF(AND($N92=$Q$7,$B92&lt;'111'!$L$11),"x","")</f>
        <v/>
      </c>
      <c r="S92" s="80" t="str">
        <f>IF(AND($O92=$Q$7,$B92&lt;'111'!$L$11),"x","")</f>
        <v/>
      </c>
      <c r="T92" s="80" t="str">
        <f>IF(ISERROR(FIND('112'!$M$9,G92,1)),"",IF((AND(FIND('112'!$M$9,G92,1)&gt;=1,B92='112'!$K$9,OR($N92='112'!$I$6,$O92='112'!$I$6))),"x",""))</f>
        <v/>
      </c>
      <c r="U92" s="80" t="str">
        <f>IF(ISERROR(FIND('112'!$M$9,G92,1)),"",IF((AND(LEFT(G92,2)=LEFT('112'!$M$9,2),B92&lt;'112'!$K$9,$N92='112'!$I$6)),"x",""))</f>
        <v/>
      </c>
      <c r="V92" s="80" t="str">
        <f>IF(ISERROR(FIND('112'!$M$9,G92,1)),"",IF((AND(RIGHT(G92,2)=RIGHT('112'!$M$9,2),B92&lt;'112'!$K$9,$O92='112'!$I$6)),"x",""))</f>
        <v/>
      </c>
      <c r="W92" s="80" t="str">
        <f>IF(AND('341-CT'!$H$9=H92,OR(LEFT(N92,3)=$W$7,LEFT(O92,3)=$W$7)),"x","")</f>
        <v/>
      </c>
      <c r="X92" s="80" t="str">
        <f>IF(OR(TH!N92=TH!$X$7,O92=TH!$X$7),"x","")</f>
        <v/>
      </c>
      <c r="Y92" s="80" t="str">
        <f>IF(AND(OR(N92="131",O92="131"),H92='131-CT'!$H$9),"x","")</f>
        <v/>
      </c>
      <c r="Z92" s="80"/>
      <c r="AA92" s="80" t="str">
        <f>IF(AND(MONTH(E92)='IN-NX'!$J$5,'IN-NX'!$D$7=D92),"x","")</f>
        <v/>
      </c>
      <c r="AB92" s="80" t="str">
        <f>IF(AND(OR(LEFT(TH!N92,2)="15",LEFT(TH!O92,2)="15"),'152-CT'!$J$8=TH!F92),"x","")</f>
        <v/>
      </c>
      <c r="AC92" s="80" t="str">
        <f>IF(AND(OR(LEFT(TH!N92,2)="15",LEFT(TH!O92,2)="15"),TK!$E$7=TH!F92),"x","")</f>
        <v/>
      </c>
      <c r="AD92" s="80" t="str">
        <f>IF(AND(N92="1521",MONTH(C92)='BK-NL'!$M$11),"x","")</f>
        <v/>
      </c>
    </row>
    <row r="93" spans="1:30" ht="15.75" customHeight="1">
      <c r="A93" s="324" t="str">
        <f>IF(B93&lt;&gt;"",IF(AND(B93='IN-TC'!$S$4,OR(TH!N93="1111",TH!O93="1111")),TH!D93,""),"")</f>
        <v/>
      </c>
      <c r="B93" s="63">
        <f t="shared" si="11"/>
        <v>12</v>
      </c>
      <c r="C93" s="64">
        <f t="shared" si="17"/>
        <v>42708</v>
      </c>
      <c r="D93" s="64" t="s">
        <v>868</v>
      </c>
      <c r="E93" s="305">
        <v>42708</v>
      </c>
      <c r="F93" s="67" t="s">
        <v>850</v>
      </c>
      <c r="G93" s="67"/>
      <c r="H93" s="1080" t="s">
        <v>386</v>
      </c>
      <c r="I93" s="414">
        <v>11302</v>
      </c>
      <c r="J93" s="414">
        <v>14500</v>
      </c>
      <c r="K93" s="410"/>
      <c r="L93" s="414"/>
      <c r="M93" s="65">
        <f t="shared" si="16"/>
        <v>163879000</v>
      </c>
      <c r="N93" s="66" t="s">
        <v>275</v>
      </c>
      <c r="O93" s="66" t="s">
        <v>8</v>
      </c>
      <c r="P93" s="80" t="str">
        <f>IF(AND('331-CT'!$E$7=TH!H93,OR(N93="331",O93="331")),"x","")</f>
        <v/>
      </c>
      <c r="Q93" s="80" t="str">
        <f>IF(AND(B93='111'!$L$11,OR($N93=$Q$7,$O93=$Q$7)),"x","")</f>
        <v/>
      </c>
      <c r="R93" s="80" t="str">
        <f>IF(AND($N93=$Q$7,$B93&lt;'111'!$L$11),"x","")</f>
        <v/>
      </c>
      <c r="S93" s="80" t="str">
        <f>IF(AND($O93=$Q$7,$B93&lt;'111'!$L$11),"x","")</f>
        <v/>
      </c>
      <c r="T93" s="80" t="str">
        <f>IF(ISERROR(FIND('112'!$M$9,G93,1)),"",IF((AND(FIND('112'!$M$9,G93,1)&gt;=1,B93='112'!$K$9,OR($N93='112'!$I$6,$O93='112'!$I$6))),"x",""))</f>
        <v/>
      </c>
      <c r="U93" s="80" t="str">
        <f>IF(ISERROR(FIND('112'!$M$9,G93,1)),"",IF((AND(LEFT(G93,2)=LEFT('112'!$M$9,2),B93&lt;'112'!$K$9,$N93='112'!$I$6)),"x",""))</f>
        <v/>
      </c>
      <c r="V93" s="80" t="str">
        <f>IF(ISERROR(FIND('112'!$M$9,G93,1)),"",IF((AND(RIGHT(G93,2)=RIGHT('112'!$M$9,2),B93&lt;'112'!$K$9,$O93='112'!$I$6)),"x",""))</f>
        <v/>
      </c>
      <c r="W93" s="80" t="str">
        <f>IF(AND('341-CT'!$H$9=H93,OR(LEFT(N93,3)=$W$7,LEFT(O93,3)=$W$7)),"x","")</f>
        <v/>
      </c>
      <c r="X93" s="80" t="str">
        <f>IF(OR(TH!N93=TH!$X$7,O93=TH!$X$7),"x","")</f>
        <v/>
      </c>
      <c r="Y93" s="80" t="str">
        <f>IF(AND(OR(N93="131",O93="131"),H93='131-CT'!$H$9),"x","")</f>
        <v/>
      </c>
      <c r="Z93" s="80"/>
      <c r="AA93" s="80" t="str">
        <f>IF(AND(MONTH(E93)='IN-NX'!$J$5,'IN-NX'!$D$7=D93),"x","")</f>
        <v/>
      </c>
      <c r="AB93" s="80" t="str">
        <f>IF(AND(OR(LEFT(TH!N93,2)="15",LEFT(TH!O93,2)="15"),'152-CT'!$J$8=TH!F93),"x","")</f>
        <v/>
      </c>
      <c r="AC93" s="80" t="str">
        <f>IF(AND(OR(LEFT(TH!N93,2)="15",LEFT(TH!O93,2)="15"),TK!$E$7=TH!F93),"x","")</f>
        <v/>
      </c>
      <c r="AD93" s="80" t="str">
        <f>IF(AND(N93="1521",MONTH(C93)='BK-NL'!$M$11),"x","")</f>
        <v/>
      </c>
    </row>
    <row r="94" spans="1:30" ht="15.75" customHeight="1">
      <c r="A94" s="324" t="str">
        <f>IF(B94&lt;&gt;"",IF(AND(B94='IN-TC'!$S$4,OR(TH!N94="1111",TH!O94="1111")),TH!D94,""),"")</f>
        <v/>
      </c>
      <c r="B94" s="63">
        <f t="shared" si="11"/>
        <v>12</v>
      </c>
      <c r="C94" s="64">
        <f t="shared" si="17"/>
        <v>42708</v>
      </c>
      <c r="D94" s="64" t="s">
        <v>869</v>
      </c>
      <c r="E94" s="305">
        <v>42708</v>
      </c>
      <c r="F94" s="67" t="s">
        <v>850</v>
      </c>
      <c r="G94" s="67"/>
      <c r="H94" s="1080" t="s">
        <v>849</v>
      </c>
      <c r="I94" s="414">
        <v>11078</v>
      </c>
      <c r="J94" s="414">
        <v>14500</v>
      </c>
      <c r="K94" s="410"/>
      <c r="L94" s="414"/>
      <c r="M94" s="65">
        <f t="shared" si="16"/>
        <v>160631000</v>
      </c>
      <c r="N94" s="66" t="s">
        <v>275</v>
      </c>
      <c r="O94" s="66" t="s">
        <v>8</v>
      </c>
      <c r="P94" s="80" t="str">
        <f>IF(AND('331-CT'!$E$7=TH!H94,OR(N94="331",O94="331")),"x","")</f>
        <v/>
      </c>
      <c r="Q94" s="80" t="str">
        <f>IF(AND(B94='111'!$L$11,OR($N94=$Q$7,$O94=$Q$7)),"x","")</f>
        <v/>
      </c>
      <c r="R94" s="80" t="str">
        <f>IF(AND($N94=$Q$7,$B94&lt;'111'!$L$11),"x","")</f>
        <v/>
      </c>
      <c r="S94" s="80" t="str">
        <f>IF(AND($O94=$Q$7,$B94&lt;'111'!$L$11),"x","")</f>
        <v/>
      </c>
      <c r="T94" s="80" t="str">
        <f>IF(ISERROR(FIND('112'!$M$9,G94,1)),"",IF((AND(FIND('112'!$M$9,G94,1)&gt;=1,B94='112'!$K$9,OR($N94='112'!$I$6,$O94='112'!$I$6))),"x",""))</f>
        <v/>
      </c>
      <c r="U94" s="80" t="str">
        <f>IF(ISERROR(FIND('112'!$M$9,G94,1)),"",IF((AND(LEFT(G94,2)=LEFT('112'!$M$9,2),B94&lt;'112'!$K$9,$N94='112'!$I$6)),"x",""))</f>
        <v/>
      </c>
      <c r="V94" s="80" t="str">
        <f>IF(ISERROR(FIND('112'!$M$9,G94,1)),"",IF((AND(RIGHT(G94,2)=RIGHT('112'!$M$9,2),B94&lt;'112'!$K$9,$O94='112'!$I$6)),"x",""))</f>
        <v/>
      </c>
      <c r="W94" s="80" t="str">
        <f>IF(AND('341-CT'!$H$9=H94,OR(LEFT(N94,3)=$W$7,LEFT(O94,3)=$W$7)),"x","")</f>
        <v/>
      </c>
      <c r="X94" s="80" t="str">
        <f>IF(OR(TH!N94=TH!$X$7,O94=TH!$X$7),"x","")</f>
        <v/>
      </c>
      <c r="Y94" s="80" t="str">
        <f>IF(AND(OR(N94="131",O94="131"),H94='131-CT'!$H$9),"x","")</f>
        <v/>
      </c>
      <c r="Z94" s="80"/>
      <c r="AA94" s="80" t="str">
        <f>IF(AND(MONTH(E94)='IN-NX'!$J$5,'IN-NX'!$D$7=D94),"x","")</f>
        <v/>
      </c>
      <c r="AB94" s="80" t="str">
        <f>IF(AND(OR(LEFT(TH!N94,2)="15",LEFT(TH!O94,2)="15"),'152-CT'!$J$8=TH!F94),"x","")</f>
        <v/>
      </c>
      <c r="AC94" s="80" t="str">
        <f>IF(AND(OR(LEFT(TH!N94,2)="15",LEFT(TH!O94,2)="15"),TK!$E$7=TH!F94),"x","")</f>
        <v/>
      </c>
      <c r="AD94" s="80" t="str">
        <f>IF(AND(N94="1521",MONTH(C94)='BK-NL'!$M$11),"x","")</f>
        <v/>
      </c>
    </row>
    <row r="95" spans="1:30" ht="15.75" customHeight="1">
      <c r="A95" s="324" t="str">
        <f>IF(B95&lt;&gt;"",IF(AND(B95='IN-TC'!$S$4,OR(TH!N95="1111",TH!O95="1111")),TH!D95,""),"")</f>
        <v/>
      </c>
      <c r="B95" s="63">
        <f t="shared" si="11"/>
        <v>12</v>
      </c>
      <c r="C95" s="64">
        <f t="shared" si="17"/>
        <v>42708</v>
      </c>
      <c r="D95" s="64" t="s">
        <v>870</v>
      </c>
      <c r="E95" s="64">
        <v>42708</v>
      </c>
      <c r="F95" s="67" t="s">
        <v>850</v>
      </c>
      <c r="G95" s="920"/>
      <c r="H95" s="1080" t="s">
        <v>394</v>
      </c>
      <c r="I95" s="414">
        <v>11780</v>
      </c>
      <c r="J95" s="414">
        <v>14500</v>
      </c>
      <c r="K95" s="410"/>
      <c r="L95" s="414"/>
      <c r="M95" s="65">
        <f t="shared" si="16"/>
        <v>170810000</v>
      </c>
      <c r="N95" s="66" t="s">
        <v>275</v>
      </c>
      <c r="O95" s="66" t="s">
        <v>8</v>
      </c>
      <c r="P95" s="80" t="str">
        <f>IF(AND('331-CT'!$E$7=TH!H95,OR(N95="331",O95="331")),"x","")</f>
        <v/>
      </c>
      <c r="Q95" s="80" t="str">
        <f>IF(AND(B95='111'!$L$11,OR($N95=$Q$7,$O95=$Q$7)),"x","")</f>
        <v/>
      </c>
      <c r="R95" s="80" t="str">
        <f>IF(AND($N95=$Q$7,$B95&lt;'111'!$L$11),"x","")</f>
        <v/>
      </c>
      <c r="S95" s="80" t="str">
        <f>IF(AND($O95=$Q$7,$B95&lt;'111'!$L$11),"x","")</f>
        <v/>
      </c>
      <c r="T95" s="80" t="str">
        <f>IF(ISERROR(FIND('112'!$M$9,G95,1)),"",IF((AND(FIND('112'!$M$9,G95,1)&gt;=1,B95='112'!$K$9,OR($N95='112'!$I$6,$O95='112'!$I$6))),"x",""))</f>
        <v/>
      </c>
      <c r="U95" s="80" t="str">
        <f>IF(ISERROR(FIND('112'!$M$9,G95,1)),"",IF((AND(LEFT(G95,2)=LEFT('112'!$M$9,2),B95&lt;'112'!$K$9,$N95='112'!$I$6)),"x",""))</f>
        <v/>
      </c>
      <c r="V95" s="80" t="str">
        <f>IF(ISERROR(FIND('112'!$M$9,G95,1)),"",IF((AND(RIGHT(G95,2)=RIGHT('112'!$M$9,2),B95&lt;'112'!$K$9,$O95='112'!$I$6)),"x",""))</f>
        <v/>
      </c>
      <c r="W95" s="80" t="str">
        <f>IF(AND('341-CT'!$H$9=H95,OR(LEFT(N95,3)=$W$7,LEFT(O95,3)=$W$7)),"x","")</f>
        <v/>
      </c>
      <c r="X95" s="80" t="str">
        <f>IF(OR(TH!N95=TH!$X$7,O95=TH!$X$7),"x","")</f>
        <v/>
      </c>
      <c r="Y95" s="80" t="str">
        <f>IF(AND(OR(N95="131",O95="131"),H95='131-CT'!$H$9),"x","")</f>
        <v/>
      </c>
      <c r="Z95" s="80"/>
      <c r="AA95" s="80" t="str">
        <f>IF(AND(MONTH(E95)='IN-NX'!$J$5,'IN-NX'!$D$7=D95),"x","")</f>
        <v/>
      </c>
      <c r="AB95" s="80" t="str">
        <f>IF(AND(OR(LEFT(TH!N95,2)="15",LEFT(TH!O95,2)="15"),'152-CT'!$J$8=TH!F95),"x","")</f>
        <v/>
      </c>
      <c r="AC95" s="80" t="str">
        <f>IF(AND(OR(LEFT(TH!N95,2)="15",LEFT(TH!O95,2)="15"),TK!$E$7=TH!F95),"x","")</f>
        <v/>
      </c>
      <c r="AD95" s="80" t="str">
        <f>IF(AND(N95="1521",MONTH(C95)='BK-NL'!$M$11),"x","")</f>
        <v/>
      </c>
    </row>
    <row r="96" spans="1:30" ht="15.75" customHeight="1">
      <c r="A96" s="324" t="str">
        <f>IF(B96&lt;&gt;"",IF(AND(B96='IN-TC'!$S$4,OR(TH!N96="1111",TH!O96="1111")),TH!D96,""),"")</f>
        <v/>
      </c>
      <c r="B96" s="63">
        <f t="shared" si="11"/>
        <v>12</v>
      </c>
      <c r="C96" s="64">
        <f t="shared" si="17"/>
        <v>42711</v>
      </c>
      <c r="D96" s="64" t="s">
        <v>871</v>
      </c>
      <c r="E96" s="64">
        <v>42711</v>
      </c>
      <c r="F96" s="67" t="s">
        <v>850</v>
      </c>
      <c r="G96" s="920"/>
      <c r="H96" s="1080" t="s">
        <v>379</v>
      </c>
      <c r="I96" s="414">
        <v>11450</v>
      </c>
      <c r="J96" s="414">
        <v>14500</v>
      </c>
      <c r="K96" s="410"/>
      <c r="L96" s="414"/>
      <c r="M96" s="65">
        <f t="shared" si="16"/>
        <v>166025000</v>
      </c>
      <c r="N96" s="66" t="s">
        <v>275</v>
      </c>
      <c r="O96" s="66" t="s">
        <v>8</v>
      </c>
      <c r="P96" s="80" t="str">
        <f>IF(AND('331-CT'!$E$7=TH!H96,OR(N96="331",O96="331")),"x","")</f>
        <v/>
      </c>
      <c r="Q96" s="80" t="str">
        <f>IF(AND(B96='111'!$L$11,OR($N96=$Q$7,$O96=$Q$7)),"x","")</f>
        <v/>
      </c>
      <c r="R96" s="80" t="str">
        <f>IF(AND($N96=$Q$7,$B96&lt;'111'!$L$11),"x","")</f>
        <v/>
      </c>
      <c r="S96" s="80" t="str">
        <f>IF(AND($O96=$Q$7,$B96&lt;'111'!$L$11),"x","")</f>
        <v/>
      </c>
      <c r="T96" s="80" t="str">
        <f>IF(ISERROR(FIND('112'!$M$9,G96,1)),"",IF((AND(FIND('112'!$M$9,G96,1)&gt;=1,B96='112'!$K$9,OR($N96='112'!$I$6,$O96='112'!$I$6))),"x",""))</f>
        <v/>
      </c>
      <c r="U96" s="80" t="str">
        <f>IF(ISERROR(FIND('112'!$M$9,G96,1)),"",IF((AND(LEFT(G96,2)=LEFT('112'!$M$9,2),B96&lt;'112'!$K$9,$N96='112'!$I$6)),"x",""))</f>
        <v/>
      </c>
      <c r="V96" s="80" t="str">
        <f>IF(ISERROR(FIND('112'!$M$9,G96,1)),"",IF((AND(RIGHT(G96,2)=RIGHT('112'!$M$9,2),B96&lt;'112'!$K$9,$O96='112'!$I$6)),"x",""))</f>
        <v/>
      </c>
      <c r="W96" s="80" t="str">
        <f>IF(AND('341-CT'!$H$9=H96,OR(LEFT(N96,3)=$W$7,LEFT(O96,3)=$W$7)),"x","")</f>
        <v/>
      </c>
      <c r="X96" s="80" t="str">
        <f>IF(OR(TH!N96=TH!$X$7,O96=TH!$X$7),"x","")</f>
        <v/>
      </c>
      <c r="Y96" s="80" t="str">
        <f>IF(AND(OR(N96="131",O96="131"),H96='131-CT'!$H$9),"x","")</f>
        <v/>
      </c>
      <c r="Z96" s="80"/>
      <c r="AA96" s="80" t="str">
        <f>IF(AND(MONTH(E96)='IN-NX'!$J$5,'IN-NX'!$D$7=D96),"x","")</f>
        <v/>
      </c>
      <c r="AB96" s="80" t="str">
        <f>IF(AND(OR(LEFT(TH!N96,2)="15",LEFT(TH!O96,2)="15"),'152-CT'!$J$8=TH!F96),"x","")</f>
        <v/>
      </c>
      <c r="AC96" s="80" t="str">
        <f>IF(AND(OR(LEFT(TH!N96,2)="15",LEFT(TH!O96,2)="15"),TK!$E$7=TH!F96),"x","")</f>
        <v/>
      </c>
      <c r="AD96" s="80" t="str">
        <f>IF(AND(N96="1521",MONTH(C96)='BK-NL'!$M$11),"x","")</f>
        <v/>
      </c>
    </row>
    <row r="97" spans="1:30" ht="15.75" customHeight="1">
      <c r="A97" s="324" t="str">
        <f>IF(B97&lt;&gt;"",IF(AND(B97='IN-TC'!$S$4,OR(TH!N97="1111",TH!O97="1111")),TH!D97,""),"")</f>
        <v/>
      </c>
      <c r="B97" s="63">
        <f t="shared" si="11"/>
        <v>12</v>
      </c>
      <c r="C97" s="64">
        <f t="shared" si="17"/>
        <v>42711</v>
      </c>
      <c r="D97" s="64" t="s">
        <v>872</v>
      </c>
      <c r="E97" s="64">
        <v>42711</v>
      </c>
      <c r="F97" s="67" t="s">
        <v>850</v>
      </c>
      <c r="G97" s="920"/>
      <c r="H97" s="1080" t="s">
        <v>386</v>
      </c>
      <c r="I97" s="414">
        <v>11560</v>
      </c>
      <c r="J97" s="414">
        <v>14500</v>
      </c>
      <c r="K97" s="410"/>
      <c r="L97" s="414"/>
      <c r="M97" s="65">
        <f t="shared" si="16"/>
        <v>167620000</v>
      </c>
      <c r="N97" s="66" t="s">
        <v>275</v>
      </c>
      <c r="O97" s="66" t="s">
        <v>8</v>
      </c>
      <c r="P97" s="80" t="str">
        <f>IF(AND('331-CT'!$E$7=TH!H97,OR(N97="331",O97="331")),"x","")</f>
        <v/>
      </c>
      <c r="Q97" s="80" t="str">
        <f>IF(AND(B97='111'!$L$11,OR($N97=$Q$7,$O97=$Q$7)),"x","")</f>
        <v/>
      </c>
      <c r="R97" s="80" t="str">
        <f>IF(AND($N97=$Q$7,$B97&lt;'111'!$L$11),"x","")</f>
        <v/>
      </c>
      <c r="S97" s="80" t="str">
        <f>IF(AND($O97=$Q$7,$B97&lt;'111'!$L$11),"x","")</f>
        <v/>
      </c>
      <c r="T97" s="80" t="str">
        <f>IF(ISERROR(FIND('112'!$M$9,G97,1)),"",IF((AND(FIND('112'!$M$9,G97,1)&gt;=1,B97='112'!$K$9,OR($N97='112'!$I$6,$O97='112'!$I$6))),"x",""))</f>
        <v/>
      </c>
      <c r="U97" s="80" t="str">
        <f>IF(ISERROR(FIND('112'!$M$9,G97,1)),"",IF((AND(LEFT(G97,2)=LEFT('112'!$M$9,2),B97&lt;'112'!$K$9,$N97='112'!$I$6)),"x",""))</f>
        <v/>
      </c>
      <c r="V97" s="80" t="str">
        <f>IF(ISERROR(FIND('112'!$M$9,G97,1)),"",IF((AND(RIGHT(G97,2)=RIGHT('112'!$M$9,2),B97&lt;'112'!$K$9,$O97='112'!$I$6)),"x",""))</f>
        <v/>
      </c>
      <c r="W97" s="80" t="str">
        <f>IF(AND('341-CT'!$H$9=H97,OR(LEFT(N97,3)=$W$7,LEFT(O97,3)=$W$7)),"x","")</f>
        <v/>
      </c>
      <c r="X97" s="80" t="str">
        <f>IF(OR(TH!N97=TH!$X$7,O97=TH!$X$7),"x","")</f>
        <v/>
      </c>
      <c r="Y97" s="80" t="str">
        <f>IF(AND(OR(N97="131",O97="131"),H97='131-CT'!$H$9),"x","")</f>
        <v/>
      </c>
      <c r="Z97" s="80"/>
      <c r="AA97" s="80" t="str">
        <f>IF(AND(MONTH(E97)='IN-NX'!$J$5,'IN-NX'!$D$7=D97),"x","")</f>
        <v/>
      </c>
      <c r="AB97" s="80" t="str">
        <f>IF(AND(OR(LEFT(TH!N97,2)="15",LEFT(TH!O97,2)="15"),'152-CT'!$J$8=TH!F97),"x","")</f>
        <v/>
      </c>
      <c r="AC97" s="80" t="str">
        <f>IF(AND(OR(LEFT(TH!N97,2)="15",LEFT(TH!O97,2)="15"),TK!$E$7=TH!F97),"x","")</f>
        <v/>
      </c>
      <c r="AD97" s="80" t="str">
        <f>IF(AND(N97="1521",MONTH(C97)='BK-NL'!$M$11),"x","")</f>
        <v/>
      </c>
    </row>
    <row r="98" spans="1:30" ht="15.75" customHeight="1">
      <c r="A98" s="324" t="str">
        <f>IF(B98&lt;&gt;"",IF(AND(B98='IN-TC'!$S$4,OR(TH!N98="1111",TH!O98="1111")),TH!D98,""),"")</f>
        <v/>
      </c>
      <c r="B98" s="63">
        <f t="shared" si="11"/>
        <v>12</v>
      </c>
      <c r="C98" s="64">
        <f t="shared" si="17"/>
        <v>42711</v>
      </c>
      <c r="D98" s="64" t="s">
        <v>873</v>
      </c>
      <c r="E98" s="305">
        <v>42711</v>
      </c>
      <c r="F98" s="67" t="s">
        <v>850</v>
      </c>
      <c r="G98" s="920"/>
      <c r="H98" s="1080" t="s">
        <v>392</v>
      </c>
      <c r="I98" s="414">
        <v>11420</v>
      </c>
      <c r="J98" s="414">
        <v>14500</v>
      </c>
      <c r="K98" s="410"/>
      <c r="L98" s="414"/>
      <c r="M98" s="65">
        <f t="shared" si="16"/>
        <v>165590000</v>
      </c>
      <c r="N98" s="66" t="s">
        <v>275</v>
      </c>
      <c r="O98" s="66" t="s">
        <v>8</v>
      </c>
      <c r="P98" s="80" t="str">
        <f>IF(AND('331-CT'!$E$7=TH!H98,OR(N98="331",O98="331")),"x","")</f>
        <v/>
      </c>
      <c r="Q98" s="80" t="str">
        <f>IF(AND(B98='111'!$L$11,OR($N98=$Q$7,$O98=$Q$7)),"x","")</f>
        <v/>
      </c>
      <c r="R98" s="80" t="str">
        <f>IF(AND($N98=$Q$7,$B98&lt;'111'!$L$11),"x","")</f>
        <v/>
      </c>
      <c r="S98" s="80" t="str">
        <f>IF(AND($O98=$Q$7,$B98&lt;'111'!$L$11),"x","")</f>
        <v/>
      </c>
      <c r="T98" s="80" t="str">
        <f>IF(ISERROR(FIND('112'!$M$9,G98,1)),"",IF((AND(FIND('112'!$M$9,G98,1)&gt;=1,B98='112'!$K$9,OR($N98='112'!$I$6,$O98='112'!$I$6))),"x",""))</f>
        <v/>
      </c>
      <c r="U98" s="80" t="str">
        <f>IF(ISERROR(FIND('112'!$M$9,G98,1)),"",IF((AND(LEFT(G98,2)=LEFT('112'!$M$9,2),B98&lt;'112'!$K$9,$N98='112'!$I$6)),"x",""))</f>
        <v/>
      </c>
      <c r="V98" s="80" t="str">
        <f>IF(ISERROR(FIND('112'!$M$9,G98,1)),"",IF((AND(RIGHT(G98,2)=RIGHT('112'!$M$9,2),B98&lt;'112'!$K$9,$O98='112'!$I$6)),"x",""))</f>
        <v/>
      </c>
      <c r="W98" s="80" t="str">
        <f>IF(AND('341-CT'!$H$9=H98,OR(LEFT(N98,3)=$W$7,LEFT(O98,3)=$W$7)),"x","")</f>
        <v/>
      </c>
      <c r="X98" s="80" t="str">
        <f>IF(OR(TH!N98=TH!$X$7,O98=TH!$X$7),"x","")</f>
        <v/>
      </c>
      <c r="Y98" s="80" t="str">
        <f>IF(AND(OR(N98="131",O98="131"),H98='131-CT'!$H$9),"x","")</f>
        <v/>
      </c>
      <c r="Z98" s="80"/>
      <c r="AA98" s="80" t="str">
        <f>IF(AND(MONTH(E98)='IN-NX'!$J$5,'IN-NX'!$D$7=D98),"x","")</f>
        <v/>
      </c>
      <c r="AB98" s="80" t="str">
        <f>IF(AND(OR(LEFT(TH!N98,2)="15",LEFT(TH!O98,2)="15"),'152-CT'!$J$8=TH!F98),"x","")</f>
        <v/>
      </c>
      <c r="AC98" s="80" t="str">
        <f>IF(AND(OR(LEFT(TH!N98,2)="15",LEFT(TH!O98,2)="15"),TK!$E$7=TH!F98),"x","")</f>
        <v/>
      </c>
      <c r="AD98" s="80" t="str">
        <f>IF(AND(N98="1521",MONTH(C98)='BK-NL'!$M$11),"x","")</f>
        <v/>
      </c>
    </row>
    <row r="99" spans="1:30" ht="15.75" customHeight="1">
      <c r="A99" s="324" t="str">
        <f>IF(B99&lt;&gt;"",IF(AND(B99='IN-TC'!$S$4,OR(TH!N99="1111",TH!O99="1111")),TH!D99,""),"")</f>
        <v/>
      </c>
      <c r="B99" s="63">
        <f t="shared" si="11"/>
        <v>12</v>
      </c>
      <c r="C99" s="64">
        <f t="shared" si="17"/>
        <v>42711</v>
      </c>
      <c r="D99" s="64" t="s">
        <v>874</v>
      </c>
      <c r="E99" s="305">
        <v>42711</v>
      </c>
      <c r="F99" s="67" t="s">
        <v>850</v>
      </c>
      <c r="G99" s="920" t="str">
        <f>"Thanh toán tiền - "&amp;F99</f>
        <v>Thanh toán tiền - Cá cơm NL</v>
      </c>
      <c r="H99" s="1080" t="s">
        <v>394</v>
      </c>
      <c r="I99" s="414">
        <v>11135</v>
      </c>
      <c r="J99" s="414">
        <v>14500</v>
      </c>
      <c r="K99" s="410"/>
      <c r="L99" s="414"/>
      <c r="M99" s="65">
        <f t="shared" si="16"/>
        <v>161457500</v>
      </c>
      <c r="N99" s="66" t="s">
        <v>275</v>
      </c>
      <c r="O99" s="66" t="s">
        <v>8</v>
      </c>
      <c r="P99" s="80" t="str">
        <f>IF(AND('331-CT'!$E$7=TH!H99,OR(N99="331",O99="331")),"x","")</f>
        <v/>
      </c>
      <c r="Q99" s="80" t="str">
        <f>IF(AND(B99='111'!$L$11,OR($N99=$Q$7,$O99=$Q$7)),"x","")</f>
        <v/>
      </c>
      <c r="R99" s="80" t="str">
        <f>IF(AND($N99=$Q$7,$B99&lt;'111'!$L$11),"x","")</f>
        <v/>
      </c>
      <c r="S99" s="80" t="str">
        <f>IF(AND($O99=$Q$7,$B99&lt;'111'!$L$11),"x","")</f>
        <v/>
      </c>
      <c r="T99" s="80" t="str">
        <f>IF(ISERROR(FIND('112'!$M$9,G99,1)),"",IF((AND(FIND('112'!$M$9,G99,1)&gt;=1,B99='112'!$K$9,OR($N99='112'!$I$6,$O99='112'!$I$6))),"x",""))</f>
        <v/>
      </c>
      <c r="U99" s="80" t="str">
        <f>IF(ISERROR(FIND('112'!$M$9,G99,1)),"",IF((AND(LEFT(G99,2)=LEFT('112'!$M$9,2),B99&lt;'112'!$K$9,$N99='112'!$I$6)),"x",""))</f>
        <v/>
      </c>
      <c r="V99" s="80" t="str">
        <f>IF(ISERROR(FIND('112'!$M$9,G99,1)),"",IF((AND(RIGHT(G99,2)=RIGHT('112'!$M$9,2),B99&lt;'112'!$K$9,$O99='112'!$I$6)),"x",""))</f>
        <v/>
      </c>
      <c r="W99" s="80" t="str">
        <f>IF(AND('341-CT'!$H$9=H99,OR(LEFT(N99,3)=$W$7,LEFT(O99,3)=$W$7)),"x","")</f>
        <v/>
      </c>
      <c r="X99" s="80" t="str">
        <f>IF(OR(TH!N99=TH!$X$7,O99=TH!$X$7),"x","")</f>
        <v/>
      </c>
      <c r="Y99" s="80" t="str">
        <f>IF(AND(OR(N99="131",O99="131"),H99='131-CT'!$H$9),"x","")</f>
        <v/>
      </c>
      <c r="Z99" s="80"/>
      <c r="AA99" s="80" t="str">
        <f>IF(AND(MONTH(E99)='IN-NX'!$J$5,'IN-NX'!$D$7=D99),"x","")</f>
        <v/>
      </c>
      <c r="AB99" s="80" t="str">
        <f>IF(AND(OR(LEFT(TH!N99,2)="15",LEFT(TH!O99,2)="15"),'152-CT'!$J$8=TH!F99),"x","")</f>
        <v/>
      </c>
      <c r="AC99" s="80" t="str">
        <f>IF(AND(OR(LEFT(TH!N99,2)="15",LEFT(TH!O99,2)="15"),TK!$E$7=TH!F99),"x","")</f>
        <v/>
      </c>
      <c r="AD99" s="80" t="str">
        <f>IF(AND(N99="1521",MONTH(C99)='BK-NL'!$M$11),"x","")</f>
        <v/>
      </c>
    </row>
    <row r="100" spans="1:30" ht="15.75" customHeight="1">
      <c r="A100" s="324" t="str">
        <f>IF(B100&lt;&gt;"",IF(AND(B100='IN-TC'!$S$4,OR(TH!N100="1111",TH!O100="1111")),TH!D100,""),"")</f>
        <v/>
      </c>
      <c r="B100" s="63">
        <f t="shared" si="11"/>
        <v>12</v>
      </c>
      <c r="C100" s="64">
        <f t="shared" si="17"/>
        <v>42713</v>
      </c>
      <c r="D100" s="64" t="s">
        <v>875</v>
      </c>
      <c r="E100" s="305">
        <v>42713</v>
      </c>
      <c r="F100" s="67" t="s">
        <v>850</v>
      </c>
      <c r="G100" s="920" t="str">
        <f t="shared" ref="G100:G107" si="18">"Thanh toán tiền - "&amp;F100</f>
        <v>Thanh toán tiền - Cá cơm NL</v>
      </c>
      <c r="H100" s="1080" t="s">
        <v>379</v>
      </c>
      <c r="I100" s="414">
        <v>11256</v>
      </c>
      <c r="J100" s="414">
        <v>14500</v>
      </c>
      <c r="K100" s="410"/>
      <c r="L100" s="414"/>
      <c r="M100" s="65">
        <f t="shared" si="16"/>
        <v>163212000</v>
      </c>
      <c r="N100" s="66" t="s">
        <v>275</v>
      </c>
      <c r="O100" s="66" t="s">
        <v>8</v>
      </c>
      <c r="P100" s="80" t="str">
        <f>IF(AND('331-CT'!$E$7=TH!H100,OR(N100="331",O100="331")),"x","")</f>
        <v/>
      </c>
      <c r="Q100" s="80" t="str">
        <f>IF(AND(B100='111'!$L$11,OR($N100=$Q$7,$O100=$Q$7)),"x","")</f>
        <v/>
      </c>
      <c r="R100" s="80" t="str">
        <f>IF(AND($N100=$Q$7,$B100&lt;'111'!$L$11),"x","")</f>
        <v/>
      </c>
      <c r="S100" s="80" t="str">
        <f>IF(AND($O100=$Q$7,$B100&lt;'111'!$L$11),"x","")</f>
        <v/>
      </c>
      <c r="T100" s="80" t="str">
        <f>IF(ISERROR(FIND('112'!$M$9,G100,1)),"",IF((AND(FIND('112'!$M$9,G100,1)&gt;=1,B100='112'!$K$9,OR($N100='112'!$I$6,$O100='112'!$I$6))),"x",""))</f>
        <v/>
      </c>
      <c r="U100" s="80" t="str">
        <f>IF(ISERROR(FIND('112'!$M$9,G100,1)),"",IF((AND(LEFT(G100,2)=LEFT('112'!$M$9,2),B100&lt;'112'!$K$9,$N100='112'!$I$6)),"x",""))</f>
        <v/>
      </c>
      <c r="V100" s="80" t="str">
        <f>IF(ISERROR(FIND('112'!$M$9,G100,1)),"",IF((AND(RIGHT(G100,2)=RIGHT('112'!$M$9,2),B100&lt;'112'!$K$9,$O100='112'!$I$6)),"x",""))</f>
        <v/>
      </c>
      <c r="W100" s="80" t="str">
        <f>IF(AND('341-CT'!$H$9=H100,OR(LEFT(N100,3)=$W$7,LEFT(O100,3)=$W$7)),"x","")</f>
        <v/>
      </c>
      <c r="X100" s="80" t="str">
        <f>IF(OR(TH!N100=TH!$X$7,O100=TH!$X$7),"x","")</f>
        <v/>
      </c>
      <c r="Y100" s="80" t="str">
        <f>IF(AND(OR(N100="131",O100="131"),H100='131-CT'!$H$9),"x","")</f>
        <v/>
      </c>
      <c r="Z100" s="80"/>
      <c r="AA100" s="80" t="str">
        <f>IF(AND(MONTH(E100)='IN-NX'!$J$5,'IN-NX'!$D$7=D100),"x","")</f>
        <v/>
      </c>
      <c r="AB100" s="80" t="str">
        <f>IF(AND(OR(LEFT(TH!N100,2)="15",LEFT(TH!O100,2)="15"),'152-CT'!$J$8=TH!F100),"x","")</f>
        <v/>
      </c>
      <c r="AC100" s="80" t="str">
        <f>IF(AND(OR(LEFT(TH!N100,2)="15",LEFT(TH!O100,2)="15"),TK!$E$7=TH!F100),"x","")</f>
        <v/>
      </c>
      <c r="AD100" s="80" t="str">
        <f>IF(AND(N100="1521",MONTH(C100)='BK-NL'!$M$11),"x","")</f>
        <v/>
      </c>
    </row>
    <row r="101" spans="1:30" ht="15.75" customHeight="1">
      <c r="A101" s="324" t="str">
        <f>IF(B101&lt;&gt;"",IF(AND(B101='IN-TC'!$S$4,OR(TH!N101="1111",TH!O101="1111")),TH!D101,""),"")</f>
        <v/>
      </c>
      <c r="B101" s="63">
        <f t="shared" si="11"/>
        <v>12</v>
      </c>
      <c r="C101" s="64">
        <f t="shared" si="17"/>
        <v>42713</v>
      </c>
      <c r="D101" s="64" t="s">
        <v>876</v>
      </c>
      <c r="E101" s="305">
        <v>42713</v>
      </c>
      <c r="F101" s="67" t="s">
        <v>850</v>
      </c>
      <c r="G101" s="920" t="str">
        <f t="shared" si="18"/>
        <v>Thanh toán tiền - Cá cơm NL</v>
      </c>
      <c r="H101" s="1080" t="s">
        <v>392</v>
      </c>
      <c r="I101" s="414">
        <v>11490</v>
      </c>
      <c r="J101" s="414">
        <v>14500</v>
      </c>
      <c r="K101" s="410"/>
      <c r="L101" s="414"/>
      <c r="M101" s="65">
        <f t="shared" si="16"/>
        <v>166605000</v>
      </c>
      <c r="N101" s="66" t="s">
        <v>275</v>
      </c>
      <c r="O101" s="66" t="s">
        <v>8</v>
      </c>
      <c r="P101" s="80" t="str">
        <f>IF(AND('331-CT'!$E$7=TH!H101,OR(N101="331",O101="331")),"x","")</f>
        <v/>
      </c>
      <c r="Q101" s="80" t="str">
        <f>IF(AND(B101='111'!$L$11,OR($N101=$Q$7,$O101=$Q$7)),"x","")</f>
        <v/>
      </c>
      <c r="R101" s="80" t="str">
        <f>IF(AND($N101=$Q$7,$B101&lt;'111'!$L$11),"x","")</f>
        <v/>
      </c>
      <c r="S101" s="80" t="str">
        <f>IF(AND($O101=$Q$7,$B101&lt;'111'!$L$11),"x","")</f>
        <v/>
      </c>
      <c r="T101" s="80" t="str">
        <f>IF(ISERROR(FIND('112'!$M$9,G101,1)),"",IF((AND(FIND('112'!$M$9,G101,1)&gt;=1,B101='112'!$K$9,OR($N101='112'!$I$6,$O101='112'!$I$6))),"x",""))</f>
        <v/>
      </c>
      <c r="U101" s="80" t="str">
        <f>IF(ISERROR(FIND('112'!$M$9,G101,1)),"",IF((AND(LEFT(G101,2)=LEFT('112'!$M$9,2),B101&lt;'112'!$K$9,$N101='112'!$I$6)),"x",""))</f>
        <v/>
      </c>
      <c r="V101" s="80" t="str">
        <f>IF(ISERROR(FIND('112'!$M$9,G101,1)),"",IF((AND(RIGHT(G101,2)=RIGHT('112'!$M$9,2),B101&lt;'112'!$K$9,$O101='112'!$I$6)),"x",""))</f>
        <v/>
      </c>
      <c r="W101" s="80" t="str">
        <f>IF(AND('341-CT'!$H$9=H101,OR(LEFT(N101,3)=$W$7,LEFT(O101,3)=$W$7)),"x","")</f>
        <v/>
      </c>
      <c r="X101" s="80" t="str">
        <f>IF(OR(TH!N101=TH!$X$7,O101=TH!$X$7),"x","")</f>
        <v/>
      </c>
      <c r="Y101" s="80" t="str">
        <f>IF(AND(OR(N101="131",O101="131"),H101='131-CT'!$H$9),"x","")</f>
        <v/>
      </c>
      <c r="Z101" s="80"/>
      <c r="AA101" s="80" t="str">
        <f>IF(AND(MONTH(E101)='IN-NX'!$J$5,'IN-NX'!$D$7=D101),"x","")</f>
        <v/>
      </c>
      <c r="AB101" s="80" t="str">
        <f>IF(AND(OR(LEFT(TH!N101,2)="15",LEFT(TH!O101,2)="15"),'152-CT'!$J$8=TH!F101),"x","")</f>
        <v/>
      </c>
      <c r="AC101" s="80" t="str">
        <f>IF(AND(OR(LEFT(TH!N101,2)="15",LEFT(TH!O101,2)="15"),TK!$E$7=TH!F101),"x","")</f>
        <v/>
      </c>
      <c r="AD101" s="80" t="str">
        <f>IF(AND(N101="1521",MONTH(C101)='BK-NL'!$M$11),"x","")</f>
        <v/>
      </c>
    </row>
    <row r="102" spans="1:30" ht="15.75" customHeight="1">
      <c r="A102" s="324" t="str">
        <f>IF(B102&lt;&gt;"",IF(AND(B102='IN-TC'!$S$4,OR(TH!N102="1111",TH!O102="1111")),TH!D102,""),"")</f>
        <v/>
      </c>
      <c r="B102" s="63">
        <f t="shared" si="11"/>
        <v>12</v>
      </c>
      <c r="C102" s="64">
        <f t="shared" si="17"/>
        <v>42713</v>
      </c>
      <c r="D102" s="64" t="s">
        <v>877</v>
      </c>
      <c r="E102" s="305">
        <v>42713</v>
      </c>
      <c r="F102" s="67" t="s">
        <v>850</v>
      </c>
      <c r="G102" s="920" t="str">
        <f t="shared" si="18"/>
        <v>Thanh toán tiền - Cá cơm NL</v>
      </c>
      <c r="H102" s="1080" t="s">
        <v>386</v>
      </c>
      <c r="I102" s="414">
        <v>11650</v>
      </c>
      <c r="J102" s="414">
        <v>14500</v>
      </c>
      <c r="K102" s="410"/>
      <c r="L102" s="414"/>
      <c r="M102" s="65">
        <f t="shared" si="16"/>
        <v>168925000</v>
      </c>
      <c r="N102" s="66" t="s">
        <v>275</v>
      </c>
      <c r="O102" s="66" t="s">
        <v>8</v>
      </c>
      <c r="P102" s="80" t="str">
        <f>IF(AND('331-CT'!$E$7=TH!H102,OR(N102="331",O102="331")),"x","")</f>
        <v/>
      </c>
      <c r="Q102" s="80" t="str">
        <f>IF(AND(B102='111'!$L$11,OR($N102=$Q$7,$O102=$Q$7)),"x","")</f>
        <v/>
      </c>
      <c r="R102" s="80" t="str">
        <f>IF(AND($N102=$Q$7,$B102&lt;'111'!$L$11),"x","")</f>
        <v/>
      </c>
      <c r="S102" s="80" t="str">
        <f>IF(AND($O102=$Q$7,$B102&lt;'111'!$L$11),"x","")</f>
        <v/>
      </c>
      <c r="T102" s="80" t="str">
        <f>IF(ISERROR(FIND('112'!$M$9,G102,1)),"",IF((AND(FIND('112'!$M$9,G102,1)&gt;=1,B102='112'!$K$9,OR($N102='112'!$I$6,$O102='112'!$I$6))),"x",""))</f>
        <v/>
      </c>
      <c r="U102" s="80" t="str">
        <f>IF(ISERROR(FIND('112'!$M$9,G102,1)),"",IF((AND(LEFT(G102,2)=LEFT('112'!$M$9,2),B102&lt;'112'!$K$9,$N102='112'!$I$6)),"x",""))</f>
        <v/>
      </c>
      <c r="V102" s="80" t="str">
        <f>IF(ISERROR(FIND('112'!$M$9,G102,1)),"",IF((AND(RIGHT(G102,2)=RIGHT('112'!$M$9,2),B102&lt;'112'!$K$9,$O102='112'!$I$6)),"x",""))</f>
        <v/>
      </c>
      <c r="W102" s="80" t="str">
        <f>IF(AND('341-CT'!$H$9=H102,OR(LEFT(N102,3)=$W$7,LEFT(O102,3)=$W$7)),"x","")</f>
        <v/>
      </c>
      <c r="X102" s="80" t="str">
        <f>IF(OR(TH!N102=TH!$X$7,O102=TH!$X$7),"x","")</f>
        <v/>
      </c>
      <c r="Y102" s="80" t="str">
        <f>IF(AND(OR(N102="131",O102="131"),H102='131-CT'!$H$9),"x","")</f>
        <v/>
      </c>
      <c r="Z102" s="80"/>
      <c r="AA102" s="80" t="str">
        <f>IF(AND(MONTH(E102)='IN-NX'!$J$5,'IN-NX'!$D$7=D102),"x","")</f>
        <v/>
      </c>
      <c r="AB102" s="80" t="str">
        <f>IF(AND(OR(LEFT(TH!N102,2)="15",LEFT(TH!O102,2)="15"),'152-CT'!$J$8=TH!F102),"x","")</f>
        <v/>
      </c>
      <c r="AC102" s="80" t="str">
        <f>IF(AND(OR(LEFT(TH!N102,2)="15",LEFT(TH!O102,2)="15"),TK!$E$7=TH!F102),"x","")</f>
        <v/>
      </c>
      <c r="AD102" s="80" t="str">
        <f>IF(AND(N102="1521",MONTH(C102)='BK-NL'!$M$11),"x","")</f>
        <v/>
      </c>
    </row>
    <row r="103" spans="1:30" ht="15.75" customHeight="1">
      <c r="A103" s="324" t="str">
        <f>IF(B103&lt;&gt;"",IF(AND(B103='IN-TC'!$S$4,OR(TH!N103="1111",TH!O103="1111")),TH!D103,""),"")</f>
        <v/>
      </c>
      <c r="B103" s="63">
        <f t="shared" si="11"/>
        <v>12</v>
      </c>
      <c r="C103" s="64">
        <f t="shared" si="17"/>
        <v>42713</v>
      </c>
      <c r="D103" s="64" t="s">
        <v>878</v>
      </c>
      <c r="E103" s="305">
        <v>42713</v>
      </c>
      <c r="F103" s="67" t="s">
        <v>850</v>
      </c>
      <c r="G103" s="920" t="str">
        <f t="shared" si="18"/>
        <v>Thanh toán tiền - Cá cơm NL</v>
      </c>
      <c r="H103" s="1080" t="s">
        <v>394</v>
      </c>
      <c r="I103" s="414">
        <v>11248</v>
      </c>
      <c r="J103" s="414">
        <v>14500</v>
      </c>
      <c r="K103" s="410"/>
      <c r="L103" s="414"/>
      <c r="M103" s="65">
        <f t="shared" si="16"/>
        <v>163096000</v>
      </c>
      <c r="N103" s="66" t="s">
        <v>275</v>
      </c>
      <c r="O103" s="66" t="s">
        <v>8</v>
      </c>
      <c r="P103" s="80" t="str">
        <f>IF(AND('331-CT'!$E$7=TH!H103,OR(N103="331",O103="331")),"x","")</f>
        <v/>
      </c>
      <c r="Q103" s="80" t="str">
        <f>IF(AND(B103='111'!$L$11,OR($N103=$Q$7,$O103=$Q$7)),"x","")</f>
        <v/>
      </c>
      <c r="R103" s="80" t="str">
        <f>IF(AND($N103=$Q$7,$B103&lt;'111'!$L$11),"x","")</f>
        <v/>
      </c>
      <c r="S103" s="80" t="str">
        <f>IF(AND($O103=$Q$7,$B103&lt;'111'!$L$11),"x","")</f>
        <v/>
      </c>
      <c r="T103" s="80" t="str">
        <f>IF(ISERROR(FIND('112'!$M$9,G103,1)),"",IF((AND(FIND('112'!$M$9,G103,1)&gt;=1,B103='112'!$K$9,OR($N103='112'!$I$6,$O103='112'!$I$6))),"x",""))</f>
        <v/>
      </c>
      <c r="U103" s="80" t="str">
        <f>IF(ISERROR(FIND('112'!$M$9,G103,1)),"",IF((AND(LEFT(G103,2)=LEFT('112'!$M$9,2),B103&lt;'112'!$K$9,$N103='112'!$I$6)),"x",""))</f>
        <v/>
      </c>
      <c r="V103" s="80" t="str">
        <f>IF(ISERROR(FIND('112'!$M$9,G103,1)),"",IF((AND(RIGHT(G103,2)=RIGHT('112'!$M$9,2),B103&lt;'112'!$K$9,$O103='112'!$I$6)),"x",""))</f>
        <v/>
      </c>
      <c r="W103" s="80" t="str">
        <f>IF(AND('341-CT'!$H$9=H103,OR(LEFT(N103,3)=$W$7,LEFT(O103,3)=$W$7)),"x","")</f>
        <v/>
      </c>
      <c r="X103" s="80" t="str">
        <f>IF(OR(TH!N103=TH!$X$7,O103=TH!$X$7),"x","")</f>
        <v/>
      </c>
      <c r="Y103" s="80" t="str">
        <f>IF(AND(OR(N103="131",O103="131"),H103='131-CT'!$H$9),"x","")</f>
        <v/>
      </c>
      <c r="Z103" s="80"/>
      <c r="AA103" s="80" t="str">
        <f>IF(AND(MONTH(E103)='IN-NX'!$J$5,'IN-NX'!$D$7=D103),"x","")</f>
        <v/>
      </c>
      <c r="AB103" s="80" t="str">
        <f>IF(AND(OR(LEFT(TH!N103,2)="15",LEFT(TH!O103,2)="15"),'152-CT'!$J$8=TH!F103),"x","")</f>
        <v/>
      </c>
      <c r="AC103" s="80" t="str">
        <f>IF(AND(OR(LEFT(TH!N103,2)="15",LEFT(TH!O103,2)="15"),TK!$E$7=TH!F103),"x","")</f>
        <v/>
      </c>
      <c r="AD103" s="80" t="str">
        <f>IF(AND(N103="1521",MONTH(C103)='BK-NL'!$M$11),"x","")</f>
        <v/>
      </c>
    </row>
    <row r="104" spans="1:30" ht="15.75" customHeight="1">
      <c r="A104" s="324" t="str">
        <f>IF(B104&lt;&gt;"",IF(AND(B104='IN-TC'!$S$4,OR(TH!N104="1111",TH!O104="1111")),TH!D104,""),"")</f>
        <v/>
      </c>
      <c r="B104" s="63">
        <f t="shared" si="11"/>
        <v>12</v>
      </c>
      <c r="C104" s="64">
        <f t="shared" si="17"/>
        <v>42719</v>
      </c>
      <c r="D104" s="64" t="s">
        <v>879</v>
      </c>
      <c r="E104" s="305">
        <v>42719</v>
      </c>
      <c r="F104" s="67" t="s">
        <v>850</v>
      </c>
      <c r="G104" s="920" t="str">
        <f t="shared" si="18"/>
        <v>Thanh toán tiền - Cá cơm NL</v>
      </c>
      <c r="H104" s="1080" t="s">
        <v>394</v>
      </c>
      <c r="I104" s="414">
        <v>11253</v>
      </c>
      <c r="J104" s="414">
        <v>14500</v>
      </c>
      <c r="K104" s="410"/>
      <c r="L104" s="414"/>
      <c r="M104" s="65">
        <f t="shared" si="16"/>
        <v>163168500</v>
      </c>
      <c r="N104" s="66" t="s">
        <v>275</v>
      </c>
      <c r="O104" s="66" t="s">
        <v>8</v>
      </c>
      <c r="P104" s="80" t="str">
        <f>IF(AND('331-CT'!$E$7=TH!H104,OR(N104="331",O104="331")),"x","")</f>
        <v/>
      </c>
      <c r="Q104" s="80" t="str">
        <f>IF(AND(B104='111'!$L$11,OR($N104=$Q$7,$O104=$Q$7)),"x","")</f>
        <v/>
      </c>
      <c r="R104" s="80" t="str">
        <f>IF(AND($N104=$Q$7,$B104&lt;'111'!$L$11),"x","")</f>
        <v/>
      </c>
      <c r="S104" s="80" t="str">
        <f>IF(AND($O104=$Q$7,$B104&lt;'111'!$L$11),"x","")</f>
        <v/>
      </c>
      <c r="T104" s="80" t="str">
        <f>IF(ISERROR(FIND('112'!$M$9,G104,1)),"",IF((AND(FIND('112'!$M$9,G104,1)&gt;=1,B104='112'!$K$9,OR($N104='112'!$I$6,$O104='112'!$I$6))),"x",""))</f>
        <v/>
      </c>
      <c r="U104" s="80" t="str">
        <f>IF(ISERROR(FIND('112'!$M$9,G104,1)),"",IF((AND(LEFT(G104,2)=LEFT('112'!$M$9,2),B104&lt;'112'!$K$9,$N104='112'!$I$6)),"x",""))</f>
        <v/>
      </c>
      <c r="V104" s="80" t="str">
        <f>IF(ISERROR(FIND('112'!$M$9,G104,1)),"",IF((AND(RIGHT(G104,2)=RIGHT('112'!$M$9,2),B104&lt;'112'!$K$9,$O104='112'!$I$6)),"x",""))</f>
        <v/>
      </c>
      <c r="W104" s="80" t="str">
        <f>IF(AND('341-CT'!$H$9=H104,OR(LEFT(N104,3)=$W$7,LEFT(O104,3)=$W$7)),"x","")</f>
        <v/>
      </c>
      <c r="X104" s="80" t="str">
        <f>IF(OR(TH!N104=TH!$X$7,O104=TH!$X$7),"x","")</f>
        <v/>
      </c>
      <c r="Y104" s="80" t="str">
        <f>IF(AND(OR(N104="131",O104="131"),H104='131-CT'!$H$9),"x","")</f>
        <v/>
      </c>
      <c r="Z104" s="80"/>
      <c r="AA104" s="80" t="str">
        <f>IF(AND(MONTH(E104)='IN-NX'!$J$5,'IN-NX'!$D$7=D104),"x","")</f>
        <v/>
      </c>
      <c r="AB104" s="80" t="str">
        <f>IF(AND(OR(LEFT(TH!N104,2)="15",LEFT(TH!O104,2)="15"),'152-CT'!$J$8=TH!F104),"x","")</f>
        <v/>
      </c>
      <c r="AC104" s="80" t="str">
        <f>IF(AND(OR(LEFT(TH!N104,2)="15",LEFT(TH!O104,2)="15"),TK!$E$7=TH!F104),"x","")</f>
        <v/>
      </c>
      <c r="AD104" s="80" t="str">
        <f>IF(AND(N104="1521",MONTH(C104)='BK-NL'!$M$11),"x","")</f>
        <v/>
      </c>
    </row>
    <row r="105" spans="1:30" ht="15.75" customHeight="1">
      <c r="A105" s="324" t="str">
        <f>IF(B105&lt;&gt;"",IF(AND(B105='IN-TC'!$S$4,OR(TH!N105="1111",TH!O105="1111")),TH!D105,""),"")</f>
        <v/>
      </c>
      <c r="B105" s="63">
        <f t="shared" ref="B105:B134" si="19">IF(C105&lt;&gt;"",MONTH(C105),"")</f>
        <v>12</v>
      </c>
      <c r="C105" s="64">
        <f t="shared" si="17"/>
        <v>42719</v>
      </c>
      <c r="D105" s="64" t="s">
        <v>880</v>
      </c>
      <c r="E105" s="305">
        <v>42719</v>
      </c>
      <c r="F105" s="67" t="s">
        <v>850</v>
      </c>
      <c r="G105" s="920" t="str">
        <f t="shared" si="18"/>
        <v>Thanh toán tiền - Cá cơm NL</v>
      </c>
      <c r="H105" s="1080" t="s">
        <v>386</v>
      </c>
      <c r="I105" s="414">
        <v>11350</v>
      </c>
      <c r="J105" s="414">
        <v>14500</v>
      </c>
      <c r="K105" s="410"/>
      <c r="L105" s="414"/>
      <c r="M105" s="65">
        <f t="shared" si="16"/>
        <v>164575000</v>
      </c>
      <c r="N105" s="66" t="s">
        <v>275</v>
      </c>
      <c r="O105" s="66" t="s">
        <v>8</v>
      </c>
      <c r="P105" s="80" t="str">
        <f>IF(AND('331-CT'!$E$7=TH!H105,OR(N105="331",O105="331")),"x","")</f>
        <v/>
      </c>
      <c r="Q105" s="80" t="str">
        <f>IF(AND(B105='111'!$L$11,OR($N105=$Q$7,$O105=$Q$7)),"x","")</f>
        <v/>
      </c>
      <c r="R105" s="80" t="str">
        <f>IF(AND($N105=$Q$7,$B105&lt;'111'!$L$11),"x","")</f>
        <v/>
      </c>
      <c r="S105" s="80" t="str">
        <f>IF(AND($O105=$Q$7,$B105&lt;'111'!$L$11),"x","")</f>
        <v/>
      </c>
      <c r="T105" s="80" t="str">
        <f>IF(ISERROR(FIND('112'!$M$9,G105,1)),"",IF((AND(FIND('112'!$M$9,G105,1)&gt;=1,B105='112'!$K$9,OR($N105='112'!$I$6,$O105='112'!$I$6))),"x",""))</f>
        <v/>
      </c>
      <c r="U105" s="80" t="str">
        <f>IF(ISERROR(FIND('112'!$M$9,G105,1)),"",IF((AND(LEFT(G105,2)=LEFT('112'!$M$9,2),B105&lt;'112'!$K$9,$N105='112'!$I$6)),"x",""))</f>
        <v/>
      </c>
      <c r="V105" s="80" t="str">
        <f>IF(ISERROR(FIND('112'!$M$9,G105,1)),"",IF((AND(RIGHT(G105,2)=RIGHT('112'!$M$9,2),B105&lt;'112'!$K$9,$O105='112'!$I$6)),"x",""))</f>
        <v/>
      </c>
      <c r="W105" s="80" t="str">
        <f>IF(AND('341-CT'!$H$9=H105,OR(LEFT(N105,3)=$W$7,LEFT(O105,3)=$W$7)),"x","")</f>
        <v/>
      </c>
      <c r="X105" s="80" t="str">
        <f>IF(OR(TH!N105=TH!$X$7,O105=TH!$X$7),"x","")</f>
        <v/>
      </c>
      <c r="Y105" s="80" t="str">
        <f>IF(AND(OR(N105="131",O105="131"),H105='131-CT'!$H$9),"x","")</f>
        <v/>
      </c>
      <c r="Z105" s="80"/>
      <c r="AA105" s="80" t="str">
        <f>IF(AND(MONTH(E105)='IN-NX'!$J$5,'IN-NX'!$D$7=D105),"x","")</f>
        <v/>
      </c>
      <c r="AB105" s="80" t="str">
        <f>IF(AND(OR(LEFT(TH!N105,2)="15",LEFT(TH!O105,2)="15"),'152-CT'!$J$8=TH!F105),"x","")</f>
        <v/>
      </c>
      <c r="AC105" s="80" t="str">
        <f>IF(AND(OR(LEFT(TH!N105,2)="15",LEFT(TH!O105,2)="15"),TK!$E$7=TH!F105),"x","")</f>
        <v/>
      </c>
      <c r="AD105" s="80" t="str">
        <f>IF(AND(N105="1521",MONTH(C105)='BK-NL'!$M$11),"x","")</f>
        <v/>
      </c>
    </row>
    <row r="106" spans="1:30" ht="15.75" customHeight="1">
      <c r="A106" s="324" t="str">
        <f>IF(B106&lt;&gt;"",IF(AND(B106='IN-TC'!$S$4,OR(TH!N106="1111",TH!O106="1111")),TH!D106,""),"")</f>
        <v/>
      </c>
      <c r="B106" s="63">
        <f t="shared" si="19"/>
        <v>12</v>
      </c>
      <c r="C106" s="64">
        <f t="shared" si="17"/>
        <v>42719</v>
      </c>
      <c r="D106" s="64" t="s">
        <v>881</v>
      </c>
      <c r="E106" s="305">
        <v>42719</v>
      </c>
      <c r="F106" s="67" t="s">
        <v>850</v>
      </c>
      <c r="G106" s="920" t="str">
        <f t="shared" si="18"/>
        <v>Thanh toán tiền - Cá cơm NL</v>
      </c>
      <c r="H106" s="1080" t="s">
        <v>392</v>
      </c>
      <c r="I106" s="414">
        <v>11350</v>
      </c>
      <c r="J106" s="414">
        <v>14500</v>
      </c>
      <c r="K106" s="410"/>
      <c r="L106" s="414"/>
      <c r="M106" s="65">
        <f t="shared" si="16"/>
        <v>164575000</v>
      </c>
      <c r="N106" s="66" t="s">
        <v>275</v>
      </c>
      <c r="O106" s="66" t="s">
        <v>8</v>
      </c>
      <c r="P106" s="80" t="str">
        <f>IF(AND('331-CT'!$E$7=TH!H106,OR(N106="331",O106="331")),"x","")</f>
        <v/>
      </c>
      <c r="Q106" s="80" t="str">
        <f>IF(AND(B106='111'!$L$11,OR($N106=$Q$7,$O106=$Q$7)),"x","")</f>
        <v/>
      </c>
      <c r="R106" s="80" t="str">
        <f>IF(AND($N106=$Q$7,$B106&lt;'111'!$L$11),"x","")</f>
        <v/>
      </c>
      <c r="S106" s="80" t="str">
        <f>IF(AND($O106=$Q$7,$B106&lt;'111'!$L$11),"x","")</f>
        <v/>
      </c>
      <c r="T106" s="80" t="str">
        <f>IF(ISERROR(FIND('112'!$M$9,G106,1)),"",IF((AND(FIND('112'!$M$9,G106,1)&gt;=1,B106='112'!$K$9,OR($N106='112'!$I$6,$O106='112'!$I$6))),"x",""))</f>
        <v/>
      </c>
      <c r="U106" s="80" t="str">
        <f>IF(ISERROR(FIND('112'!$M$9,G106,1)),"",IF((AND(LEFT(G106,2)=LEFT('112'!$M$9,2),B106&lt;'112'!$K$9,$N106='112'!$I$6)),"x",""))</f>
        <v/>
      </c>
      <c r="V106" s="80" t="str">
        <f>IF(ISERROR(FIND('112'!$M$9,G106,1)),"",IF((AND(RIGHT(G106,2)=RIGHT('112'!$M$9,2),B106&lt;'112'!$K$9,$O106='112'!$I$6)),"x",""))</f>
        <v/>
      </c>
      <c r="W106" s="80" t="str">
        <f>IF(AND('341-CT'!$H$9=H106,OR(LEFT(N106,3)=$W$7,LEFT(O106,3)=$W$7)),"x","")</f>
        <v/>
      </c>
      <c r="X106" s="80" t="str">
        <f>IF(OR(TH!N106=TH!$X$7,O106=TH!$X$7),"x","")</f>
        <v/>
      </c>
      <c r="Y106" s="80" t="str">
        <f>IF(AND(OR(N106="131",O106="131"),H106='131-CT'!$H$9),"x","")</f>
        <v/>
      </c>
      <c r="Z106" s="80"/>
      <c r="AA106" s="80" t="str">
        <f>IF(AND(MONTH(E106)='IN-NX'!$J$5,'IN-NX'!$D$7=D106),"x","")</f>
        <v/>
      </c>
      <c r="AB106" s="80" t="str">
        <f>IF(AND(OR(LEFT(TH!N106,2)="15",LEFT(TH!O106,2)="15"),'152-CT'!$J$8=TH!F106),"x","")</f>
        <v/>
      </c>
      <c r="AC106" s="80" t="str">
        <f>IF(AND(OR(LEFT(TH!N106,2)="15",LEFT(TH!O106,2)="15"),TK!$E$7=TH!F106),"x","")</f>
        <v/>
      </c>
      <c r="AD106" s="80" t="str">
        <f>IF(AND(N106="1521",MONTH(C106)='BK-NL'!$M$11),"x","")</f>
        <v/>
      </c>
    </row>
    <row r="107" spans="1:30" ht="15.75" customHeight="1">
      <c r="A107" s="324" t="str">
        <f>IF(B107&lt;&gt;"",IF(AND(B107='IN-TC'!$S$4,OR(TH!N107="1111",TH!O107="1111")),TH!D107,""),"")</f>
        <v/>
      </c>
      <c r="B107" s="63">
        <f t="shared" si="19"/>
        <v>12</v>
      </c>
      <c r="C107" s="64">
        <f t="shared" si="17"/>
        <v>42719</v>
      </c>
      <c r="D107" s="64" t="s">
        <v>882</v>
      </c>
      <c r="E107" s="305">
        <v>42719</v>
      </c>
      <c r="F107" s="67" t="s">
        <v>850</v>
      </c>
      <c r="G107" s="920" t="str">
        <f t="shared" si="18"/>
        <v>Thanh toán tiền - Cá cơm NL</v>
      </c>
      <c r="H107" s="1080" t="s">
        <v>849</v>
      </c>
      <c r="I107" s="414">
        <v>11403</v>
      </c>
      <c r="J107" s="414">
        <v>14500</v>
      </c>
      <c r="K107" s="410"/>
      <c r="L107" s="414"/>
      <c r="M107" s="65">
        <f t="shared" si="16"/>
        <v>165343500</v>
      </c>
      <c r="N107" s="66" t="s">
        <v>275</v>
      </c>
      <c r="O107" s="66" t="s">
        <v>8</v>
      </c>
      <c r="P107" s="80" t="str">
        <f>IF(AND('331-CT'!$E$7=TH!H107,OR(N107="331",O107="331")),"x","")</f>
        <v/>
      </c>
      <c r="Q107" s="80" t="str">
        <f>IF(AND(B107='111'!$L$11,OR($N107=$Q$7,$O107=$Q$7)),"x","")</f>
        <v/>
      </c>
      <c r="R107" s="80" t="str">
        <f>IF(AND($N107=$Q$7,$B107&lt;'111'!$L$11),"x","")</f>
        <v/>
      </c>
      <c r="S107" s="80" t="str">
        <f>IF(AND($O107=$Q$7,$B107&lt;'111'!$L$11),"x","")</f>
        <v/>
      </c>
      <c r="T107" s="80" t="str">
        <f>IF(ISERROR(FIND('112'!$M$9,G107,1)),"",IF((AND(FIND('112'!$M$9,G107,1)&gt;=1,B107='112'!$K$9,OR($N107='112'!$I$6,$O107='112'!$I$6))),"x",""))</f>
        <v/>
      </c>
      <c r="U107" s="80" t="str">
        <f>IF(ISERROR(FIND('112'!$M$9,G107,1)),"",IF((AND(LEFT(G107,2)=LEFT('112'!$M$9,2),B107&lt;'112'!$K$9,$N107='112'!$I$6)),"x",""))</f>
        <v/>
      </c>
      <c r="V107" s="80" t="str">
        <f>IF(ISERROR(FIND('112'!$M$9,G107,1)),"",IF((AND(RIGHT(G107,2)=RIGHT('112'!$M$9,2),B107&lt;'112'!$K$9,$O107='112'!$I$6)),"x",""))</f>
        <v/>
      </c>
      <c r="W107" s="80" t="str">
        <f>IF(AND('341-CT'!$H$9=H107,OR(LEFT(N107,3)=$W$7,LEFT(O107,3)=$W$7)),"x","")</f>
        <v/>
      </c>
      <c r="X107" s="80" t="str">
        <f>IF(OR(TH!N107=TH!$X$7,O107=TH!$X$7),"x","")</f>
        <v/>
      </c>
      <c r="Y107" s="80" t="str">
        <f>IF(AND(OR(N107="131",O107="131"),H107='131-CT'!$H$9),"x","")</f>
        <v/>
      </c>
      <c r="Z107" s="80"/>
      <c r="AA107" s="80" t="str">
        <f>IF(AND(MONTH(E107)='IN-NX'!$J$5,'IN-NX'!$D$7=D107),"x","")</f>
        <v/>
      </c>
      <c r="AB107" s="80" t="str">
        <f>IF(AND(OR(LEFT(TH!N107,2)="15",LEFT(TH!O107,2)="15"),'152-CT'!$J$8=TH!F107),"x","")</f>
        <v/>
      </c>
      <c r="AC107" s="80" t="str">
        <f>IF(AND(OR(LEFT(TH!N107,2)="15",LEFT(TH!O107,2)="15"),TK!$E$7=TH!F107),"x","")</f>
        <v/>
      </c>
      <c r="AD107" s="80" t="str">
        <f>IF(AND(N107="1521",MONTH(C107)='BK-NL'!$M$11),"x","")</f>
        <v/>
      </c>
    </row>
    <row r="108" spans="1:30" ht="15.75" customHeight="1">
      <c r="A108" s="324" t="str">
        <f>IF(B108&lt;&gt;"",IF(AND(B108='IN-TC'!$S$4,OR(TH!N108="1111",TH!O108="1111")),TH!D108,""),"")</f>
        <v>C01</v>
      </c>
      <c r="B108" s="63">
        <f t="shared" si="19"/>
        <v>12</v>
      </c>
      <c r="C108" s="64">
        <f t="shared" si="17"/>
        <v>42727</v>
      </c>
      <c r="D108" s="64" t="s">
        <v>884</v>
      </c>
      <c r="E108" s="305">
        <v>42727</v>
      </c>
      <c r="F108" s="67" t="s">
        <v>883</v>
      </c>
      <c r="G108" s="67"/>
      <c r="H108" s="1080" t="s">
        <v>389</v>
      </c>
      <c r="I108" s="414"/>
      <c r="J108" s="414"/>
      <c r="K108" s="410"/>
      <c r="L108" s="414"/>
      <c r="M108" s="65">
        <f>SUMIF($H$76:$H$107,H108,$M$76:$M$107)</f>
        <v>334950000</v>
      </c>
      <c r="N108" s="66" t="s">
        <v>8</v>
      </c>
      <c r="O108" s="66" t="s">
        <v>63</v>
      </c>
      <c r="P108" s="80" t="str">
        <f>IF(AND('331-CT'!$E$7=TH!H108,OR(N108="331",O108="331")),"x","")</f>
        <v/>
      </c>
      <c r="Q108" s="80" t="str">
        <f>IF(AND(B108='111'!$L$11,OR($N108=$Q$7,$O108=$Q$7)),"x","")</f>
        <v/>
      </c>
      <c r="R108" s="80" t="str">
        <f>IF(AND($N108=$Q$7,$B108&lt;'111'!$L$11),"x","")</f>
        <v/>
      </c>
      <c r="S108" s="80" t="str">
        <f>IF(AND($O108=$Q$7,$B108&lt;'111'!$L$11),"x","")</f>
        <v/>
      </c>
      <c r="T108" s="80" t="str">
        <f>IF(ISERROR(FIND('112'!$M$9,G108,1)),"",IF((AND(FIND('112'!$M$9,G108,1)&gt;=1,B108='112'!$K$9,OR($N108='112'!$I$6,$O108='112'!$I$6))),"x",""))</f>
        <v/>
      </c>
      <c r="U108" s="80" t="str">
        <f>IF(ISERROR(FIND('112'!$M$9,G108,1)),"",IF((AND(LEFT(G108,2)=LEFT('112'!$M$9,2),B108&lt;'112'!$K$9,$N108='112'!$I$6)),"x",""))</f>
        <v/>
      </c>
      <c r="V108" s="80" t="str">
        <f>IF(ISERROR(FIND('112'!$M$9,G108,1)),"",IF((AND(RIGHT(G108,2)=RIGHT('112'!$M$9,2),B108&lt;'112'!$K$9,$O108='112'!$I$6)),"x",""))</f>
        <v/>
      </c>
      <c r="W108" s="80" t="str">
        <f>IF(AND('341-CT'!$H$9=H108,OR(LEFT(N108,3)=$W$7,LEFT(O108,3)=$W$7)),"x","")</f>
        <v/>
      </c>
      <c r="X108" s="80" t="str">
        <f>IF(OR(TH!N108=TH!$X$7,O108=TH!$X$7),"x","")</f>
        <v/>
      </c>
      <c r="Y108" s="80" t="str">
        <f>IF(AND(OR(N108="131",O108="131"),H108='131-CT'!$H$9),"x","")</f>
        <v/>
      </c>
      <c r="Z108" s="80"/>
      <c r="AA108" s="80" t="str">
        <f>IF(AND(MONTH(E108)='IN-NX'!$J$5,'IN-NX'!$D$7=D108),"x","")</f>
        <v/>
      </c>
      <c r="AB108" s="80" t="str">
        <f>IF(AND(OR(LEFT(TH!N108,2)="15",LEFT(TH!O108,2)="15"),'152-CT'!$J$8=TH!F108),"x","")</f>
        <v/>
      </c>
      <c r="AC108" s="80" t="str">
        <f>IF(AND(OR(LEFT(TH!N108,2)="15",LEFT(TH!O108,2)="15"),TK!$E$7=TH!F108),"x","")</f>
        <v/>
      </c>
      <c r="AD108" s="80" t="str">
        <f>IF(AND(N108="1521",MONTH(C108)='BK-NL'!$M$11),"x","")</f>
        <v/>
      </c>
    </row>
    <row r="109" spans="1:30" ht="15.75" customHeight="1">
      <c r="A109" s="324" t="str">
        <f>IF(B109&lt;&gt;"",IF(AND(B109='IN-TC'!$S$4,OR(TH!N109="1111",TH!O109="1111")),TH!D109,""),"")</f>
        <v>C02</v>
      </c>
      <c r="B109" s="63">
        <f t="shared" si="19"/>
        <v>12</v>
      </c>
      <c r="C109" s="64">
        <f t="shared" si="17"/>
        <v>42727</v>
      </c>
      <c r="D109" s="64" t="s">
        <v>885</v>
      </c>
      <c r="E109" s="305">
        <v>42727</v>
      </c>
      <c r="F109" s="67" t="s">
        <v>883</v>
      </c>
      <c r="G109" s="920"/>
      <c r="H109" s="1080" t="s">
        <v>392</v>
      </c>
      <c r="I109" s="414"/>
      <c r="J109" s="414"/>
      <c r="K109" s="410"/>
      <c r="L109" s="414"/>
      <c r="M109" s="65">
        <f t="shared" ref="M109:M113" si="20">SUMIF($H$76:$H$107,H109,$M$76:$M$107)</f>
        <v>1323777500</v>
      </c>
      <c r="N109" s="66" t="s">
        <v>8</v>
      </c>
      <c r="O109" s="66" t="s">
        <v>63</v>
      </c>
      <c r="P109" s="80" t="str">
        <f>IF(AND('331-CT'!$E$7=TH!H109,OR(N109="331",O109="331")),"x","")</f>
        <v/>
      </c>
      <c r="Q109" s="80" t="str">
        <f>IF(AND(B109='111'!$L$11,OR($N109=$Q$7,$O109=$Q$7)),"x","")</f>
        <v/>
      </c>
      <c r="R109" s="80" t="str">
        <f>IF(AND($N109=$Q$7,$B109&lt;'111'!$L$11),"x","")</f>
        <v/>
      </c>
      <c r="S109" s="80" t="str">
        <f>IF(AND($O109=$Q$7,$B109&lt;'111'!$L$11),"x","")</f>
        <v/>
      </c>
      <c r="T109" s="80" t="str">
        <f>IF(ISERROR(FIND('112'!$M$9,G109,1)),"",IF((AND(FIND('112'!$M$9,G109,1)&gt;=1,B109='112'!$K$9,OR($N109='112'!$I$6,$O109='112'!$I$6))),"x",""))</f>
        <v/>
      </c>
      <c r="U109" s="80" t="str">
        <f>IF(ISERROR(FIND('112'!$M$9,G109,1)),"",IF((AND(LEFT(G109,2)=LEFT('112'!$M$9,2),B109&lt;'112'!$K$9,$N109='112'!$I$6)),"x",""))</f>
        <v/>
      </c>
      <c r="V109" s="80" t="str">
        <f>IF(ISERROR(FIND('112'!$M$9,G109,1)),"",IF((AND(RIGHT(G109,2)=RIGHT('112'!$M$9,2),B109&lt;'112'!$K$9,$O109='112'!$I$6)),"x",""))</f>
        <v/>
      </c>
      <c r="W109" s="80" t="str">
        <f>IF(AND('341-CT'!$H$9=H109,OR(LEFT(N109,3)=$W$7,LEFT(O109,3)=$W$7)),"x","")</f>
        <v/>
      </c>
      <c r="X109" s="80" t="str">
        <f>IF(OR(TH!N109=TH!$X$7,O109=TH!$X$7),"x","")</f>
        <v/>
      </c>
      <c r="Y109" s="80" t="str">
        <f>IF(AND(OR(N109="131",O109="131"),H109='131-CT'!$H$9),"x","")</f>
        <v/>
      </c>
      <c r="Z109" s="80"/>
      <c r="AA109" s="80" t="str">
        <f>IF(AND(MONTH(E109)='IN-NX'!$J$5,'IN-NX'!$D$7=D109),"x","")</f>
        <v/>
      </c>
      <c r="AB109" s="80" t="str">
        <f>IF(AND(OR(LEFT(TH!N109,2)="15",LEFT(TH!O109,2)="15"),'152-CT'!$J$8=TH!F109),"x","")</f>
        <v/>
      </c>
      <c r="AC109" s="80" t="str">
        <f>IF(AND(OR(LEFT(TH!N109,2)="15",LEFT(TH!O109,2)="15"),TK!$E$7=TH!F109),"x","")</f>
        <v/>
      </c>
      <c r="AD109" s="80" t="str">
        <f>IF(AND(N109="1521",MONTH(C109)='BK-NL'!$M$11),"x","")</f>
        <v/>
      </c>
    </row>
    <row r="110" spans="1:30" ht="15.75" customHeight="1">
      <c r="A110" s="324" t="str">
        <f>IF(B110&lt;&gt;"",IF(AND(B110='IN-TC'!$S$4,OR(TH!N110="1111",TH!O110="1111")),TH!D110,""),"")</f>
        <v>C03</v>
      </c>
      <c r="B110" s="63">
        <f t="shared" si="19"/>
        <v>12</v>
      </c>
      <c r="C110" s="64">
        <f t="shared" si="17"/>
        <v>42727</v>
      </c>
      <c r="D110" s="64" t="s">
        <v>886</v>
      </c>
      <c r="E110" s="305">
        <v>42727</v>
      </c>
      <c r="F110" s="67" t="s">
        <v>883</v>
      </c>
      <c r="G110" s="920"/>
      <c r="H110" s="1080" t="s">
        <v>386</v>
      </c>
      <c r="I110" s="414"/>
      <c r="J110" s="414"/>
      <c r="K110" s="410"/>
      <c r="L110" s="414"/>
      <c r="M110" s="65">
        <f t="shared" si="20"/>
        <v>1314251000</v>
      </c>
      <c r="N110" s="66" t="s">
        <v>8</v>
      </c>
      <c r="O110" s="66" t="s">
        <v>63</v>
      </c>
      <c r="P110" s="80" t="str">
        <f>IF(AND('331-CT'!$E$7=TH!H110,OR(N110="331",O110="331")),"x","")</f>
        <v/>
      </c>
      <c r="Q110" s="80" t="str">
        <f>IF(AND(B110='111'!$L$11,OR($N110=$Q$7,$O110=$Q$7)),"x","")</f>
        <v/>
      </c>
      <c r="R110" s="80" t="str">
        <f>IF(AND($N110=$Q$7,$B110&lt;'111'!$L$11),"x","")</f>
        <v/>
      </c>
      <c r="S110" s="80" t="str">
        <f>IF(AND($O110=$Q$7,$B110&lt;'111'!$L$11),"x","")</f>
        <v/>
      </c>
      <c r="T110" s="80" t="str">
        <f>IF(ISERROR(FIND('112'!$M$9,G110,1)),"",IF((AND(FIND('112'!$M$9,G110,1)&gt;=1,B110='112'!$K$9,OR($N110='112'!$I$6,$O110='112'!$I$6))),"x",""))</f>
        <v/>
      </c>
      <c r="U110" s="80" t="str">
        <f>IF(ISERROR(FIND('112'!$M$9,G110,1)),"",IF((AND(LEFT(G110,2)=LEFT('112'!$M$9,2),B110&lt;'112'!$K$9,$N110='112'!$I$6)),"x",""))</f>
        <v/>
      </c>
      <c r="V110" s="80" t="str">
        <f>IF(ISERROR(FIND('112'!$M$9,G110,1)),"",IF((AND(RIGHT(G110,2)=RIGHT('112'!$M$9,2),B110&lt;'112'!$K$9,$O110='112'!$I$6)),"x",""))</f>
        <v/>
      </c>
      <c r="W110" s="80" t="str">
        <f>IF(AND('341-CT'!$H$9=H110,OR(LEFT(N110,3)=$W$7,LEFT(O110,3)=$W$7)),"x","")</f>
        <v/>
      </c>
      <c r="X110" s="80" t="str">
        <f>IF(OR(TH!N110=TH!$X$7,O110=TH!$X$7),"x","")</f>
        <v/>
      </c>
      <c r="Y110" s="80" t="str">
        <f>IF(AND(OR(N110="131",O110="131"),H110='131-CT'!$H$9),"x","")</f>
        <v/>
      </c>
      <c r="Z110" s="80"/>
      <c r="AA110" s="80" t="str">
        <f>IF(AND(MONTH(E110)='IN-NX'!$J$5,'IN-NX'!$D$7=D110),"x","")</f>
        <v/>
      </c>
      <c r="AB110" s="80" t="str">
        <f>IF(AND(OR(LEFT(TH!N110,2)="15",LEFT(TH!O110,2)="15"),'152-CT'!$J$8=TH!F110),"x","")</f>
        <v/>
      </c>
      <c r="AC110" s="80" t="str">
        <f>IF(AND(OR(LEFT(TH!N110,2)="15",LEFT(TH!O110,2)="15"),TK!$E$7=TH!F110),"x","")</f>
        <v/>
      </c>
      <c r="AD110" s="80" t="str">
        <f>IF(AND(N110="1521",MONTH(C110)='BK-NL'!$M$11),"x","")</f>
        <v/>
      </c>
    </row>
    <row r="111" spans="1:30" ht="15.75" customHeight="1">
      <c r="A111" s="324" t="str">
        <f>IF(B111&lt;&gt;"",IF(AND(B111='IN-TC'!$S$4,OR(TH!N111="1111",TH!O111="1111")),TH!D111,""),"")</f>
        <v>C04</v>
      </c>
      <c r="B111" s="63">
        <f t="shared" si="19"/>
        <v>12</v>
      </c>
      <c r="C111" s="64">
        <f t="shared" si="17"/>
        <v>42728</v>
      </c>
      <c r="D111" s="64" t="s">
        <v>887</v>
      </c>
      <c r="E111" s="305">
        <v>42728</v>
      </c>
      <c r="F111" s="67" t="s">
        <v>883</v>
      </c>
      <c r="G111" s="920"/>
      <c r="H111" s="1080" t="s">
        <v>849</v>
      </c>
      <c r="I111" s="414"/>
      <c r="J111" s="414"/>
      <c r="K111" s="410"/>
      <c r="L111" s="414"/>
      <c r="M111" s="65">
        <f t="shared" si="20"/>
        <v>486605500</v>
      </c>
      <c r="N111" s="66" t="s">
        <v>8</v>
      </c>
      <c r="O111" s="66" t="s">
        <v>63</v>
      </c>
      <c r="P111" s="80" t="str">
        <f>IF(AND('331-CT'!$E$7=TH!H111,OR(N111="331",O111="331")),"x","")</f>
        <v/>
      </c>
      <c r="Q111" s="80" t="str">
        <f>IF(AND(B111='111'!$L$11,OR($N111=$Q$7,$O111=$Q$7)),"x","")</f>
        <v/>
      </c>
      <c r="R111" s="80" t="str">
        <f>IF(AND($N111=$Q$7,$B111&lt;'111'!$L$11),"x","")</f>
        <v/>
      </c>
      <c r="S111" s="80" t="str">
        <f>IF(AND($O111=$Q$7,$B111&lt;'111'!$L$11),"x","")</f>
        <v/>
      </c>
      <c r="T111" s="80" t="str">
        <f>IF(ISERROR(FIND('112'!$M$9,G111,1)),"",IF((AND(FIND('112'!$M$9,G111,1)&gt;=1,B111='112'!$K$9,OR($N111='112'!$I$6,$O111='112'!$I$6))),"x",""))</f>
        <v/>
      </c>
      <c r="U111" s="80" t="str">
        <f>IF(ISERROR(FIND('112'!$M$9,G111,1)),"",IF((AND(LEFT(G111,2)=LEFT('112'!$M$9,2),B111&lt;'112'!$K$9,$N111='112'!$I$6)),"x",""))</f>
        <v/>
      </c>
      <c r="V111" s="80" t="str">
        <f>IF(ISERROR(FIND('112'!$M$9,G111,1)),"",IF((AND(RIGHT(G111,2)=RIGHT('112'!$M$9,2),B111&lt;'112'!$K$9,$O111='112'!$I$6)),"x",""))</f>
        <v/>
      </c>
      <c r="W111" s="80" t="str">
        <f>IF(AND('341-CT'!$H$9=H111,OR(LEFT(N111,3)=$W$7,LEFT(O111,3)=$W$7)),"x","")</f>
        <v/>
      </c>
      <c r="X111" s="80" t="str">
        <f>IF(OR(TH!N111=TH!$X$7,O111=TH!$X$7),"x","")</f>
        <v/>
      </c>
      <c r="Y111" s="80" t="str">
        <f>IF(AND(OR(N111="131",O111="131"),H111='131-CT'!$H$9),"x","")</f>
        <v/>
      </c>
      <c r="Z111" s="80"/>
      <c r="AA111" s="80" t="str">
        <f>IF(AND(MONTH(E111)='IN-NX'!$J$5,'IN-NX'!$D$7=D111),"x","")</f>
        <v/>
      </c>
      <c r="AB111" s="80" t="str">
        <f>IF(AND(OR(LEFT(TH!N111,2)="15",LEFT(TH!O111,2)="15"),'152-CT'!$J$8=TH!F111),"x","")</f>
        <v/>
      </c>
      <c r="AC111" s="80" t="str">
        <f>IF(AND(OR(LEFT(TH!N111,2)="15",LEFT(TH!O111,2)="15"),TK!$E$7=TH!F111),"x","")</f>
        <v/>
      </c>
      <c r="AD111" s="80" t="str">
        <f>IF(AND(N111="1521",MONTH(C111)='BK-NL'!$M$11),"x","")</f>
        <v/>
      </c>
    </row>
    <row r="112" spans="1:30" ht="15.75" customHeight="1">
      <c r="A112" s="324" t="str">
        <f>IF(B112&lt;&gt;"",IF(AND(B112='IN-TC'!$S$4,OR(TH!N112="1111",TH!O112="1111")),TH!D112,""),"")</f>
        <v>C05</v>
      </c>
      <c r="B112" s="63">
        <f t="shared" si="19"/>
        <v>12</v>
      </c>
      <c r="C112" s="64">
        <f t="shared" si="17"/>
        <v>42728</v>
      </c>
      <c r="D112" s="64" t="s">
        <v>888</v>
      </c>
      <c r="E112" s="305">
        <v>42728</v>
      </c>
      <c r="F112" s="67" t="s">
        <v>883</v>
      </c>
      <c r="G112" s="920"/>
      <c r="H112" s="1080" t="s">
        <v>394</v>
      </c>
      <c r="I112" s="414"/>
      <c r="J112" s="414"/>
      <c r="K112" s="410"/>
      <c r="L112" s="414"/>
      <c r="M112" s="65">
        <f t="shared" si="20"/>
        <v>1159797000</v>
      </c>
      <c r="N112" s="66" t="s">
        <v>8</v>
      </c>
      <c r="O112" s="66" t="s">
        <v>63</v>
      </c>
      <c r="P112" s="80" t="str">
        <f>IF(AND('331-CT'!$E$7=TH!H112,OR(N112="331",O112="331")),"x","")</f>
        <v/>
      </c>
      <c r="Q112" s="80" t="str">
        <f>IF(AND(B112='111'!$L$11,OR($N112=$Q$7,$O112=$Q$7)),"x","")</f>
        <v/>
      </c>
      <c r="R112" s="80" t="str">
        <f>IF(AND($N112=$Q$7,$B112&lt;'111'!$L$11),"x","")</f>
        <v/>
      </c>
      <c r="S112" s="80" t="str">
        <f>IF(AND($O112=$Q$7,$B112&lt;'111'!$L$11),"x","")</f>
        <v/>
      </c>
      <c r="T112" s="80" t="str">
        <f>IF(ISERROR(FIND('112'!$M$9,G112,1)),"",IF((AND(FIND('112'!$M$9,G112,1)&gt;=1,B112='112'!$K$9,OR($N112='112'!$I$6,$O112='112'!$I$6))),"x",""))</f>
        <v/>
      </c>
      <c r="U112" s="80" t="str">
        <f>IF(ISERROR(FIND('112'!$M$9,G112,1)),"",IF((AND(LEFT(G112,2)=LEFT('112'!$M$9,2),B112&lt;'112'!$K$9,$N112='112'!$I$6)),"x",""))</f>
        <v/>
      </c>
      <c r="V112" s="80" t="str">
        <f>IF(ISERROR(FIND('112'!$M$9,G112,1)),"",IF((AND(RIGHT(G112,2)=RIGHT('112'!$M$9,2),B112&lt;'112'!$K$9,$O112='112'!$I$6)),"x",""))</f>
        <v/>
      </c>
      <c r="W112" s="80" t="str">
        <f>IF(AND('341-CT'!$H$9=H112,OR(LEFT(N112,3)=$W$7,LEFT(O112,3)=$W$7)),"x","")</f>
        <v/>
      </c>
      <c r="X112" s="80" t="str">
        <f>IF(OR(TH!N112=TH!$X$7,O112=TH!$X$7),"x","")</f>
        <v/>
      </c>
      <c r="Y112" s="80" t="str">
        <f>IF(AND(OR(N112="131",O112="131"),H112='131-CT'!$H$9),"x","")</f>
        <v/>
      </c>
      <c r="Z112" s="80"/>
      <c r="AA112" s="80" t="str">
        <f>IF(AND(MONTH(E112)='IN-NX'!$J$5,'IN-NX'!$D$7=D112),"x","")</f>
        <v/>
      </c>
      <c r="AB112" s="80" t="str">
        <f>IF(AND(OR(LEFT(TH!N112,2)="15",LEFT(TH!O112,2)="15"),'152-CT'!$J$8=TH!F112),"x","")</f>
        <v/>
      </c>
      <c r="AC112" s="80" t="str">
        <f>IF(AND(OR(LEFT(TH!N112,2)="15",LEFT(TH!O112,2)="15"),TK!$E$7=TH!F112),"x","")</f>
        <v/>
      </c>
      <c r="AD112" s="80" t="str">
        <f>IF(AND(N112="1521",MONTH(C112)='BK-NL'!$M$11),"x","")</f>
        <v/>
      </c>
    </row>
    <row r="113" spans="1:30" ht="15.75" customHeight="1">
      <c r="A113" s="324" t="str">
        <f>IF(B113&lt;&gt;"",IF(AND(B113='IN-TC'!$S$4,OR(TH!N113="1111",TH!O113="1111")),TH!D113,""),"")</f>
        <v>C06</v>
      </c>
      <c r="B113" s="63">
        <f t="shared" si="19"/>
        <v>12</v>
      </c>
      <c r="C113" s="64">
        <f t="shared" si="17"/>
        <v>42728</v>
      </c>
      <c r="D113" s="64" t="s">
        <v>889</v>
      </c>
      <c r="E113" s="305">
        <v>42728</v>
      </c>
      <c r="F113" s="67" t="s">
        <v>883</v>
      </c>
      <c r="G113" s="920"/>
      <c r="H113" s="1080" t="s">
        <v>379</v>
      </c>
      <c r="I113" s="414"/>
      <c r="J113" s="414"/>
      <c r="K113" s="410"/>
      <c r="L113" s="414"/>
      <c r="M113" s="65">
        <f t="shared" si="20"/>
        <v>658619000</v>
      </c>
      <c r="N113" s="66" t="s">
        <v>8</v>
      </c>
      <c r="O113" s="66" t="s">
        <v>63</v>
      </c>
      <c r="P113" s="80" t="str">
        <f>IF(AND('331-CT'!$E$7=TH!H113,OR(N113="331",O113="331")),"x","")</f>
        <v/>
      </c>
      <c r="Q113" s="80" t="str">
        <f>IF(AND(B113='111'!$L$11,OR($N113=$Q$7,$O113=$Q$7)),"x","")</f>
        <v/>
      </c>
      <c r="R113" s="80" t="str">
        <f>IF(AND($N113=$Q$7,$B113&lt;'111'!$L$11),"x","")</f>
        <v/>
      </c>
      <c r="S113" s="80" t="str">
        <f>IF(AND($O113=$Q$7,$B113&lt;'111'!$L$11),"x","")</f>
        <v/>
      </c>
      <c r="T113" s="80" t="str">
        <f>IF(ISERROR(FIND('112'!$M$9,G113,1)),"",IF((AND(FIND('112'!$M$9,G113,1)&gt;=1,B113='112'!$K$9,OR($N113='112'!$I$6,$O113='112'!$I$6))),"x",""))</f>
        <v/>
      </c>
      <c r="U113" s="80" t="str">
        <f>IF(ISERROR(FIND('112'!$M$9,G113,1)),"",IF((AND(LEFT(G113,2)=LEFT('112'!$M$9,2),B113&lt;'112'!$K$9,$N113='112'!$I$6)),"x",""))</f>
        <v/>
      </c>
      <c r="V113" s="80" t="str">
        <f>IF(ISERROR(FIND('112'!$M$9,G113,1)),"",IF((AND(RIGHT(G113,2)=RIGHT('112'!$M$9,2),B113&lt;'112'!$K$9,$O113='112'!$I$6)),"x",""))</f>
        <v/>
      </c>
      <c r="W113" s="80" t="str">
        <f>IF(AND('341-CT'!$H$9=H113,OR(LEFT(N113,3)=$W$7,LEFT(O113,3)=$W$7)),"x","")</f>
        <v/>
      </c>
      <c r="X113" s="80" t="str">
        <f>IF(OR(TH!N113=TH!$X$7,O113=TH!$X$7),"x","")</f>
        <v/>
      </c>
      <c r="Y113" s="80" t="str">
        <f>IF(AND(OR(N113="131",O113="131"),H113='131-CT'!$H$9),"x","")</f>
        <v/>
      </c>
      <c r="Z113" s="80"/>
      <c r="AA113" s="80" t="str">
        <f>IF(AND(MONTH(E113)='IN-NX'!$J$5,'IN-NX'!$D$7=D113),"x","")</f>
        <v/>
      </c>
      <c r="AB113" s="80" t="str">
        <f>IF(AND(OR(LEFT(TH!N113,2)="15",LEFT(TH!O113,2)="15"),'152-CT'!$J$8=TH!F113),"x","")</f>
        <v/>
      </c>
      <c r="AC113" s="80" t="str">
        <f>IF(AND(OR(LEFT(TH!N113,2)="15",LEFT(TH!O113,2)="15"),TK!$E$7=TH!F113),"x","")</f>
        <v/>
      </c>
      <c r="AD113" s="80" t="str">
        <f>IF(AND(N113="1521",MONTH(C113)='BK-NL'!$M$11),"x","")</f>
        <v/>
      </c>
    </row>
    <row r="114" spans="1:30" ht="15.75" customHeight="1">
      <c r="A114" s="324" t="str">
        <f>IF(B114&lt;&gt;"",IF(AND(B114='IN-TC'!$S$4,OR(TH!N114="1111",TH!O114="1111")),TH!D114,""),"")</f>
        <v/>
      </c>
      <c r="B114" s="63" t="str">
        <f t="shared" si="19"/>
        <v/>
      </c>
      <c r="C114" s="64"/>
      <c r="D114" s="64"/>
      <c r="E114" s="305"/>
      <c r="F114" s="67"/>
      <c r="G114" s="920"/>
      <c r="H114" s="1079"/>
      <c r="I114" s="414"/>
      <c r="J114" s="414"/>
      <c r="K114" s="410"/>
      <c r="L114" s="414"/>
      <c r="M114" s="65"/>
      <c r="N114" s="66"/>
      <c r="O114" s="66"/>
      <c r="P114" s="80" t="str">
        <f>IF(AND('331-CT'!$E$7=TH!H114,OR(N114="331",O114="331")),"x","")</f>
        <v/>
      </c>
      <c r="Q114" s="80" t="str">
        <f>IF(AND(B114='111'!$L$11,OR($N114=$Q$7,$O114=$Q$7)),"x","")</f>
        <v/>
      </c>
      <c r="R114" s="80" t="str">
        <f>IF(AND($N114=$Q$7,$B114&lt;'111'!$L$11),"x","")</f>
        <v/>
      </c>
      <c r="S114" s="80" t="str">
        <f>IF(AND($O114=$Q$7,$B114&lt;'111'!$L$11),"x","")</f>
        <v/>
      </c>
      <c r="T114" s="80" t="str">
        <f>IF(ISERROR(FIND('112'!$M$9,G114,1)),"",IF((AND(FIND('112'!$M$9,G114,1)&gt;=1,B114='112'!$K$9,OR($N114='112'!$I$6,$O114='112'!$I$6))),"x",""))</f>
        <v/>
      </c>
      <c r="U114" s="80" t="str">
        <f>IF(ISERROR(FIND('112'!$M$9,G114,1)),"",IF((AND(LEFT(G114,2)=LEFT('112'!$M$9,2),B114&lt;'112'!$K$9,$N114='112'!$I$6)),"x",""))</f>
        <v/>
      </c>
      <c r="V114" s="80" t="str">
        <f>IF(ISERROR(FIND('112'!$M$9,G114,1)),"",IF((AND(RIGHT(G114,2)=RIGHT('112'!$M$9,2),B114&lt;'112'!$K$9,$O114='112'!$I$6)),"x",""))</f>
        <v/>
      </c>
      <c r="W114" s="80" t="str">
        <f>IF(AND('341-CT'!$H$9=H114,OR(LEFT(N114,3)=$W$7,LEFT(O114,3)=$W$7)),"x","")</f>
        <v/>
      </c>
      <c r="X114" s="80" t="str">
        <f>IF(OR(TH!N114=TH!$X$7,O114=TH!$X$7),"x","")</f>
        <v/>
      </c>
      <c r="Y114" s="80" t="str">
        <f>IF(AND(OR(N114="131",O114="131"),H114='131-CT'!$H$9),"x","")</f>
        <v/>
      </c>
      <c r="Z114" s="80"/>
      <c r="AA114" s="80" t="str">
        <f>IF(AND(MONTH(E114)='IN-NX'!$J$5,'IN-NX'!$D$7=D114),"x","")</f>
        <v/>
      </c>
      <c r="AB114" s="80" t="str">
        <f>IF(AND(OR(LEFT(TH!N114,2)="15",LEFT(TH!O114,2)="15"),'152-CT'!$J$8=TH!F114),"x","")</f>
        <v/>
      </c>
      <c r="AC114" s="80" t="str">
        <f>IF(AND(OR(LEFT(TH!N114,2)="15",LEFT(TH!O114,2)="15"),TK!$E$7=TH!F114),"x","")</f>
        <v/>
      </c>
      <c r="AD114" s="80" t="str">
        <f>IF(AND(N114="1521",MONTH(C114)='BK-NL'!$M$11),"x","")</f>
        <v/>
      </c>
    </row>
    <row r="115" spans="1:30" ht="15.75" customHeight="1">
      <c r="A115" s="324" t="str">
        <f>IF(B115&lt;&gt;"",IF(AND(B115='IN-TC'!$S$4,OR(TH!N115="1111",TH!O115="1111")),TH!D115,""),"")</f>
        <v/>
      </c>
      <c r="B115" s="63" t="str">
        <f t="shared" si="19"/>
        <v/>
      </c>
      <c r="C115" s="64"/>
      <c r="D115" s="64"/>
      <c r="E115" s="305"/>
      <c r="F115" s="67"/>
      <c r="G115" s="920"/>
      <c r="H115" s="1079"/>
      <c r="I115" s="414"/>
      <c r="J115" s="414"/>
      <c r="K115" s="410"/>
      <c r="L115" s="414"/>
      <c r="M115" s="65"/>
      <c r="N115" s="66"/>
      <c r="O115" s="66"/>
      <c r="P115" s="80" t="str">
        <f>IF(AND('331-CT'!$E$7=TH!H115,OR(N115="331",O115="331")),"x","")</f>
        <v/>
      </c>
      <c r="Q115" s="80" t="str">
        <f>IF(AND(B115='111'!$L$11,OR($N115=$Q$7,$O115=$Q$7)),"x","")</f>
        <v/>
      </c>
      <c r="R115" s="80" t="str">
        <f>IF(AND($N115=$Q$7,$B115&lt;'111'!$L$11),"x","")</f>
        <v/>
      </c>
      <c r="S115" s="80" t="str">
        <f>IF(AND($O115=$Q$7,$B115&lt;'111'!$L$11),"x","")</f>
        <v/>
      </c>
      <c r="T115" s="80" t="str">
        <f>IF(ISERROR(FIND('112'!$M$9,G115,1)),"",IF((AND(FIND('112'!$M$9,G115,1)&gt;=1,B115='112'!$K$9,OR($N115='112'!$I$6,$O115='112'!$I$6))),"x",""))</f>
        <v/>
      </c>
      <c r="U115" s="80" t="str">
        <f>IF(ISERROR(FIND('112'!$M$9,G115,1)),"",IF((AND(LEFT(G115,2)=LEFT('112'!$M$9,2),B115&lt;'112'!$K$9,$N115='112'!$I$6)),"x",""))</f>
        <v/>
      </c>
      <c r="V115" s="80" t="str">
        <f>IF(ISERROR(FIND('112'!$M$9,G115,1)),"",IF((AND(RIGHT(G115,2)=RIGHT('112'!$M$9,2),B115&lt;'112'!$K$9,$O115='112'!$I$6)),"x",""))</f>
        <v/>
      </c>
      <c r="W115" s="80" t="str">
        <f>IF(AND('341-CT'!$H$9=H115,OR(LEFT(N115,3)=$W$7,LEFT(O115,3)=$W$7)),"x","")</f>
        <v/>
      </c>
      <c r="X115" s="80" t="str">
        <f>IF(OR(TH!N115=TH!$X$7,O115=TH!$X$7),"x","")</f>
        <v/>
      </c>
      <c r="Y115" s="80" t="str">
        <f>IF(AND(OR(N115="131",O115="131"),H115='131-CT'!$H$9),"x","")</f>
        <v/>
      </c>
      <c r="Z115" s="80"/>
      <c r="AA115" s="80" t="str">
        <f>IF(AND(MONTH(E115)='IN-NX'!$J$5,'IN-NX'!$D$7=D115),"x","")</f>
        <v/>
      </c>
      <c r="AB115" s="80" t="str">
        <f>IF(AND(OR(LEFT(TH!N115,2)="15",LEFT(TH!O115,2)="15"),'152-CT'!$J$8=TH!F115),"x","")</f>
        <v/>
      </c>
      <c r="AC115" s="80" t="str">
        <f>IF(AND(OR(LEFT(TH!N115,2)="15",LEFT(TH!O115,2)="15"),TK!$E$7=TH!F115),"x","")</f>
        <v/>
      </c>
      <c r="AD115" s="80" t="str">
        <f>IF(AND(N115="1521",MONTH(C115)='BK-NL'!$M$11),"x","")</f>
        <v/>
      </c>
    </row>
    <row r="116" spans="1:30" ht="15.75" customHeight="1">
      <c r="A116" s="324" t="str">
        <f>IF(B116&lt;&gt;"",IF(AND(B116='IN-TC'!$S$4,OR(TH!N116="1111",TH!O116="1111")),TH!D116,""),"")</f>
        <v/>
      </c>
      <c r="B116" s="63" t="str">
        <f t="shared" si="19"/>
        <v/>
      </c>
      <c r="C116" s="64"/>
      <c r="D116" s="64"/>
      <c r="E116" s="305"/>
      <c r="F116" s="67"/>
      <c r="G116" s="920"/>
      <c r="H116" s="1081"/>
      <c r="I116" s="414"/>
      <c r="J116" s="414"/>
      <c r="K116" s="410"/>
      <c r="L116" s="414"/>
      <c r="M116" s="65"/>
      <c r="N116" s="66"/>
      <c r="O116" s="66"/>
      <c r="P116" s="80" t="str">
        <f>IF(AND('331-CT'!$E$7=TH!H116,OR(N116="331",O116="331")),"x","")</f>
        <v/>
      </c>
      <c r="Q116" s="80" t="str">
        <f>IF(AND(B116='111'!$L$11,OR($N116=$Q$7,$O116=$Q$7)),"x","")</f>
        <v/>
      </c>
      <c r="R116" s="80" t="str">
        <f>IF(AND($N116=$Q$7,$B116&lt;'111'!$L$11),"x","")</f>
        <v/>
      </c>
      <c r="S116" s="80" t="str">
        <f>IF(AND($O116=$Q$7,$B116&lt;'111'!$L$11),"x","")</f>
        <v/>
      </c>
      <c r="T116" s="80" t="str">
        <f>IF(ISERROR(FIND('112'!$M$9,G116,1)),"",IF((AND(FIND('112'!$M$9,G116,1)&gt;=1,B116='112'!$K$9,OR($N116='112'!$I$6,$O116='112'!$I$6))),"x",""))</f>
        <v/>
      </c>
      <c r="U116" s="80" t="str">
        <f>IF(ISERROR(FIND('112'!$M$9,G116,1)),"",IF((AND(LEFT(G116,2)=LEFT('112'!$M$9,2),B116&lt;'112'!$K$9,$N116='112'!$I$6)),"x",""))</f>
        <v/>
      </c>
      <c r="V116" s="80" t="str">
        <f>IF(ISERROR(FIND('112'!$M$9,G116,1)),"",IF((AND(RIGHT(G116,2)=RIGHT('112'!$M$9,2),B116&lt;'112'!$K$9,$O116='112'!$I$6)),"x",""))</f>
        <v/>
      </c>
      <c r="W116" s="80" t="str">
        <f>IF(AND('341-CT'!$H$9=H116,OR(LEFT(N116,3)=$W$7,LEFT(O116,3)=$W$7)),"x","")</f>
        <v/>
      </c>
      <c r="X116" s="80" t="str">
        <f>IF(OR(TH!N116=TH!$X$7,O116=TH!$X$7),"x","")</f>
        <v/>
      </c>
      <c r="Y116" s="80" t="str">
        <f>IF(AND(OR(N116="131",O116="131"),H116='131-CT'!$H$9),"x","")</f>
        <v/>
      </c>
      <c r="Z116" s="80"/>
      <c r="AA116" s="80" t="str">
        <f>IF(AND(MONTH(E116)='IN-NX'!$J$5,'IN-NX'!$D$7=D116),"x","")</f>
        <v/>
      </c>
      <c r="AB116" s="80" t="str">
        <f>IF(AND(OR(LEFT(TH!N116,2)="15",LEFT(TH!O116,2)="15"),'152-CT'!$J$8=TH!F116),"x","")</f>
        <v/>
      </c>
      <c r="AC116" s="80" t="str">
        <f>IF(AND(OR(LEFT(TH!N116,2)="15",LEFT(TH!O116,2)="15"),TK!$E$7=TH!F116),"x","")</f>
        <v/>
      </c>
      <c r="AD116" s="80" t="str">
        <f>IF(AND(N116="1521",MONTH(C116)='BK-NL'!$M$11),"x","")</f>
        <v/>
      </c>
    </row>
    <row r="117" spans="1:30" ht="15.75" customHeight="1">
      <c r="A117" s="324" t="str">
        <f>IF(B117&lt;&gt;"",IF(AND(B117='IN-TC'!$S$4,OR(TH!N117="1111",TH!O117="1111")),TH!D117,""),"")</f>
        <v/>
      </c>
      <c r="B117" s="63" t="str">
        <f t="shared" si="19"/>
        <v/>
      </c>
      <c r="C117" s="305"/>
      <c r="D117" s="64"/>
      <c r="E117" s="305"/>
      <c r="F117" s="67"/>
      <c r="G117" s="920"/>
      <c r="H117" s="1081"/>
      <c r="I117" s="414"/>
      <c r="J117" s="414"/>
      <c r="K117" s="410"/>
      <c r="L117" s="414"/>
      <c r="M117" s="65"/>
      <c r="N117" s="66"/>
      <c r="O117" s="66"/>
      <c r="P117" s="80" t="str">
        <f>IF(AND('331-CT'!$E$7=TH!H117,OR(N117="331",O117="331")),"x","")</f>
        <v/>
      </c>
      <c r="Q117" s="80" t="str">
        <f>IF(AND(B117='111'!$L$11,OR($N117=$Q$7,$O117=$Q$7)),"x","")</f>
        <v/>
      </c>
      <c r="R117" s="80" t="str">
        <f>IF(AND($N117=$Q$7,$B117&lt;'111'!$L$11),"x","")</f>
        <v/>
      </c>
      <c r="S117" s="80" t="str">
        <f>IF(AND($O117=$Q$7,$B117&lt;'111'!$L$11),"x","")</f>
        <v/>
      </c>
      <c r="T117" s="80" t="str">
        <f>IF(ISERROR(FIND('112'!$M$9,G117,1)),"",IF((AND(FIND('112'!$M$9,G117,1)&gt;=1,B117='112'!$K$9,OR($N117='112'!$I$6,$O117='112'!$I$6))),"x",""))</f>
        <v/>
      </c>
      <c r="U117" s="80" t="str">
        <f>IF(ISERROR(FIND('112'!$M$9,G117,1)),"",IF((AND(LEFT(G117,2)=LEFT('112'!$M$9,2),B117&lt;'112'!$K$9,$N117='112'!$I$6)),"x",""))</f>
        <v/>
      </c>
      <c r="V117" s="80" t="str">
        <f>IF(ISERROR(FIND('112'!$M$9,G117,1)),"",IF((AND(RIGHT(G117,2)=RIGHT('112'!$M$9,2),B117&lt;'112'!$K$9,$O117='112'!$I$6)),"x",""))</f>
        <v/>
      </c>
      <c r="W117" s="80" t="str">
        <f>IF(AND('341-CT'!$H$9=H117,OR(LEFT(N117,3)=$W$7,LEFT(O117,3)=$W$7)),"x","")</f>
        <v/>
      </c>
      <c r="X117" s="80" t="str">
        <f>IF(OR(TH!N117=TH!$X$7,O117=TH!$X$7),"x","")</f>
        <v/>
      </c>
      <c r="Y117" s="80" t="str">
        <f>IF(AND(OR(N117="131",O117="131"),H117='131-CT'!$H$9),"x","")</f>
        <v/>
      </c>
      <c r="Z117" s="80"/>
      <c r="AA117" s="80" t="str">
        <f>IF(AND(MONTH(E117)='IN-NX'!$J$5,'IN-NX'!$D$7=D117),"x","")</f>
        <v/>
      </c>
      <c r="AB117" s="80" t="str">
        <f>IF(AND(OR(LEFT(TH!N117,2)="15",LEFT(TH!O117,2)="15"),'152-CT'!$J$8=TH!F117),"x","")</f>
        <v/>
      </c>
      <c r="AC117" s="80" t="str">
        <f>IF(AND(OR(LEFT(TH!N117,2)="15",LEFT(TH!O117,2)="15"),TK!$E$7=TH!F117),"x","")</f>
        <v/>
      </c>
      <c r="AD117" s="80" t="str">
        <f>IF(AND(N117="1521",MONTH(C117)='BK-NL'!$M$11),"x","")</f>
        <v/>
      </c>
    </row>
    <row r="118" spans="1:30" ht="15.75" customHeight="1">
      <c r="A118" s="324" t="str">
        <f>IF(B118&lt;&gt;"",IF(AND(B118='IN-TC'!$S$4,OR(TH!N118="1111",TH!O118="1111")),TH!D118,""),"")</f>
        <v/>
      </c>
      <c r="B118" s="63" t="str">
        <f t="shared" si="19"/>
        <v/>
      </c>
      <c r="C118" s="305"/>
      <c r="D118" s="64"/>
      <c r="E118" s="305"/>
      <c r="F118" s="67"/>
      <c r="G118" s="67"/>
      <c r="H118" s="1079"/>
      <c r="I118" s="414"/>
      <c r="J118" s="414"/>
      <c r="K118" s="410"/>
      <c r="L118" s="414"/>
      <c r="M118" s="65"/>
      <c r="N118" s="66"/>
      <c r="O118" s="66"/>
      <c r="P118" s="80" t="str">
        <f>IF(AND('331-CT'!$E$7=TH!H118,OR(N118="331",O118="331")),"x","")</f>
        <v/>
      </c>
      <c r="Q118" s="80" t="str">
        <f>IF(AND(B118='111'!$L$11,OR($N118=$Q$7,$O118=$Q$7)),"x","")</f>
        <v/>
      </c>
      <c r="R118" s="80" t="str">
        <f>IF(AND($N118=$Q$7,$B118&lt;'111'!$L$11),"x","")</f>
        <v/>
      </c>
      <c r="S118" s="80" t="str">
        <f>IF(AND($O118=$Q$7,$B118&lt;'111'!$L$11),"x","")</f>
        <v/>
      </c>
      <c r="T118" s="80" t="str">
        <f>IF(ISERROR(FIND('112'!$M$9,G118,1)),"",IF((AND(FIND('112'!$M$9,G118,1)&gt;=1,B118='112'!$K$9,OR($N118='112'!$I$6,$O118='112'!$I$6))),"x",""))</f>
        <v/>
      </c>
      <c r="U118" s="80" t="str">
        <f>IF(ISERROR(FIND('112'!$M$9,G118,1)),"",IF((AND(LEFT(G118,2)=LEFT('112'!$M$9,2),B118&lt;'112'!$K$9,$N118='112'!$I$6)),"x",""))</f>
        <v/>
      </c>
      <c r="V118" s="80" t="str">
        <f>IF(ISERROR(FIND('112'!$M$9,G118,1)),"",IF((AND(RIGHT(G118,2)=RIGHT('112'!$M$9,2),B118&lt;'112'!$K$9,$O118='112'!$I$6)),"x",""))</f>
        <v/>
      </c>
      <c r="W118" s="80" t="str">
        <f>IF(AND('341-CT'!$H$9=H118,OR(LEFT(N118,3)=$W$7,LEFT(O118,3)=$W$7)),"x","")</f>
        <v/>
      </c>
      <c r="X118" s="80" t="str">
        <f>IF(OR(TH!N118=TH!$X$7,O118=TH!$X$7),"x","")</f>
        <v/>
      </c>
      <c r="Y118" s="80" t="str">
        <f>IF(AND(OR(N118="131",O118="131"),H118='131-CT'!$H$9),"x","")</f>
        <v/>
      </c>
      <c r="Z118" s="80"/>
      <c r="AA118" s="80" t="str">
        <f>IF(AND(MONTH(E118)='IN-NX'!$J$5,'IN-NX'!$D$7=D118),"x","")</f>
        <v/>
      </c>
      <c r="AB118" s="80" t="str">
        <f>IF(AND(OR(LEFT(TH!N118,2)="15",LEFT(TH!O118,2)="15"),'152-CT'!$J$8=TH!F118),"x","")</f>
        <v/>
      </c>
      <c r="AC118" s="80" t="str">
        <f>IF(AND(OR(LEFT(TH!N118,2)="15",LEFT(TH!O118,2)="15"),TK!$E$7=TH!F118),"x","")</f>
        <v/>
      </c>
      <c r="AD118" s="80" t="str">
        <f>IF(AND(N118="1521",MONTH(C118)='BK-NL'!$M$11),"x","")</f>
        <v/>
      </c>
    </row>
    <row r="119" spans="1:30" ht="15.75" customHeight="1">
      <c r="A119" s="324" t="str">
        <f>IF(B119&lt;&gt;"",IF(AND(B119='IN-TC'!$S$4,OR(TH!N119="1111",TH!O119="1111")),TH!D119,""),"")</f>
        <v/>
      </c>
      <c r="B119" s="63" t="str">
        <f t="shared" si="19"/>
        <v/>
      </c>
      <c r="C119" s="305"/>
      <c r="D119" s="64"/>
      <c r="E119" s="305"/>
      <c r="F119" s="67"/>
      <c r="G119" s="67"/>
      <c r="H119" s="1079"/>
      <c r="I119" s="414"/>
      <c r="J119" s="414"/>
      <c r="K119" s="410"/>
      <c r="L119" s="414"/>
      <c r="M119" s="65"/>
      <c r="N119" s="66"/>
      <c r="O119" s="66"/>
      <c r="P119" s="80" t="str">
        <f>IF(AND('331-CT'!$E$7=TH!H119,OR(N119="331",O119="331")),"x","")</f>
        <v/>
      </c>
      <c r="Q119" s="80" t="str">
        <f>IF(AND(B119='111'!$L$11,OR($N119=$Q$7,$O119=$Q$7)),"x","")</f>
        <v/>
      </c>
      <c r="R119" s="80" t="str">
        <f>IF(AND($N119=$Q$7,$B119&lt;'111'!$L$11),"x","")</f>
        <v/>
      </c>
      <c r="S119" s="80" t="str">
        <f>IF(AND($O119=$Q$7,$B119&lt;'111'!$L$11),"x","")</f>
        <v/>
      </c>
      <c r="T119" s="80" t="str">
        <f>IF(ISERROR(FIND('112'!$M$9,G119,1)),"",IF((AND(FIND('112'!$M$9,G119,1)&gt;=1,B119='112'!$K$9,OR($N119='112'!$I$6,$O119='112'!$I$6))),"x",""))</f>
        <v/>
      </c>
      <c r="U119" s="80" t="str">
        <f>IF(ISERROR(FIND('112'!$M$9,G119,1)),"",IF((AND(LEFT(G119,2)=LEFT('112'!$M$9,2),B119&lt;'112'!$K$9,$N119='112'!$I$6)),"x",""))</f>
        <v/>
      </c>
      <c r="V119" s="80" t="str">
        <f>IF(ISERROR(FIND('112'!$M$9,G119,1)),"",IF((AND(RIGHT(G119,2)=RIGHT('112'!$M$9,2),B119&lt;'112'!$K$9,$O119='112'!$I$6)),"x",""))</f>
        <v/>
      </c>
      <c r="W119" s="80" t="str">
        <f>IF(AND('341-CT'!$H$9=H119,OR(LEFT(N119,3)=$W$7,LEFT(O119,3)=$W$7)),"x","")</f>
        <v/>
      </c>
      <c r="X119" s="80" t="str">
        <f>IF(OR(TH!N119=TH!$X$7,O119=TH!$X$7),"x","")</f>
        <v/>
      </c>
      <c r="Y119" s="80" t="str">
        <f>IF(AND(OR(N119="131",O119="131"),H119='131-CT'!$H$9),"x","")</f>
        <v/>
      </c>
      <c r="Z119" s="80"/>
      <c r="AA119" s="80" t="str">
        <f>IF(AND(MONTH(E119)='IN-NX'!$J$5,'IN-NX'!$D$7=D119),"x","")</f>
        <v/>
      </c>
      <c r="AB119" s="80" t="str">
        <f>IF(AND(OR(LEFT(TH!N119,2)="15",LEFT(TH!O119,2)="15"),'152-CT'!$J$8=TH!F119),"x","")</f>
        <v/>
      </c>
      <c r="AC119" s="80" t="str">
        <f>IF(AND(OR(LEFT(TH!N119,2)="15",LEFT(TH!O119,2)="15"),TK!$E$7=TH!F119),"x","")</f>
        <v/>
      </c>
      <c r="AD119" s="80" t="str">
        <f>IF(AND(N119="1521",MONTH(C119)='BK-NL'!$M$11),"x","")</f>
        <v/>
      </c>
    </row>
    <row r="120" spans="1:30" ht="15.75" customHeight="1">
      <c r="A120" s="324" t="str">
        <f>IF(B120&lt;&gt;"",IF(AND(B120='IN-TC'!$S$4,OR(TH!N120="1111",TH!O120="1111")),TH!D120,""),"")</f>
        <v/>
      </c>
      <c r="B120" s="63" t="str">
        <f t="shared" si="19"/>
        <v/>
      </c>
      <c r="C120" s="305"/>
      <c r="D120" s="64"/>
      <c r="E120" s="305"/>
      <c r="F120" s="67"/>
      <c r="G120" s="67"/>
      <c r="H120" s="1081"/>
      <c r="I120" s="414"/>
      <c r="J120" s="414"/>
      <c r="K120" s="410"/>
      <c r="L120" s="414"/>
      <c r="M120" s="65"/>
      <c r="N120" s="66"/>
      <c r="O120" s="66"/>
      <c r="P120" s="80" t="str">
        <f>IF(AND('331-CT'!$E$7=TH!H120,OR(N120="331",O120="331")),"x","")</f>
        <v/>
      </c>
      <c r="Q120" s="80" t="str">
        <f>IF(AND(B120='111'!$L$11,OR($N120=$Q$7,$O120=$Q$7)),"x","")</f>
        <v/>
      </c>
      <c r="R120" s="80" t="str">
        <f>IF(AND($N120=$Q$7,$B120&lt;'111'!$L$11),"x","")</f>
        <v/>
      </c>
      <c r="S120" s="80" t="str">
        <f>IF(AND($O120=$Q$7,$B120&lt;'111'!$L$11),"x","")</f>
        <v/>
      </c>
      <c r="T120" s="80" t="str">
        <f>IF(ISERROR(FIND('112'!$M$9,G120,1)),"",IF((AND(FIND('112'!$M$9,G120,1)&gt;=1,B120='112'!$K$9,OR($N120='112'!$I$6,$O120='112'!$I$6))),"x",""))</f>
        <v/>
      </c>
      <c r="U120" s="80" t="str">
        <f>IF(ISERROR(FIND('112'!$M$9,G120,1)),"",IF((AND(LEFT(G120,2)=LEFT('112'!$M$9,2),B120&lt;'112'!$K$9,$N120='112'!$I$6)),"x",""))</f>
        <v/>
      </c>
      <c r="V120" s="80" t="str">
        <f>IF(ISERROR(FIND('112'!$M$9,G120,1)),"",IF((AND(RIGHT(G120,2)=RIGHT('112'!$M$9,2),B120&lt;'112'!$K$9,$O120='112'!$I$6)),"x",""))</f>
        <v/>
      </c>
      <c r="W120" s="80" t="str">
        <f>IF(AND('341-CT'!$H$9=H120,OR(LEFT(N120,3)=$W$7,LEFT(O120,3)=$W$7)),"x","")</f>
        <v/>
      </c>
      <c r="X120" s="80" t="str">
        <f>IF(OR(TH!N120=TH!$X$7,O120=TH!$X$7),"x","")</f>
        <v/>
      </c>
      <c r="Y120" s="80" t="str">
        <f>IF(AND(OR(N120="131",O120="131"),H120='131-CT'!$H$9),"x","")</f>
        <v/>
      </c>
      <c r="Z120" s="80"/>
      <c r="AA120" s="80" t="str">
        <f>IF(AND(MONTH(E120)='IN-NX'!$J$5,'IN-NX'!$D$7=D120),"x","")</f>
        <v/>
      </c>
      <c r="AB120" s="80" t="str">
        <f>IF(AND(OR(LEFT(TH!N120,2)="15",LEFT(TH!O120,2)="15"),'152-CT'!$J$8=TH!F120),"x","")</f>
        <v/>
      </c>
      <c r="AC120" s="80" t="str">
        <f>IF(AND(OR(LEFT(TH!N120,2)="15",LEFT(TH!O120,2)="15"),TK!$E$7=TH!F120),"x","")</f>
        <v/>
      </c>
      <c r="AD120" s="80" t="str">
        <f>IF(AND(N120="1521",MONTH(C120)='BK-NL'!$M$11),"x","")</f>
        <v/>
      </c>
    </row>
    <row r="121" spans="1:30" ht="15.75" customHeight="1">
      <c r="A121" s="324" t="str">
        <f>IF(B121&lt;&gt;"",IF(AND(B121='IN-TC'!$S$4,OR(TH!N121="1111",TH!O121="1111")),TH!D121,""),"")</f>
        <v/>
      </c>
      <c r="B121" s="63" t="str">
        <f t="shared" si="19"/>
        <v/>
      </c>
      <c r="C121" s="305"/>
      <c r="D121" s="64"/>
      <c r="E121" s="305"/>
      <c r="F121" s="67"/>
      <c r="G121" s="67"/>
      <c r="H121" s="1079"/>
      <c r="I121" s="414"/>
      <c r="J121" s="414"/>
      <c r="K121" s="410"/>
      <c r="L121" s="414"/>
      <c r="M121" s="65"/>
      <c r="N121" s="66"/>
      <c r="O121" s="66"/>
      <c r="P121" s="80" t="str">
        <f>IF(AND('331-CT'!$E$7=TH!H121,OR(N121="331",O121="331")),"x","")</f>
        <v/>
      </c>
      <c r="Q121" s="80" t="str">
        <f>IF(AND(B121='111'!$L$11,OR($N121=$Q$7,$O121=$Q$7)),"x","")</f>
        <v/>
      </c>
      <c r="R121" s="80" t="str">
        <f>IF(AND($N121=$Q$7,$B121&lt;'111'!$L$11),"x","")</f>
        <v/>
      </c>
      <c r="S121" s="80" t="str">
        <f>IF(AND($O121=$Q$7,$B121&lt;'111'!$L$11),"x","")</f>
        <v/>
      </c>
      <c r="T121" s="80" t="str">
        <f>IF(ISERROR(FIND('112'!$M$9,G121,1)),"",IF((AND(FIND('112'!$M$9,G121,1)&gt;=1,B121='112'!$K$9,OR($N121='112'!$I$6,$O121='112'!$I$6))),"x",""))</f>
        <v/>
      </c>
      <c r="U121" s="80" t="str">
        <f>IF(ISERROR(FIND('112'!$M$9,G121,1)),"",IF((AND(LEFT(G121,2)=LEFT('112'!$M$9,2),B121&lt;'112'!$K$9,$N121='112'!$I$6)),"x",""))</f>
        <v/>
      </c>
      <c r="V121" s="80" t="str">
        <f>IF(ISERROR(FIND('112'!$M$9,G121,1)),"",IF((AND(RIGHT(G121,2)=RIGHT('112'!$M$9,2),B121&lt;'112'!$K$9,$O121='112'!$I$6)),"x",""))</f>
        <v/>
      </c>
      <c r="W121" s="80" t="str">
        <f>IF(AND('341-CT'!$H$9=H121,OR(LEFT(N121,3)=$W$7,LEFT(O121,3)=$W$7)),"x","")</f>
        <v/>
      </c>
      <c r="X121" s="80" t="str">
        <f>IF(OR(TH!N121=TH!$X$7,O121=TH!$X$7),"x","")</f>
        <v/>
      </c>
      <c r="Y121" s="80" t="str">
        <f>IF(AND(OR(N121="131",O121="131"),H121='131-CT'!$H$9),"x","")</f>
        <v/>
      </c>
      <c r="Z121" s="80"/>
      <c r="AA121" s="80" t="str">
        <f>IF(AND(MONTH(E121)='IN-NX'!$J$5,'IN-NX'!$D$7=D121),"x","")</f>
        <v/>
      </c>
      <c r="AB121" s="80" t="str">
        <f>IF(AND(OR(LEFT(TH!N121,2)="15",LEFT(TH!O121,2)="15"),'152-CT'!$J$8=TH!F121),"x","")</f>
        <v/>
      </c>
      <c r="AC121" s="80" t="str">
        <f>IF(AND(OR(LEFT(TH!N121,2)="15",LEFT(TH!O121,2)="15"),TK!$E$7=TH!F121),"x","")</f>
        <v/>
      </c>
      <c r="AD121" s="80" t="str">
        <f>IF(AND(N121="1521",MONTH(C121)='BK-NL'!$M$11),"x","")</f>
        <v/>
      </c>
    </row>
    <row r="122" spans="1:30" ht="15.75" customHeight="1">
      <c r="A122" s="324" t="str">
        <f>IF(B122&lt;&gt;"",IF(AND(B122='IN-TC'!$S$4,OR(TH!N122="1111",TH!O122="1111")),TH!D122,""),"")</f>
        <v/>
      </c>
      <c r="B122" s="63" t="str">
        <f t="shared" si="19"/>
        <v/>
      </c>
      <c r="C122" s="305"/>
      <c r="D122" s="64"/>
      <c r="E122" s="305"/>
      <c r="F122" s="67"/>
      <c r="G122" s="67"/>
      <c r="H122" s="1079"/>
      <c r="I122" s="414"/>
      <c r="J122" s="414"/>
      <c r="K122" s="410"/>
      <c r="L122" s="414"/>
      <c r="M122" s="65"/>
      <c r="N122" s="66"/>
      <c r="O122" s="66"/>
      <c r="P122" s="80" t="str">
        <f>IF(AND('331-CT'!$E$7=TH!H122,OR(N122="331",O122="331")),"x","")</f>
        <v/>
      </c>
      <c r="Q122" s="80" t="str">
        <f>IF(AND(B122='111'!$L$11,OR($N122=$Q$7,$O122=$Q$7)),"x","")</f>
        <v/>
      </c>
      <c r="R122" s="80" t="str">
        <f>IF(AND($N122=$Q$7,$B122&lt;'111'!$L$11),"x","")</f>
        <v/>
      </c>
      <c r="S122" s="80" t="str">
        <f>IF(AND($O122=$Q$7,$B122&lt;'111'!$L$11),"x","")</f>
        <v/>
      </c>
      <c r="T122" s="80" t="str">
        <f>IF(ISERROR(FIND('112'!$M$9,G122,1)),"",IF((AND(FIND('112'!$M$9,G122,1)&gt;=1,B122='112'!$K$9,OR($N122='112'!$I$6,$O122='112'!$I$6))),"x",""))</f>
        <v/>
      </c>
      <c r="U122" s="80" t="str">
        <f>IF(ISERROR(FIND('112'!$M$9,G122,1)),"",IF((AND(LEFT(G122,2)=LEFT('112'!$M$9,2),B122&lt;'112'!$K$9,$N122='112'!$I$6)),"x",""))</f>
        <v/>
      </c>
      <c r="V122" s="80" t="str">
        <f>IF(ISERROR(FIND('112'!$M$9,G122,1)),"",IF((AND(RIGHT(G122,2)=RIGHT('112'!$M$9,2),B122&lt;'112'!$K$9,$O122='112'!$I$6)),"x",""))</f>
        <v/>
      </c>
      <c r="W122" s="80" t="str">
        <f>IF(AND('341-CT'!$H$9=H122,OR(LEFT(N122,3)=$W$7,LEFT(O122,3)=$W$7)),"x","")</f>
        <v/>
      </c>
      <c r="X122" s="80" t="str">
        <f>IF(OR(TH!N122=TH!$X$7,O122=TH!$X$7),"x","")</f>
        <v/>
      </c>
      <c r="Y122" s="80" t="str">
        <f>IF(AND(OR(N122="131",O122="131"),H122='131-CT'!$H$9),"x","")</f>
        <v/>
      </c>
      <c r="Z122" s="80"/>
      <c r="AA122" s="80" t="str">
        <f>IF(AND(MONTH(E122)='IN-NX'!$J$5,'IN-NX'!$D$7=D122),"x","")</f>
        <v/>
      </c>
      <c r="AB122" s="80" t="str">
        <f>IF(AND(OR(LEFT(TH!N122,2)="15",LEFT(TH!O122,2)="15"),'152-CT'!$J$8=TH!F122),"x","")</f>
        <v/>
      </c>
      <c r="AC122" s="80" t="str">
        <f>IF(AND(OR(LEFT(TH!N122,2)="15",LEFT(TH!O122,2)="15"),TK!$E$7=TH!F122),"x","")</f>
        <v/>
      </c>
      <c r="AD122" s="80" t="str">
        <f>IF(AND(N122="1521",MONTH(C122)='BK-NL'!$M$11),"x","")</f>
        <v/>
      </c>
    </row>
    <row r="123" spans="1:30" ht="15.75" customHeight="1">
      <c r="A123" s="324" t="str">
        <f>IF(B123&lt;&gt;"",IF(AND(B123='IN-TC'!$S$4,OR(TH!N123="1111",TH!O123="1111")),TH!D123,""),"")</f>
        <v/>
      </c>
      <c r="B123" s="63" t="str">
        <f t="shared" si="19"/>
        <v/>
      </c>
      <c r="C123" s="305"/>
      <c r="D123" s="64"/>
      <c r="E123" s="64"/>
      <c r="F123" s="67"/>
      <c r="G123" s="920"/>
      <c r="H123" s="1079"/>
      <c r="I123" s="414"/>
      <c r="J123" s="414"/>
      <c r="K123" s="410"/>
      <c r="L123" s="414"/>
      <c r="M123" s="65"/>
      <c r="N123" s="66"/>
      <c r="O123" s="66"/>
      <c r="P123" s="80" t="str">
        <f>IF(AND('331-CT'!$E$7=TH!H123,OR(N123="331",O123="331")),"x","")</f>
        <v/>
      </c>
      <c r="Q123" s="80" t="str">
        <f>IF(AND(B123='111'!$L$11,OR($N123=$Q$7,$O123=$Q$7)),"x","")</f>
        <v/>
      </c>
      <c r="R123" s="80" t="str">
        <f>IF(AND($N123=$Q$7,$B123&lt;'111'!$L$11),"x","")</f>
        <v/>
      </c>
      <c r="S123" s="80" t="str">
        <f>IF(AND($O123=$Q$7,$B123&lt;'111'!$L$11),"x","")</f>
        <v/>
      </c>
      <c r="T123" s="80" t="str">
        <f>IF(ISERROR(FIND('112'!$M$9,G123,1)),"",IF((AND(FIND('112'!$M$9,G123,1)&gt;=1,B123='112'!$K$9,OR($N123='112'!$I$6,$O123='112'!$I$6))),"x",""))</f>
        <v/>
      </c>
      <c r="U123" s="80" t="str">
        <f>IF(ISERROR(FIND('112'!$M$9,G123,1)),"",IF((AND(LEFT(G123,2)=LEFT('112'!$M$9,2),B123&lt;'112'!$K$9,$N123='112'!$I$6)),"x",""))</f>
        <v/>
      </c>
      <c r="V123" s="80" t="str">
        <f>IF(ISERROR(FIND('112'!$M$9,G123,1)),"",IF((AND(RIGHT(G123,2)=RIGHT('112'!$M$9,2),B123&lt;'112'!$K$9,$O123='112'!$I$6)),"x",""))</f>
        <v/>
      </c>
      <c r="W123" s="80" t="str">
        <f>IF(AND('341-CT'!$H$9=H123,OR(LEFT(N123,3)=$W$7,LEFT(O123,3)=$W$7)),"x","")</f>
        <v/>
      </c>
      <c r="X123" s="80" t="str">
        <f>IF(OR(TH!N123=TH!$X$7,O123=TH!$X$7),"x","")</f>
        <v/>
      </c>
      <c r="Y123" s="80" t="str">
        <f>IF(AND(OR(N123="131",O123="131"),H123='131-CT'!$H$9),"x","")</f>
        <v/>
      </c>
      <c r="Z123" s="80"/>
      <c r="AA123" s="80" t="str">
        <f>IF(AND(MONTH(E123)='IN-NX'!$J$5,'IN-NX'!$D$7=D123),"x","")</f>
        <v/>
      </c>
      <c r="AB123" s="80" t="str">
        <f>IF(AND(OR(LEFT(TH!N123,2)="15",LEFT(TH!O123,2)="15"),'152-CT'!$J$8=TH!F123),"x","")</f>
        <v/>
      </c>
      <c r="AC123" s="80" t="str">
        <f>IF(AND(OR(LEFT(TH!N123,2)="15",LEFT(TH!O123,2)="15"),TK!$E$7=TH!F123),"x","")</f>
        <v/>
      </c>
      <c r="AD123" s="80" t="str">
        <f>IF(AND(N123="1521",MONTH(C123)='BK-NL'!$M$11),"x","")</f>
        <v/>
      </c>
    </row>
    <row r="124" spans="1:30" ht="15.75" customHeight="1">
      <c r="A124" s="324" t="str">
        <f>IF(B124&lt;&gt;"",IF(AND(B124='IN-TC'!$S$4,OR(TH!N124="1111",TH!O124="1111")),TH!D124,""),"")</f>
        <v/>
      </c>
      <c r="B124" s="63" t="str">
        <f t="shared" si="19"/>
        <v/>
      </c>
      <c r="C124" s="305"/>
      <c r="D124" s="64"/>
      <c r="E124" s="64"/>
      <c r="F124" s="67"/>
      <c r="G124" s="920"/>
      <c r="H124" s="1079"/>
      <c r="I124" s="414"/>
      <c r="J124" s="414"/>
      <c r="K124" s="410"/>
      <c r="L124" s="414"/>
      <c r="M124" s="65"/>
      <c r="N124" s="66"/>
      <c r="O124" s="66"/>
      <c r="P124" s="80" t="str">
        <f>IF(AND('331-CT'!$E$7=TH!H124,OR(N124="331",O124="331")),"x","")</f>
        <v/>
      </c>
      <c r="Q124" s="80" t="str">
        <f>IF(AND(B124='111'!$L$11,OR($N124=$Q$7,$O124=$Q$7)),"x","")</f>
        <v/>
      </c>
      <c r="R124" s="80" t="str">
        <f>IF(AND($N124=$Q$7,$B124&lt;'111'!$L$11),"x","")</f>
        <v/>
      </c>
      <c r="S124" s="80" t="str">
        <f>IF(AND($O124=$Q$7,$B124&lt;'111'!$L$11),"x","")</f>
        <v/>
      </c>
      <c r="T124" s="80" t="str">
        <f>IF(ISERROR(FIND('112'!$M$9,G124,1)),"",IF((AND(FIND('112'!$M$9,G124,1)&gt;=1,B124='112'!$K$9,OR($N124='112'!$I$6,$O124='112'!$I$6))),"x",""))</f>
        <v/>
      </c>
      <c r="U124" s="80" t="str">
        <f>IF(ISERROR(FIND('112'!$M$9,G124,1)),"",IF((AND(LEFT(G124,2)=LEFT('112'!$M$9,2),B124&lt;'112'!$K$9,$N124='112'!$I$6)),"x",""))</f>
        <v/>
      </c>
      <c r="V124" s="80" t="str">
        <f>IF(ISERROR(FIND('112'!$M$9,G124,1)),"",IF((AND(RIGHT(G124,2)=RIGHT('112'!$M$9,2),B124&lt;'112'!$K$9,$O124='112'!$I$6)),"x",""))</f>
        <v/>
      </c>
      <c r="W124" s="80" t="str">
        <f>IF(AND('341-CT'!$H$9=H124,OR(LEFT(N124,3)=$W$7,LEFT(O124,3)=$W$7)),"x","")</f>
        <v/>
      </c>
      <c r="X124" s="80" t="str">
        <f>IF(OR(TH!N124=TH!$X$7,O124=TH!$X$7),"x","")</f>
        <v/>
      </c>
      <c r="Y124" s="80" t="str">
        <f>IF(AND(OR(N124="131",O124="131"),H124='131-CT'!$H$9),"x","")</f>
        <v/>
      </c>
      <c r="Z124" s="80"/>
      <c r="AA124" s="80" t="str">
        <f>IF(AND(MONTH(E124)='IN-NX'!$J$5,'IN-NX'!$D$7=D124),"x","")</f>
        <v/>
      </c>
      <c r="AB124" s="80" t="str">
        <f>IF(AND(OR(LEFT(TH!N124,2)="15",LEFT(TH!O124,2)="15"),'152-CT'!$J$8=TH!F124),"x","")</f>
        <v/>
      </c>
      <c r="AC124" s="80" t="str">
        <f>IF(AND(OR(LEFT(TH!N124,2)="15",LEFT(TH!O124,2)="15"),TK!$E$7=TH!F124),"x","")</f>
        <v/>
      </c>
      <c r="AD124" s="80" t="str">
        <f>IF(AND(N124="1521",MONTH(C124)='BK-NL'!$M$11),"x","")</f>
        <v/>
      </c>
    </row>
    <row r="125" spans="1:30" ht="15.75" customHeight="1">
      <c r="A125" s="324" t="str">
        <f>IF(B125&lt;&gt;"",IF(AND(B125='IN-TC'!$S$4,OR(TH!N125="1111",TH!O125="1111")),TH!D125,""),"")</f>
        <v/>
      </c>
      <c r="B125" s="63" t="str">
        <f t="shared" si="19"/>
        <v/>
      </c>
      <c r="C125" s="305"/>
      <c r="D125" s="64"/>
      <c r="E125" s="64"/>
      <c r="F125" s="67"/>
      <c r="G125" s="920"/>
      <c r="H125" s="1079"/>
      <c r="I125" s="414"/>
      <c r="J125" s="414"/>
      <c r="K125" s="410"/>
      <c r="L125" s="414"/>
      <c r="M125" s="65"/>
      <c r="N125" s="66"/>
      <c r="O125" s="66"/>
      <c r="P125" s="80" t="str">
        <f>IF(AND('331-CT'!$E$7=TH!H125,OR(N125="331",O125="331")),"x","")</f>
        <v/>
      </c>
      <c r="Q125" s="80" t="str">
        <f>IF(AND(B125='111'!$L$11,OR($N125=$Q$7,$O125=$Q$7)),"x","")</f>
        <v/>
      </c>
      <c r="R125" s="80" t="str">
        <f>IF(AND($N125=$Q$7,$B125&lt;'111'!$L$11),"x","")</f>
        <v/>
      </c>
      <c r="S125" s="80" t="str">
        <f>IF(AND($O125=$Q$7,$B125&lt;'111'!$L$11),"x","")</f>
        <v/>
      </c>
      <c r="T125" s="80" t="str">
        <f>IF(ISERROR(FIND('112'!$M$9,G125,1)),"",IF((AND(FIND('112'!$M$9,G125,1)&gt;=1,B125='112'!$K$9,OR($N125='112'!$I$6,$O125='112'!$I$6))),"x",""))</f>
        <v/>
      </c>
      <c r="U125" s="80" t="str">
        <f>IF(ISERROR(FIND('112'!$M$9,G125,1)),"",IF((AND(LEFT(G125,2)=LEFT('112'!$M$9,2),B125&lt;'112'!$K$9,$N125='112'!$I$6)),"x",""))</f>
        <v/>
      </c>
      <c r="V125" s="80" t="str">
        <f>IF(ISERROR(FIND('112'!$M$9,G125,1)),"",IF((AND(RIGHT(G125,2)=RIGHT('112'!$M$9,2),B125&lt;'112'!$K$9,$O125='112'!$I$6)),"x",""))</f>
        <v/>
      </c>
      <c r="W125" s="80" t="str">
        <f>IF(AND('341-CT'!$H$9=H125,OR(LEFT(N125,3)=$W$7,LEFT(O125,3)=$W$7)),"x","")</f>
        <v/>
      </c>
      <c r="X125" s="80" t="str">
        <f>IF(OR(TH!N125=TH!$X$7,O125=TH!$X$7),"x","")</f>
        <v/>
      </c>
      <c r="Y125" s="80" t="str">
        <f>IF(AND(OR(N125="131",O125="131"),H125='131-CT'!$H$9),"x","")</f>
        <v/>
      </c>
      <c r="Z125" s="80"/>
      <c r="AA125" s="80" t="str">
        <f>IF(AND(MONTH(E125)='IN-NX'!$J$5,'IN-NX'!$D$7=D125),"x","")</f>
        <v/>
      </c>
      <c r="AB125" s="80" t="str">
        <f>IF(AND(OR(LEFT(TH!N125,2)="15",LEFT(TH!O125,2)="15"),'152-CT'!$J$8=TH!F125),"x","")</f>
        <v/>
      </c>
      <c r="AC125" s="80" t="str">
        <f>IF(AND(OR(LEFT(TH!N125,2)="15",LEFT(TH!O125,2)="15"),TK!$E$7=TH!F125),"x","")</f>
        <v/>
      </c>
      <c r="AD125" s="80" t="str">
        <f>IF(AND(N125="1521",MONTH(C125)='BK-NL'!$M$11),"x","")</f>
        <v/>
      </c>
    </row>
    <row r="126" spans="1:30" ht="15.75" customHeight="1">
      <c r="A126" s="324" t="str">
        <f>IF(B126&lt;&gt;"",IF(AND(B126='IN-TC'!$S$4,OR(TH!N126="1111",TH!O126="1111")),TH!D126,""),"")</f>
        <v/>
      </c>
      <c r="B126" s="63" t="str">
        <f t="shared" si="19"/>
        <v/>
      </c>
      <c r="C126" s="305"/>
      <c r="D126" s="64"/>
      <c r="E126" s="64"/>
      <c r="F126" s="67"/>
      <c r="G126" s="920"/>
      <c r="H126" s="1079"/>
      <c r="I126" s="414"/>
      <c r="J126" s="414"/>
      <c r="K126" s="410"/>
      <c r="L126" s="414"/>
      <c r="M126" s="65"/>
      <c r="N126" s="66"/>
      <c r="O126" s="66"/>
      <c r="P126" s="80" t="str">
        <f>IF(AND('331-CT'!$E$7=TH!H126,OR(N126="331",O126="331")),"x","")</f>
        <v/>
      </c>
      <c r="Q126" s="80" t="str">
        <f>IF(AND(B126='111'!$L$11,OR($N126=$Q$7,$O126=$Q$7)),"x","")</f>
        <v/>
      </c>
      <c r="R126" s="80" t="str">
        <f>IF(AND($N126=$Q$7,$B126&lt;'111'!$L$11),"x","")</f>
        <v/>
      </c>
      <c r="S126" s="80" t="str">
        <f>IF(AND($O126=$Q$7,$B126&lt;'111'!$L$11),"x","")</f>
        <v/>
      </c>
      <c r="T126" s="80" t="str">
        <f>IF(ISERROR(FIND('112'!$M$9,G126,1)),"",IF((AND(FIND('112'!$M$9,G126,1)&gt;=1,B126='112'!$K$9,OR($N126='112'!$I$6,$O126='112'!$I$6))),"x",""))</f>
        <v/>
      </c>
      <c r="U126" s="80" t="str">
        <f>IF(ISERROR(FIND('112'!$M$9,G126,1)),"",IF((AND(LEFT(G126,2)=LEFT('112'!$M$9,2),B126&lt;'112'!$K$9,$N126='112'!$I$6)),"x",""))</f>
        <v/>
      </c>
      <c r="V126" s="80" t="str">
        <f>IF(ISERROR(FIND('112'!$M$9,G126,1)),"",IF((AND(RIGHT(G126,2)=RIGHT('112'!$M$9,2),B126&lt;'112'!$K$9,$O126='112'!$I$6)),"x",""))</f>
        <v/>
      </c>
      <c r="W126" s="80" t="str">
        <f>IF(AND('341-CT'!$H$9=H126,OR(LEFT(N126,3)=$W$7,LEFT(O126,3)=$W$7)),"x","")</f>
        <v/>
      </c>
      <c r="X126" s="80" t="str">
        <f>IF(OR(TH!N126=TH!$X$7,O126=TH!$X$7),"x","")</f>
        <v/>
      </c>
      <c r="Y126" s="80" t="str">
        <f>IF(AND(OR(N126="131",O126="131"),H126='131-CT'!$H$9),"x","")</f>
        <v/>
      </c>
      <c r="Z126" s="80"/>
      <c r="AA126" s="80" t="str">
        <f>IF(AND(MONTH(E126)='IN-NX'!$J$5,'IN-NX'!$D$7=D126),"x","")</f>
        <v/>
      </c>
      <c r="AB126" s="80" t="str">
        <f>IF(AND(OR(LEFT(TH!N126,2)="15",LEFT(TH!O126,2)="15"),'152-CT'!$J$8=TH!F126),"x","")</f>
        <v/>
      </c>
      <c r="AC126" s="80" t="str">
        <f>IF(AND(OR(LEFT(TH!N126,2)="15",LEFT(TH!O126,2)="15"),TK!$E$7=TH!F126),"x","")</f>
        <v/>
      </c>
      <c r="AD126" s="80" t="str">
        <f>IF(AND(N126="1521",MONTH(C126)='BK-NL'!$M$11),"x","")</f>
        <v/>
      </c>
    </row>
    <row r="127" spans="1:30" ht="15.75" customHeight="1">
      <c r="A127" s="324" t="str">
        <f>IF(B127&lt;&gt;"",IF(AND(B127='IN-TC'!$S$4,OR(TH!N127="1111",TH!O127="1111")),TH!D127,""),"")</f>
        <v/>
      </c>
      <c r="B127" s="63" t="str">
        <f t="shared" si="19"/>
        <v/>
      </c>
      <c r="C127" s="305"/>
      <c r="D127" s="64"/>
      <c r="E127" s="64"/>
      <c r="F127" s="67"/>
      <c r="G127" s="920"/>
      <c r="H127" s="1079"/>
      <c r="I127" s="414"/>
      <c r="J127" s="414"/>
      <c r="K127" s="410"/>
      <c r="L127" s="414"/>
      <c r="M127" s="65"/>
      <c r="N127" s="66"/>
      <c r="O127" s="66"/>
      <c r="P127" s="80" t="str">
        <f>IF(AND('331-CT'!$E$7=TH!H127,OR(N127="331",O127="331")),"x","")</f>
        <v/>
      </c>
      <c r="Q127" s="80" t="str">
        <f>IF(AND(B127='111'!$L$11,OR($N127=$Q$7,$O127=$Q$7)),"x","")</f>
        <v/>
      </c>
      <c r="R127" s="80" t="str">
        <f>IF(AND($N127=$Q$7,$B127&lt;'111'!$L$11),"x","")</f>
        <v/>
      </c>
      <c r="S127" s="80" t="str">
        <f>IF(AND($O127=$Q$7,$B127&lt;'111'!$L$11),"x","")</f>
        <v/>
      </c>
      <c r="T127" s="80" t="str">
        <f>IF(ISERROR(FIND('112'!$M$9,G127,1)),"",IF((AND(FIND('112'!$M$9,G127,1)&gt;=1,B127='112'!$K$9,OR($N127='112'!$I$6,$O127='112'!$I$6))),"x",""))</f>
        <v/>
      </c>
      <c r="U127" s="80" t="str">
        <f>IF(ISERROR(FIND('112'!$M$9,G127,1)),"",IF((AND(LEFT(G127,2)=LEFT('112'!$M$9,2),B127&lt;'112'!$K$9,$N127='112'!$I$6)),"x",""))</f>
        <v/>
      </c>
      <c r="V127" s="80" t="str">
        <f>IF(ISERROR(FIND('112'!$M$9,G127,1)),"",IF((AND(RIGHT(G127,2)=RIGHT('112'!$M$9,2),B127&lt;'112'!$K$9,$O127='112'!$I$6)),"x",""))</f>
        <v/>
      </c>
      <c r="W127" s="80" t="str">
        <f>IF(AND('341-CT'!$H$9=H127,OR(LEFT(N127,3)=$W$7,LEFT(O127,3)=$W$7)),"x","")</f>
        <v/>
      </c>
      <c r="X127" s="80" t="str">
        <f>IF(OR(TH!N127=TH!$X$7,O127=TH!$X$7),"x","")</f>
        <v/>
      </c>
      <c r="Y127" s="80" t="str">
        <f>IF(AND(OR(N127="131",O127="131"),H127='131-CT'!$H$9),"x","")</f>
        <v/>
      </c>
      <c r="Z127" s="80"/>
      <c r="AA127" s="80" t="str">
        <f>IF(AND(MONTH(E127)='IN-NX'!$J$5,'IN-NX'!$D$7=D127),"x","")</f>
        <v/>
      </c>
      <c r="AB127" s="80" t="str">
        <f>IF(AND(OR(LEFT(TH!N127,2)="15",LEFT(TH!O127,2)="15"),'152-CT'!$J$8=TH!F127),"x","")</f>
        <v/>
      </c>
      <c r="AC127" s="80" t="str">
        <f>IF(AND(OR(LEFT(TH!N127,2)="15",LEFT(TH!O127,2)="15"),TK!$E$7=TH!F127),"x","")</f>
        <v/>
      </c>
      <c r="AD127" s="80" t="str">
        <f>IF(AND(N127="1521",MONTH(C127)='BK-NL'!$M$11),"x","")</f>
        <v/>
      </c>
    </row>
    <row r="128" spans="1:30" ht="15.75" customHeight="1">
      <c r="A128" s="324" t="str">
        <f>IF(B128&lt;&gt;"",IF(AND(B128='IN-TC'!$S$4,OR(TH!N128="1111",TH!O128="1111")),TH!D128,""),"")</f>
        <v/>
      </c>
      <c r="B128" s="63" t="str">
        <f t="shared" si="19"/>
        <v/>
      </c>
      <c r="C128" s="305"/>
      <c r="D128" s="64"/>
      <c r="E128" s="64"/>
      <c r="F128" s="67"/>
      <c r="G128" s="920"/>
      <c r="H128" s="1079"/>
      <c r="I128" s="414"/>
      <c r="J128" s="414"/>
      <c r="K128" s="410"/>
      <c r="L128" s="414"/>
      <c r="M128" s="65"/>
      <c r="N128" s="66"/>
      <c r="O128" s="66"/>
      <c r="P128" s="80" t="str">
        <f>IF(AND('331-CT'!$E$7=TH!H128,OR(N128="331",O128="331")),"x","")</f>
        <v/>
      </c>
      <c r="Q128" s="80" t="str">
        <f>IF(AND(B128='111'!$L$11,OR($N128=$Q$7,$O128=$Q$7)),"x","")</f>
        <v/>
      </c>
      <c r="R128" s="80" t="str">
        <f>IF(AND($N128=$Q$7,$B128&lt;'111'!$L$11),"x","")</f>
        <v/>
      </c>
      <c r="S128" s="80" t="str">
        <f>IF(AND($O128=$Q$7,$B128&lt;'111'!$L$11),"x","")</f>
        <v/>
      </c>
      <c r="T128" s="80" t="str">
        <f>IF(ISERROR(FIND('112'!$M$9,G128,1)),"",IF((AND(FIND('112'!$M$9,G128,1)&gt;=1,B128='112'!$K$9,OR($N128='112'!$I$6,$O128='112'!$I$6))),"x",""))</f>
        <v/>
      </c>
      <c r="U128" s="80" t="str">
        <f>IF(ISERROR(FIND('112'!$M$9,G128,1)),"",IF((AND(LEFT(G128,2)=LEFT('112'!$M$9,2),B128&lt;'112'!$K$9,$N128='112'!$I$6)),"x",""))</f>
        <v/>
      </c>
      <c r="V128" s="80" t="str">
        <f>IF(ISERROR(FIND('112'!$M$9,G128,1)),"",IF((AND(RIGHT(G128,2)=RIGHT('112'!$M$9,2),B128&lt;'112'!$K$9,$O128='112'!$I$6)),"x",""))</f>
        <v/>
      </c>
      <c r="W128" s="80" t="str">
        <f>IF(AND('341-CT'!$H$9=H128,OR(LEFT(N128,3)=$W$7,LEFT(O128,3)=$W$7)),"x","")</f>
        <v/>
      </c>
      <c r="X128" s="80" t="str">
        <f>IF(OR(TH!N128=TH!$X$7,O128=TH!$X$7),"x","")</f>
        <v/>
      </c>
      <c r="Y128" s="80" t="str">
        <f>IF(AND(OR(N128="131",O128="131"),H128='131-CT'!$H$9),"x","")</f>
        <v/>
      </c>
      <c r="Z128" s="80"/>
      <c r="AA128" s="80" t="str">
        <f>IF(AND(MONTH(E128)='IN-NX'!$J$5,'IN-NX'!$D$7=D128),"x","")</f>
        <v/>
      </c>
      <c r="AB128" s="80" t="str">
        <f>IF(AND(OR(LEFT(TH!N128,2)="15",LEFT(TH!O128,2)="15"),'152-CT'!$J$8=TH!F128),"x","")</f>
        <v/>
      </c>
      <c r="AC128" s="80" t="str">
        <f>IF(AND(OR(LEFT(TH!N128,2)="15",LEFT(TH!O128,2)="15"),TK!$E$7=TH!F128),"x","")</f>
        <v/>
      </c>
      <c r="AD128" s="80" t="str">
        <f>IF(AND(N128="1521",MONTH(C128)='BK-NL'!$M$11),"x","")</f>
        <v/>
      </c>
    </row>
    <row r="129" spans="1:30" ht="15.75" customHeight="1">
      <c r="A129" s="324" t="str">
        <f>IF(B129&lt;&gt;"",IF(AND(B129='IN-TC'!$S$4,OR(TH!N129="1111",TH!O129="1111")),TH!D129,""),"")</f>
        <v/>
      </c>
      <c r="B129" s="63" t="str">
        <f t="shared" si="19"/>
        <v/>
      </c>
      <c r="C129" s="305"/>
      <c r="D129" s="64"/>
      <c r="E129" s="64"/>
      <c r="F129" s="67"/>
      <c r="G129" s="920"/>
      <c r="H129" s="1079"/>
      <c r="I129" s="414"/>
      <c r="J129" s="414"/>
      <c r="K129" s="410"/>
      <c r="L129" s="414"/>
      <c r="M129" s="65"/>
      <c r="N129" s="66"/>
      <c r="O129" s="66"/>
      <c r="P129" s="80" t="str">
        <f>IF(AND('331-CT'!$E$7=TH!H129,OR(N129="331",O129="331")),"x","")</f>
        <v/>
      </c>
      <c r="Q129" s="80" t="str">
        <f>IF(AND(B129='111'!$L$11,OR($N129=$Q$7,$O129=$Q$7)),"x","")</f>
        <v/>
      </c>
      <c r="R129" s="80" t="str">
        <f>IF(AND($N129=$Q$7,$B129&lt;'111'!$L$11),"x","")</f>
        <v/>
      </c>
      <c r="S129" s="80" t="str">
        <f>IF(AND($O129=$Q$7,$B129&lt;'111'!$L$11),"x","")</f>
        <v/>
      </c>
      <c r="T129" s="80" t="str">
        <f>IF(ISERROR(FIND('112'!$M$9,G129,1)),"",IF((AND(FIND('112'!$M$9,G129,1)&gt;=1,B129='112'!$K$9,OR($N129='112'!$I$6,$O129='112'!$I$6))),"x",""))</f>
        <v/>
      </c>
      <c r="U129" s="80" t="str">
        <f>IF(ISERROR(FIND('112'!$M$9,G129,1)),"",IF((AND(LEFT(G129,2)=LEFT('112'!$M$9,2),B129&lt;'112'!$K$9,$N129='112'!$I$6)),"x",""))</f>
        <v/>
      </c>
      <c r="V129" s="80" t="str">
        <f>IF(ISERROR(FIND('112'!$M$9,G129,1)),"",IF((AND(RIGHT(G129,2)=RIGHT('112'!$M$9,2),B129&lt;'112'!$K$9,$O129='112'!$I$6)),"x",""))</f>
        <v/>
      </c>
      <c r="W129" s="80" t="str">
        <f>IF(AND('341-CT'!$H$9=H129,OR(LEFT(N129,3)=$W$7,LEFT(O129,3)=$W$7)),"x","")</f>
        <v/>
      </c>
      <c r="X129" s="80" t="str">
        <f>IF(OR(TH!N129=TH!$X$7,O129=TH!$X$7),"x","")</f>
        <v/>
      </c>
      <c r="Y129" s="80" t="str">
        <f>IF(AND(OR(N129="131",O129="131"),H129='131-CT'!$H$9),"x","")</f>
        <v/>
      </c>
      <c r="Z129" s="80"/>
      <c r="AA129" s="80" t="str">
        <f>IF(AND(MONTH(E129)='IN-NX'!$J$5,'IN-NX'!$D$7=D129),"x","")</f>
        <v/>
      </c>
      <c r="AB129" s="80" t="str">
        <f>IF(AND(OR(LEFT(TH!N129,2)="15",LEFT(TH!O129,2)="15"),'152-CT'!$J$8=TH!F129),"x","")</f>
        <v/>
      </c>
      <c r="AC129" s="80" t="str">
        <f>IF(AND(OR(LEFT(TH!N129,2)="15",LEFT(TH!O129,2)="15"),TK!$E$7=TH!F129),"x","")</f>
        <v/>
      </c>
      <c r="AD129" s="80" t="str">
        <f>IF(AND(N129="1521",MONTH(C129)='BK-NL'!$M$11),"x","")</f>
        <v/>
      </c>
    </row>
    <row r="130" spans="1:30" ht="15.75" customHeight="1">
      <c r="A130" s="324" t="str">
        <f>IF(B130&lt;&gt;"",IF(AND(B130='IN-TC'!$S$4,OR(TH!N130="1111",TH!O130="1111")),TH!D130,""),"")</f>
        <v/>
      </c>
      <c r="B130" s="63" t="str">
        <f t="shared" si="19"/>
        <v/>
      </c>
      <c r="C130" s="305"/>
      <c r="D130" s="64"/>
      <c r="E130" s="64"/>
      <c r="F130" s="67"/>
      <c r="G130" s="920"/>
      <c r="H130" s="1079"/>
      <c r="I130" s="414"/>
      <c r="J130" s="414"/>
      <c r="K130" s="410"/>
      <c r="L130" s="414"/>
      <c r="M130" s="65"/>
      <c r="N130" s="66"/>
      <c r="O130" s="66"/>
      <c r="P130" s="80" t="str">
        <f>IF(AND('331-CT'!$E$7=TH!H130,OR(N130="331",O130="331")),"x","")</f>
        <v/>
      </c>
      <c r="Q130" s="80" t="str">
        <f>IF(AND(B130='111'!$L$11,OR($N130=$Q$7,$O130=$Q$7)),"x","")</f>
        <v/>
      </c>
      <c r="R130" s="80" t="str">
        <f>IF(AND($N130=$Q$7,$B130&lt;'111'!$L$11),"x","")</f>
        <v/>
      </c>
      <c r="S130" s="80" t="str">
        <f>IF(AND($O130=$Q$7,$B130&lt;'111'!$L$11),"x","")</f>
        <v/>
      </c>
      <c r="T130" s="80" t="str">
        <f>IF(ISERROR(FIND('112'!$M$9,G130,1)),"",IF((AND(FIND('112'!$M$9,G130,1)&gt;=1,B130='112'!$K$9,OR($N130='112'!$I$6,$O130='112'!$I$6))),"x",""))</f>
        <v/>
      </c>
      <c r="U130" s="80" t="str">
        <f>IF(ISERROR(FIND('112'!$M$9,G130,1)),"",IF((AND(LEFT(G130,2)=LEFT('112'!$M$9,2),B130&lt;'112'!$K$9,$N130='112'!$I$6)),"x",""))</f>
        <v/>
      </c>
      <c r="V130" s="80" t="str">
        <f>IF(ISERROR(FIND('112'!$M$9,G130,1)),"",IF((AND(RIGHT(G130,2)=RIGHT('112'!$M$9,2),B130&lt;'112'!$K$9,$O130='112'!$I$6)),"x",""))</f>
        <v/>
      </c>
      <c r="W130" s="80" t="str">
        <f>IF(AND('341-CT'!$H$9=H130,OR(LEFT(N130,3)=$W$7,LEFT(O130,3)=$W$7)),"x","")</f>
        <v/>
      </c>
      <c r="X130" s="80" t="str">
        <f>IF(OR(TH!N130=TH!$X$7,O130=TH!$X$7),"x","")</f>
        <v/>
      </c>
      <c r="Y130" s="80" t="str">
        <f>IF(AND(OR(N130="131",O130="131"),H130='131-CT'!$H$9),"x","")</f>
        <v/>
      </c>
      <c r="Z130" s="80"/>
      <c r="AA130" s="80" t="str">
        <f>IF(AND(MONTH(E130)='IN-NX'!$J$5,'IN-NX'!$D$7=D130),"x","")</f>
        <v/>
      </c>
      <c r="AB130" s="80" t="str">
        <f>IF(AND(OR(LEFT(TH!N130,2)="15",LEFT(TH!O130,2)="15"),'152-CT'!$J$8=TH!F130),"x","")</f>
        <v/>
      </c>
      <c r="AC130" s="80" t="str">
        <f>IF(AND(OR(LEFT(TH!N130,2)="15",LEFT(TH!O130,2)="15"),TK!$E$7=TH!F130),"x","")</f>
        <v/>
      </c>
      <c r="AD130" s="80" t="str">
        <f>IF(AND(N130="1521",MONTH(C130)='BK-NL'!$M$11),"x","")</f>
        <v/>
      </c>
    </row>
    <row r="131" spans="1:30" ht="15.75" customHeight="1">
      <c r="A131" s="324" t="str">
        <f>IF(B131&lt;&gt;"",IF(AND(B131='IN-TC'!$S$4,OR(TH!N131="1111",TH!O131="1111")),TH!D131,""),"")</f>
        <v/>
      </c>
      <c r="B131" s="63" t="str">
        <f t="shared" si="19"/>
        <v/>
      </c>
      <c r="C131" s="305"/>
      <c r="D131" s="64"/>
      <c r="E131" s="64"/>
      <c r="F131" s="67"/>
      <c r="G131" s="920"/>
      <c r="H131" s="1079"/>
      <c r="I131" s="414"/>
      <c r="J131" s="414"/>
      <c r="K131" s="410"/>
      <c r="L131" s="414"/>
      <c r="M131" s="65"/>
      <c r="N131" s="66"/>
      <c r="O131" s="66"/>
      <c r="P131" s="80" t="str">
        <f>IF(AND('331-CT'!$E$7=TH!H131,OR(N131="331",O131="331")),"x","")</f>
        <v/>
      </c>
      <c r="Q131" s="80" t="str">
        <f>IF(AND(B131='111'!$L$11,OR($N131=$Q$7,$O131=$Q$7)),"x","")</f>
        <v/>
      </c>
      <c r="R131" s="80" t="str">
        <f>IF(AND($N131=$Q$7,$B131&lt;'111'!$L$11),"x","")</f>
        <v/>
      </c>
      <c r="S131" s="80" t="str">
        <f>IF(AND($O131=$Q$7,$B131&lt;'111'!$L$11),"x","")</f>
        <v/>
      </c>
      <c r="T131" s="80" t="str">
        <f>IF(ISERROR(FIND('112'!$M$9,G131,1)),"",IF((AND(FIND('112'!$M$9,G131,1)&gt;=1,B131='112'!$K$9,OR($N131='112'!$I$6,$O131='112'!$I$6))),"x",""))</f>
        <v/>
      </c>
      <c r="U131" s="80" t="str">
        <f>IF(ISERROR(FIND('112'!$M$9,G131,1)),"",IF((AND(LEFT(G131,2)=LEFT('112'!$M$9,2),B131&lt;'112'!$K$9,$N131='112'!$I$6)),"x",""))</f>
        <v/>
      </c>
      <c r="V131" s="80" t="str">
        <f>IF(ISERROR(FIND('112'!$M$9,G131,1)),"",IF((AND(RIGHT(G131,2)=RIGHT('112'!$M$9,2),B131&lt;'112'!$K$9,$O131='112'!$I$6)),"x",""))</f>
        <v/>
      </c>
      <c r="W131" s="80" t="str">
        <f>IF(AND('341-CT'!$H$9=H131,OR(LEFT(N131,3)=$W$7,LEFT(O131,3)=$W$7)),"x","")</f>
        <v/>
      </c>
      <c r="X131" s="80" t="str">
        <f>IF(OR(TH!N131=TH!$X$7,O131=TH!$X$7),"x","")</f>
        <v/>
      </c>
      <c r="Y131" s="80" t="str">
        <f>IF(AND(OR(N131="131",O131="131"),H131='131-CT'!$H$9),"x","")</f>
        <v/>
      </c>
      <c r="Z131" s="80"/>
      <c r="AA131" s="80" t="str">
        <f>IF(AND(MONTH(E131)='IN-NX'!$J$5,'IN-NX'!$D$7=D131),"x","")</f>
        <v/>
      </c>
      <c r="AB131" s="80" t="str">
        <f>IF(AND(OR(LEFT(TH!N131,2)="15",LEFT(TH!O131,2)="15"),'152-CT'!$J$8=TH!F131),"x","")</f>
        <v/>
      </c>
      <c r="AC131" s="80" t="str">
        <f>IF(AND(OR(LEFT(TH!N131,2)="15",LEFT(TH!O131,2)="15"),TK!$E$7=TH!F131),"x","")</f>
        <v/>
      </c>
      <c r="AD131" s="80" t="str">
        <f>IF(AND(N131="1521",MONTH(C131)='BK-NL'!$M$11),"x","")</f>
        <v/>
      </c>
    </row>
    <row r="132" spans="1:30" ht="15.75" customHeight="1">
      <c r="A132" s="324" t="str">
        <f>IF(B132&lt;&gt;"",IF(AND(B132='IN-TC'!$S$4,OR(TH!N132="1111",TH!O132="1111")),TH!D132,""),"")</f>
        <v/>
      </c>
      <c r="B132" s="63" t="str">
        <f t="shared" si="19"/>
        <v/>
      </c>
      <c r="C132" s="305"/>
      <c r="D132" s="64"/>
      <c r="E132" s="64"/>
      <c r="F132" s="67"/>
      <c r="G132" s="920"/>
      <c r="H132" s="1079"/>
      <c r="I132" s="414"/>
      <c r="J132" s="414"/>
      <c r="K132" s="410"/>
      <c r="L132" s="414"/>
      <c r="M132" s="65"/>
      <c r="N132" s="66"/>
      <c r="O132" s="66"/>
      <c r="P132" s="80" t="str">
        <f>IF(AND('331-CT'!$E$7=TH!H132,OR(N132="331",O132="331")),"x","")</f>
        <v/>
      </c>
      <c r="Q132" s="80" t="str">
        <f>IF(AND(B132='111'!$L$11,OR($N132=$Q$7,$O132=$Q$7)),"x","")</f>
        <v/>
      </c>
      <c r="R132" s="80" t="str">
        <f>IF(AND($N132=$Q$7,$B132&lt;'111'!$L$11),"x","")</f>
        <v/>
      </c>
      <c r="S132" s="80" t="str">
        <f>IF(AND($O132=$Q$7,$B132&lt;'111'!$L$11),"x","")</f>
        <v/>
      </c>
      <c r="T132" s="80" t="str">
        <f>IF(ISERROR(FIND('112'!$M$9,G132,1)),"",IF((AND(FIND('112'!$M$9,G132,1)&gt;=1,B132='112'!$K$9,OR($N132='112'!$I$6,$O132='112'!$I$6))),"x",""))</f>
        <v/>
      </c>
      <c r="U132" s="80" t="str">
        <f>IF(ISERROR(FIND('112'!$M$9,G132,1)),"",IF((AND(LEFT(G132,2)=LEFT('112'!$M$9,2),B132&lt;'112'!$K$9,$N132='112'!$I$6)),"x",""))</f>
        <v/>
      </c>
      <c r="V132" s="80" t="str">
        <f>IF(ISERROR(FIND('112'!$M$9,G132,1)),"",IF((AND(RIGHT(G132,2)=RIGHT('112'!$M$9,2),B132&lt;'112'!$K$9,$O132='112'!$I$6)),"x",""))</f>
        <v/>
      </c>
      <c r="W132" s="80" t="str">
        <f>IF(AND('341-CT'!$H$9=H132,OR(LEFT(N132,3)=$W$7,LEFT(O132,3)=$W$7)),"x","")</f>
        <v/>
      </c>
      <c r="X132" s="80" t="str">
        <f>IF(OR(TH!N132=TH!$X$7,O132=TH!$X$7),"x","")</f>
        <v/>
      </c>
      <c r="Y132" s="80" t="str">
        <f>IF(AND(OR(N132="131",O132="131"),H132='131-CT'!$H$9),"x","")</f>
        <v/>
      </c>
      <c r="Z132" s="80"/>
      <c r="AA132" s="80" t="str">
        <f>IF(AND(MONTH(E132)='IN-NX'!$J$5,'IN-NX'!$D$7=D132),"x","")</f>
        <v/>
      </c>
      <c r="AB132" s="80" t="str">
        <f>IF(AND(OR(LEFT(TH!N132,2)="15",LEFT(TH!O132,2)="15"),'152-CT'!$J$8=TH!F132),"x","")</f>
        <v/>
      </c>
      <c r="AC132" s="80" t="str">
        <f>IF(AND(OR(LEFT(TH!N132,2)="15",LEFT(TH!O132,2)="15"),TK!$E$7=TH!F132),"x","")</f>
        <v/>
      </c>
      <c r="AD132" s="80" t="str">
        <f>IF(AND(N132="1521",MONTH(C132)='BK-NL'!$M$11),"x","")</f>
        <v/>
      </c>
    </row>
    <row r="133" spans="1:30" ht="15.75" customHeight="1">
      <c r="A133" s="324" t="str">
        <f>IF(B133&lt;&gt;"",IF(AND(B133='IN-TC'!$S$4,OR(TH!N133="1111",TH!O133="1111")),TH!D133,""),"")</f>
        <v/>
      </c>
      <c r="B133" s="63" t="str">
        <f t="shared" si="19"/>
        <v/>
      </c>
      <c r="C133" s="305"/>
      <c r="D133" s="64"/>
      <c r="E133" s="64"/>
      <c r="F133" s="67"/>
      <c r="G133" s="920"/>
      <c r="H133" s="1079"/>
      <c r="I133" s="414"/>
      <c r="J133" s="414"/>
      <c r="K133" s="410"/>
      <c r="L133" s="414"/>
      <c r="M133" s="65"/>
      <c r="N133" s="66"/>
      <c r="O133" s="66"/>
      <c r="P133" s="80" t="str">
        <f>IF(AND('331-CT'!$E$7=TH!H133,OR(N133="331",O133="331")),"x","")</f>
        <v/>
      </c>
      <c r="Q133" s="80" t="str">
        <f>IF(AND(B133='111'!$L$11,OR($N133=$Q$7,$O133=$Q$7)),"x","")</f>
        <v/>
      </c>
      <c r="R133" s="80" t="str">
        <f>IF(AND($N133=$Q$7,$B133&lt;'111'!$L$11),"x","")</f>
        <v/>
      </c>
      <c r="S133" s="80" t="str">
        <f>IF(AND($O133=$Q$7,$B133&lt;'111'!$L$11),"x","")</f>
        <v/>
      </c>
      <c r="T133" s="80" t="str">
        <f>IF(ISERROR(FIND('112'!$M$9,G133,1)),"",IF((AND(FIND('112'!$M$9,G133,1)&gt;=1,B133='112'!$K$9,OR($N133='112'!$I$6,$O133='112'!$I$6))),"x",""))</f>
        <v/>
      </c>
      <c r="U133" s="80" t="str">
        <f>IF(ISERROR(FIND('112'!$M$9,G133,1)),"",IF((AND(LEFT(G133,2)=LEFT('112'!$M$9,2),B133&lt;'112'!$K$9,$N133='112'!$I$6)),"x",""))</f>
        <v/>
      </c>
      <c r="V133" s="80" t="str">
        <f>IF(ISERROR(FIND('112'!$M$9,G133,1)),"",IF((AND(RIGHT(G133,2)=RIGHT('112'!$M$9,2),B133&lt;'112'!$K$9,$O133='112'!$I$6)),"x",""))</f>
        <v/>
      </c>
      <c r="W133" s="80" t="str">
        <f>IF(AND('341-CT'!$H$9=H133,OR(LEFT(N133,3)=$W$7,LEFT(O133,3)=$W$7)),"x","")</f>
        <v/>
      </c>
      <c r="X133" s="80" t="str">
        <f>IF(OR(TH!N133=TH!$X$7,O133=TH!$X$7),"x","")</f>
        <v/>
      </c>
      <c r="Y133" s="80" t="str">
        <f>IF(AND(OR(N133="131",O133="131"),H133='131-CT'!$H$9),"x","")</f>
        <v/>
      </c>
      <c r="Z133" s="80"/>
      <c r="AA133" s="80" t="str">
        <f>IF(AND(MONTH(E133)='IN-NX'!$J$5,'IN-NX'!$D$7=D133),"x","")</f>
        <v/>
      </c>
      <c r="AB133" s="80" t="str">
        <f>IF(AND(OR(LEFT(TH!N133,2)="15",LEFT(TH!O133,2)="15"),'152-CT'!$J$8=TH!F133),"x","")</f>
        <v/>
      </c>
      <c r="AC133" s="80" t="str">
        <f>IF(AND(OR(LEFT(TH!N133,2)="15",LEFT(TH!O133,2)="15"),TK!$E$7=TH!F133),"x","")</f>
        <v/>
      </c>
      <c r="AD133" s="80" t="str">
        <f>IF(AND(N133="1521",MONTH(C133)='BK-NL'!$M$11),"x","")</f>
        <v/>
      </c>
    </row>
    <row r="134" spans="1:30" ht="15.75" customHeight="1">
      <c r="A134" s="324" t="str">
        <f>IF(B134&lt;&gt;"",IF(AND(B134='IN-TC'!$S$4,OR(TH!N134="1111",TH!O134="1111")),TH!D134,""),"")</f>
        <v/>
      </c>
      <c r="B134" s="63" t="str">
        <f t="shared" si="19"/>
        <v/>
      </c>
      <c r="C134" s="305"/>
      <c r="D134" s="64"/>
      <c r="E134" s="64"/>
      <c r="F134" s="67"/>
      <c r="G134" s="920"/>
      <c r="H134" s="1079"/>
      <c r="I134" s="414"/>
      <c r="J134" s="414"/>
      <c r="K134" s="410"/>
      <c r="L134" s="414"/>
      <c r="M134" s="65"/>
      <c r="N134" s="66"/>
      <c r="O134" s="66"/>
      <c r="P134" s="80" t="str">
        <f>IF(AND('331-CT'!$E$7=TH!H134,OR(N134="331",O134="331")),"x","")</f>
        <v/>
      </c>
      <c r="Q134" s="80" t="str">
        <f>IF(AND(B134='111'!$L$11,OR($N134=$Q$7,$O134=$Q$7)),"x","")</f>
        <v/>
      </c>
      <c r="R134" s="80" t="str">
        <f>IF(AND($N134=$Q$7,$B134&lt;'111'!$L$11),"x","")</f>
        <v/>
      </c>
      <c r="S134" s="80" t="str">
        <f>IF(AND($O134=$Q$7,$B134&lt;'111'!$L$11),"x","")</f>
        <v/>
      </c>
      <c r="T134" s="80" t="str">
        <f>IF(ISERROR(FIND('112'!$M$9,G134,1)),"",IF((AND(FIND('112'!$M$9,G134,1)&gt;=1,B134='112'!$K$9,OR($N134='112'!$I$6,$O134='112'!$I$6))),"x",""))</f>
        <v/>
      </c>
      <c r="U134" s="80" t="str">
        <f>IF(ISERROR(FIND('112'!$M$9,G134,1)),"",IF((AND(LEFT(G134,2)=LEFT('112'!$M$9,2),B134&lt;'112'!$K$9,$N134='112'!$I$6)),"x",""))</f>
        <v/>
      </c>
      <c r="V134" s="80" t="str">
        <f>IF(ISERROR(FIND('112'!$M$9,G134,1)),"",IF((AND(RIGHT(G134,2)=RIGHT('112'!$M$9,2),B134&lt;'112'!$K$9,$O134='112'!$I$6)),"x",""))</f>
        <v/>
      </c>
      <c r="W134" s="80" t="str">
        <f>IF(AND('341-CT'!$H$9=H134,OR(LEFT(N134,3)=$W$7,LEFT(O134,3)=$W$7)),"x","")</f>
        <v/>
      </c>
      <c r="X134" s="80" t="str">
        <f>IF(OR(TH!N134=TH!$X$7,O134=TH!$X$7),"x","")</f>
        <v/>
      </c>
      <c r="Y134" s="80" t="str">
        <f>IF(AND(OR(N134="131",O134="131"),H134='131-CT'!$H$9),"x","")</f>
        <v/>
      </c>
      <c r="Z134" s="80"/>
      <c r="AA134" s="80" t="str">
        <f>IF(AND(MONTH(E134)='IN-NX'!$J$5,'IN-NX'!$D$7=D134),"x","")</f>
        <v/>
      </c>
      <c r="AB134" s="80" t="str">
        <f>IF(AND(OR(LEFT(TH!N134,2)="15",LEFT(TH!O134,2)="15"),'152-CT'!$J$8=TH!F134),"x","")</f>
        <v/>
      </c>
      <c r="AC134" s="80" t="str">
        <f>IF(AND(OR(LEFT(TH!N134,2)="15",LEFT(TH!O134,2)="15"),TK!$E$7=TH!F134),"x","")</f>
        <v/>
      </c>
      <c r="AD134" s="80" t="str">
        <f>IF(AND(N134="1521",MONTH(C134)='BK-NL'!$M$11),"x","")</f>
        <v/>
      </c>
    </row>
    <row r="144" spans="1:30">
      <c r="M144" s="914">
        <f>SUBTOTAL(9,M10:M134)</f>
        <v>10887639594.6</v>
      </c>
    </row>
  </sheetData>
  <autoFilter ref="A9:AA134"/>
  <sortState ref="A149:AE180">
    <sortCondition ref="C149:C180"/>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CM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42" customWidth="1"/>
    <col min="2" max="2" width="8.5703125" style="242" customWidth="1"/>
    <col min="3" max="3" width="7.42578125" style="242" customWidth="1"/>
    <col min="4" max="4" width="9" style="242" customWidth="1"/>
    <col min="5" max="5" width="40" style="242" customWidth="1"/>
    <col min="6" max="6" width="14.140625" style="242" customWidth="1"/>
    <col min="7" max="8" width="5.85546875" style="243" customWidth="1"/>
    <col min="9" max="9" width="4.85546875" style="242" customWidth="1"/>
    <col min="10" max="10" width="13" style="242" customWidth="1"/>
    <col min="11" max="11" width="12" style="242" customWidth="1"/>
    <col min="12" max="12" width="13.28515625" style="242" customWidth="1"/>
    <col min="13" max="13" width="13.5703125" style="242" customWidth="1"/>
    <col min="14" max="14" width="13.28515625" style="242" customWidth="1"/>
    <col min="15" max="15" width="13.5703125" style="242" customWidth="1"/>
    <col min="16" max="16" width="11.7109375" style="242" customWidth="1"/>
    <col min="17" max="17" width="6.140625" style="242" customWidth="1"/>
    <col min="18" max="18" width="8.140625" style="242" customWidth="1"/>
    <col min="19" max="19" width="7.28515625" style="242" customWidth="1"/>
    <col min="20" max="20" width="12.7109375" style="242" customWidth="1"/>
    <col min="21" max="21" width="7.140625" style="242" customWidth="1"/>
    <col min="22" max="22" width="13.85546875" style="242" customWidth="1"/>
    <col min="23" max="23" width="5.85546875" style="242" customWidth="1"/>
    <col min="24" max="24" width="7.140625" style="242" customWidth="1"/>
    <col min="25" max="25" width="6" style="242" customWidth="1"/>
    <col min="26" max="26" width="11.28515625" style="242" customWidth="1"/>
    <col min="27" max="28" width="11.5703125" style="242" customWidth="1"/>
    <col min="29" max="29" width="12" style="242" customWidth="1"/>
    <col min="30" max="30" width="6.5703125" style="242" customWidth="1"/>
    <col min="31" max="31" width="15.7109375" style="242" customWidth="1"/>
    <col min="32" max="32" width="13" style="242" customWidth="1"/>
    <col min="33" max="33" width="6.42578125" style="242" customWidth="1"/>
    <col min="34" max="34" width="6.28515625" style="242" customWidth="1"/>
    <col min="35" max="36" width="12.5703125" style="242" customWidth="1"/>
    <col min="37" max="37" width="6.28515625" style="242" customWidth="1"/>
    <col min="38" max="38" width="14.42578125" style="242" customWidth="1"/>
    <col min="39" max="39" width="7" style="242" customWidth="1"/>
    <col min="40" max="40" width="12.5703125" style="242" customWidth="1"/>
    <col min="41" max="41" width="6.140625" style="242" customWidth="1"/>
    <col min="42" max="42" width="5.28515625" style="242" customWidth="1"/>
    <col min="43" max="43" width="12.5703125" style="242" customWidth="1"/>
    <col min="44" max="44" width="4.85546875" style="242" customWidth="1"/>
    <col min="45" max="45" width="12.5703125" style="242" customWidth="1"/>
    <col min="46" max="46" width="10.140625" style="242" customWidth="1"/>
    <col min="47" max="47" width="11.85546875" style="242" customWidth="1"/>
    <col min="48" max="48" width="9.140625" style="242" customWidth="1"/>
    <col min="49" max="49" width="10.7109375" style="242" customWidth="1"/>
    <col min="50" max="53" width="7.28515625" style="242" customWidth="1"/>
    <col min="54" max="71" width="9.140625" style="242"/>
    <col min="72" max="72" width="5.5703125" style="242" customWidth="1"/>
    <col min="73" max="73" width="12.5703125" style="242" customWidth="1"/>
    <col min="74" max="74" width="5.5703125" style="242" customWidth="1"/>
    <col min="75" max="75" width="12.5703125" style="242" customWidth="1"/>
    <col min="76" max="76" width="6.42578125" style="242" customWidth="1"/>
    <col min="77" max="77" width="13" style="242" customWidth="1"/>
    <col min="78" max="103" width="9.140625" style="242"/>
    <col min="104" max="105" width="12.85546875" style="242" customWidth="1"/>
    <col min="106" max="16384" width="9.140625" style="242"/>
  </cols>
  <sheetData>
    <row r="1" spans="1:105" ht="12.75" customHeight="1">
      <c r="A1" s="238"/>
      <c r="B1" s="239" t="s">
        <v>121</v>
      </c>
      <c r="C1" s="240"/>
      <c r="D1" s="240"/>
      <c r="E1" s="241"/>
      <c r="I1" s="240"/>
      <c r="M1" s="1127" t="s">
        <v>191</v>
      </c>
      <c r="N1" s="1127"/>
      <c r="O1" s="1127"/>
      <c r="P1" s="1127"/>
      <c r="Q1" s="1127"/>
      <c r="R1" s="1127"/>
      <c r="S1" s="1127"/>
      <c r="X1" s="240"/>
      <c r="Y1" s="240"/>
      <c r="Z1" s="241"/>
      <c r="AA1" s="241"/>
      <c r="AB1" s="241"/>
      <c r="AC1" s="241"/>
      <c r="AD1" s="241"/>
      <c r="AE1" s="241"/>
      <c r="AF1" s="241"/>
      <c r="AG1" s="241"/>
      <c r="AH1" s="241"/>
      <c r="AI1" s="241"/>
      <c r="AJ1" s="241"/>
      <c r="AK1" s="241"/>
      <c r="AL1" s="241"/>
      <c r="AM1" s="241"/>
      <c r="AN1" s="241"/>
      <c r="AO1" s="241"/>
      <c r="AP1" s="241"/>
      <c r="AQ1" s="241"/>
      <c r="AR1" s="241"/>
      <c r="AS1" s="241"/>
      <c r="AT1" s="240"/>
      <c r="AU1" s="240"/>
      <c r="AV1" s="240"/>
      <c r="AW1" s="240"/>
      <c r="AX1" s="240"/>
      <c r="AY1" s="240"/>
      <c r="AZ1" s="240"/>
      <c r="BA1" s="240"/>
    </row>
    <row r="2" spans="1:105" ht="12.75" customHeight="1">
      <c r="A2" s="238"/>
      <c r="B2" s="239" t="s">
        <v>180</v>
      </c>
      <c r="C2" s="240"/>
      <c r="D2" s="240"/>
      <c r="E2" s="240"/>
      <c r="I2" s="244"/>
      <c r="M2" s="1128" t="s">
        <v>144</v>
      </c>
      <c r="N2" s="1128"/>
      <c r="O2" s="1128"/>
      <c r="P2" s="1128"/>
      <c r="Q2" s="1128"/>
      <c r="R2" s="1128"/>
      <c r="S2" s="1128"/>
      <c r="X2" s="244"/>
      <c r="Y2" s="244"/>
      <c r="Z2" s="245"/>
      <c r="AA2" s="245"/>
      <c r="AB2" s="245"/>
      <c r="AC2" s="245"/>
      <c r="AD2" s="245"/>
      <c r="AE2" s="245"/>
      <c r="AF2" s="245"/>
      <c r="AG2" s="245"/>
      <c r="AH2" s="245"/>
      <c r="AI2" s="245"/>
      <c r="AJ2" s="245"/>
      <c r="AK2" s="245"/>
      <c r="AL2" s="245"/>
      <c r="AM2" s="245"/>
      <c r="AN2" s="245"/>
      <c r="AO2" s="245"/>
      <c r="AP2" s="245"/>
      <c r="AQ2" s="245"/>
      <c r="AR2" s="245"/>
      <c r="AS2" s="245"/>
      <c r="AT2" s="244"/>
      <c r="AU2" s="244"/>
      <c r="AV2" s="244"/>
      <c r="AW2" s="244"/>
      <c r="AX2" s="244"/>
      <c r="AY2" s="244"/>
      <c r="AZ2" s="244"/>
      <c r="BA2" s="244"/>
    </row>
    <row r="3" spans="1:105" ht="10.5" customHeight="1">
      <c r="A3" s="240"/>
      <c r="B3" s="240"/>
      <c r="C3" s="240"/>
      <c r="D3" s="240"/>
      <c r="E3" s="240"/>
      <c r="F3" s="244"/>
      <c r="G3" s="246"/>
      <c r="H3" s="246"/>
      <c r="I3" s="244"/>
      <c r="M3" s="1128"/>
      <c r="N3" s="1128"/>
      <c r="O3" s="1128"/>
      <c r="P3" s="1128"/>
      <c r="Q3" s="1128"/>
      <c r="R3" s="1128"/>
      <c r="S3" s="1128"/>
      <c r="X3" s="244"/>
      <c r="Y3" s="244"/>
      <c r="Z3" s="245"/>
      <c r="AA3" s="245"/>
      <c r="AB3" s="245"/>
      <c r="AC3" s="245"/>
      <c r="AD3" s="245"/>
      <c r="AE3" s="245"/>
      <c r="AF3" s="245"/>
      <c r="AG3" s="245"/>
      <c r="AH3" s="245"/>
      <c r="AI3" s="245"/>
      <c r="AJ3" s="245"/>
      <c r="AK3" s="245"/>
      <c r="AL3" s="245"/>
      <c r="AM3" s="245"/>
      <c r="AN3" s="245"/>
      <c r="AO3" s="245"/>
      <c r="AP3" s="245"/>
      <c r="AQ3" s="245"/>
      <c r="AR3" s="245"/>
      <c r="AS3" s="245"/>
      <c r="AT3" s="244"/>
      <c r="AU3" s="244"/>
      <c r="AV3" s="244"/>
      <c r="AW3" s="244"/>
      <c r="AX3" s="244"/>
      <c r="AY3" s="244"/>
      <c r="AZ3" s="244"/>
      <c r="BA3" s="244"/>
    </row>
    <row r="4" spans="1:105" ht="19.5" customHeight="1">
      <c r="B4" s="1129" t="s">
        <v>112</v>
      </c>
      <c r="C4" s="1129"/>
      <c r="D4" s="1129"/>
      <c r="E4" s="1129"/>
      <c r="F4" s="1129"/>
      <c r="G4" s="1129"/>
      <c r="H4" s="1129"/>
      <c r="I4" s="1129"/>
      <c r="J4" s="1129"/>
      <c r="K4" s="1129"/>
      <c r="L4" s="1129"/>
      <c r="M4" s="1129"/>
      <c r="N4" s="1129"/>
      <c r="O4" s="1129"/>
      <c r="P4" s="1129"/>
      <c r="Q4" s="1129"/>
      <c r="R4" s="1129"/>
      <c r="S4" s="247"/>
      <c r="T4" s="247"/>
      <c r="U4" s="247"/>
      <c r="V4" s="247"/>
      <c r="W4" s="247"/>
      <c r="X4" s="248"/>
      <c r="Y4" s="248"/>
      <c r="Z4" s="247"/>
      <c r="AA4" s="247"/>
      <c r="AB4" s="247"/>
      <c r="AC4" s="247"/>
      <c r="AD4" s="247"/>
      <c r="AE4" s="247"/>
      <c r="AF4" s="247"/>
      <c r="AG4" s="247"/>
      <c r="AH4" s="247"/>
      <c r="AI4" s="247"/>
      <c r="AJ4" s="247"/>
      <c r="AK4" s="247"/>
      <c r="AL4" s="247"/>
      <c r="AM4" s="247"/>
      <c r="AN4" s="247"/>
      <c r="AO4" s="247"/>
      <c r="AP4" s="247"/>
      <c r="AQ4" s="247"/>
      <c r="AR4" s="247"/>
      <c r="AS4" s="247"/>
      <c r="AT4" s="249"/>
      <c r="AU4" s="249"/>
      <c r="AV4" s="249"/>
      <c r="AW4" s="249"/>
      <c r="AX4" s="249"/>
      <c r="AY4" s="249"/>
      <c r="AZ4" s="249"/>
      <c r="BA4" s="249"/>
    </row>
    <row r="5" spans="1:105" ht="15">
      <c r="B5" s="1130" t="s">
        <v>192</v>
      </c>
      <c r="C5" s="1130"/>
      <c r="D5" s="1130"/>
      <c r="E5" s="1130"/>
      <c r="F5" s="1130"/>
      <c r="G5" s="1130"/>
      <c r="H5" s="1130"/>
      <c r="I5" s="1130"/>
      <c r="J5" s="1130"/>
      <c r="K5" s="1130"/>
      <c r="L5" s="1130"/>
      <c r="M5" s="1130"/>
      <c r="N5" s="1130"/>
      <c r="O5" s="1130"/>
      <c r="P5" s="1130"/>
      <c r="Q5" s="1130"/>
      <c r="R5" s="1130"/>
      <c r="S5" s="250"/>
      <c r="T5" s="250"/>
      <c r="U5" s="250"/>
      <c r="V5" s="250"/>
      <c r="W5" s="250"/>
      <c r="X5" s="251"/>
      <c r="Y5" s="251"/>
      <c r="Z5" s="250"/>
      <c r="AA5" s="250"/>
      <c r="AB5" s="250"/>
      <c r="AC5" s="250"/>
      <c r="AD5" s="250"/>
      <c r="AE5" s="250"/>
      <c r="AF5" s="250"/>
      <c r="AG5" s="250"/>
      <c r="AH5" s="250"/>
      <c r="AI5" s="250"/>
      <c r="AJ5" s="250"/>
      <c r="AK5" s="250"/>
      <c r="AL5" s="250"/>
      <c r="AM5" s="250"/>
      <c r="AN5" s="250"/>
      <c r="AO5" s="250"/>
      <c r="AP5" s="250"/>
      <c r="AQ5" s="250"/>
      <c r="AR5" s="250"/>
      <c r="AS5" s="250"/>
    </row>
    <row r="6" spans="1:105">
      <c r="P6" s="242" t="s">
        <v>148</v>
      </c>
    </row>
    <row r="7" spans="1:105" ht="13.5" customHeight="1">
      <c r="A7" s="1131" t="s">
        <v>37</v>
      </c>
      <c r="B7" s="1126" t="s">
        <v>22</v>
      </c>
      <c r="C7" s="1133" t="s">
        <v>1</v>
      </c>
      <c r="D7" s="1134"/>
      <c r="E7" s="1126" t="s">
        <v>0</v>
      </c>
      <c r="F7" s="1126" t="s">
        <v>113</v>
      </c>
      <c r="G7" s="1135" t="s">
        <v>114</v>
      </c>
      <c r="H7" s="1135"/>
      <c r="I7" s="1136" t="s">
        <v>37</v>
      </c>
      <c r="J7" s="1126" t="s">
        <v>193</v>
      </c>
      <c r="K7" s="1126"/>
      <c r="L7" s="1126" t="s">
        <v>194</v>
      </c>
      <c r="M7" s="1126"/>
      <c r="N7" s="1126" t="s">
        <v>269</v>
      </c>
      <c r="O7" s="1126"/>
      <c r="P7" s="1126" t="s">
        <v>675</v>
      </c>
      <c r="Q7" s="1126"/>
      <c r="R7" s="1126" t="s">
        <v>195</v>
      </c>
      <c r="S7" s="1126"/>
      <c r="T7" s="1126" t="s">
        <v>196</v>
      </c>
      <c r="U7" s="1126"/>
      <c r="V7" s="1126" t="s">
        <v>676</v>
      </c>
      <c r="W7" s="1126"/>
      <c r="X7" s="1126" t="s">
        <v>677</v>
      </c>
      <c r="Y7" s="1126"/>
      <c r="Z7" s="1126" t="s">
        <v>678</v>
      </c>
      <c r="AA7" s="1126"/>
      <c r="AB7" s="1126" t="s">
        <v>679</v>
      </c>
      <c r="AC7" s="1126"/>
      <c r="AD7" s="1126" t="s">
        <v>680</v>
      </c>
      <c r="AE7" s="1126"/>
      <c r="AF7" s="1126" t="s">
        <v>681</v>
      </c>
      <c r="AG7" s="1126"/>
      <c r="AH7" s="1126" t="s">
        <v>682</v>
      </c>
      <c r="AI7" s="1126"/>
      <c r="AJ7" s="1126" t="s">
        <v>683</v>
      </c>
      <c r="AK7" s="1126"/>
      <c r="AL7" s="1126" t="s">
        <v>684</v>
      </c>
      <c r="AM7" s="1126"/>
      <c r="AN7" s="1126" t="s">
        <v>685</v>
      </c>
      <c r="AO7" s="1126"/>
      <c r="AP7" s="1126" t="s">
        <v>686</v>
      </c>
      <c r="AQ7" s="1126"/>
      <c r="AR7" s="1126" t="s">
        <v>687</v>
      </c>
      <c r="AS7" s="1126"/>
      <c r="AT7" s="1126" t="s">
        <v>197</v>
      </c>
      <c r="AU7" s="1126"/>
      <c r="AV7" s="1126" t="s">
        <v>198</v>
      </c>
      <c r="AW7" s="1126"/>
      <c r="AX7" s="1126" t="s">
        <v>688</v>
      </c>
      <c r="AY7" s="1126"/>
      <c r="AZ7" s="1126" t="s">
        <v>689</v>
      </c>
      <c r="BA7" s="1126"/>
      <c r="BB7" s="1126" t="s">
        <v>690</v>
      </c>
      <c r="BC7" s="1126"/>
      <c r="BD7" s="1126" t="s">
        <v>199</v>
      </c>
      <c r="BE7" s="1126"/>
      <c r="BF7" s="1126" t="s">
        <v>691</v>
      </c>
      <c r="BG7" s="1126"/>
      <c r="BH7" s="1126" t="s">
        <v>200</v>
      </c>
      <c r="BI7" s="1126"/>
      <c r="BJ7" s="1126" t="s">
        <v>692</v>
      </c>
      <c r="BK7" s="1126"/>
      <c r="BL7" s="1126" t="s">
        <v>693</v>
      </c>
      <c r="BM7" s="1126"/>
      <c r="BN7" s="1126" t="s">
        <v>694</v>
      </c>
      <c r="BO7" s="1126"/>
      <c r="BP7" s="1126" t="s">
        <v>695</v>
      </c>
      <c r="BQ7" s="1126"/>
      <c r="BR7" s="1126" t="s">
        <v>201</v>
      </c>
      <c r="BS7" s="1126"/>
      <c r="BT7" s="1126" t="s">
        <v>202</v>
      </c>
      <c r="BU7" s="1126"/>
      <c r="BV7" s="1126" t="s">
        <v>264</v>
      </c>
      <c r="BW7" s="1126"/>
      <c r="BX7" s="1126" t="s">
        <v>203</v>
      </c>
      <c r="BY7" s="1126"/>
      <c r="BZ7" s="1126" t="s">
        <v>204</v>
      </c>
      <c r="CA7" s="1126"/>
      <c r="CB7" s="1126" t="s">
        <v>205</v>
      </c>
      <c r="CC7" s="1126"/>
      <c r="CD7" s="1126" t="s">
        <v>696</v>
      </c>
      <c r="CE7" s="1126"/>
      <c r="CF7" s="1126" t="s">
        <v>697</v>
      </c>
      <c r="CG7" s="1126"/>
      <c r="CH7" s="1126" t="s">
        <v>206</v>
      </c>
      <c r="CI7" s="1126"/>
      <c r="CJ7" s="1126" t="s">
        <v>698</v>
      </c>
      <c r="CK7" s="1126"/>
      <c r="CL7" s="1126" t="s">
        <v>699</v>
      </c>
      <c r="CM7" s="1126"/>
      <c r="CN7" s="1126" t="s">
        <v>207</v>
      </c>
      <c r="CO7" s="1126"/>
      <c r="CP7" s="1126" t="s">
        <v>700</v>
      </c>
      <c r="CQ7" s="1126"/>
      <c r="CR7" s="1126" t="s">
        <v>208</v>
      </c>
      <c r="CS7" s="1126"/>
      <c r="CT7" s="1126" t="s">
        <v>209</v>
      </c>
      <c r="CU7" s="1126"/>
      <c r="CV7" s="1126" t="s">
        <v>210</v>
      </c>
      <c r="CW7" s="1126"/>
      <c r="CX7" s="1126" t="s">
        <v>211</v>
      </c>
      <c r="CY7" s="1126"/>
      <c r="CZ7" s="1126" t="s">
        <v>212</v>
      </c>
      <c r="DA7" s="1126"/>
    </row>
    <row r="8" spans="1:105" ht="22.5" customHeight="1">
      <c r="A8" s="1132"/>
      <c r="B8" s="1126"/>
      <c r="C8" s="899" t="s">
        <v>17</v>
      </c>
      <c r="D8" s="898" t="s">
        <v>34</v>
      </c>
      <c r="E8" s="1126"/>
      <c r="F8" s="1126"/>
      <c r="G8" s="900" t="s">
        <v>24</v>
      </c>
      <c r="H8" s="900" t="s">
        <v>25</v>
      </c>
      <c r="I8" s="1136"/>
      <c r="J8" s="898" t="s">
        <v>24</v>
      </c>
      <c r="K8" s="898" t="s">
        <v>25</v>
      </c>
      <c r="L8" s="898" t="s">
        <v>24</v>
      </c>
      <c r="M8" s="898" t="s">
        <v>25</v>
      </c>
      <c r="N8" s="898" t="s">
        <v>24</v>
      </c>
      <c r="O8" s="898" t="s">
        <v>25</v>
      </c>
      <c r="P8" s="898" t="s">
        <v>24</v>
      </c>
      <c r="Q8" s="898" t="s">
        <v>25</v>
      </c>
      <c r="R8" s="898" t="s">
        <v>24</v>
      </c>
      <c r="S8" s="898" t="s">
        <v>25</v>
      </c>
      <c r="T8" s="898" t="s">
        <v>24</v>
      </c>
      <c r="U8" s="898" t="s">
        <v>25</v>
      </c>
      <c r="V8" s="898" t="s">
        <v>24</v>
      </c>
      <c r="W8" s="898" t="s">
        <v>25</v>
      </c>
      <c r="X8" s="898" t="s">
        <v>24</v>
      </c>
      <c r="Y8" s="898" t="s">
        <v>25</v>
      </c>
      <c r="Z8" s="898" t="s">
        <v>24</v>
      </c>
      <c r="AA8" s="898" t="s">
        <v>25</v>
      </c>
      <c r="AB8" s="898" t="s">
        <v>24</v>
      </c>
      <c r="AC8" s="898" t="s">
        <v>25</v>
      </c>
      <c r="AD8" s="898" t="s">
        <v>24</v>
      </c>
      <c r="AE8" s="898" t="s">
        <v>25</v>
      </c>
      <c r="AF8" s="898" t="s">
        <v>24</v>
      </c>
      <c r="AG8" s="898" t="s">
        <v>25</v>
      </c>
      <c r="AH8" s="898" t="s">
        <v>24</v>
      </c>
      <c r="AI8" s="898" t="s">
        <v>25</v>
      </c>
      <c r="AJ8" s="898" t="s">
        <v>24</v>
      </c>
      <c r="AK8" s="898" t="s">
        <v>25</v>
      </c>
      <c r="AL8" s="898" t="s">
        <v>24</v>
      </c>
      <c r="AM8" s="898" t="s">
        <v>25</v>
      </c>
      <c r="AN8" s="898" t="s">
        <v>24</v>
      </c>
      <c r="AO8" s="898" t="s">
        <v>25</v>
      </c>
      <c r="AP8" s="898" t="s">
        <v>24</v>
      </c>
      <c r="AQ8" s="898" t="s">
        <v>25</v>
      </c>
      <c r="AR8" s="898" t="s">
        <v>24</v>
      </c>
      <c r="AS8" s="898" t="s">
        <v>25</v>
      </c>
      <c r="AT8" s="898" t="s">
        <v>24</v>
      </c>
      <c r="AU8" s="898" t="s">
        <v>25</v>
      </c>
      <c r="AV8" s="898" t="s">
        <v>24</v>
      </c>
      <c r="AW8" s="898" t="s">
        <v>25</v>
      </c>
      <c r="AX8" s="898" t="s">
        <v>24</v>
      </c>
      <c r="AY8" s="898" t="s">
        <v>25</v>
      </c>
      <c r="AZ8" s="898" t="s">
        <v>24</v>
      </c>
      <c r="BA8" s="898" t="s">
        <v>25</v>
      </c>
      <c r="BB8" s="898" t="s">
        <v>24</v>
      </c>
      <c r="BC8" s="898" t="s">
        <v>25</v>
      </c>
      <c r="BD8" s="898" t="s">
        <v>24</v>
      </c>
      <c r="BE8" s="898" t="s">
        <v>25</v>
      </c>
      <c r="BF8" s="898" t="s">
        <v>24</v>
      </c>
      <c r="BG8" s="898" t="s">
        <v>25</v>
      </c>
      <c r="BH8" s="898" t="s">
        <v>24</v>
      </c>
      <c r="BI8" s="898" t="s">
        <v>25</v>
      </c>
      <c r="BJ8" s="898" t="s">
        <v>24</v>
      </c>
      <c r="BK8" s="898" t="s">
        <v>25</v>
      </c>
      <c r="BL8" s="898" t="s">
        <v>24</v>
      </c>
      <c r="BM8" s="898" t="s">
        <v>25</v>
      </c>
      <c r="BN8" s="898" t="s">
        <v>24</v>
      </c>
      <c r="BO8" s="898" t="s">
        <v>25</v>
      </c>
      <c r="BP8" s="898" t="s">
        <v>24</v>
      </c>
      <c r="BQ8" s="898" t="s">
        <v>25</v>
      </c>
      <c r="BR8" s="898" t="s">
        <v>24</v>
      </c>
      <c r="BS8" s="898" t="s">
        <v>25</v>
      </c>
      <c r="BT8" s="898" t="s">
        <v>24</v>
      </c>
      <c r="BU8" s="898" t="s">
        <v>25</v>
      </c>
      <c r="BV8" s="898" t="s">
        <v>24</v>
      </c>
      <c r="BW8" s="898" t="s">
        <v>25</v>
      </c>
      <c r="BX8" s="898" t="s">
        <v>24</v>
      </c>
      <c r="BY8" s="898" t="s">
        <v>25</v>
      </c>
      <c r="BZ8" s="898" t="s">
        <v>24</v>
      </c>
      <c r="CA8" s="898" t="s">
        <v>25</v>
      </c>
      <c r="CB8" s="898" t="s">
        <v>24</v>
      </c>
      <c r="CC8" s="898" t="s">
        <v>25</v>
      </c>
      <c r="CD8" s="898" t="s">
        <v>24</v>
      </c>
      <c r="CE8" s="898" t="s">
        <v>25</v>
      </c>
      <c r="CF8" s="898" t="s">
        <v>24</v>
      </c>
      <c r="CG8" s="898" t="s">
        <v>25</v>
      </c>
      <c r="CH8" s="898" t="s">
        <v>24</v>
      </c>
      <c r="CI8" s="898" t="s">
        <v>25</v>
      </c>
      <c r="CJ8" s="898" t="s">
        <v>24</v>
      </c>
      <c r="CK8" s="898" t="s">
        <v>25</v>
      </c>
      <c r="CL8" s="898" t="s">
        <v>24</v>
      </c>
      <c r="CM8" s="898" t="s">
        <v>25</v>
      </c>
      <c r="CN8" s="898" t="s">
        <v>24</v>
      </c>
      <c r="CO8" s="898" t="s">
        <v>25</v>
      </c>
      <c r="CP8" s="898" t="s">
        <v>24</v>
      </c>
      <c r="CQ8" s="898" t="s">
        <v>25</v>
      </c>
      <c r="CR8" s="898" t="s">
        <v>24</v>
      </c>
      <c r="CS8" s="898" t="s">
        <v>25</v>
      </c>
      <c r="CT8" s="898" t="s">
        <v>24</v>
      </c>
      <c r="CU8" s="898" t="s">
        <v>25</v>
      </c>
      <c r="CV8" s="898" t="s">
        <v>24</v>
      </c>
      <c r="CW8" s="898" t="s">
        <v>25</v>
      </c>
      <c r="CX8" s="898" t="s">
        <v>24</v>
      </c>
      <c r="CY8" s="898" t="s">
        <v>25</v>
      </c>
      <c r="CZ8" s="898" t="s">
        <v>24</v>
      </c>
      <c r="DA8" s="898"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CDPS!C10</f>
        <v>3705039095</v>
      </c>
      <c r="K10" s="260">
        <f>CDPS!D10</f>
        <v>0</v>
      </c>
      <c r="L10" s="260">
        <f>CDPS!C12</f>
        <v>19829295</v>
      </c>
      <c r="M10" s="260">
        <f>CDPS!D12</f>
        <v>0</v>
      </c>
      <c r="N10" s="260">
        <f>CDPS!C13</f>
        <v>2236796790</v>
      </c>
      <c r="O10" s="260">
        <f>CDPS!D13</f>
        <v>0</v>
      </c>
      <c r="P10" s="260">
        <f>CDPS!C15</f>
        <v>3343381600</v>
      </c>
      <c r="Q10" s="260">
        <f>CDPS!D15</f>
        <v>0</v>
      </c>
      <c r="R10" s="260">
        <f>CDPS!C16</f>
        <v>162420936</v>
      </c>
      <c r="S10" s="260">
        <f>CDPS!D16</f>
        <v>0</v>
      </c>
      <c r="T10" s="260">
        <f>CDPS!C18</f>
        <v>1500000000</v>
      </c>
      <c r="U10" s="260">
        <f>CDPS!D18</f>
        <v>0</v>
      </c>
      <c r="V10" s="260">
        <f>CDPS!C20</f>
        <v>0</v>
      </c>
      <c r="W10" s="260">
        <f>CDPS!D20</f>
        <v>0</v>
      </c>
      <c r="X10" s="260">
        <f>CDPS!C21</f>
        <v>2772400000</v>
      </c>
      <c r="Y10" s="260">
        <f>CDPS!D21</f>
        <v>0</v>
      </c>
      <c r="Z10" s="260">
        <f>CDPS!C22</f>
        <v>526519887</v>
      </c>
      <c r="AA10" s="260">
        <f>CDPS!D22</f>
        <v>0</v>
      </c>
      <c r="AB10" s="260">
        <f>CDPS!C24</f>
        <v>0</v>
      </c>
      <c r="AC10" s="260">
        <f>CDPS!D24</f>
        <v>0</v>
      </c>
      <c r="AD10" s="260">
        <f>CDPS!C25</f>
        <v>0</v>
      </c>
      <c r="AE10" s="260">
        <f>CDPS!D25</f>
        <v>0</v>
      </c>
      <c r="AF10" s="260">
        <f>CDPS!C26</f>
        <v>9386323824</v>
      </c>
      <c r="AG10" s="260">
        <f>CDPS!D26</f>
        <v>0</v>
      </c>
      <c r="AH10" s="260">
        <f>CDPS!C27</f>
        <v>7490743648</v>
      </c>
      <c r="AI10" s="260">
        <f>CDPS!D27</f>
        <v>0</v>
      </c>
      <c r="AJ10" s="260">
        <f>CDPS!C28</f>
        <v>3807898863</v>
      </c>
      <c r="AK10" s="260">
        <f>CDPS!D28</f>
        <v>0</v>
      </c>
      <c r="AL10" s="260">
        <f>CDPS!C29</f>
        <v>3790918485</v>
      </c>
      <c r="AM10" s="260">
        <f>CDPS!D29</f>
        <v>0</v>
      </c>
      <c r="AN10" s="260">
        <f>CDPS!C31</f>
        <v>5405781300</v>
      </c>
      <c r="AO10" s="260">
        <f>CDPS!D31</f>
        <v>0</v>
      </c>
      <c r="AP10" s="260">
        <f>CDPS!C33</f>
        <v>0</v>
      </c>
      <c r="AQ10" s="260">
        <f>CDPS!D33</f>
        <v>9132359256</v>
      </c>
      <c r="AR10" s="260">
        <f>CDPS!C34</f>
        <v>0</v>
      </c>
      <c r="AS10" s="260">
        <f>CDPS!D34</f>
        <v>600642360</v>
      </c>
      <c r="AT10" s="260">
        <f>CDPS!C36</f>
        <v>0</v>
      </c>
      <c r="AU10" s="260">
        <f>CDPS!D36</f>
        <v>0</v>
      </c>
      <c r="AV10" s="260">
        <f>CDPS!C38</f>
        <v>0</v>
      </c>
      <c r="AW10" s="260">
        <f>CDPS!D38</f>
        <v>476953252</v>
      </c>
      <c r="AX10" s="260"/>
      <c r="AY10" s="260"/>
      <c r="AZ10" s="260"/>
      <c r="BA10" s="260"/>
      <c r="BB10" s="260"/>
      <c r="BC10" s="260"/>
      <c r="BD10" s="260">
        <f>CDPS!C39</f>
        <v>0</v>
      </c>
      <c r="BE10" s="260">
        <f>CDPS!D39</f>
        <v>3313435</v>
      </c>
      <c r="BF10" s="260">
        <f>CDPS!C40</f>
        <v>3389804</v>
      </c>
      <c r="BG10" s="260">
        <f>CDPS!D40</f>
        <v>0</v>
      </c>
      <c r="BH10" s="260">
        <f>CDPS!C41</f>
        <v>0</v>
      </c>
      <c r="BI10" s="260">
        <f>CDPS!D41</f>
        <v>0</v>
      </c>
      <c r="BJ10" s="260">
        <f>CDPS!C44</f>
        <v>0</v>
      </c>
      <c r="BK10" s="260">
        <f>CDPS!D44</f>
        <v>0</v>
      </c>
      <c r="BL10" s="260">
        <f>CDPS!C46</f>
        <v>0</v>
      </c>
      <c r="BM10" s="260">
        <f>CDPS!D46</f>
        <v>40272309</v>
      </c>
      <c r="BN10" s="260">
        <f>CDPS!C47</f>
        <v>0</v>
      </c>
      <c r="BO10" s="260">
        <f>CDPS!D47</f>
        <v>6403142</v>
      </c>
      <c r="BP10" s="260">
        <f>CDPS!C48</f>
        <v>0</v>
      </c>
      <c r="BQ10" s="260">
        <f>CDPS!D48</f>
        <v>2761373</v>
      </c>
      <c r="BR10" s="260">
        <f>CDPS!C49</f>
        <v>0</v>
      </c>
      <c r="BS10" s="260">
        <f>CDPS!D49</f>
        <v>0</v>
      </c>
      <c r="BT10" s="260">
        <f>CDPS!C51</f>
        <v>0</v>
      </c>
      <c r="BU10" s="260">
        <f>CDPS!D51</f>
        <v>2169121879</v>
      </c>
      <c r="BV10" s="260">
        <f>CDPS!C52</f>
        <v>0</v>
      </c>
      <c r="BW10" s="260">
        <f>CDPS!D52</f>
        <v>21202920500</v>
      </c>
      <c r="BX10" s="260">
        <f>CDPS!C54</f>
        <v>0</v>
      </c>
      <c r="BY10" s="260">
        <f>CDPS!D54</f>
        <v>10000000000</v>
      </c>
      <c r="BZ10" s="260">
        <f>CDPS!C56</f>
        <v>0</v>
      </c>
      <c r="CA10" s="260">
        <f>CDPS!D56</f>
        <v>486535137</v>
      </c>
      <c r="CB10" s="260">
        <f>CDPS!C57</f>
        <v>0</v>
      </c>
      <c r="CC10" s="260">
        <f>CDPS!D57</f>
        <v>30160884.000000477</v>
      </c>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row>
    <row r="11" spans="1:105" s="261" customFormat="1" ht="12.75" customHeight="1">
      <c r="A11" s="63">
        <f t="array" aca="1" ref="A11" ca="1">IF(C11&lt;&gt;0,SUM(($C$11:C11&lt;&gt;0)*1),"")</f>
        <v>1</v>
      </c>
      <c r="B11" s="262" t="str">
        <f ca="1">IF(ROWS($1:1)&gt;COUNT(Dong6),"",OFFSET(TH!C$1,SMALL(Dong6,ROWS($1:1)),))</f>
        <v/>
      </c>
      <c r="C11" s="262" t="str">
        <f ca="1">IF(ROWS($1:1)&gt;COUNT(Dong6),"",OFFSET(TH!D$1,SMALL(Dong6,ROWS($1:1)),))</f>
        <v/>
      </c>
      <c r="D11" s="262" t="str">
        <f ca="1">IF(ROWS($1:1)&gt;COUNT(Dong6),"",OFFSET(TH!E$1,SMALL(Dong6,ROWS($1:1)),))</f>
        <v/>
      </c>
      <c r="E11" s="310" t="str">
        <f ca="1">IF(ROWS($1:1)&gt;COUNT(Dong6),"",OFFSET(TH!F$1,SMALL(Dong6,ROWS($1:1)),))</f>
        <v/>
      </c>
      <c r="F11" s="311" t="str">
        <f ca="1">IF(ROWS($1:1)&gt;COUNT(Dong6),"",OFFSET(TH!M$1,SMALL(Dong6,ROWS($1:1)),))</f>
        <v/>
      </c>
      <c r="G11" s="312" t="str">
        <f ca="1">IF(ROWS($1:1)&gt;COUNT(Dong6),"",OFFSET(TH!N$1,SMALL(Dong6,ROWS($1:1)),))</f>
        <v/>
      </c>
      <c r="H11" s="312" t="str">
        <f ca="1">IF(ROWS($1:1)&gt;COUNT(Dong6),"",OFFSET(TH!O$1,SMALL(Dong6,ROWS($1:1)),))</f>
        <v/>
      </c>
      <c r="I11" s="63">
        <f t="shared" ref="I11:I34" ca="1" si="0">A11</f>
        <v>1</v>
      </c>
      <c r="J11" s="264">
        <f ca="1">IF($G11="1111",$F11,0)</f>
        <v>0</v>
      </c>
      <c r="K11" s="264">
        <f ca="1">IF($H11="1111",$F11,0)</f>
        <v>0</v>
      </c>
      <c r="L11" s="264">
        <f t="shared" ref="L11:L51" ca="1" si="1">IF($G11="1121",$F11,0)</f>
        <v>0</v>
      </c>
      <c r="M11" s="264">
        <f t="shared" ref="M11:M51" ca="1" si="2">IF($H11="1121",$F11,0)</f>
        <v>0</v>
      </c>
      <c r="N11" s="264">
        <f t="shared" ref="N11:N51" ca="1" si="3">IF($G11="1122",$F11,0)</f>
        <v>0</v>
      </c>
      <c r="O11" s="264">
        <f t="shared" ref="O11:O51" ca="1" si="4">IF($H11="1122",$F11,0)</f>
        <v>0</v>
      </c>
      <c r="P11" s="264">
        <f t="shared" ref="P11:P51" ca="1" si="5">IF($G11="131",$F11,0)</f>
        <v>0</v>
      </c>
      <c r="Q11" s="264">
        <f t="shared" ref="Q11:Q51" ca="1" si="6">IF($H11="131",$F11,0)</f>
        <v>0</v>
      </c>
      <c r="R11" s="264">
        <f t="shared" ref="R11:R51" ca="1" si="7">IF($G11="1331",$F11,0)</f>
        <v>0</v>
      </c>
      <c r="S11" s="264">
        <f t="shared" ref="S11:S51" ca="1" si="8">IF($H11="1331",$F11,0)</f>
        <v>0</v>
      </c>
      <c r="T11" s="264">
        <f t="shared" ref="T11:T51" ca="1" si="9">IF($G11="1388",$F11,0)</f>
        <v>0</v>
      </c>
      <c r="U11" s="264">
        <f t="shared" ref="U11:U51" ca="1" si="10">IF($H11="1388",$F11,0)</f>
        <v>0</v>
      </c>
      <c r="V11" s="264">
        <f t="shared" ref="V11:V51" ca="1" si="11">IF($G11="141",$F11,0)</f>
        <v>0</v>
      </c>
      <c r="W11" s="264">
        <f t="shared" ref="W11:W51" ca="1" si="12">IF($H11="141",$F11,0)</f>
        <v>0</v>
      </c>
      <c r="X11" s="264">
        <f t="shared" ref="X11:X51" ca="1" si="13">IF($G11="1521",$F11,0)</f>
        <v>0</v>
      </c>
      <c r="Y11" s="264">
        <f t="shared" ref="Y11:Y51" ca="1" si="14">IF($H11="1521",$F11,0)</f>
        <v>0</v>
      </c>
      <c r="Z11" s="264">
        <f t="shared" ref="Z11:Z51" ca="1" si="15">IF($G11="1522",$F11,0)</f>
        <v>0</v>
      </c>
      <c r="AA11" s="264">
        <f t="shared" ref="AA11:AA51" ca="1" si="16">IF($H11="1522",$F11,0)</f>
        <v>0</v>
      </c>
      <c r="AB11" s="264">
        <f ca="1">IF($G11="153",$F11,0)</f>
        <v>0</v>
      </c>
      <c r="AC11" s="264">
        <f ca="1">IF($H11="153",$F11,0)</f>
        <v>0</v>
      </c>
      <c r="AD11" s="264">
        <f t="shared" ref="AD11:AD51" ca="1" si="17">IF($G11="154",$F11,0)</f>
        <v>0</v>
      </c>
      <c r="AE11" s="264">
        <f t="shared" ref="AE11:AE51" ca="1" si="18">IF($H11="154",$F11,0)</f>
        <v>0</v>
      </c>
      <c r="AF11" s="264">
        <f t="shared" ref="AF11:AF51" ca="1" si="19">IF($G11="155",$F11,0)</f>
        <v>0</v>
      </c>
      <c r="AG11" s="264">
        <f t="shared" ref="AG11:AG51"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1" ca="1" si="21">IF($G11="2141",$F11,0)</f>
        <v>0</v>
      </c>
      <c r="AQ11" s="264">
        <f t="shared" ref="AQ11:AQ51" ca="1" si="22">IF($H11="2141",$F11,0)</f>
        <v>0</v>
      </c>
      <c r="AR11" s="264">
        <f t="shared" ref="AR11:AR51" ca="1" si="23">IF($G11="2143",$F11,0)</f>
        <v>0</v>
      </c>
      <c r="AS11" s="264">
        <f t="shared" ref="AS11:AS51" ca="1" si="24">IF($H11="2143",$F11,0)</f>
        <v>0</v>
      </c>
      <c r="AT11" s="264">
        <f ca="1">IF($G11="2412",$F11,0)</f>
        <v>0</v>
      </c>
      <c r="AU11" s="264">
        <f ca="1">IF($H11="2412",$F11,0)</f>
        <v>0</v>
      </c>
      <c r="AV11" s="264">
        <f t="shared" ref="AV11:AV51" ca="1" si="25">IF($G11="331",$F11,0)</f>
        <v>0</v>
      </c>
      <c r="AW11" s="264">
        <f t="shared" ref="AW11:AW51" ca="1" si="26">IF($H11="331",$F11,0)</f>
        <v>0</v>
      </c>
      <c r="AX11" s="264">
        <f t="shared" ref="AX11:AX51" ca="1" si="27">IF($G11="33311",$F11,0)</f>
        <v>0</v>
      </c>
      <c r="AY11" s="264">
        <f t="shared" ref="AY11:AY51" ca="1" si="28">IF($H11="33311",$F11,0)</f>
        <v>0</v>
      </c>
      <c r="AZ11" s="264">
        <f t="shared" ref="AZ11:AZ51" ca="1" si="29">IF($G11="33312",$F11,0)</f>
        <v>0</v>
      </c>
      <c r="BA11" s="264">
        <f t="shared" ref="BA11:BA51" ca="1" si="30">IF($H11="33312",$F11,0)</f>
        <v>0</v>
      </c>
      <c r="BB11" s="264">
        <f t="shared" ref="BB11:BB51" ca="1" si="31">IF($G11="3333",$F11,0)</f>
        <v>0</v>
      </c>
      <c r="BC11" s="264">
        <f t="shared" ref="BC11:BC51" ca="1" si="32">IF($H11="3333",$F11,0)</f>
        <v>0</v>
      </c>
      <c r="BD11" s="264">
        <f t="shared" ref="BD11:BD51" ca="1" si="33">IF($G11="3334",$F11,0)</f>
        <v>0</v>
      </c>
      <c r="BE11" s="264">
        <f t="shared" ref="BE11:BE51" ca="1" si="34">IF($H11="3334",$F11,0)</f>
        <v>0</v>
      </c>
      <c r="BF11" s="264">
        <f t="shared" ref="BF11:BF51" ca="1" si="35">IF($G11="3335",$F11,0)</f>
        <v>0</v>
      </c>
      <c r="BG11" s="264">
        <f t="shared" ref="BG11:BG51" ca="1" si="36">IF($H11="3335",$F11,0)</f>
        <v>0</v>
      </c>
      <c r="BH11" s="264">
        <f ca="1">IF($G11="33382",$F11,0)</f>
        <v>0</v>
      </c>
      <c r="BI11" s="264">
        <f ca="1">IF($H11="33382",$F11,0)</f>
        <v>0</v>
      </c>
      <c r="BJ11" s="264">
        <f t="shared" ref="BJ11:BJ51" ca="1" si="37">IF($G11="3341",$F11,0)</f>
        <v>0</v>
      </c>
      <c r="BK11" s="264">
        <f t="shared" ref="BK11:BK51" ca="1" si="38">IF($H11="3341",$F11,0)</f>
        <v>0</v>
      </c>
      <c r="BL11" s="264">
        <f t="shared" ref="BL11:BL51" ca="1" si="39">IF($G11="3383",$F11,0)</f>
        <v>0</v>
      </c>
      <c r="BM11" s="264">
        <f t="shared" ref="BM11:BM51" ca="1" si="40">IF($H11="3383",$F11,0)</f>
        <v>0</v>
      </c>
      <c r="BN11" s="264">
        <f t="shared" ref="BN11:BN51" ca="1" si="41">IF($G11="3384",$F11,0)</f>
        <v>0</v>
      </c>
      <c r="BO11" s="264">
        <f t="shared" ref="BO11:BO51" ca="1" si="42">IF($H11="3384",$F11,0)</f>
        <v>0</v>
      </c>
      <c r="BP11" s="264">
        <f ca="1">IF($G11="3386",$F11,0)</f>
        <v>0</v>
      </c>
      <c r="BQ11" s="264">
        <f ca="1">IF($H11="3386",$F11,0)</f>
        <v>0</v>
      </c>
      <c r="BR11" s="264">
        <f t="shared" ref="BR11:BR51" ca="1" si="43">IF($G11="3388",$F11,0)</f>
        <v>0</v>
      </c>
      <c r="BS11" s="264">
        <f t="shared" ref="BS11:BS51" ca="1" si="44">IF($H11="3388",$F11,0)</f>
        <v>0</v>
      </c>
      <c r="BT11" s="264">
        <f ca="1">IF($G11="3411",$F11,0)</f>
        <v>0</v>
      </c>
      <c r="BU11" s="264">
        <f ca="1">IF($H11="3411",$F11,0)</f>
        <v>0</v>
      </c>
      <c r="BV11" s="264">
        <f ca="1">IF($G11="3412",$F11,0)</f>
        <v>0</v>
      </c>
      <c r="BW11" s="264">
        <f ca="1">IF($H11="3412",$F11,0)</f>
        <v>0</v>
      </c>
      <c r="BX11" s="264">
        <f t="shared" ref="BX11:BX51" ca="1" si="45">IF($G11="4111",$F11,0)</f>
        <v>0</v>
      </c>
      <c r="BY11" s="264">
        <f t="shared" ref="BY11:BY51" ca="1" si="46">IF($H11="4111",$F11,0)</f>
        <v>0</v>
      </c>
      <c r="BZ11" s="264">
        <f t="shared" ref="BZ11:BZ51" ca="1" si="47">IF($G11="4211",$F11,0)</f>
        <v>0</v>
      </c>
      <c r="CA11" s="264">
        <f t="shared" ref="CA11:CA51" ca="1" si="48">IF($H11="4211",$F11,0)</f>
        <v>0</v>
      </c>
      <c r="CB11" s="264">
        <f t="shared" ref="CB11:CB51" ca="1" si="49">IF($G11="4212",$F11,0)</f>
        <v>0</v>
      </c>
      <c r="CC11" s="264">
        <f t="shared" ref="CC11:CC51" ca="1" si="50">IF($H11="4212",$F11,0)</f>
        <v>0</v>
      </c>
      <c r="CD11" s="264">
        <f ca="1">IF($G11="5112N",$F11,0)</f>
        <v>0</v>
      </c>
      <c r="CE11" s="264">
        <f ca="1">IF($H11="5112N",$F11,0)</f>
        <v>0</v>
      </c>
      <c r="CF11" s="264">
        <f ca="1">IF($G11="5112X",$F11,0)</f>
        <v>0</v>
      </c>
      <c r="CG11" s="264">
        <f ca="1">IF($H11="5112X",$F11,0)</f>
        <v>0</v>
      </c>
      <c r="CH11" s="264">
        <f t="shared" ref="CH11:CH51" ca="1" si="51">IF($G11="515",$F11,0)</f>
        <v>0</v>
      </c>
      <c r="CI11" s="264">
        <f t="shared" ref="CI11:CI51" ca="1" si="52">IF($H11="515",$F11,0)</f>
        <v>0</v>
      </c>
      <c r="CJ11" s="264">
        <f ca="1">IF($G11="5213",$F11,0)</f>
        <v>0</v>
      </c>
      <c r="CK11" s="264">
        <f ca="1">IF($H11="5213",$F11,0)</f>
        <v>0</v>
      </c>
      <c r="CL11" s="264">
        <f t="shared" ref="CL11:CL51" ca="1" si="53">IF($G11="632",$F11,0)</f>
        <v>0</v>
      </c>
      <c r="CM11" s="264">
        <f t="shared" ref="CM11:CM51" ca="1" si="54">IF($H11="632",$F11,0)</f>
        <v>0</v>
      </c>
      <c r="CN11" s="264">
        <f t="shared" ref="CN11:CN51" ca="1" si="55">IF($G11="635",$F11,0)</f>
        <v>0</v>
      </c>
      <c r="CO11" s="264">
        <f t="shared" ref="CO11:CO51" ca="1" si="56">IF($H11="635",$F11,0)</f>
        <v>0</v>
      </c>
      <c r="CP11" s="264">
        <f ca="1">IF($G11="641",$F11,0)</f>
        <v>0</v>
      </c>
      <c r="CQ11" s="264">
        <f ca="1">IF($H11="641",$F11,0)</f>
        <v>0</v>
      </c>
      <c r="CR11" s="264">
        <f ca="1">IF($G11="642",$F11,0)</f>
        <v>0</v>
      </c>
      <c r="CS11" s="264">
        <f ca="1">IF($H11="642",$F11,0)</f>
        <v>0</v>
      </c>
      <c r="CT11" s="264">
        <f t="shared" ref="CT11:CT51" ca="1" si="57">IF($G11="711",$F11,0)</f>
        <v>0</v>
      </c>
      <c r="CU11" s="264">
        <f t="shared" ref="CU11:CU51" ca="1" si="58">IF($H11="711",$F11,0)</f>
        <v>0</v>
      </c>
      <c r="CV11" s="264">
        <f t="shared" ref="CV11:CV51" ca="1" si="59">IF($G11="811",$F11,0)</f>
        <v>0</v>
      </c>
      <c r="CW11" s="264">
        <f t="shared" ref="CW11:CW51" ca="1" si="60">IF($H11="811",$F11,0)</f>
        <v>0</v>
      </c>
      <c r="CX11" s="264">
        <f ca="1">IF($G11="821",$F11,0)</f>
        <v>0</v>
      </c>
      <c r="CY11" s="264">
        <f ca="1">IF($H11="821",$F11,0)</f>
        <v>0</v>
      </c>
      <c r="CZ11" s="264">
        <f ca="1">IF($G11="911",$F11,0)</f>
        <v>0</v>
      </c>
      <c r="DA11" s="264">
        <f ca="1">IF($H11="911",$F11,0)</f>
        <v>0</v>
      </c>
    </row>
    <row r="12" spans="1:105" s="261" customFormat="1" ht="15" customHeight="1">
      <c r="A12" s="63">
        <f t="array" aca="1" ref="A12" ca="1">IF(C12&lt;&gt;0,SUM(($C$11:C12&lt;&gt;0)*1),"")</f>
        <v>2</v>
      </c>
      <c r="B12" s="262" t="str">
        <f ca="1">IF(ROWS($1:2)&gt;COUNT(Dong6),"",OFFSET(TH!C$1,SMALL(Dong6,ROWS($1:2)),))</f>
        <v/>
      </c>
      <c r="C12" s="262" t="str">
        <f ca="1">IF(ROWS($1:2)&gt;COUNT(Dong6),"",OFFSET(TH!D$1,SMALL(Dong6,ROWS($1:2)),))</f>
        <v/>
      </c>
      <c r="D12" s="262" t="str">
        <f ca="1">IF(ROWS($1:2)&gt;COUNT(Dong6),"",OFFSET(TH!E$1,SMALL(Dong6,ROWS($1:2)),))</f>
        <v/>
      </c>
      <c r="E12" s="310" t="str">
        <f ca="1">IF(ROWS($1:2)&gt;COUNT(Dong6),"",OFFSET(TH!F$1,SMALL(Dong6,ROWS($1:2)),))</f>
        <v/>
      </c>
      <c r="F12" s="311" t="str">
        <f ca="1">IF(ROWS($1:2)&gt;COUNT(Dong6),"",OFFSET(TH!M$1,SMALL(Dong6,ROWS($1:2)),))</f>
        <v/>
      </c>
      <c r="G12" s="312" t="str">
        <f ca="1">IF(ROWS($1:2)&gt;COUNT(Dong6),"",OFFSET(TH!N$1,SMALL(Dong6,ROWS($1:2)),))</f>
        <v/>
      </c>
      <c r="H12" s="312" t="str">
        <f ca="1">IF(ROWS($1:2)&gt;COUNT(Dong6),"",OFFSET(TH!O$1,SMALL(Dong6,ROWS($1:2)),))</f>
        <v/>
      </c>
      <c r="I12" s="63">
        <f t="shared" ca="1" si="0"/>
        <v>2</v>
      </c>
      <c r="J12" s="264">
        <f t="shared" ref="J12:J51" ca="1" si="61">IF($G12="1111",$F12,0)</f>
        <v>0</v>
      </c>
      <c r="K12" s="264">
        <f t="shared" ref="K12:K51" ca="1" si="62">IF($H12="1111",$F12,0)</f>
        <v>0</v>
      </c>
      <c r="L12" s="264">
        <f t="shared" ca="1" si="1"/>
        <v>0</v>
      </c>
      <c r="M12" s="264">
        <f t="shared" ca="1" si="2"/>
        <v>0</v>
      </c>
      <c r="N12" s="264">
        <f t="shared" ca="1" si="3"/>
        <v>0</v>
      </c>
      <c r="O12" s="264">
        <f t="shared" ca="1" si="4"/>
        <v>0</v>
      </c>
      <c r="P12" s="264">
        <f t="shared" ca="1" si="5"/>
        <v>0</v>
      </c>
      <c r="Q12" s="264">
        <f t="shared" ca="1" si="6"/>
        <v>0</v>
      </c>
      <c r="R12" s="264">
        <f t="shared" ca="1" si="7"/>
        <v>0</v>
      </c>
      <c r="S12" s="264">
        <f t="shared" ca="1" si="8"/>
        <v>0</v>
      </c>
      <c r="T12" s="264">
        <f t="shared" ca="1" si="9"/>
        <v>0</v>
      </c>
      <c r="U12" s="264">
        <f t="shared" ca="1" si="10"/>
        <v>0</v>
      </c>
      <c r="V12" s="264">
        <f t="shared" ca="1" si="11"/>
        <v>0</v>
      </c>
      <c r="W12" s="264">
        <f t="shared" ca="1" si="12"/>
        <v>0</v>
      </c>
      <c r="X12" s="264">
        <f t="shared" ca="1" si="13"/>
        <v>0</v>
      </c>
      <c r="Y12" s="264">
        <f t="shared" ca="1" si="14"/>
        <v>0</v>
      </c>
      <c r="Z12" s="264">
        <f t="shared" ca="1" si="15"/>
        <v>0</v>
      </c>
      <c r="AA12" s="264">
        <f t="shared" ca="1" si="16"/>
        <v>0</v>
      </c>
      <c r="AB12" s="264">
        <f t="shared" ref="AB12:AB51" ca="1" si="63">IF($G12="153",$F12,0)</f>
        <v>0</v>
      </c>
      <c r="AC12" s="264">
        <f t="shared" ref="AC12:AC51" ca="1" si="64">IF($H12="153",$F12,0)</f>
        <v>0</v>
      </c>
      <c r="AD12" s="264">
        <f t="shared" ca="1" si="17"/>
        <v>0</v>
      </c>
      <c r="AE12" s="264">
        <f t="shared" ca="1" si="18"/>
        <v>0</v>
      </c>
      <c r="AF12" s="264">
        <f t="shared" ca="1" si="19"/>
        <v>0</v>
      </c>
      <c r="AG12" s="264">
        <f t="shared" ca="1" si="20"/>
        <v>0</v>
      </c>
      <c r="AH12" s="264">
        <f t="shared" ref="AH12:AH51" ca="1" si="65">IF($G12="2111",$F12,0)</f>
        <v>0</v>
      </c>
      <c r="AI12" s="264">
        <f t="shared" ref="AI12:AI51" ca="1" si="66">IF($H12="2111",$F12,0)</f>
        <v>0</v>
      </c>
      <c r="AJ12" s="264">
        <f t="shared" ref="AJ12:AJ51" ca="1" si="67">IF($G12="2112",$F12,0)</f>
        <v>0</v>
      </c>
      <c r="AK12" s="264">
        <f t="shared" ref="AK12:AK51" ca="1" si="68">IF($H12="2112",$F12,0)</f>
        <v>0</v>
      </c>
      <c r="AL12" s="264">
        <f t="shared" ref="AL12:AL51" ca="1" si="69">IF($G12="2113",$F12,0)</f>
        <v>0</v>
      </c>
      <c r="AM12" s="264">
        <f t="shared" ref="AM12:AM51" ca="1" si="70">IF($H12="2113",$F12,0)</f>
        <v>0</v>
      </c>
      <c r="AN12" s="264">
        <f t="shared" ref="AN12:AN51" ca="1" si="71">IF($G12="2131",$F12,0)</f>
        <v>0</v>
      </c>
      <c r="AO12" s="264">
        <f t="shared" ref="AO12:AO51" ca="1" si="72">IF($H12="2131",$F12,0)</f>
        <v>0</v>
      </c>
      <c r="AP12" s="264">
        <f t="shared" ca="1" si="21"/>
        <v>0</v>
      </c>
      <c r="AQ12" s="264">
        <f t="shared" ca="1" si="22"/>
        <v>0</v>
      </c>
      <c r="AR12" s="264">
        <f t="shared" ca="1" si="23"/>
        <v>0</v>
      </c>
      <c r="AS12" s="264">
        <f t="shared" ca="1" si="24"/>
        <v>0</v>
      </c>
      <c r="AT12" s="264">
        <f t="shared" ref="AT12:AT38" ca="1" si="73">IF($G12="2412",$F12,0)</f>
        <v>0</v>
      </c>
      <c r="AU12" s="264">
        <f t="shared" ref="AU12:AU38" ca="1" si="74">IF($H12="2412",$F12,0)</f>
        <v>0</v>
      </c>
      <c r="AV12" s="264">
        <f t="shared" ca="1" si="25"/>
        <v>0</v>
      </c>
      <c r="AW12" s="264">
        <f t="shared" ca="1" si="26"/>
        <v>0</v>
      </c>
      <c r="AX12" s="264">
        <f t="shared" ca="1" si="27"/>
        <v>0</v>
      </c>
      <c r="AY12" s="264">
        <f t="shared" ca="1" si="28"/>
        <v>0</v>
      </c>
      <c r="AZ12" s="264">
        <f t="shared" ca="1" si="29"/>
        <v>0</v>
      </c>
      <c r="BA12" s="264">
        <f t="shared" ca="1" si="30"/>
        <v>0</v>
      </c>
      <c r="BB12" s="264">
        <f t="shared" ca="1" si="31"/>
        <v>0</v>
      </c>
      <c r="BC12" s="264">
        <f t="shared" ca="1" si="32"/>
        <v>0</v>
      </c>
      <c r="BD12" s="264">
        <f t="shared" ca="1" si="33"/>
        <v>0</v>
      </c>
      <c r="BE12" s="264">
        <f t="shared" ca="1" si="34"/>
        <v>0</v>
      </c>
      <c r="BF12" s="264">
        <f t="shared" ca="1" si="35"/>
        <v>0</v>
      </c>
      <c r="BG12" s="264">
        <f t="shared" ca="1" si="36"/>
        <v>0</v>
      </c>
      <c r="BH12" s="264">
        <f t="shared" ref="BH12:BH51" ca="1" si="75">IF($G12="33382",$F12,0)</f>
        <v>0</v>
      </c>
      <c r="BI12" s="264">
        <f t="shared" ref="BI12:BI51" ca="1" si="76">IF($H12="33382",$F12,0)</f>
        <v>0</v>
      </c>
      <c r="BJ12" s="264">
        <f t="shared" ca="1" si="37"/>
        <v>0</v>
      </c>
      <c r="BK12" s="264">
        <f t="shared" ca="1" si="38"/>
        <v>0</v>
      </c>
      <c r="BL12" s="264">
        <f t="shared" ca="1" si="39"/>
        <v>0</v>
      </c>
      <c r="BM12" s="264">
        <f t="shared" ca="1" si="40"/>
        <v>0</v>
      </c>
      <c r="BN12" s="264">
        <f t="shared" ca="1" si="41"/>
        <v>0</v>
      </c>
      <c r="BO12" s="264">
        <f t="shared" ca="1" si="42"/>
        <v>0</v>
      </c>
      <c r="BP12" s="264">
        <f t="shared" ref="BP12:BP51" ca="1" si="77">IF($G12="3386",$F12,0)</f>
        <v>0</v>
      </c>
      <c r="BQ12" s="264">
        <f t="shared" ref="BQ12:BQ51" ca="1" si="78">IF($H12="3386",$F12,0)</f>
        <v>0</v>
      </c>
      <c r="BR12" s="264">
        <f t="shared" ca="1" si="43"/>
        <v>0</v>
      </c>
      <c r="BS12" s="264">
        <f t="shared" ca="1" si="44"/>
        <v>0</v>
      </c>
      <c r="BT12" s="264">
        <f t="shared" ref="BT12:BT51" ca="1" si="79">IF($G12="3411",$F12,0)</f>
        <v>0</v>
      </c>
      <c r="BU12" s="264">
        <f t="shared" ref="BU12:BU51" ca="1" si="80">IF($H12="3411",$F12,0)</f>
        <v>0</v>
      </c>
      <c r="BV12" s="264">
        <f t="shared" ref="BV12:BV38" ca="1" si="81">IF($G12="3412",$F12,0)</f>
        <v>0</v>
      </c>
      <c r="BW12" s="264">
        <f t="shared" ref="BW12:BW38" ca="1" si="82">IF($H12="3412",$F12,0)</f>
        <v>0</v>
      </c>
      <c r="BX12" s="264">
        <f t="shared" ca="1" si="45"/>
        <v>0</v>
      </c>
      <c r="BY12" s="264">
        <f t="shared" ca="1" si="46"/>
        <v>0</v>
      </c>
      <c r="BZ12" s="264">
        <f t="shared" ca="1" si="47"/>
        <v>0</v>
      </c>
      <c r="CA12" s="264">
        <f t="shared" ca="1" si="48"/>
        <v>0</v>
      </c>
      <c r="CB12" s="264">
        <f t="shared" ca="1" si="49"/>
        <v>0</v>
      </c>
      <c r="CC12" s="264">
        <f t="shared" ca="1" si="50"/>
        <v>0</v>
      </c>
      <c r="CD12" s="264">
        <f t="shared" ref="CD12:CD51" ca="1" si="83">IF($G12="5112N",$F12,0)</f>
        <v>0</v>
      </c>
      <c r="CE12" s="264">
        <f t="shared" ref="CE12:CE51" ca="1" si="84">IF($H12="5112N",$F12,0)</f>
        <v>0</v>
      </c>
      <c r="CF12" s="264">
        <f t="shared" ref="CF12:CF51" ca="1" si="85">IF($G12="5112X",$F12,0)</f>
        <v>0</v>
      </c>
      <c r="CG12" s="264">
        <f t="shared" ref="CG12:CG51" ca="1" si="86">IF($H12="5112X",$F12,0)</f>
        <v>0</v>
      </c>
      <c r="CH12" s="264">
        <f t="shared" ca="1" si="51"/>
        <v>0</v>
      </c>
      <c r="CI12" s="264">
        <f t="shared" ca="1" si="52"/>
        <v>0</v>
      </c>
      <c r="CJ12" s="264">
        <f t="shared" ref="CJ12:CJ51" ca="1" si="87">IF($G12="5213",$F12,0)</f>
        <v>0</v>
      </c>
      <c r="CK12" s="264">
        <f t="shared" ref="CK12:CK51" ca="1" si="88">IF($H12="5213",$F12,0)</f>
        <v>0</v>
      </c>
      <c r="CL12" s="264">
        <f t="shared" ca="1" si="53"/>
        <v>0</v>
      </c>
      <c r="CM12" s="264">
        <f t="shared" ca="1" si="54"/>
        <v>0</v>
      </c>
      <c r="CN12" s="264">
        <f t="shared" ca="1" si="55"/>
        <v>0</v>
      </c>
      <c r="CO12" s="264">
        <f t="shared" ca="1" si="56"/>
        <v>0</v>
      </c>
      <c r="CP12" s="264">
        <f t="shared" ref="CP12:CP51" ca="1" si="89">IF($G12="641",$F12,0)</f>
        <v>0</v>
      </c>
      <c r="CQ12" s="264">
        <f t="shared" ref="CQ12:CQ51" ca="1" si="90">IF($H12="641",$F12,0)</f>
        <v>0</v>
      </c>
      <c r="CR12" s="264">
        <f t="shared" ref="CR12:CR51" ca="1" si="91">IF($G12="642",$F12,0)</f>
        <v>0</v>
      </c>
      <c r="CS12" s="264">
        <f t="shared" ref="CS12:CS51" ca="1" si="92">IF($H12="642",$F12,0)</f>
        <v>0</v>
      </c>
      <c r="CT12" s="264">
        <f t="shared" ca="1" si="57"/>
        <v>0</v>
      </c>
      <c r="CU12" s="264">
        <f t="shared" ca="1" si="58"/>
        <v>0</v>
      </c>
      <c r="CV12" s="264">
        <f t="shared" ca="1" si="59"/>
        <v>0</v>
      </c>
      <c r="CW12" s="264">
        <f t="shared" ca="1" si="60"/>
        <v>0</v>
      </c>
      <c r="CX12" s="264">
        <f t="shared" ref="CX12:CX51" ca="1" si="93">IF($G12="821",$F12,0)</f>
        <v>0</v>
      </c>
      <c r="CY12" s="264">
        <f t="shared" ref="CY12:CY51" ca="1" si="94">IF($H12="821",$F12,0)</f>
        <v>0</v>
      </c>
      <c r="CZ12" s="264">
        <f t="shared" ref="CZ12:CZ51" ca="1" si="95">IF($G12="911",$F12,0)</f>
        <v>0</v>
      </c>
      <c r="DA12" s="264">
        <f t="shared" ref="DA12:DA51" ca="1" si="96">IF($H12="911",$F12,0)</f>
        <v>0</v>
      </c>
    </row>
    <row r="13" spans="1:105" s="261" customFormat="1" ht="15" customHeight="1">
      <c r="A13" s="63">
        <f t="array" aca="1" ref="A13" ca="1">IF(C13&lt;&gt;0,SUM(($C$11:C13&lt;&gt;0)*1),"")</f>
        <v>3</v>
      </c>
      <c r="B13" s="262" t="str">
        <f ca="1">IF(ROWS($1:3)&gt;COUNT(Dong6),"",OFFSET(TH!C$1,SMALL(Dong6,ROWS($1:3)),))</f>
        <v/>
      </c>
      <c r="C13" s="262" t="str">
        <f ca="1">IF(ROWS($1:3)&gt;COUNT(Dong6),"",OFFSET(TH!D$1,SMALL(Dong6,ROWS($1:3)),))</f>
        <v/>
      </c>
      <c r="D13" s="262" t="str">
        <f ca="1">IF(ROWS($1:3)&gt;COUNT(Dong6),"",OFFSET(TH!E$1,SMALL(Dong6,ROWS($1:3)),))</f>
        <v/>
      </c>
      <c r="E13" s="310" t="str">
        <f ca="1">IF(ROWS($1:3)&gt;COUNT(Dong6),"",OFFSET(TH!F$1,SMALL(Dong6,ROWS($1:3)),))</f>
        <v/>
      </c>
      <c r="F13" s="311" t="str">
        <f ca="1">IF(ROWS($1:3)&gt;COUNT(Dong6),"",OFFSET(TH!M$1,SMALL(Dong6,ROWS($1:3)),))</f>
        <v/>
      </c>
      <c r="G13" s="312" t="str">
        <f ca="1">IF(ROWS($1:3)&gt;COUNT(Dong6),"",OFFSET(TH!N$1,SMALL(Dong6,ROWS($1:3)),))</f>
        <v/>
      </c>
      <c r="H13" s="312" t="str">
        <f ca="1">IF(ROWS($1:3)&gt;COUNT(Dong6),"",OFFSET(TH!O$1,SMALL(Dong6,ROWS($1:3)),))</f>
        <v/>
      </c>
      <c r="I13" s="63">
        <f t="shared" ca="1" si="0"/>
        <v>3</v>
      </c>
      <c r="J13" s="264">
        <f t="shared" ca="1" si="61"/>
        <v>0</v>
      </c>
      <c r="K13" s="264">
        <f t="shared" ca="1" si="62"/>
        <v>0</v>
      </c>
      <c r="L13" s="264">
        <f t="shared" ca="1" si="1"/>
        <v>0</v>
      </c>
      <c r="M13" s="264">
        <f t="shared" ca="1" si="2"/>
        <v>0</v>
      </c>
      <c r="N13" s="264">
        <f t="shared" ca="1" si="3"/>
        <v>0</v>
      </c>
      <c r="O13" s="264">
        <f t="shared" ca="1" si="4"/>
        <v>0</v>
      </c>
      <c r="P13" s="264">
        <f t="shared" ca="1" si="5"/>
        <v>0</v>
      </c>
      <c r="Q13" s="264">
        <f t="shared" ca="1" si="6"/>
        <v>0</v>
      </c>
      <c r="R13" s="264">
        <f t="shared" ca="1" si="7"/>
        <v>0</v>
      </c>
      <c r="S13" s="264">
        <f t="shared" ca="1" si="8"/>
        <v>0</v>
      </c>
      <c r="T13" s="264">
        <f t="shared" ca="1" si="9"/>
        <v>0</v>
      </c>
      <c r="U13" s="264">
        <f t="shared" ca="1" si="10"/>
        <v>0</v>
      </c>
      <c r="V13" s="264">
        <f t="shared" ca="1" si="11"/>
        <v>0</v>
      </c>
      <c r="W13" s="264">
        <f t="shared" ca="1" si="12"/>
        <v>0</v>
      </c>
      <c r="X13" s="264">
        <f t="shared" ca="1" si="13"/>
        <v>0</v>
      </c>
      <c r="Y13" s="264">
        <f t="shared" ca="1" si="14"/>
        <v>0</v>
      </c>
      <c r="Z13" s="264">
        <f t="shared" ca="1" si="15"/>
        <v>0</v>
      </c>
      <c r="AA13" s="264">
        <f t="shared" ca="1" si="16"/>
        <v>0</v>
      </c>
      <c r="AB13" s="264">
        <f t="shared" ca="1" si="63"/>
        <v>0</v>
      </c>
      <c r="AC13" s="264">
        <f t="shared" ca="1" si="64"/>
        <v>0</v>
      </c>
      <c r="AD13" s="264">
        <f t="shared" ca="1" si="17"/>
        <v>0</v>
      </c>
      <c r="AE13" s="264">
        <f t="shared" ca="1" si="18"/>
        <v>0</v>
      </c>
      <c r="AF13" s="264">
        <f t="shared" ca="1" si="19"/>
        <v>0</v>
      </c>
      <c r="AG13" s="264">
        <f t="shared" ca="1" si="20"/>
        <v>0</v>
      </c>
      <c r="AH13" s="264">
        <f t="shared" ca="1" si="65"/>
        <v>0</v>
      </c>
      <c r="AI13" s="264">
        <f t="shared" ca="1" si="66"/>
        <v>0</v>
      </c>
      <c r="AJ13" s="264">
        <f t="shared" ca="1" si="67"/>
        <v>0</v>
      </c>
      <c r="AK13" s="264">
        <f t="shared" ca="1" si="68"/>
        <v>0</v>
      </c>
      <c r="AL13" s="264">
        <f t="shared" ca="1" si="69"/>
        <v>0</v>
      </c>
      <c r="AM13" s="264">
        <f t="shared" ca="1" si="70"/>
        <v>0</v>
      </c>
      <c r="AN13" s="264">
        <f t="shared" ca="1" si="71"/>
        <v>0</v>
      </c>
      <c r="AO13" s="264">
        <f t="shared" ca="1" si="72"/>
        <v>0</v>
      </c>
      <c r="AP13" s="264">
        <f t="shared" ca="1" si="21"/>
        <v>0</v>
      </c>
      <c r="AQ13" s="264">
        <f t="shared" ca="1" si="22"/>
        <v>0</v>
      </c>
      <c r="AR13" s="264">
        <f t="shared" ca="1" si="23"/>
        <v>0</v>
      </c>
      <c r="AS13" s="264">
        <f t="shared" ca="1" si="24"/>
        <v>0</v>
      </c>
      <c r="AT13" s="264">
        <f t="shared" ca="1" si="73"/>
        <v>0</v>
      </c>
      <c r="AU13" s="264">
        <f t="shared" ca="1" si="74"/>
        <v>0</v>
      </c>
      <c r="AV13" s="264">
        <f t="shared" ca="1" si="25"/>
        <v>0</v>
      </c>
      <c r="AW13" s="264">
        <f t="shared" ca="1" si="26"/>
        <v>0</v>
      </c>
      <c r="AX13" s="264">
        <f t="shared" ca="1" si="27"/>
        <v>0</v>
      </c>
      <c r="AY13" s="264">
        <f t="shared" ca="1" si="28"/>
        <v>0</v>
      </c>
      <c r="AZ13" s="264">
        <f t="shared" ca="1" si="29"/>
        <v>0</v>
      </c>
      <c r="BA13" s="264">
        <f t="shared" ca="1" si="30"/>
        <v>0</v>
      </c>
      <c r="BB13" s="264">
        <f t="shared" ca="1" si="31"/>
        <v>0</v>
      </c>
      <c r="BC13" s="264">
        <f t="shared" ca="1" si="32"/>
        <v>0</v>
      </c>
      <c r="BD13" s="264">
        <f t="shared" ca="1" si="33"/>
        <v>0</v>
      </c>
      <c r="BE13" s="264">
        <f t="shared" ca="1" si="34"/>
        <v>0</v>
      </c>
      <c r="BF13" s="264">
        <f t="shared" ca="1" si="35"/>
        <v>0</v>
      </c>
      <c r="BG13" s="264">
        <f t="shared" ca="1" si="36"/>
        <v>0</v>
      </c>
      <c r="BH13" s="264">
        <f t="shared" ca="1" si="75"/>
        <v>0</v>
      </c>
      <c r="BI13" s="264">
        <f t="shared" ca="1" si="76"/>
        <v>0</v>
      </c>
      <c r="BJ13" s="264">
        <f t="shared" ca="1" si="37"/>
        <v>0</v>
      </c>
      <c r="BK13" s="264">
        <f t="shared" ca="1" si="38"/>
        <v>0</v>
      </c>
      <c r="BL13" s="264">
        <f t="shared" ca="1" si="39"/>
        <v>0</v>
      </c>
      <c r="BM13" s="264">
        <f t="shared" ca="1" si="40"/>
        <v>0</v>
      </c>
      <c r="BN13" s="264">
        <f t="shared" ca="1" si="41"/>
        <v>0</v>
      </c>
      <c r="BO13" s="264">
        <f t="shared" ca="1" si="42"/>
        <v>0</v>
      </c>
      <c r="BP13" s="264">
        <f t="shared" ca="1" si="77"/>
        <v>0</v>
      </c>
      <c r="BQ13" s="264">
        <f t="shared" ca="1" si="78"/>
        <v>0</v>
      </c>
      <c r="BR13" s="264">
        <f t="shared" ca="1" si="43"/>
        <v>0</v>
      </c>
      <c r="BS13" s="264">
        <f t="shared" ca="1" si="44"/>
        <v>0</v>
      </c>
      <c r="BT13" s="264">
        <f t="shared" ca="1" si="79"/>
        <v>0</v>
      </c>
      <c r="BU13" s="264">
        <f t="shared" ca="1" si="80"/>
        <v>0</v>
      </c>
      <c r="BV13" s="264">
        <f t="shared" ca="1" si="81"/>
        <v>0</v>
      </c>
      <c r="BW13" s="264">
        <f t="shared" ca="1" si="82"/>
        <v>0</v>
      </c>
      <c r="BX13" s="264">
        <f t="shared" ca="1" si="45"/>
        <v>0</v>
      </c>
      <c r="BY13" s="264">
        <f t="shared" ca="1" si="46"/>
        <v>0</v>
      </c>
      <c r="BZ13" s="264">
        <f t="shared" ca="1" si="47"/>
        <v>0</v>
      </c>
      <c r="CA13" s="264">
        <f t="shared" ca="1" si="48"/>
        <v>0</v>
      </c>
      <c r="CB13" s="264">
        <f t="shared" ca="1" si="49"/>
        <v>0</v>
      </c>
      <c r="CC13" s="264">
        <f t="shared" ca="1" si="50"/>
        <v>0</v>
      </c>
      <c r="CD13" s="264">
        <f t="shared" ca="1" si="83"/>
        <v>0</v>
      </c>
      <c r="CE13" s="264">
        <f t="shared" ca="1" si="84"/>
        <v>0</v>
      </c>
      <c r="CF13" s="264">
        <f t="shared" ca="1" si="85"/>
        <v>0</v>
      </c>
      <c r="CG13" s="264">
        <f t="shared" ca="1" si="86"/>
        <v>0</v>
      </c>
      <c r="CH13" s="264">
        <f t="shared" ca="1" si="51"/>
        <v>0</v>
      </c>
      <c r="CI13" s="264">
        <f t="shared" ca="1" si="52"/>
        <v>0</v>
      </c>
      <c r="CJ13" s="264">
        <f t="shared" ca="1" si="87"/>
        <v>0</v>
      </c>
      <c r="CK13" s="264">
        <f t="shared" ca="1" si="88"/>
        <v>0</v>
      </c>
      <c r="CL13" s="264">
        <f t="shared" ca="1" si="53"/>
        <v>0</v>
      </c>
      <c r="CM13" s="264">
        <f t="shared" ca="1" si="54"/>
        <v>0</v>
      </c>
      <c r="CN13" s="264">
        <f t="shared" ca="1" si="55"/>
        <v>0</v>
      </c>
      <c r="CO13" s="264">
        <f t="shared" ca="1" si="56"/>
        <v>0</v>
      </c>
      <c r="CP13" s="264">
        <f t="shared" ca="1" si="89"/>
        <v>0</v>
      </c>
      <c r="CQ13" s="264">
        <f t="shared" ca="1" si="90"/>
        <v>0</v>
      </c>
      <c r="CR13" s="264">
        <f t="shared" ca="1" si="91"/>
        <v>0</v>
      </c>
      <c r="CS13" s="264">
        <f t="shared" ca="1" si="92"/>
        <v>0</v>
      </c>
      <c r="CT13" s="264">
        <f t="shared" ca="1" si="57"/>
        <v>0</v>
      </c>
      <c r="CU13" s="264">
        <f t="shared" ca="1" si="58"/>
        <v>0</v>
      </c>
      <c r="CV13" s="264">
        <f t="shared" ca="1" si="59"/>
        <v>0</v>
      </c>
      <c r="CW13" s="264">
        <f t="shared" ca="1" si="60"/>
        <v>0</v>
      </c>
      <c r="CX13" s="264">
        <f t="shared" ca="1" si="93"/>
        <v>0</v>
      </c>
      <c r="CY13" s="264">
        <f t="shared" ca="1" si="94"/>
        <v>0</v>
      </c>
      <c r="CZ13" s="264">
        <f t="shared" ca="1" si="95"/>
        <v>0</v>
      </c>
      <c r="DA13" s="264">
        <f t="shared" ca="1" si="96"/>
        <v>0</v>
      </c>
    </row>
    <row r="14" spans="1:105" s="261" customFormat="1" ht="15" customHeight="1">
      <c r="A14" s="63">
        <f t="array" aca="1" ref="A14" ca="1">IF(C14&lt;&gt;0,SUM(($C$11:C14&lt;&gt;0)*1),"")</f>
        <v>4</v>
      </c>
      <c r="B14" s="262" t="str">
        <f ca="1">IF(ROWS($1:4)&gt;COUNT(Dong6),"",OFFSET(TH!C$1,SMALL(Dong6,ROWS($1:4)),))</f>
        <v/>
      </c>
      <c r="C14" s="262" t="str">
        <f ca="1">IF(ROWS($1:4)&gt;COUNT(Dong6),"",OFFSET(TH!D$1,SMALL(Dong6,ROWS($1:4)),))</f>
        <v/>
      </c>
      <c r="D14" s="262" t="str">
        <f ca="1">IF(ROWS($1:4)&gt;COUNT(Dong6),"",OFFSET(TH!E$1,SMALL(Dong6,ROWS($1:4)),))</f>
        <v/>
      </c>
      <c r="E14" s="310" t="str">
        <f ca="1">IF(ROWS($1:4)&gt;COUNT(Dong6),"",OFFSET(TH!F$1,SMALL(Dong6,ROWS($1:4)),))</f>
        <v/>
      </c>
      <c r="F14" s="311" t="str">
        <f ca="1">IF(ROWS($1:4)&gt;COUNT(Dong6),"",OFFSET(TH!M$1,SMALL(Dong6,ROWS($1:4)),))</f>
        <v/>
      </c>
      <c r="G14" s="312" t="str">
        <f ca="1">IF(ROWS($1:4)&gt;COUNT(Dong6),"",OFFSET(TH!N$1,SMALL(Dong6,ROWS($1:4)),))</f>
        <v/>
      </c>
      <c r="H14" s="312" t="str">
        <f ca="1">IF(ROWS($1:4)&gt;COUNT(Dong6),"",OFFSET(TH!O$1,SMALL(Dong6,ROWS($1:4)),))</f>
        <v/>
      </c>
      <c r="I14" s="63">
        <f t="shared" ca="1" si="0"/>
        <v>4</v>
      </c>
      <c r="J14" s="264">
        <f t="shared" ca="1" si="61"/>
        <v>0</v>
      </c>
      <c r="K14" s="264">
        <f t="shared" ca="1" si="62"/>
        <v>0</v>
      </c>
      <c r="L14" s="264">
        <f t="shared" ca="1" si="1"/>
        <v>0</v>
      </c>
      <c r="M14" s="264">
        <f t="shared" ca="1" si="2"/>
        <v>0</v>
      </c>
      <c r="N14" s="264">
        <f t="shared" ca="1" si="3"/>
        <v>0</v>
      </c>
      <c r="O14" s="264">
        <f t="shared" ca="1" si="4"/>
        <v>0</v>
      </c>
      <c r="P14" s="264">
        <f t="shared" ca="1" si="5"/>
        <v>0</v>
      </c>
      <c r="Q14" s="264">
        <f t="shared" ca="1" si="6"/>
        <v>0</v>
      </c>
      <c r="R14" s="264">
        <f t="shared" ca="1" si="7"/>
        <v>0</v>
      </c>
      <c r="S14" s="264">
        <f t="shared" ca="1" si="8"/>
        <v>0</v>
      </c>
      <c r="T14" s="264">
        <f t="shared" ca="1" si="9"/>
        <v>0</v>
      </c>
      <c r="U14" s="264">
        <f t="shared" ca="1" si="10"/>
        <v>0</v>
      </c>
      <c r="V14" s="264">
        <f t="shared" ca="1" si="11"/>
        <v>0</v>
      </c>
      <c r="W14" s="264">
        <f t="shared" ca="1" si="12"/>
        <v>0</v>
      </c>
      <c r="X14" s="264">
        <f t="shared" ca="1" si="13"/>
        <v>0</v>
      </c>
      <c r="Y14" s="264">
        <f t="shared" ca="1" si="14"/>
        <v>0</v>
      </c>
      <c r="Z14" s="264">
        <f t="shared" ca="1" si="15"/>
        <v>0</v>
      </c>
      <c r="AA14" s="264">
        <f t="shared" ca="1" si="16"/>
        <v>0</v>
      </c>
      <c r="AB14" s="264">
        <f t="shared" ca="1" si="63"/>
        <v>0</v>
      </c>
      <c r="AC14" s="264">
        <f t="shared" ca="1" si="64"/>
        <v>0</v>
      </c>
      <c r="AD14" s="264">
        <f t="shared" ca="1" si="17"/>
        <v>0</v>
      </c>
      <c r="AE14" s="264">
        <f t="shared" ca="1" si="18"/>
        <v>0</v>
      </c>
      <c r="AF14" s="264">
        <f t="shared" ca="1" si="19"/>
        <v>0</v>
      </c>
      <c r="AG14" s="264">
        <f t="shared" ca="1" si="20"/>
        <v>0</v>
      </c>
      <c r="AH14" s="264">
        <f t="shared" ca="1" si="65"/>
        <v>0</v>
      </c>
      <c r="AI14" s="264">
        <f t="shared" ca="1" si="66"/>
        <v>0</v>
      </c>
      <c r="AJ14" s="264">
        <f t="shared" ca="1" si="67"/>
        <v>0</v>
      </c>
      <c r="AK14" s="264">
        <f t="shared" ca="1" si="68"/>
        <v>0</v>
      </c>
      <c r="AL14" s="264">
        <f t="shared" ca="1" si="69"/>
        <v>0</v>
      </c>
      <c r="AM14" s="264">
        <f t="shared" ca="1" si="70"/>
        <v>0</v>
      </c>
      <c r="AN14" s="264">
        <f t="shared" ca="1" si="71"/>
        <v>0</v>
      </c>
      <c r="AO14" s="264">
        <f t="shared" ca="1" si="72"/>
        <v>0</v>
      </c>
      <c r="AP14" s="264">
        <f t="shared" ca="1" si="21"/>
        <v>0</v>
      </c>
      <c r="AQ14" s="264">
        <f t="shared" ca="1" si="22"/>
        <v>0</v>
      </c>
      <c r="AR14" s="264">
        <f t="shared" ca="1" si="23"/>
        <v>0</v>
      </c>
      <c r="AS14" s="264">
        <f t="shared" ca="1" si="24"/>
        <v>0</v>
      </c>
      <c r="AT14" s="264">
        <f t="shared" ca="1" si="73"/>
        <v>0</v>
      </c>
      <c r="AU14" s="264">
        <f t="shared" ca="1" si="74"/>
        <v>0</v>
      </c>
      <c r="AV14" s="264">
        <f t="shared" ca="1" si="25"/>
        <v>0</v>
      </c>
      <c r="AW14" s="264">
        <f t="shared" ca="1" si="26"/>
        <v>0</v>
      </c>
      <c r="AX14" s="264">
        <f t="shared" ca="1" si="27"/>
        <v>0</v>
      </c>
      <c r="AY14" s="264">
        <f t="shared" ca="1" si="28"/>
        <v>0</v>
      </c>
      <c r="AZ14" s="264">
        <f t="shared" ca="1" si="29"/>
        <v>0</v>
      </c>
      <c r="BA14" s="264">
        <f t="shared" ca="1" si="30"/>
        <v>0</v>
      </c>
      <c r="BB14" s="264">
        <f t="shared" ca="1" si="31"/>
        <v>0</v>
      </c>
      <c r="BC14" s="264">
        <f t="shared" ca="1" si="32"/>
        <v>0</v>
      </c>
      <c r="BD14" s="264">
        <f t="shared" ca="1" si="33"/>
        <v>0</v>
      </c>
      <c r="BE14" s="264">
        <f t="shared" ca="1" si="34"/>
        <v>0</v>
      </c>
      <c r="BF14" s="264">
        <f t="shared" ca="1" si="35"/>
        <v>0</v>
      </c>
      <c r="BG14" s="264">
        <f t="shared" ca="1" si="36"/>
        <v>0</v>
      </c>
      <c r="BH14" s="264">
        <f t="shared" ca="1" si="75"/>
        <v>0</v>
      </c>
      <c r="BI14" s="264">
        <f t="shared" ca="1" si="76"/>
        <v>0</v>
      </c>
      <c r="BJ14" s="264">
        <f t="shared" ca="1" si="37"/>
        <v>0</v>
      </c>
      <c r="BK14" s="264">
        <f t="shared" ca="1" si="38"/>
        <v>0</v>
      </c>
      <c r="BL14" s="264">
        <f t="shared" ca="1" si="39"/>
        <v>0</v>
      </c>
      <c r="BM14" s="264">
        <f t="shared" ca="1" si="40"/>
        <v>0</v>
      </c>
      <c r="BN14" s="264">
        <f t="shared" ca="1" si="41"/>
        <v>0</v>
      </c>
      <c r="BO14" s="264">
        <f t="shared" ca="1" si="42"/>
        <v>0</v>
      </c>
      <c r="BP14" s="264">
        <f t="shared" ca="1" si="77"/>
        <v>0</v>
      </c>
      <c r="BQ14" s="264">
        <f t="shared" ca="1" si="78"/>
        <v>0</v>
      </c>
      <c r="BR14" s="264">
        <f t="shared" ca="1" si="43"/>
        <v>0</v>
      </c>
      <c r="BS14" s="264">
        <f t="shared" ca="1" si="44"/>
        <v>0</v>
      </c>
      <c r="BT14" s="264">
        <f t="shared" ca="1" si="79"/>
        <v>0</v>
      </c>
      <c r="BU14" s="264">
        <f t="shared" ca="1" si="80"/>
        <v>0</v>
      </c>
      <c r="BV14" s="264">
        <f t="shared" ca="1" si="81"/>
        <v>0</v>
      </c>
      <c r="BW14" s="264">
        <f t="shared" ca="1" si="82"/>
        <v>0</v>
      </c>
      <c r="BX14" s="264">
        <f t="shared" ca="1" si="45"/>
        <v>0</v>
      </c>
      <c r="BY14" s="264">
        <f t="shared" ca="1" si="46"/>
        <v>0</v>
      </c>
      <c r="BZ14" s="264">
        <f t="shared" ca="1" si="47"/>
        <v>0</v>
      </c>
      <c r="CA14" s="264">
        <f t="shared" ca="1" si="48"/>
        <v>0</v>
      </c>
      <c r="CB14" s="264">
        <f t="shared" ca="1" si="49"/>
        <v>0</v>
      </c>
      <c r="CC14" s="264">
        <f t="shared" ca="1" si="50"/>
        <v>0</v>
      </c>
      <c r="CD14" s="264">
        <f t="shared" ca="1" si="83"/>
        <v>0</v>
      </c>
      <c r="CE14" s="264">
        <f t="shared" ca="1" si="84"/>
        <v>0</v>
      </c>
      <c r="CF14" s="264">
        <f t="shared" ca="1" si="85"/>
        <v>0</v>
      </c>
      <c r="CG14" s="264">
        <f t="shared" ca="1" si="86"/>
        <v>0</v>
      </c>
      <c r="CH14" s="264">
        <f t="shared" ca="1" si="51"/>
        <v>0</v>
      </c>
      <c r="CI14" s="264">
        <f t="shared" ca="1" si="52"/>
        <v>0</v>
      </c>
      <c r="CJ14" s="264">
        <f t="shared" ca="1" si="87"/>
        <v>0</v>
      </c>
      <c r="CK14" s="264">
        <f t="shared" ca="1" si="88"/>
        <v>0</v>
      </c>
      <c r="CL14" s="264">
        <f t="shared" ca="1" si="53"/>
        <v>0</v>
      </c>
      <c r="CM14" s="264">
        <f t="shared" ca="1" si="54"/>
        <v>0</v>
      </c>
      <c r="CN14" s="264">
        <f t="shared" ca="1" si="55"/>
        <v>0</v>
      </c>
      <c r="CO14" s="264">
        <f t="shared" ca="1" si="56"/>
        <v>0</v>
      </c>
      <c r="CP14" s="264">
        <f t="shared" ca="1" si="89"/>
        <v>0</v>
      </c>
      <c r="CQ14" s="264">
        <f t="shared" ca="1" si="90"/>
        <v>0</v>
      </c>
      <c r="CR14" s="264">
        <f t="shared" ca="1" si="91"/>
        <v>0</v>
      </c>
      <c r="CS14" s="264">
        <f t="shared" ca="1" si="92"/>
        <v>0</v>
      </c>
      <c r="CT14" s="264">
        <f t="shared" ca="1" si="57"/>
        <v>0</v>
      </c>
      <c r="CU14" s="264">
        <f t="shared" ca="1" si="58"/>
        <v>0</v>
      </c>
      <c r="CV14" s="264">
        <f t="shared" ca="1" si="59"/>
        <v>0</v>
      </c>
      <c r="CW14" s="264">
        <f t="shared" ca="1" si="60"/>
        <v>0</v>
      </c>
      <c r="CX14" s="264">
        <f t="shared" ca="1" si="93"/>
        <v>0</v>
      </c>
      <c r="CY14" s="264">
        <f t="shared" ca="1" si="94"/>
        <v>0</v>
      </c>
      <c r="CZ14" s="264">
        <f t="shared" ca="1" si="95"/>
        <v>0</v>
      </c>
      <c r="DA14" s="264">
        <f t="shared" ca="1" si="96"/>
        <v>0</v>
      </c>
    </row>
    <row r="15" spans="1:105" s="261" customFormat="1" ht="15" customHeight="1">
      <c r="A15" s="63">
        <f t="array" aca="1" ref="A15" ca="1">IF(C15&lt;&gt;0,SUM(($C$11:C15&lt;&gt;0)*1),"")</f>
        <v>5</v>
      </c>
      <c r="B15" s="262" t="str">
        <f ca="1">IF(ROWS($1:5)&gt;COUNT(Dong6),"",OFFSET(TH!C$1,SMALL(Dong6,ROWS($1:5)),))</f>
        <v/>
      </c>
      <c r="C15" s="262" t="str">
        <f ca="1">IF(ROWS($1:5)&gt;COUNT(Dong6),"",OFFSET(TH!D$1,SMALL(Dong6,ROWS($1:5)),))</f>
        <v/>
      </c>
      <c r="D15" s="262" t="str">
        <f ca="1">IF(ROWS($1:5)&gt;COUNT(Dong6),"",OFFSET(TH!E$1,SMALL(Dong6,ROWS($1:5)),))</f>
        <v/>
      </c>
      <c r="E15" s="310" t="str">
        <f ca="1">IF(ROWS($1:5)&gt;COUNT(Dong6),"",OFFSET(TH!F$1,SMALL(Dong6,ROWS($1:5)),))</f>
        <v/>
      </c>
      <c r="F15" s="311" t="str">
        <f ca="1">IF(ROWS($1:5)&gt;COUNT(Dong6),"",OFFSET(TH!M$1,SMALL(Dong6,ROWS($1:5)),))</f>
        <v/>
      </c>
      <c r="G15" s="312" t="str">
        <f ca="1">IF(ROWS($1:5)&gt;COUNT(Dong6),"",OFFSET(TH!N$1,SMALL(Dong6,ROWS($1:5)),))</f>
        <v/>
      </c>
      <c r="H15" s="312" t="str">
        <f ca="1">IF(ROWS($1:5)&gt;COUNT(Dong6),"",OFFSET(TH!O$1,SMALL(Dong6,ROWS($1:5)),))</f>
        <v/>
      </c>
      <c r="I15" s="63">
        <f t="shared" ca="1" si="0"/>
        <v>5</v>
      </c>
      <c r="J15" s="264">
        <f t="shared" ca="1" si="61"/>
        <v>0</v>
      </c>
      <c r="K15" s="264">
        <f t="shared" ca="1" si="62"/>
        <v>0</v>
      </c>
      <c r="L15" s="264">
        <f t="shared" ca="1" si="1"/>
        <v>0</v>
      </c>
      <c r="M15" s="264">
        <f t="shared" ca="1" si="2"/>
        <v>0</v>
      </c>
      <c r="N15" s="264">
        <f t="shared" ca="1" si="3"/>
        <v>0</v>
      </c>
      <c r="O15" s="264">
        <f t="shared" ca="1" si="4"/>
        <v>0</v>
      </c>
      <c r="P15" s="264">
        <f t="shared" ca="1" si="5"/>
        <v>0</v>
      </c>
      <c r="Q15" s="264">
        <f t="shared" ca="1" si="6"/>
        <v>0</v>
      </c>
      <c r="R15" s="264">
        <f t="shared" ca="1" si="7"/>
        <v>0</v>
      </c>
      <c r="S15" s="264">
        <f t="shared" ca="1" si="8"/>
        <v>0</v>
      </c>
      <c r="T15" s="264">
        <f t="shared" ca="1" si="9"/>
        <v>0</v>
      </c>
      <c r="U15" s="264">
        <f t="shared" ca="1" si="10"/>
        <v>0</v>
      </c>
      <c r="V15" s="264">
        <f t="shared" ca="1" si="11"/>
        <v>0</v>
      </c>
      <c r="W15" s="264">
        <f t="shared" ca="1" si="12"/>
        <v>0</v>
      </c>
      <c r="X15" s="264">
        <f t="shared" ca="1" si="13"/>
        <v>0</v>
      </c>
      <c r="Y15" s="264">
        <f t="shared" ca="1" si="14"/>
        <v>0</v>
      </c>
      <c r="Z15" s="264">
        <f t="shared" ca="1" si="15"/>
        <v>0</v>
      </c>
      <c r="AA15" s="264">
        <f t="shared" ca="1" si="16"/>
        <v>0</v>
      </c>
      <c r="AB15" s="264">
        <f t="shared" ca="1" si="63"/>
        <v>0</v>
      </c>
      <c r="AC15" s="264">
        <f t="shared" ca="1" si="64"/>
        <v>0</v>
      </c>
      <c r="AD15" s="264">
        <f t="shared" ca="1" si="17"/>
        <v>0</v>
      </c>
      <c r="AE15" s="264">
        <f t="shared" ca="1" si="18"/>
        <v>0</v>
      </c>
      <c r="AF15" s="264">
        <f t="shared" ca="1" si="19"/>
        <v>0</v>
      </c>
      <c r="AG15" s="264">
        <f t="shared" ca="1" si="20"/>
        <v>0</v>
      </c>
      <c r="AH15" s="264">
        <f t="shared" ca="1" si="65"/>
        <v>0</v>
      </c>
      <c r="AI15" s="264">
        <f t="shared" ca="1" si="66"/>
        <v>0</v>
      </c>
      <c r="AJ15" s="264">
        <f t="shared" ca="1" si="67"/>
        <v>0</v>
      </c>
      <c r="AK15" s="264">
        <f t="shared" ca="1" si="68"/>
        <v>0</v>
      </c>
      <c r="AL15" s="264">
        <f t="shared" ca="1" si="69"/>
        <v>0</v>
      </c>
      <c r="AM15" s="264">
        <f t="shared" ca="1" si="70"/>
        <v>0</v>
      </c>
      <c r="AN15" s="264">
        <f t="shared" ca="1" si="71"/>
        <v>0</v>
      </c>
      <c r="AO15" s="264">
        <f t="shared" ca="1" si="72"/>
        <v>0</v>
      </c>
      <c r="AP15" s="264">
        <f t="shared" ca="1" si="21"/>
        <v>0</v>
      </c>
      <c r="AQ15" s="264">
        <f t="shared" ca="1" si="22"/>
        <v>0</v>
      </c>
      <c r="AR15" s="264">
        <f t="shared" ca="1" si="23"/>
        <v>0</v>
      </c>
      <c r="AS15" s="264">
        <f t="shared" ca="1" si="24"/>
        <v>0</v>
      </c>
      <c r="AT15" s="264">
        <f t="shared" ca="1" si="73"/>
        <v>0</v>
      </c>
      <c r="AU15" s="264">
        <f t="shared" ca="1" si="74"/>
        <v>0</v>
      </c>
      <c r="AV15" s="264">
        <f t="shared" ca="1" si="25"/>
        <v>0</v>
      </c>
      <c r="AW15" s="264">
        <f t="shared" ca="1" si="26"/>
        <v>0</v>
      </c>
      <c r="AX15" s="264">
        <f t="shared" ca="1" si="27"/>
        <v>0</v>
      </c>
      <c r="AY15" s="264">
        <f t="shared" ca="1" si="28"/>
        <v>0</v>
      </c>
      <c r="AZ15" s="264">
        <f t="shared" ca="1" si="29"/>
        <v>0</v>
      </c>
      <c r="BA15" s="264">
        <f t="shared" ca="1" si="30"/>
        <v>0</v>
      </c>
      <c r="BB15" s="264">
        <f t="shared" ca="1" si="31"/>
        <v>0</v>
      </c>
      <c r="BC15" s="264">
        <f t="shared" ca="1" si="32"/>
        <v>0</v>
      </c>
      <c r="BD15" s="264">
        <f t="shared" ca="1" si="33"/>
        <v>0</v>
      </c>
      <c r="BE15" s="264">
        <f t="shared" ca="1" si="34"/>
        <v>0</v>
      </c>
      <c r="BF15" s="264">
        <f t="shared" ca="1" si="35"/>
        <v>0</v>
      </c>
      <c r="BG15" s="264">
        <f t="shared" ca="1" si="36"/>
        <v>0</v>
      </c>
      <c r="BH15" s="264">
        <f t="shared" ca="1" si="75"/>
        <v>0</v>
      </c>
      <c r="BI15" s="264">
        <f t="shared" ca="1" si="76"/>
        <v>0</v>
      </c>
      <c r="BJ15" s="264">
        <f t="shared" ca="1" si="37"/>
        <v>0</v>
      </c>
      <c r="BK15" s="264">
        <f t="shared" ca="1" si="38"/>
        <v>0</v>
      </c>
      <c r="BL15" s="264">
        <f t="shared" ca="1" si="39"/>
        <v>0</v>
      </c>
      <c r="BM15" s="264">
        <f t="shared" ca="1" si="40"/>
        <v>0</v>
      </c>
      <c r="BN15" s="264">
        <f t="shared" ca="1" si="41"/>
        <v>0</v>
      </c>
      <c r="BO15" s="264">
        <f t="shared" ca="1" si="42"/>
        <v>0</v>
      </c>
      <c r="BP15" s="264">
        <f t="shared" ca="1" si="77"/>
        <v>0</v>
      </c>
      <c r="BQ15" s="264">
        <f t="shared" ca="1" si="78"/>
        <v>0</v>
      </c>
      <c r="BR15" s="264">
        <f t="shared" ca="1" si="43"/>
        <v>0</v>
      </c>
      <c r="BS15" s="264">
        <f t="shared" ca="1" si="44"/>
        <v>0</v>
      </c>
      <c r="BT15" s="264">
        <f t="shared" ca="1" si="79"/>
        <v>0</v>
      </c>
      <c r="BU15" s="264">
        <f t="shared" ca="1" si="80"/>
        <v>0</v>
      </c>
      <c r="BV15" s="264">
        <f t="shared" ca="1" si="81"/>
        <v>0</v>
      </c>
      <c r="BW15" s="264">
        <f t="shared" ca="1" si="82"/>
        <v>0</v>
      </c>
      <c r="BX15" s="264">
        <f t="shared" ca="1" si="45"/>
        <v>0</v>
      </c>
      <c r="BY15" s="264">
        <f t="shared" ca="1" si="46"/>
        <v>0</v>
      </c>
      <c r="BZ15" s="264">
        <f t="shared" ca="1" si="47"/>
        <v>0</v>
      </c>
      <c r="CA15" s="264">
        <f t="shared" ca="1" si="48"/>
        <v>0</v>
      </c>
      <c r="CB15" s="264">
        <f t="shared" ca="1" si="49"/>
        <v>0</v>
      </c>
      <c r="CC15" s="264">
        <f t="shared" ca="1" si="50"/>
        <v>0</v>
      </c>
      <c r="CD15" s="264">
        <f t="shared" ca="1" si="83"/>
        <v>0</v>
      </c>
      <c r="CE15" s="264">
        <f t="shared" ca="1" si="84"/>
        <v>0</v>
      </c>
      <c r="CF15" s="264">
        <f t="shared" ca="1" si="85"/>
        <v>0</v>
      </c>
      <c r="CG15" s="264">
        <f t="shared" ca="1" si="86"/>
        <v>0</v>
      </c>
      <c r="CH15" s="264">
        <f t="shared" ca="1" si="51"/>
        <v>0</v>
      </c>
      <c r="CI15" s="264">
        <f t="shared" ca="1" si="52"/>
        <v>0</v>
      </c>
      <c r="CJ15" s="264">
        <f t="shared" ca="1" si="87"/>
        <v>0</v>
      </c>
      <c r="CK15" s="264">
        <f t="shared" ca="1" si="88"/>
        <v>0</v>
      </c>
      <c r="CL15" s="264">
        <f t="shared" ca="1" si="53"/>
        <v>0</v>
      </c>
      <c r="CM15" s="264">
        <f t="shared" ca="1" si="54"/>
        <v>0</v>
      </c>
      <c r="CN15" s="264">
        <f t="shared" ca="1" si="55"/>
        <v>0</v>
      </c>
      <c r="CO15" s="264">
        <f t="shared" ca="1" si="56"/>
        <v>0</v>
      </c>
      <c r="CP15" s="264">
        <f t="shared" ca="1" si="89"/>
        <v>0</v>
      </c>
      <c r="CQ15" s="264">
        <f t="shared" ca="1" si="90"/>
        <v>0</v>
      </c>
      <c r="CR15" s="264">
        <f t="shared" ca="1" si="91"/>
        <v>0</v>
      </c>
      <c r="CS15" s="264">
        <f t="shared" ca="1" si="92"/>
        <v>0</v>
      </c>
      <c r="CT15" s="264">
        <f t="shared" ca="1" si="57"/>
        <v>0</v>
      </c>
      <c r="CU15" s="264">
        <f t="shared" ca="1" si="58"/>
        <v>0</v>
      </c>
      <c r="CV15" s="264">
        <f t="shared" ca="1" si="59"/>
        <v>0</v>
      </c>
      <c r="CW15" s="264">
        <f t="shared" ca="1" si="60"/>
        <v>0</v>
      </c>
      <c r="CX15" s="264">
        <f t="shared" ca="1" si="93"/>
        <v>0</v>
      </c>
      <c r="CY15" s="264">
        <f t="shared" ca="1" si="94"/>
        <v>0</v>
      </c>
      <c r="CZ15" s="264">
        <f t="shared" ca="1" si="95"/>
        <v>0</v>
      </c>
      <c r="DA15" s="264">
        <f t="shared" ca="1" si="96"/>
        <v>0</v>
      </c>
    </row>
    <row r="16" spans="1:105" s="261" customFormat="1" ht="15" customHeight="1">
      <c r="A16" s="63">
        <f t="array" aca="1" ref="A16" ca="1">IF(C16&lt;&gt;0,SUM(($C$11:C16&lt;&gt;0)*1),"")</f>
        <v>6</v>
      </c>
      <c r="B16" s="262" t="str">
        <f ca="1">IF(ROWS($1:6)&gt;COUNT(Dong6),"",OFFSET(TH!C$1,SMALL(Dong6,ROWS($1:6)),))</f>
        <v/>
      </c>
      <c r="C16" s="262" t="str">
        <f ca="1">IF(ROWS($1:6)&gt;COUNT(Dong6),"",OFFSET(TH!D$1,SMALL(Dong6,ROWS($1:6)),))</f>
        <v/>
      </c>
      <c r="D16" s="262" t="str">
        <f ca="1">IF(ROWS($1:6)&gt;COUNT(Dong6),"",OFFSET(TH!E$1,SMALL(Dong6,ROWS($1:6)),))</f>
        <v/>
      </c>
      <c r="E16" s="310" t="str">
        <f ca="1">IF(ROWS($1:6)&gt;COUNT(Dong6),"",OFFSET(TH!F$1,SMALL(Dong6,ROWS($1:6)),))</f>
        <v/>
      </c>
      <c r="F16" s="311" t="str">
        <f ca="1">IF(ROWS($1:6)&gt;COUNT(Dong6),"",OFFSET(TH!M$1,SMALL(Dong6,ROWS($1:6)),))</f>
        <v/>
      </c>
      <c r="G16" s="312" t="str">
        <f ca="1">IF(ROWS($1:6)&gt;COUNT(Dong6),"",OFFSET(TH!N$1,SMALL(Dong6,ROWS($1:6)),))</f>
        <v/>
      </c>
      <c r="H16" s="312" t="str">
        <f ca="1">IF(ROWS($1:6)&gt;COUNT(Dong6),"",OFFSET(TH!O$1,SMALL(Dong6,ROWS($1:6)),))</f>
        <v/>
      </c>
      <c r="I16" s="63">
        <f t="shared" ca="1" si="0"/>
        <v>6</v>
      </c>
      <c r="J16" s="264">
        <f t="shared" ca="1" si="61"/>
        <v>0</v>
      </c>
      <c r="K16" s="264">
        <f t="shared" ca="1" si="62"/>
        <v>0</v>
      </c>
      <c r="L16" s="264">
        <f t="shared" ca="1" si="1"/>
        <v>0</v>
      </c>
      <c r="M16" s="264">
        <f t="shared" ca="1" si="2"/>
        <v>0</v>
      </c>
      <c r="N16" s="264">
        <f t="shared" ca="1" si="3"/>
        <v>0</v>
      </c>
      <c r="O16" s="264">
        <f t="shared" ca="1" si="4"/>
        <v>0</v>
      </c>
      <c r="P16" s="264">
        <f t="shared" ca="1" si="5"/>
        <v>0</v>
      </c>
      <c r="Q16" s="264">
        <f t="shared" ca="1" si="6"/>
        <v>0</v>
      </c>
      <c r="R16" s="264">
        <f t="shared" ca="1" si="7"/>
        <v>0</v>
      </c>
      <c r="S16" s="264">
        <f t="shared" ca="1" si="8"/>
        <v>0</v>
      </c>
      <c r="T16" s="264">
        <f t="shared" ca="1" si="9"/>
        <v>0</v>
      </c>
      <c r="U16" s="264">
        <f t="shared" ca="1" si="10"/>
        <v>0</v>
      </c>
      <c r="V16" s="264">
        <f t="shared" ca="1" si="11"/>
        <v>0</v>
      </c>
      <c r="W16" s="264">
        <f t="shared" ca="1" si="12"/>
        <v>0</v>
      </c>
      <c r="X16" s="264">
        <f t="shared" ca="1" si="13"/>
        <v>0</v>
      </c>
      <c r="Y16" s="264">
        <f t="shared" ca="1" si="14"/>
        <v>0</v>
      </c>
      <c r="Z16" s="264">
        <f t="shared" ca="1" si="15"/>
        <v>0</v>
      </c>
      <c r="AA16" s="264">
        <f t="shared" ca="1" si="16"/>
        <v>0</v>
      </c>
      <c r="AB16" s="264">
        <f t="shared" ca="1" si="63"/>
        <v>0</v>
      </c>
      <c r="AC16" s="264">
        <f t="shared" ca="1" si="64"/>
        <v>0</v>
      </c>
      <c r="AD16" s="264">
        <f t="shared" ca="1" si="17"/>
        <v>0</v>
      </c>
      <c r="AE16" s="264">
        <f t="shared" ca="1" si="18"/>
        <v>0</v>
      </c>
      <c r="AF16" s="264">
        <f t="shared" ca="1" si="19"/>
        <v>0</v>
      </c>
      <c r="AG16" s="264">
        <f t="shared" ca="1" si="20"/>
        <v>0</v>
      </c>
      <c r="AH16" s="264">
        <f t="shared" ca="1" si="65"/>
        <v>0</v>
      </c>
      <c r="AI16" s="264">
        <f t="shared" ca="1" si="66"/>
        <v>0</v>
      </c>
      <c r="AJ16" s="264">
        <f t="shared" ca="1" si="67"/>
        <v>0</v>
      </c>
      <c r="AK16" s="264">
        <f t="shared" ca="1" si="68"/>
        <v>0</v>
      </c>
      <c r="AL16" s="264">
        <f t="shared" ca="1" si="69"/>
        <v>0</v>
      </c>
      <c r="AM16" s="264">
        <f t="shared" ca="1" si="70"/>
        <v>0</v>
      </c>
      <c r="AN16" s="264">
        <f t="shared" ca="1" si="71"/>
        <v>0</v>
      </c>
      <c r="AO16" s="264">
        <f t="shared" ca="1" si="72"/>
        <v>0</v>
      </c>
      <c r="AP16" s="264">
        <f t="shared" ca="1" si="21"/>
        <v>0</v>
      </c>
      <c r="AQ16" s="264">
        <f t="shared" ca="1" si="22"/>
        <v>0</v>
      </c>
      <c r="AR16" s="264">
        <f t="shared" ca="1" si="23"/>
        <v>0</v>
      </c>
      <c r="AS16" s="264">
        <f t="shared" ca="1" si="24"/>
        <v>0</v>
      </c>
      <c r="AT16" s="264">
        <f t="shared" ca="1" si="73"/>
        <v>0</v>
      </c>
      <c r="AU16" s="264">
        <f t="shared" ca="1" si="74"/>
        <v>0</v>
      </c>
      <c r="AV16" s="264">
        <f t="shared" ca="1" si="25"/>
        <v>0</v>
      </c>
      <c r="AW16" s="264">
        <f t="shared" ca="1" si="26"/>
        <v>0</v>
      </c>
      <c r="AX16" s="264">
        <f t="shared" ca="1" si="27"/>
        <v>0</v>
      </c>
      <c r="AY16" s="264">
        <f t="shared" ca="1" si="28"/>
        <v>0</v>
      </c>
      <c r="AZ16" s="264">
        <f t="shared" ca="1" si="29"/>
        <v>0</v>
      </c>
      <c r="BA16" s="264">
        <f t="shared" ca="1" si="30"/>
        <v>0</v>
      </c>
      <c r="BB16" s="264">
        <f t="shared" ca="1" si="31"/>
        <v>0</v>
      </c>
      <c r="BC16" s="264">
        <f t="shared" ca="1" si="32"/>
        <v>0</v>
      </c>
      <c r="BD16" s="264">
        <f t="shared" ca="1" si="33"/>
        <v>0</v>
      </c>
      <c r="BE16" s="264">
        <f t="shared" ca="1" si="34"/>
        <v>0</v>
      </c>
      <c r="BF16" s="264">
        <f t="shared" ca="1" si="35"/>
        <v>0</v>
      </c>
      <c r="BG16" s="264">
        <f t="shared" ca="1" si="36"/>
        <v>0</v>
      </c>
      <c r="BH16" s="264">
        <f t="shared" ca="1" si="75"/>
        <v>0</v>
      </c>
      <c r="BI16" s="264">
        <f t="shared" ca="1" si="76"/>
        <v>0</v>
      </c>
      <c r="BJ16" s="264">
        <f t="shared" ca="1" si="37"/>
        <v>0</v>
      </c>
      <c r="BK16" s="264">
        <f t="shared" ca="1" si="38"/>
        <v>0</v>
      </c>
      <c r="BL16" s="264">
        <f t="shared" ca="1" si="39"/>
        <v>0</v>
      </c>
      <c r="BM16" s="264">
        <f t="shared" ca="1" si="40"/>
        <v>0</v>
      </c>
      <c r="BN16" s="264">
        <f t="shared" ca="1" si="41"/>
        <v>0</v>
      </c>
      <c r="BO16" s="264">
        <f t="shared" ca="1" si="42"/>
        <v>0</v>
      </c>
      <c r="BP16" s="264">
        <f t="shared" ca="1" si="77"/>
        <v>0</v>
      </c>
      <c r="BQ16" s="264">
        <f t="shared" ca="1" si="78"/>
        <v>0</v>
      </c>
      <c r="BR16" s="264">
        <f t="shared" ca="1" si="43"/>
        <v>0</v>
      </c>
      <c r="BS16" s="264">
        <f t="shared" ca="1" si="44"/>
        <v>0</v>
      </c>
      <c r="BT16" s="264">
        <f t="shared" ca="1" si="79"/>
        <v>0</v>
      </c>
      <c r="BU16" s="264">
        <f t="shared" ca="1" si="80"/>
        <v>0</v>
      </c>
      <c r="BV16" s="264">
        <f t="shared" ca="1" si="81"/>
        <v>0</v>
      </c>
      <c r="BW16" s="264">
        <f t="shared" ca="1" si="82"/>
        <v>0</v>
      </c>
      <c r="BX16" s="264">
        <f t="shared" ca="1" si="45"/>
        <v>0</v>
      </c>
      <c r="BY16" s="264">
        <f t="shared" ca="1" si="46"/>
        <v>0</v>
      </c>
      <c r="BZ16" s="264">
        <f t="shared" ca="1" si="47"/>
        <v>0</v>
      </c>
      <c r="CA16" s="264">
        <f t="shared" ca="1" si="48"/>
        <v>0</v>
      </c>
      <c r="CB16" s="264">
        <f t="shared" ca="1" si="49"/>
        <v>0</v>
      </c>
      <c r="CC16" s="264">
        <f t="shared" ca="1" si="50"/>
        <v>0</v>
      </c>
      <c r="CD16" s="264">
        <f t="shared" ca="1" si="83"/>
        <v>0</v>
      </c>
      <c r="CE16" s="264">
        <f t="shared" ca="1" si="84"/>
        <v>0</v>
      </c>
      <c r="CF16" s="264">
        <f t="shared" ca="1" si="85"/>
        <v>0</v>
      </c>
      <c r="CG16" s="264">
        <f t="shared" ca="1" si="86"/>
        <v>0</v>
      </c>
      <c r="CH16" s="264">
        <f t="shared" ca="1" si="51"/>
        <v>0</v>
      </c>
      <c r="CI16" s="264">
        <f t="shared" ca="1" si="52"/>
        <v>0</v>
      </c>
      <c r="CJ16" s="264">
        <f t="shared" ca="1" si="87"/>
        <v>0</v>
      </c>
      <c r="CK16" s="264">
        <f t="shared" ca="1" si="88"/>
        <v>0</v>
      </c>
      <c r="CL16" s="264">
        <f t="shared" ca="1" si="53"/>
        <v>0</v>
      </c>
      <c r="CM16" s="264">
        <f t="shared" ca="1" si="54"/>
        <v>0</v>
      </c>
      <c r="CN16" s="264">
        <f t="shared" ca="1" si="55"/>
        <v>0</v>
      </c>
      <c r="CO16" s="264">
        <f t="shared" ca="1" si="56"/>
        <v>0</v>
      </c>
      <c r="CP16" s="264">
        <f t="shared" ca="1" si="89"/>
        <v>0</v>
      </c>
      <c r="CQ16" s="264">
        <f t="shared" ca="1" si="90"/>
        <v>0</v>
      </c>
      <c r="CR16" s="264">
        <f t="shared" ca="1" si="91"/>
        <v>0</v>
      </c>
      <c r="CS16" s="264">
        <f t="shared" ca="1" si="92"/>
        <v>0</v>
      </c>
      <c r="CT16" s="264">
        <f t="shared" ca="1" si="57"/>
        <v>0</v>
      </c>
      <c r="CU16" s="264">
        <f t="shared" ca="1" si="58"/>
        <v>0</v>
      </c>
      <c r="CV16" s="264">
        <f t="shared" ca="1" si="59"/>
        <v>0</v>
      </c>
      <c r="CW16" s="264">
        <f t="shared" ca="1" si="60"/>
        <v>0</v>
      </c>
      <c r="CX16" s="264">
        <f t="shared" ca="1" si="93"/>
        <v>0</v>
      </c>
      <c r="CY16" s="264">
        <f t="shared" ca="1" si="94"/>
        <v>0</v>
      </c>
      <c r="CZ16" s="264">
        <f t="shared" ca="1" si="95"/>
        <v>0</v>
      </c>
      <c r="DA16" s="264">
        <f t="shared" ca="1" si="96"/>
        <v>0</v>
      </c>
    </row>
    <row r="17" spans="1:105" s="261" customFormat="1" ht="15" customHeight="1">
      <c r="A17" s="63">
        <f t="array" aca="1" ref="A17" ca="1">IF(C17&lt;&gt;0,SUM(($C$11:C17&lt;&gt;0)*1),"")</f>
        <v>7</v>
      </c>
      <c r="B17" s="262" t="str">
        <f ca="1">IF(ROWS($1:7)&gt;COUNT(Dong6),"",OFFSET(TH!C$1,SMALL(Dong6,ROWS($1:7)),))</f>
        <v/>
      </c>
      <c r="C17" s="262" t="str">
        <f ca="1">IF(ROWS($1:7)&gt;COUNT(Dong6),"",OFFSET(TH!D$1,SMALL(Dong6,ROWS($1:7)),))</f>
        <v/>
      </c>
      <c r="D17" s="262" t="str">
        <f ca="1">IF(ROWS($1:7)&gt;COUNT(Dong6),"",OFFSET(TH!E$1,SMALL(Dong6,ROWS($1:7)),))</f>
        <v/>
      </c>
      <c r="E17" s="310" t="str">
        <f ca="1">IF(ROWS($1:7)&gt;COUNT(Dong6),"",OFFSET(TH!F$1,SMALL(Dong6,ROWS($1:7)),))</f>
        <v/>
      </c>
      <c r="F17" s="311" t="str">
        <f ca="1">IF(ROWS($1:7)&gt;COUNT(Dong6),"",OFFSET(TH!M$1,SMALL(Dong6,ROWS($1:7)),))</f>
        <v/>
      </c>
      <c r="G17" s="312" t="str">
        <f ca="1">IF(ROWS($1:7)&gt;COUNT(Dong6),"",OFFSET(TH!N$1,SMALL(Dong6,ROWS($1:7)),))</f>
        <v/>
      </c>
      <c r="H17" s="312" t="str">
        <f ca="1">IF(ROWS($1:7)&gt;COUNT(Dong6),"",OFFSET(TH!O$1,SMALL(Dong6,ROWS($1:7)),))</f>
        <v/>
      </c>
      <c r="I17" s="63">
        <f t="shared" ca="1" si="0"/>
        <v>7</v>
      </c>
      <c r="J17" s="264">
        <f t="shared" ca="1" si="61"/>
        <v>0</v>
      </c>
      <c r="K17" s="264">
        <f t="shared" ca="1" si="62"/>
        <v>0</v>
      </c>
      <c r="L17" s="264">
        <f t="shared" ca="1" si="1"/>
        <v>0</v>
      </c>
      <c r="M17" s="264">
        <f t="shared" ca="1" si="2"/>
        <v>0</v>
      </c>
      <c r="N17" s="264">
        <f t="shared" ca="1" si="3"/>
        <v>0</v>
      </c>
      <c r="O17" s="264">
        <f t="shared" ca="1" si="4"/>
        <v>0</v>
      </c>
      <c r="P17" s="264">
        <f t="shared" ca="1" si="5"/>
        <v>0</v>
      </c>
      <c r="Q17" s="264">
        <f t="shared" ca="1" si="6"/>
        <v>0</v>
      </c>
      <c r="R17" s="264">
        <f t="shared" ca="1" si="7"/>
        <v>0</v>
      </c>
      <c r="S17" s="264">
        <f t="shared" ca="1" si="8"/>
        <v>0</v>
      </c>
      <c r="T17" s="264">
        <f t="shared" ca="1" si="9"/>
        <v>0</v>
      </c>
      <c r="U17" s="264">
        <f t="shared" ca="1" si="10"/>
        <v>0</v>
      </c>
      <c r="V17" s="264">
        <f t="shared" ca="1" si="11"/>
        <v>0</v>
      </c>
      <c r="W17" s="264">
        <f t="shared" ca="1" si="12"/>
        <v>0</v>
      </c>
      <c r="X17" s="264">
        <f t="shared" ca="1" si="13"/>
        <v>0</v>
      </c>
      <c r="Y17" s="264">
        <f t="shared" ca="1" si="14"/>
        <v>0</v>
      </c>
      <c r="Z17" s="264">
        <f t="shared" ca="1" si="15"/>
        <v>0</v>
      </c>
      <c r="AA17" s="264">
        <f t="shared" ca="1" si="16"/>
        <v>0</v>
      </c>
      <c r="AB17" s="264">
        <f t="shared" ca="1" si="63"/>
        <v>0</v>
      </c>
      <c r="AC17" s="264">
        <f t="shared" ca="1" si="64"/>
        <v>0</v>
      </c>
      <c r="AD17" s="264">
        <f t="shared" ca="1" si="17"/>
        <v>0</v>
      </c>
      <c r="AE17" s="264">
        <f t="shared" ca="1" si="18"/>
        <v>0</v>
      </c>
      <c r="AF17" s="264">
        <f t="shared" ca="1" si="19"/>
        <v>0</v>
      </c>
      <c r="AG17" s="264">
        <f t="shared" ca="1" si="20"/>
        <v>0</v>
      </c>
      <c r="AH17" s="264">
        <f t="shared" ca="1" si="65"/>
        <v>0</v>
      </c>
      <c r="AI17" s="264">
        <f t="shared" ca="1" si="66"/>
        <v>0</v>
      </c>
      <c r="AJ17" s="264">
        <f t="shared" ca="1" si="67"/>
        <v>0</v>
      </c>
      <c r="AK17" s="264">
        <f t="shared" ca="1" si="68"/>
        <v>0</v>
      </c>
      <c r="AL17" s="264">
        <f t="shared" ca="1" si="69"/>
        <v>0</v>
      </c>
      <c r="AM17" s="264">
        <f t="shared" ca="1" si="70"/>
        <v>0</v>
      </c>
      <c r="AN17" s="264">
        <f t="shared" ca="1" si="71"/>
        <v>0</v>
      </c>
      <c r="AO17" s="264">
        <f t="shared" ca="1" si="72"/>
        <v>0</v>
      </c>
      <c r="AP17" s="264">
        <f t="shared" ca="1" si="21"/>
        <v>0</v>
      </c>
      <c r="AQ17" s="264">
        <f t="shared" ca="1" si="22"/>
        <v>0</v>
      </c>
      <c r="AR17" s="264">
        <f t="shared" ca="1" si="23"/>
        <v>0</v>
      </c>
      <c r="AS17" s="264">
        <f t="shared" ca="1" si="24"/>
        <v>0</v>
      </c>
      <c r="AT17" s="264">
        <f t="shared" ca="1" si="73"/>
        <v>0</v>
      </c>
      <c r="AU17" s="264">
        <f t="shared" ca="1" si="74"/>
        <v>0</v>
      </c>
      <c r="AV17" s="264">
        <f t="shared" ca="1" si="25"/>
        <v>0</v>
      </c>
      <c r="AW17" s="264">
        <f t="shared" ca="1" si="26"/>
        <v>0</v>
      </c>
      <c r="AX17" s="264">
        <f t="shared" ca="1" si="27"/>
        <v>0</v>
      </c>
      <c r="AY17" s="264">
        <f t="shared" ca="1" si="28"/>
        <v>0</v>
      </c>
      <c r="AZ17" s="264">
        <f t="shared" ca="1" si="29"/>
        <v>0</v>
      </c>
      <c r="BA17" s="264">
        <f t="shared" ca="1" si="30"/>
        <v>0</v>
      </c>
      <c r="BB17" s="264">
        <f t="shared" ca="1" si="31"/>
        <v>0</v>
      </c>
      <c r="BC17" s="264">
        <f t="shared" ca="1" si="32"/>
        <v>0</v>
      </c>
      <c r="BD17" s="264">
        <f t="shared" ca="1" si="33"/>
        <v>0</v>
      </c>
      <c r="BE17" s="264">
        <f t="shared" ca="1" si="34"/>
        <v>0</v>
      </c>
      <c r="BF17" s="264">
        <f t="shared" ca="1" si="35"/>
        <v>0</v>
      </c>
      <c r="BG17" s="264">
        <f t="shared" ca="1" si="36"/>
        <v>0</v>
      </c>
      <c r="BH17" s="264">
        <f t="shared" ca="1" si="75"/>
        <v>0</v>
      </c>
      <c r="BI17" s="264">
        <f t="shared" ca="1" si="76"/>
        <v>0</v>
      </c>
      <c r="BJ17" s="264">
        <f t="shared" ca="1" si="37"/>
        <v>0</v>
      </c>
      <c r="BK17" s="264">
        <f t="shared" ca="1" si="38"/>
        <v>0</v>
      </c>
      <c r="BL17" s="264">
        <f t="shared" ca="1" si="39"/>
        <v>0</v>
      </c>
      <c r="BM17" s="264">
        <f t="shared" ca="1" si="40"/>
        <v>0</v>
      </c>
      <c r="BN17" s="264">
        <f t="shared" ca="1" si="41"/>
        <v>0</v>
      </c>
      <c r="BO17" s="264">
        <f t="shared" ca="1" si="42"/>
        <v>0</v>
      </c>
      <c r="BP17" s="264">
        <f t="shared" ca="1" si="77"/>
        <v>0</v>
      </c>
      <c r="BQ17" s="264">
        <f t="shared" ca="1" si="78"/>
        <v>0</v>
      </c>
      <c r="BR17" s="264">
        <f t="shared" ca="1" si="43"/>
        <v>0</v>
      </c>
      <c r="BS17" s="264">
        <f t="shared" ca="1" si="44"/>
        <v>0</v>
      </c>
      <c r="BT17" s="264">
        <f t="shared" ca="1" si="79"/>
        <v>0</v>
      </c>
      <c r="BU17" s="264">
        <f t="shared" ca="1" si="80"/>
        <v>0</v>
      </c>
      <c r="BV17" s="264">
        <f t="shared" ca="1" si="81"/>
        <v>0</v>
      </c>
      <c r="BW17" s="264">
        <f t="shared" ca="1" si="82"/>
        <v>0</v>
      </c>
      <c r="BX17" s="264">
        <f t="shared" ca="1" si="45"/>
        <v>0</v>
      </c>
      <c r="BY17" s="264">
        <f t="shared" ca="1" si="46"/>
        <v>0</v>
      </c>
      <c r="BZ17" s="264">
        <f t="shared" ca="1" si="47"/>
        <v>0</v>
      </c>
      <c r="CA17" s="264">
        <f t="shared" ca="1" si="48"/>
        <v>0</v>
      </c>
      <c r="CB17" s="264">
        <f t="shared" ca="1" si="49"/>
        <v>0</v>
      </c>
      <c r="CC17" s="264">
        <f t="shared" ca="1" si="50"/>
        <v>0</v>
      </c>
      <c r="CD17" s="264">
        <f t="shared" ca="1" si="83"/>
        <v>0</v>
      </c>
      <c r="CE17" s="264">
        <f t="shared" ca="1" si="84"/>
        <v>0</v>
      </c>
      <c r="CF17" s="264">
        <f t="shared" ca="1" si="85"/>
        <v>0</v>
      </c>
      <c r="CG17" s="264">
        <f t="shared" ca="1" si="86"/>
        <v>0</v>
      </c>
      <c r="CH17" s="264">
        <f t="shared" ca="1" si="51"/>
        <v>0</v>
      </c>
      <c r="CI17" s="264">
        <f t="shared" ca="1" si="52"/>
        <v>0</v>
      </c>
      <c r="CJ17" s="264">
        <f t="shared" ca="1" si="87"/>
        <v>0</v>
      </c>
      <c r="CK17" s="264">
        <f t="shared" ca="1" si="88"/>
        <v>0</v>
      </c>
      <c r="CL17" s="264">
        <f t="shared" ca="1" si="53"/>
        <v>0</v>
      </c>
      <c r="CM17" s="264">
        <f t="shared" ca="1" si="54"/>
        <v>0</v>
      </c>
      <c r="CN17" s="264">
        <f t="shared" ca="1" si="55"/>
        <v>0</v>
      </c>
      <c r="CO17" s="264">
        <f t="shared" ca="1" si="56"/>
        <v>0</v>
      </c>
      <c r="CP17" s="264">
        <f t="shared" ca="1" si="89"/>
        <v>0</v>
      </c>
      <c r="CQ17" s="264">
        <f t="shared" ca="1" si="90"/>
        <v>0</v>
      </c>
      <c r="CR17" s="264">
        <f t="shared" ca="1" si="91"/>
        <v>0</v>
      </c>
      <c r="CS17" s="264">
        <f t="shared" ca="1" si="92"/>
        <v>0</v>
      </c>
      <c r="CT17" s="264">
        <f t="shared" ca="1" si="57"/>
        <v>0</v>
      </c>
      <c r="CU17" s="264">
        <f t="shared" ca="1" si="58"/>
        <v>0</v>
      </c>
      <c r="CV17" s="264">
        <f t="shared" ca="1" si="59"/>
        <v>0</v>
      </c>
      <c r="CW17" s="264">
        <f t="shared" ca="1" si="60"/>
        <v>0</v>
      </c>
      <c r="CX17" s="264">
        <f t="shared" ca="1" si="93"/>
        <v>0</v>
      </c>
      <c r="CY17" s="264">
        <f t="shared" ca="1" si="94"/>
        <v>0</v>
      </c>
      <c r="CZ17" s="264">
        <f t="shared" ca="1" si="95"/>
        <v>0</v>
      </c>
      <c r="DA17" s="264">
        <f t="shared" ca="1" si="96"/>
        <v>0</v>
      </c>
    </row>
    <row r="18" spans="1:105" s="261" customFormat="1" ht="15" customHeight="1">
      <c r="A18" s="63">
        <f t="array" aca="1" ref="A18" ca="1">IF(C18&lt;&gt;0,SUM(($C$11:C18&lt;&gt;0)*1),"")</f>
        <v>8</v>
      </c>
      <c r="B18" s="262" t="str">
        <f ca="1">IF(ROWS($1:8)&gt;COUNT(Dong6),"",OFFSET(TH!C$1,SMALL(Dong6,ROWS($1:8)),))</f>
        <v/>
      </c>
      <c r="C18" s="262" t="str">
        <f ca="1">IF(ROWS($1:8)&gt;COUNT(Dong6),"",OFFSET(TH!D$1,SMALL(Dong6,ROWS($1:8)),))</f>
        <v/>
      </c>
      <c r="D18" s="262" t="str">
        <f ca="1">IF(ROWS($1:8)&gt;COUNT(Dong6),"",OFFSET(TH!E$1,SMALL(Dong6,ROWS($1:8)),))</f>
        <v/>
      </c>
      <c r="E18" s="310" t="str">
        <f ca="1">IF(ROWS($1:8)&gt;COUNT(Dong6),"",OFFSET(TH!F$1,SMALL(Dong6,ROWS($1:8)),))</f>
        <v/>
      </c>
      <c r="F18" s="311" t="str">
        <f ca="1">IF(ROWS($1:8)&gt;COUNT(Dong6),"",OFFSET(TH!M$1,SMALL(Dong6,ROWS($1:8)),))</f>
        <v/>
      </c>
      <c r="G18" s="312" t="str">
        <f ca="1">IF(ROWS($1:8)&gt;COUNT(Dong6),"",OFFSET(TH!N$1,SMALL(Dong6,ROWS($1:8)),))</f>
        <v/>
      </c>
      <c r="H18" s="312" t="str">
        <f ca="1">IF(ROWS($1:8)&gt;COUNT(Dong6),"",OFFSET(TH!O$1,SMALL(Dong6,ROWS($1:8)),))</f>
        <v/>
      </c>
      <c r="I18" s="63">
        <f t="shared" ca="1" si="0"/>
        <v>8</v>
      </c>
      <c r="J18" s="264">
        <f t="shared" ca="1" si="61"/>
        <v>0</v>
      </c>
      <c r="K18" s="264">
        <f t="shared" ca="1" si="62"/>
        <v>0</v>
      </c>
      <c r="L18" s="264">
        <f t="shared" ca="1" si="1"/>
        <v>0</v>
      </c>
      <c r="M18" s="264">
        <f t="shared" ca="1" si="2"/>
        <v>0</v>
      </c>
      <c r="N18" s="264">
        <f t="shared" ca="1" si="3"/>
        <v>0</v>
      </c>
      <c r="O18" s="264">
        <f t="shared" ca="1" si="4"/>
        <v>0</v>
      </c>
      <c r="P18" s="264">
        <f t="shared" ca="1" si="5"/>
        <v>0</v>
      </c>
      <c r="Q18" s="264">
        <f t="shared" ca="1" si="6"/>
        <v>0</v>
      </c>
      <c r="R18" s="264">
        <f t="shared" ca="1" si="7"/>
        <v>0</v>
      </c>
      <c r="S18" s="264">
        <f t="shared" ca="1" si="8"/>
        <v>0</v>
      </c>
      <c r="T18" s="264">
        <f t="shared" ca="1" si="9"/>
        <v>0</v>
      </c>
      <c r="U18" s="264">
        <f t="shared" ca="1" si="10"/>
        <v>0</v>
      </c>
      <c r="V18" s="264">
        <f t="shared" ca="1" si="11"/>
        <v>0</v>
      </c>
      <c r="W18" s="264">
        <f t="shared" ca="1" si="12"/>
        <v>0</v>
      </c>
      <c r="X18" s="264">
        <f t="shared" ca="1" si="13"/>
        <v>0</v>
      </c>
      <c r="Y18" s="264">
        <f t="shared" ca="1" si="14"/>
        <v>0</v>
      </c>
      <c r="Z18" s="264">
        <f t="shared" ca="1" si="15"/>
        <v>0</v>
      </c>
      <c r="AA18" s="264">
        <f t="shared" ca="1" si="16"/>
        <v>0</v>
      </c>
      <c r="AB18" s="264">
        <f t="shared" ca="1" si="63"/>
        <v>0</v>
      </c>
      <c r="AC18" s="264">
        <f t="shared" ca="1" si="64"/>
        <v>0</v>
      </c>
      <c r="AD18" s="264">
        <f t="shared" ca="1" si="17"/>
        <v>0</v>
      </c>
      <c r="AE18" s="264">
        <f t="shared" ca="1" si="18"/>
        <v>0</v>
      </c>
      <c r="AF18" s="264">
        <f t="shared" ca="1" si="19"/>
        <v>0</v>
      </c>
      <c r="AG18" s="264">
        <f t="shared" ca="1" si="20"/>
        <v>0</v>
      </c>
      <c r="AH18" s="264">
        <f t="shared" ca="1" si="65"/>
        <v>0</v>
      </c>
      <c r="AI18" s="264">
        <f t="shared" ca="1" si="66"/>
        <v>0</v>
      </c>
      <c r="AJ18" s="264">
        <f t="shared" ca="1" si="67"/>
        <v>0</v>
      </c>
      <c r="AK18" s="264">
        <f t="shared" ca="1" si="68"/>
        <v>0</v>
      </c>
      <c r="AL18" s="264">
        <f t="shared" ca="1" si="69"/>
        <v>0</v>
      </c>
      <c r="AM18" s="264">
        <f t="shared" ca="1" si="70"/>
        <v>0</v>
      </c>
      <c r="AN18" s="264">
        <f t="shared" ca="1" si="71"/>
        <v>0</v>
      </c>
      <c r="AO18" s="264">
        <f t="shared" ca="1" si="72"/>
        <v>0</v>
      </c>
      <c r="AP18" s="264">
        <f t="shared" ca="1" si="21"/>
        <v>0</v>
      </c>
      <c r="AQ18" s="264">
        <f t="shared" ca="1" si="22"/>
        <v>0</v>
      </c>
      <c r="AR18" s="264">
        <f t="shared" ca="1" si="23"/>
        <v>0</v>
      </c>
      <c r="AS18" s="264">
        <f t="shared" ca="1" si="24"/>
        <v>0</v>
      </c>
      <c r="AT18" s="264">
        <f t="shared" ca="1" si="73"/>
        <v>0</v>
      </c>
      <c r="AU18" s="264">
        <f t="shared" ca="1" si="74"/>
        <v>0</v>
      </c>
      <c r="AV18" s="264">
        <f t="shared" ca="1" si="25"/>
        <v>0</v>
      </c>
      <c r="AW18" s="264">
        <f t="shared" ca="1" si="26"/>
        <v>0</v>
      </c>
      <c r="AX18" s="264">
        <f t="shared" ca="1" si="27"/>
        <v>0</v>
      </c>
      <c r="AY18" s="264">
        <f t="shared" ca="1" si="28"/>
        <v>0</v>
      </c>
      <c r="AZ18" s="264">
        <f t="shared" ca="1" si="29"/>
        <v>0</v>
      </c>
      <c r="BA18" s="264">
        <f t="shared" ca="1" si="30"/>
        <v>0</v>
      </c>
      <c r="BB18" s="264">
        <f t="shared" ca="1" si="31"/>
        <v>0</v>
      </c>
      <c r="BC18" s="264">
        <f t="shared" ca="1" si="32"/>
        <v>0</v>
      </c>
      <c r="BD18" s="264">
        <f t="shared" ca="1" si="33"/>
        <v>0</v>
      </c>
      <c r="BE18" s="264">
        <f t="shared" ca="1" si="34"/>
        <v>0</v>
      </c>
      <c r="BF18" s="264">
        <f t="shared" ca="1" si="35"/>
        <v>0</v>
      </c>
      <c r="BG18" s="264">
        <f t="shared" ca="1" si="36"/>
        <v>0</v>
      </c>
      <c r="BH18" s="264">
        <f t="shared" ca="1" si="75"/>
        <v>0</v>
      </c>
      <c r="BI18" s="264">
        <f t="shared" ca="1" si="76"/>
        <v>0</v>
      </c>
      <c r="BJ18" s="264">
        <f t="shared" ca="1" si="37"/>
        <v>0</v>
      </c>
      <c r="BK18" s="264">
        <f t="shared" ca="1" si="38"/>
        <v>0</v>
      </c>
      <c r="BL18" s="264">
        <f t="shared" ca="1" si="39"/>
        <v>0</v>
      </c>
      <c r="BM18" s="264">
        <f t="shared" ca="1" si="40"/>
        <v>0</v>
      </c>
      <c r="BN18" s="264">
        <f t="shared" ca="1" si="41"/>
        <v>0</v>
      </c>
      <c r="BO18" s="264">
        <f t="shared" ca="1" si="42"/>
        <v>0</v>
      </c>
      <c r="BP18" s="264">
        <f t="shared" ca="1" si="77"/>
        <v>0</v>
      </c>
      <c r="BQ18" s="264">
        <f t="shared" ca="1" si="78"/>
        <v>0</v>
      </c>
      <c r="BR18" s="264">
        <f t="shared" ca="1" si="43"/>
        <v>0</v>
      </c>
      <c r="BS18" s="264">
        <f t="shared" ca="1" si="44"/>
        <v>0</v>
      </c>
      <c r="BT18" s="264">
        <f t="shared" ca="1" si="79"/>
        <v>0</v>
      </c>
      <c r="BU18" s="264">
        <f t="shared" ca="1" si="80"/>
        <v>0</v>
      </c>
      <c r="BV18" s="264">
        <f t="shared" ca="1" si="81"/>
        <v>0</v>
      </c>
      <c r="BW18" s="264">
        <f t="shared" ca="1" si="82"/>
        <v>0</v>
      </c>
      <c r="BX18" s="264">
        <f t="shared" ca="1" si="45"/>
        <v>0</v>
      </c>
      <c r="BY18" s="264">
        <f t="shared" ca="1" si="46"/>
        <v>0</v>
      </c>
      <c r="BZ18" s="264">
        <f t="shared" ca="1" si="47"/>
        <v>0</v>
      </c>
      <c r="CA18" s="264">
        <f t="shared" ca="1" si="48"/>
        <v>0</v>
      </c>
      <c r="CB18" s="264">
        <f t="shared" ca="1" si="49"/>
        <v>0</v>
      </c>
      <c r="CC18" s="264">
        <f t="shared" ca="1" si="50"/>
        <v>0</v>
      </c>
      <c r="CD18" s="264">
        <f t="shared" ca="1" si="83"/>
        <v>0</v>
      </c>
      <c r="CE18" s="264">
        <f t="shared" ca="1" si="84"/>
        <v>0</v>
      </c>
      <c r="CF18" s="264">
        <f t="shared" ca="1" si="85"/>
        <v>0</v>
      </c>
      <c r="CG18" s="264">
        <f t="shared" ca="1" si="86"/>
        <v>0</v>
      </c>
      <c r="CH18" s="264">
        <f t="shared" ca="1" si="51"/>
        <v>0</v>
      </c>
      <c r="CI18" s="264">
        <f t="shared" ca="1" si="52"/>
        <v>0</v>
      </c>
      <c r="CJ18" s="264">
        <f t="shared" ca="1" si="87"/>
        <v>0</v>
      </c>
      <c r="CK18" s="264">
        <f t="shared" ca="1" si="88"/>
        <v>0</v>
      </c>
      <c r="CL18" s="264">
        <f t="shared" ca="1" si="53"/>
        <v>0</v>
      </c>
      <c r="CM18" s="264">
        <f t="shared" ca="1" si="54"/>
        <v>0</v>
      </c>
      <c r="CN18" s="264">
        <f t="shared" ca="1" si="55"/>
        <v>0</v>
      </c>
      <c r="CO18" s="264">
        <f t="shared" ca="1" si="56"/>
        <v>0</v>
      </c>
      <c r="CP18" s="264">
        <f t="shared" ca="1" si="89"/>
        <v>0</v>
      </c>
      <c r="CQ18" s="264">
        <f t="shared" ca="1" si="90"/>
        <v>0</v>
      </c>
      <c r="CR18" s="264">
        <f t="shared" ca="1" si="91"/>
        <v>0</v>
      </c>
      <c r="CS18" s="264">
        <f t="shared" ca="1" si="92"/>
        <v>0</v>
      </c>
      <c r="CT18" s="264">
        <f t="shared" ca="1" si="57"/>
        <v>0</v>
      </c>
      <c r="CU18" s="264">
        <f t="shared" ca="1" si="58"/>
        <v>0</v>
      </c>
      <c r="CV18" s="264">
        <f t="shared" ca="1" si="59"/>
        <v>0</v>
      </c>
      <c r="CW18" s="264">
        <f t="shared" ca="1" si="60"/>
        <v>0</v>
      </c>
      <c r="CX18" s="264">
        <f t="shared" ca="1" si="93"/>
        <v>0</v>
      </c>
      <c r="CY18" s="264">
        <f t="shared" ca="1" si="94"/>
        <v>0</v>
      </c>
      <c r="CZ18" s="264">
        <f t="shared" ca="1" si="95"/>
        <v>0</v>
      </c>
      <c r="DA18" s="264">
        <f t="shared" ca="1" si="96"/>
        <v>0</v>
      </c>
    </row>
    <row r="19" spans="1:105" s="261" customFormat="1" ht="15" customHeight="1">
      <c r="A19" s="63">
        <f t="array" aca="1" ref="A19" ca="1">IF(C19&lt;&gt;0,SUM(($C$11:C19&lt;&gt;0)*1),"")</f>
        <v>9</v>
      </c>
      <c r="B19" s="262" t="str">
        <f ca="1">IF(ROWS($1:9)&gt;COUNT(Dong6),"",OFFSET(TH!C$1,SMALL(Dong6,ROWS($1:9)),))</f>
        <v/>
      </c>
      <c r="C19" s="262" t="str">
        <f ca="1">IF(ROWS($1:9)&gt;COUNT(Dong6),"",OFFSET(TH!D$1,SMALL(Dong6,ROWS($1:9)),))</f>
        <v/>
      </c>
      <c r="D19" s="262" t="str">
        <f ca="1">IF(ROWS($1:9)&gt;COUNT(Dong6),"",OFFSET(TH!E$1,SMALL(Dong6,ROWS($1:9)),))</f>
        <v/>
      </c>
      <c r="E19" s="310" t="str">
        <f ca="1">IF(ROWS($1:9)&gt;COUNT(Dong6),"",OFFSET(TH!F$1,SMALL(Dong6,ROWS($1:9)),))</f>
        <v/>
      </c>
      <c r="F19" s="311" t="str">
        <f ca="1">IF(ROWS($1:9)&gt;COUNT(Dong6),"",OFFSET(TH!M$1,SMALL(Dong6,ROWS($1:9)),))</f>
        <v/>
      </c>
      <c r="G19" s="312" t="str">
        <f ca="1">IF(ROWS($1:9)&gt;COUNT(Dong6),"",OFFSET(TH!N$1,SMALL(Dong6,ROWS($1:9)),))</f>
        <v/>
      </c>
      <c r="H19" s="312" t="str">
        <f ca="1">IF(ROWS($1:9)&gt;COUNT(Dong6),"",OFFSET(TH!O$1,SMALL(Dong6,ROWS($1:9)),))</f>
        <v/>
      </c>
      <c r="I19" s="63">
        <f t="shared" ca="1" si="0"/>
        <v>9</v>
      </c>
      <c r="J19" s="264">
        <f t="shared" ca="1" si="61"/>
        <v>0</v>
      </c>
      <c r="K19" s="264">
        <f t="shared" ca="1" si="62"/>
        <v>0</v>
      </c>
      <c r="L19" s="264">
        <f t="shared" ca="1" si="1"/>
        <v>0</v>
      </c>
      <c r="M19" s="264">
        <f t="shared" ca="1" si="2"/>
        <v>0</v>
      </c>
      <c r="N19" s="264">
        <f t="shared" ca="1" si="3"/>
        <v>0</v>
      </c>
      <c r="O19" s="264">
        <f t="shared" ca="1" si="4"/>
        <v>0</v>
      </c>
      <c r="P19" s="264">
        <f t="shared" ca="1" si="5"/>
        <v>0</v>
      </c>
      <c r="Q19" s="264">
        <f t="shared" ca="1" si="6"/>
        <v>0</v>
      </c>
      <c r="R19" s="264">
        <f t="shared" ca="1" si="7"/>
        <v>0</v>
      </c>
      <c r="S19" s="264">
        <f t="shared" ca="1" si="8"/>
        <v>0</v>
      </c>
      <c r="T19" s="264">
        <f t="shared" ca="1" si="9"/>
        <v>0</v>
      </c>
      <c r="U19" s="264">
        <f t="shared" ca="1" si="10"/>
        <v>0</v>
      </c>
      <c r="V19" s="264">
        <f t="shared" ca="1" si="11"/>
        <v>0</v>
      </c>
      <c r="W19" s="264">
        <f t="shared" ca="1" si="12"/>
        <v>0</v>
      </c>
      <c r="X19" s="264">
        <f t="shared" ca="1" si="13"/>
        <v>0</v>
      </c>
      <c r="Y19" s="264">
        <f t="shared" ca="1" si="14"/>
        <v>0</v>
      </c>
      <c r="Z19" s="264">
        <f t="shared" ca="1" si="15"/>
        <v>0</v>
      </c>
      <c r="AA19" s="264">
        <f t="shared" ca="1" si="16"/>
        <v>0</v>
      </c>
      <c r="AB19" s="264">
        <f t="shared" ca="1" si="63"/>
        <v>0</v>
      </c>
      <c r="AC19" s="264">
        <f t="shared" ca="1" si="64"/>
        <v>0</v>
      </c>
      <c r="AD19" s="264">
        <f t="shared" ca="1" si="17"/>
        <v>0</v>
      </c>
      <c r="AE19" s="264">
        <f t="shared" ca="1" si="18"/>
        <v>0</v>
      </c>
      <c r="AF19" s="264">
        <f t="shared" ca="1" si="19"/>
        <v>0</v>
      </c>
      <c r="AG19" s="264">
        <f t="shared" ca="1" si="20"/>
        <v>0</v>
      </c>
      <c r="AH19" s="264">
        <f t="shared" ca="1" si="65"/>
        <v>0</v>
      </c>
      <c r="AI19" s="264">
        <f t="shared" ca="1" si="66"/>
        <v>0</v>
      </c>
      <c r="AJ19" s="264">
        <f t="shared" ca="1" si="67"/>
        <v>0</v>
      </c>
      <c r="AK19" s="264">
        <f t="shared" ca="1" si="68"/>
        <v>0</v>
      </c>
      <c r="AL19" s="264">
        <f t="shared" ca="1" si="69"/>
        <v>0</v>
      </c>
      <c r="AM19" s="264">
        <f t="shared" ca="1" si="70"/>
        <v>0</v>
      </c>
      <c r="AN19" s="264">
        <f t="shared" ca="1" si="71"/>
        <v>0</v>
      </c>
      <c r="AO19" s="264">
        <f t="shared" ca="1" si="72"/>
        <v>0</v>
      </c>
      <c r="AP19" s="264">
        <f t="shared" ca="1" si="21"/>
        <v>0</v>
      </c>
      <c r="AQ19" s="264">
        <f t="shared" ca="1" si="22"/>
        <v>0</v>
      </c>
      <c r="AR19" s="264">
        <f t="shared" ca="1" si="23"/>
        <v>0</v>
      </c>
      <c r="AS19" s="264">
        <f t="shared" ca="1" si="24"/>
        <v>0</v>
      </c>
      <c r="AT19" s="264">
        <f t="shared" ca="1" si="73"/>
        <v>0</v>
      </c>
      <c r="AU19" s="264">
        <f t="shared" ca="1" si="74"/>
        <v>0</v>
      </c>
      <c r="AV19" s="264">
        <f t="shared" ca="1" si="25"/>
        <v>0</v>
      </c>
      <c r="AW19" s="264">
        <f t="shared" ca="1" si="26"/>
        <v>0</v>
      </c>
      <c r="AX19" s="264">
        <f t="shared" ca="1" si="27"/>
        <v>0</v>
      </c>
      <c r="AY19" s="264">
        <f t="shared" ca="1" si="28"/>
        <v>0</v>
      </c>
      <c r="AZ19" s="264">
        <f t="shared" ca="1" si="29"/>
        <v>0</v>
      </c>
      <c r="BA19" s="264">
        <f t="shared" ca="1" si="30"/>
        <v>0</v>
      </c>
      <c r="BB19" s="264">
        <f t="shared" ca="1" si="31"/>
        <v>0</v>
      </c>
      <c r="BC19" s="264">
        <f t="shared" ca="1" si="32"/>
        <v>0</v>
      </c>
      <c r="BD19" s="264">
        <f t="shared" ca="1" si="33"/>
        <v>0</v>
      </c>
      <c r="BE19" s="264">
        <f t="shared" ca="1" si="34"/>
        <v>0</v>
      </c>
      <c r="BF19" s="264">
        <f t="shared" ca="1" si="35"/>
        <v>0</v>
      </c>
      <c r="BG19" s="264">
        <f t="shared" ca="1" si="36"/>
        <v>0</v>
      </c>
      <c r="BH19" s="264">
        <f t="shared" ca="1" si="75"/>
        <v>0</v>
      </c>
      <c r="BI19" s="264">
        <f t="shared" ca="1" si="76"/>
        <v>0</v>
      </c>
      <c r="BJ19" s="264">
        <f t="shared" ca="1" si="37"/>
        <v>0</v>
      </c>
      <c r="BK19" s="264">
        <f t="shared" ca="1" si="38"/>
        <v>0</v>
      </c>
      <c r="BL19" s="264">
        <f t="shared" ca="1" si="39"/>
        <v>0</v>
      </c>
      <c r="BM19" s="264">
        <f t="shared" ca="1" si="40"/>
        <v>0</v>
      </c>
      <c r="BN19" s="264">
        <f t="shared" ca="1" si="41"/>
        <v>0</v>
      </c>
      <c r="BO19" s="264">
        <f t="shared" ca="1" si="42"/>
        <v>0</v>
      </c>
      <c r="BP19" s="264">
        <f t="shared" ca="1" si="77"/>
        <v>0</v>
      </c>
      <c r="BQ19" s="264">
        <f t="shared" ca="1" si="78"/>
        <v>0</v>
      </c>
      <c r="BR19" s="264">
        <f t="shared" ca="1" si="43"/>
        <v>0</v>
      </c>
      <c r="BS19" s="264">
        <f t="shared" ca="1" si="44"/>
        <v>0</v>
      </c>
      <c r="BT19" s="264">
        <f t="shared" ca="1" si="79"/>
        <v>0</v>
      </c>
      <c r="BU19" s="264">
        <f t="shared" ca="1" si="80"/>
        <v>0</v>
      </c>
      <c r="BV19" s="264">
        <f t="shared" ca="1" si="81"/>
        <v>0</v>
      </c>
      <c r="BW19" s="264">
        <f t="shared" ca="1" si="82"/>
        <v>0</v>
      </c>
      <c r="BX19" s="264">
        <f t="shared" ca="1" si="45"/>
        <v>0</v>
      </c>
      <c r="BY19" s="264">
        <f t="shared" ca="1" si="46"/>
        <v>0</v>
      </c>
      <c r="BZ19" s="264">
        <f t="shared" ca="1" si="47"/>
        <v>0</v>
      </c>
      <c r="CA19" s="264">
        <f t="shared" ca="1" si="48"/>
        <v>0</v>
      </c>
      <c r="CB19" s="264">
        <f t="shared" ca="1" si="49"/>
        <v>0</v>
      </c>
      <c r="CC19" s="264">
        <f t="shared" ca="1" si="50"/>
        <v>0</v>
      </c>
      <c r="CD19" s="264">
        <f t="shared" ca="1" si="83"/>
        <v>0</v>
      </c>
      <c r="CE19" s="264">
        <f t="shared" ca="1" si="84"/>
        <v>0</v>
      </c>
      <c r="CF19" s="264">
        <f t="shared" ca="1" si="85"/>
        <v>0</v>
      </c>
      <c r="CG19" s="264">
        <f t="shared" ca="1" si="86"/>
        <v>0</v>
      </c>
      <c r="CH19" s="264">
        <f t="shared" ca="1" si="51"/>
        <v>0</v>
      </c>
      <c r="CI19" s="264">
        <f t="shared" ca="1" si="52"/>
        <v>0</v>
      </c>
      <c r="CJ19" s="264">
        <f t="shared" ca="1" si="87"/>
        <v>0</v>
      </c>
      <c r="CK19" s="264">
        <f t="shared" ca="1" si="88"/>
        <v>0</v>
      </c>
      <c r="CL19" s="264">
        <f t="shared" ca="1" si="53"/>
        <v>0</v>
      </c>
      <c r="CM19" s="264">
        <f t="shared" ca="1" si="54"/>
        <v>0</v>
      </c>
      <c r="CN19" s="264">
        <f t="shared" ca="1" si="55"/>
        <v>0</v>
      </c>
      <c r="CO19" s="264">
        <f t="shared" ca="1" si="56"/>
        <v>0</v>
      </c>
      <c r="CP19" s="264">
        <f t="shared" ca="1" si="89"/>
        <v>0</v>
      </c>
      <c r="CQ19" s="264">
        <f t="shared" ca="1" si="90"/>
        <v>0</v>
      </c>
      <c r="CR19" s="264">
        <f t="shared" ca="1" si="91"/>
        <v>0</v>
      </c>
      <c r="CS19" s="264">
        <f t="shared" ca="1" si="92"/>
        <v>0</v>
      </c>
      <c r="CT19" s="264">
        <f t="shared" ca="1" si="57"/>
        <v>0</v>
      </c>
      <c r="CU19" s="264">
        <f t="shared" ca="1" si="58"/>
        <v>0</v>
      </c>
      <c r="CV19" s="264">
        <f t="shared" ca="1" si="59"/>
        <v>0</v>
      </c>
      <c r="CW19" s="264">
        <f t="shared" ca="1" si="60"/>
        <v>0</v>
      </c>
      <c r="CX19" s="264">
        <f t="shared" ca="1" si="93"/>
        <v>0</v>
      </c>
      <c r="CY19" s="264">
        <f t="shared" ca="1" si="94"/>
        <v>0</v>
      </c>
      <c r="CZ19" s="264">
        <f t="shared" ca="1" si="95"/>
        <v>0</v>
      </c>
      <c r="DA19" s="264">
        <f t="shared" ca="1" si="96"/>
        <v>0</v>
      </c>
    </row>
    <row r="20" spans="1:105" s="261" customFormat="1" ht="15" customHeight="1">
      <c r="A20" s="63">
        <f t="array" aca="1" ref="A20" ca="1">IF(C20&lt;&gt;0,SUM(($C$11:C20&lt;&gt;0)*1),"")</f>
        <v>10</v>
      </c>
      <c r="B20" s="262" t="str">
        <f ca="1">IF(ROWS($1:10)&gt;COUNT(Dong6),"",OFFSET(TH!C$1,SMALL(Dong6,ROWS($1:10)),))</f>
        <v/>
      </c>
      <c r="C20" s="262" t="str">
        <f ca="1">IF(ROWS($1:10)&gt;COUNT(Dong6),"",OFFSET(TH!D$1,SMALL(Dong6,ROWS($1:10)),))</f>
        <v/>
      </c>
      <c r="D20" s="262" t="str">
        <f ca="1">IF(ROWS($1:10)&gt;COUNT(Dong6),"",OFFSET(TH!E$1,SMALL(Dong6,ROWS($1:10)),))</f>
        <v/>
      </c>
      <c r="E20" s="310" t="str">
        <f ca="1">IF(ROWS($1:10)&gt;COUNT(Dong6),"",OFFSET(TH!F$1,SMALL(Dong6,ROWS($1:10)),))</f>
        <v/>
      </c>
      <c r="F20" s="311" t="str">
        <f ca="1">IF(ROWS($1:10)&gt;COUNT(Dong6),"",OFFSET(TH!M$1,SMALL(Dong6,ROWS($1:10)),))</f>
        <v/>
      </c>
      <c r="G20" s="312" t="str">
        <f ca="1">IF(ROWS($1:10)&gt;COUNT(Dong6),"",OFFSET(TH!N$1,SMALL(Dong6,ROWS($1:10)),))</f>
        <v/>
      </c>
      <c r="H20" s="312" t="str">
        <f ca="1">IF(ROWS($1:10)&gt;COUNT(Dong6),"",OFFSET(TH!O$1,SMALL(Dong6,ROWS($1:10)),))</f>
        <v/>
      </c>
      <c r="I20" s="63">
        <f t="shared" ca="1" si="0"/>
        <v>10</v>
      </c>
      <c r="J20" s="264">
        <f t="shared" ca="1" si="61"/>
        <v>0</v>
      </c>
      <c r="K20" s="264">
        <f t="shared" ca="1" si="62"/>
        <v>0</v>
      </c>
      <c r="L20" s="264">
        <f t="shared" ca="1" si="1"/>
        <v>0</v>
      </c>
      <c r="M20" s="264">
        <f t="shared" ca="1" si="2"/>
        <v>0</v>
      </c>
      <c r="N20" s="264">
        <f t="shared" ca="1" si="3"/>
        <v>0</v>
      </c>
      <c r="O20" s="264">
        <f t="shared" ca="1" si="4"/>
        <v>0</v>
      </c>
      <c r="P20" s="264">
        <f t="shared" ca="1" si="5"/>
        <v>0</v>
      </c>
      <c r="Q20" s="264">
        <f t="shared" ca="1" si="6"/>
        <v>0</v>
      </c>
      <c r="R20" s="264">
        <f t="shared" ca="1" si="7"/>
        <v>0</v>
      </c>
      <c r="S20" s="264">
        <f t="shared" ca="1" si="8"/>
        <v>0</v>
      </c>
      <c r="T20" s="264">
        <f t="shared" ca="1" si="9"/>
        <v>0</v>
      </c>
      <c r="U20" s="264">
        <f t="shared" ca="1" si="10"/>
        <v>0</v>
      </c>
      <c r="V20" s="264">
        <f t="shared" ca="1" si="11"/>
        <v>0</v>
      </c>
      <c r="W20" s="264">
        <f t="shared" ca="1" si="12"/>
        <v>0</v>
      </c>
      <c r="X20" s="264">
        <f t="shared" ca="1" si="13"/>
        <v>0</v>
      </c>
      <c r="Y20" s="264">
        <f t="shared" ca="1" si="14"/>
        <v>0</v>
      </c>
      <c r="Z20" s="264">
        <f t="shared" ca="1" si="15"/>
        <v>0</v>
      </c>
      <c r="AA20" s="264">
        <f t="shared" ca="1" si="16"/>
        <v>0</v>
      </c>
      <c r="AB20" s="264">
        <f t="shared" ca="1" si="63"/>
        <v>0</v>
      </c>
      <c r="AC20" s="264">
        <f t="shared" ca="1" si="64"/>
        <v>0</v>
      </c>
      <c r="AD20" s="264">
        <f t="shared" ca="1" si="17"/>
        <v>0</v>
      </c>
      <c r="AE20" s="264">
        <f t="shared" ca="1" si="18"/>
        <v>0</v>
      </c>
      <c r="AF20" s="264">
        <f t="shared" ca="1" si="19"/>
        <v>0</v>
      </c>
      <c r="AG20" s="264">
        <f t="shared" ca="1" si="20"/>
        <v>0</v>
      </c>
      <c r="AH20" s="264">
        <f t="shared" ca="1" si="65"/>
        <v>0</v>
      </c>
      <c r="AI20" s="264">
        <f t="shared" ca="1" si="66"/>
        <v>0</v>
      </c>
      <c r="AJ20" s="264">
        <f t="shared" ca="1" si="67"/>
        <v>0</v>
      </c>
      <c r="AK20" s="264">
        <f t="shared" ca="1" si="68"/>
        <v>0</v>
      </c>
      <c r="AL20" s="264">
        <f t="shared" ca="1" si="69"/>
        <v>0</v>
      </c>
      <c r="AM20" s="264">
        <f t="shared" ca="1" si="70"/>
        <v>0</v>
      </c>
      <c r="AN20" s="264">
        <f t="shared" ca="1" si="71"/>
        <v>0</v>
      </c>
      <c r="AO20" s="264">
        <f t="shared" ca="1" si="72"/>
        <v>0</v>
      </c>
      <c r="AP20" s="264">
        <f t="shared" ca="1" si="21"/>
        <v>0</v>
      </c>
      <c r="AQ20" s="264">
        <f t="shared" ca="1" si="22"/>
        <v>0</v>
      </c>
      <c r="AR20" s="264">
        <f t="shared" ca="1" si="23"/>
        <v>0</v>
      </c>
      <c r="AS20" s="264">
        <f t="shared" ca="1" si="24"/>
        <v>0</v>
      </c>
      <c r="AT20" s="264">
        <f t="shared" ca="1" si="73"/>
        <v>0</v>
      </c>
      <c r="AU20" s="264">
        <f t="shared" ca="1" si="74"/>
        <v>0</v>
      </c>
      <c r="AV20" s="264">
        <f t="shared" ca="1" si="25"/>
        <v>0</v>
      </c>
      <c r="AW20" s="264">
        <f t="shared" ca="1" si="26"/>
        <v>0</v>
      </c>
      <c r="AX20" s="264">
        <f t="shared" ca="1" si="27"/>
        <v>0</v>
      </c>
      <c r="AY20" s="264">
        <f t="shared" ca="1" si="28"/>
        <v>0</v>
      </c>
      <c r="AZ20" s="264">
        <f t="shared" ca="1" si="29"/>
        <v>0</v>
      </c>
      <c r="BA20" s="264">
        <f t="shared" ca="1" si="30"/>
        <v>0</v>
      </c>
      <c r="BB20" s="264">
        <f t="shared" ca="1" si="31"/>
        <v>0</v>
      </c>
      <c r="BC20" s="264">
        <f t="shared" ca="1" si="32"/>
        <v>0</v>
      </c>
      <c r="BD20" s="264">
        <f t="shared" ca="1" si="33"/>
        <v>0</v>
      </c>
      <c r="BE20" s="264">
        <f t="shared" ca="1" si="34"/>
        <v>0</v>
      </c>
      <c r="BF20" s="264">
        <f t="shared" ca="1" si="35"/>
        <v>0</v>
      </c>
      <c r="BG20" s="264">
        <f t="shared" ca="1" si="36"/>
        <v>0</v>
      </c>
      <c r="BH20" s="264">
        <f t="shared" ca="1" si="75"/>
        <v>0</v>
      </c>
      <c r="BI20" s="264">
        <f t="shared" ca="1" si="76"/>
        <v>0</v>
      </c>
      <c r="BJ20" s="264">
        <f t="shared" ca="1" si="37"/>
        <v>0</v>
      </c>
      <c r="BK20" s="264">
        <f t="shared" ca="1" si="38"/>
        <v>0</v>
      </c>
      <c r="BL20" s="264">
        <f t="shared" ca="1" si="39"/>
        <v>0</v>
      </c>
      <c r="BM20" s="264">
        <f t="shared" ca="1" si="40"/>
        <v>0</v>
      </c>
      <c r="BN20" s="264">
        <f t="shared" ca="1" si="41"/>
        <v>0</v>
      </c>
      <c r="BO20" s="264">
        <f t="shared" ca="1" si="42"/>
        <v>0</v>
      </c>
      <c r="BP20" s="264">
        <f t="shared" ca="1" si="77"/>
        <v>0</v>
      </c>
      <c r="BQ20" s="264">
        <f t="shared" ca="1" si="78"/>
        <v>0</v>
      </c>
      <c r="BR20" s="264">
        <f t="shared" ca="1" si="43"/>
        <v>0</v>
      </c>
      <c r="BS20" s="264">
        <f t="shared" ca="1" si="44"/>
        <v>0</v>
      </c>
      <c r="BT20" s="264">
        <f t="shared" ca="1" si="79"/>
        <v>0</v>
      </c>
      <c r="BU20" s="264">
        <f t="shared" ca="1" si="80"/>
        <v>0</v>
      </c>
      <c r="BV20" s="264">
        <f t="shared" ca="1" si="81"/>
        <v>0</v>
      </c>
      <c r="BW20" s="264">
        <f t="shared" ca="1" si="82"/>
        <v>0</v>
      </c>
      <c r="BX20" s="264">
        <f t="shared" ca="1" si="45"/>
        <v>0</v>
      </c>
      <c r="BY20" s="264">
        <f t="shared" ca="1" si="46"/>
        <v>0</v>
      </c>
      <c r="BZ20" s="264">
        <f t="shared" ca="1" si="47"/>
        <v>0</v>
      </c>
      <c r="CA20" s="264">
        <f t="shared" ca="1" si="48"/>
        <v>0</v>
      </c>
      <c r="CB20" s="264">
        <f t="shared" ca="1" si="49"/>
        <v>0</v>
      </c>
      <c r="CC20" s="264">
        <f t="shared" ca="1" si="50"/>
        <v>0</v>
      </c>
      <c r="CD20" s="264">
        <f t="shared" ca="1" si="83"/>
        <v>0</v>
      </c>
      <c r="CE20" s="264">
        <f t="shared" ca="1" si="84"/>
        <v>0</v>
      </c>
      <c r="CF20" s="264">
        <f t="shared" ca="1" si="85"/>
        <v>0</v>
      </c>
      <c r="CG20" s="264">
        <f t="shared" ca="1" si="86"/>
        <v>0</v>
      </c>
      <c r="CH20" s="264">
        <f t="shared" ca="1" si="51"/>
        <v>0</v>
      </c>
      <c r="CI20" s="264">
        <f t="shared" ca="1" si="52"/>
        <v>0</v>
      </c>
      <c r="CJ20" s="264">
        <f t="shared" ca="1" si="87"/>
        <v>0</v>
      </c>
      <c r="CK20" s="264">
        <f t="shared" ca="1" si="88"/>
        <v>0</v>
      </c>
      <c r="CL20" s="264">
        <f t="shared" ca="1" si="53"/>
        <v>0</v>
      </c>
      <c r="CM20" s="264">
        <f t="shared" ca="1" si="54"/>
        <v>0</v>
      </c>
      <c r="CN20" s="264">
        <f t="shared" ca="1" si="55"/>
        <v>0</v>
      </c>
      <c r="CO20" s="264">
        <f t="shared" ca="1" si="56"/>
        <v>0</v>
      </c>
      <c r="CP20" s="264">
        <f t="shared" ca="1" si="89"/>
        <v>0</v>
      </c>
      <c r="CQ20" s="264">
        <f t="shared" ca="1" si="90"/>
        <v>0</v>
      </c>
      <c r="CR20" s="264">
        <f t="shared" ca="1" si="91"/>
        <v>0</v>
      </c>
      <c r="CS20" s="264">
        <f t="shared" ca="1" si="92"/>
        <v>0</v>
      </c>
      <c r="CT20" s="264">
        <f t="shared" ca="1" si="57"/>
        <v>0</v>
      </c>
      <c r="CU20" s="264">
        <f t="shared" ca="1" si="58"/>
        <v>0</v>
      </c>
      <c r="CV20" s="264">
        <f t="shared" ca="1" si="59"/>
        <v>0</v>
      </c>
      <c r="CW20" s="264">
        <f t="shared" ca="1" si="60"/>
        <v>0</v>
      </c>
      <c r="CX20" s="264">
        <f t="shared" ca="1" si="93"/>
        <v>0</v>
      </c>
      <c r="CY20" s="264">
        <f t="shared" ca="1" si="94"/>
        <v>0</v>
      </c>
      <c r="CZ20" s="264">
        <f t="shared" ca="1" si="95"/>
        <v>0</v>
      </c>
      <c r="DA20" s="264">
        <f t="shared" ca="1" si="96"/>
        <v>0</v>
      </c>
    </row>
    <row r="21" spans="1:105" s="261" customFormat="1" ht="15" customHeight="1">
      <c r="A21" s="63">
        <f t="array" aca="1" ref="A21" ca="1">IF(C21&lt;&gt;0,SUM(($C$11:C21&lt;&gt;0)*1),"")</f>
        <v>11</v>
      </c>
      <c r="B21" s="262" t="str">
        <f ca="1">IF(ROWS($1:11)&gt;COUNT(Dong6),"",OFFSET(TH!C$1,SMALL(Dong6,ROWS($1:11)),))</f>
        <v/>
      </c>
      <c r="C21" s="262" t="str">
        <f ca="1">IF(ROWS($1:11)&gt;COUNT(Dong6),"",OFFSET(TH!D$1,SMALL(Dong6,ROWS($1:11)),))</f>
        <v/>
      </c>
      <c r="D21" s="262" t="str">
        <f ca="1">IF(ROWS($1:11)&gt;COUNT(Dong6),"",OFFSET(TH!E$1,SMALL(Dong6,ROWS($1:11)),))</f>
        <v/>
      </c>
      <c r="E21" s="310" t="str">
        <f ca="1">IF(ROWS($1:11)&gt;COUNT(Dong6),"",OFFSET(TH!F$1,SMALL(Dong6,ROWS($1:11)),))</f>
        <v/>
      </c>
      <c r="F21" s="311" t="str">
        <f ca="1">IF(ROWS($1:11)&gt;COUNT(Dong6),"",OFFSET(TH!M$1,SMALL(Dong6,ROWS($1:11)),))</f>
        <v/>
      </c>
      <c r="G21" s="312" t="str">
        <f ca="1">IF(ROWS($1:11)&gt;COUNT(Dong6),"",OFFSET(TH!N$1,SMALL(Dong6,ROWS($1:11)),))</f>
        <v/>
      </c>
      <c r="H21" s="312" t="str">
        <f ca="1">IF(ROWS($1:11)&gt;COUNT(Dong6),"",OFFSET(TH!O$1,SMALL(Dong6,ROWS($1:11)),))</f>
        <v/>
      </c>
      <c r="I21" s="63">
        <f t="shared" ca="1" si="0"/>
        <v>11</v>
      </c>
      <c r="J21" s="264">
        <f t="shared" ca="1" si="61"/>
        <v>0</v>
      </c>
      <c r="K21" s="264">
        <f t="shared" ca="1" si="62"/>
        <v>0</v>
      </c>
      <c r="L21" s="264">
        <f t="shared" ca="1" si="1"/>
        <v>0</v>
      </c>
      <c r="M21" s="264">
        <f t="shared" ca="1" si="2"/>
        <v>0</v>
      </c>
      <c r="N21" s="264">
        <f t="shared" ca="1" si="3"/>
        <v>0</v>
      </c>
      <c r="O21" s="264">
        <f t="shared" ca="1" si="4"/>
        <v>0</v>
      </c>
      <c r="P21" s="264">
        <f t="shared" ca="1" si="5"/>
        <v>0</v>
      </c>
      <c r="Q21" s="264">
        <f t="shared" ca="1" si="6"/>
        <v>0</v>
      </c>
      <c r="R21" s="264">
        <f t="shared" ca="1" si="7"/>
        <v>0</v>
      </c>
      <c r="S21" s="264">
        <f t="shared" ca="1" si="8"/>
        <v>0</v>
      </c>
      <c r="T21" s="264">
        <f t="shared" ca="1" si="9"/>
        <v>0</v>
      </c>
      <c r="U21" s="264">
        <f t="shared" ca="1" si="10"/>
        <v>0</v>
      </c>
      <c r="V21" s="264">
        <f t="shared" ca="1" si="11"/>
        <v>0</v>
      </c>
      <c r="W21" s="264">
        <f t="shared" ca="1" si="12"/>
        <v>0</v>
      </c>
      <c r="X21" s="264">
        <f t="shared" ca="1" si="13"/>
        <v>0</v>
      </c>
      <c r="Y21" s="264">
        <f t="shared" ca="1" si="14"/>
        <v>0</v>
      </c>
      <c r="Z21" s="264">
        <f t="shared" ca="1" si="15"/>
        <v>0</v>
      </c>
      <c r="AA21" s="264">
        <f t="shared" ca="1" si="16"/>
        <v>0</v>
      </c>
      <c r="AB21" s="264">
        <f t="shared" ca="1" si="63"/>
        <v>0</v>
      </c>
      <c r="AC21" s="264">
        <f t="shared" ca="1" si="64"/>
        <v>0</v>
      </c>
      <c r="AD21" s="264">
        <f t="shared" ca="1" si="17"/>
        <v>0</v>
      </c>
      <c r="AE21" s="264">
        <f t="shared" ca="1" si="18"/>
        <v>0</v>
      </c>
      <c r="AF21" s="264">
        <f t="shared" ca="1" si="19"/>
        <v>0</v>
      </c>
      <c r="AG21" s="264">
        <f t="shared" ca="1" si="20"/>
        <v>0</v>
      </c>
      <c r="AH21" s="264">
        <f t="shared" ca="1" si="65"/>
        <v>0</v>
      </c>
      <c r="AI21" s="264">
        <f t="shared" ca="1" si="66"/>
        <v>0</v>
      </c>
      <c r="AJ21" s="264">
        <f t="shared" ca="1" si="67"/>
        <v>0</v>
      </c>
      <c r="AK21" s="264">
        <f t="shared" ca="1" si="68"/>
        <v>0</v>
      </c>
      <c r="AL21" s="264">
        <f t="shared" ca="1" si="69"/>
        <v>0</v>
      </c>
      <c r="AM21" s="264">
        <f t="shared" ca="1" si="70"/>
        <v>0</v>
      </c>
      <c r="AN21" s="264">
        <f t="shared" ca="1" si="71"/>
        <v>0</v>
      </c>
      <c r="AO21" s="264">
        <f t="shared" ca="1" si="72"/>
        <v>0</v>
      </c>
      <c r="AP21" s="264">
        <f t="shared" ca="1" si="21"/>
        <v>0</v>
      </c>
      <c r="AQ21" s="264">
        <f t="shared" ca="1" si="22"/>
        <v>0</v>
      </c>
      <c r="AR21" s="264">
        <f t="shared" ca="1" si="23"/>
        <v>0</v>
      </c>
      <c r="AS21" s="264">
        <f t="shared" ca="1" si="24"/>
        <v>0</v>
      </c>
      <c r="AT21" s="264">
        <f t="shared" ca="1" si="73"/>
        <v>0</v>
      </c>
      <c r="AU21" s="264">
        <f t="shared" ca="1" si="74"/>
        <v>0</v>
      </c>
      <c r="AV21" s="264">
        <f t="shared" ca="1" si="25"/>
        <v>0</v>
      </c>
      <c r="AW21" s="264">
        <f t="shared" ca="1" si="26"/>
        <v>0</v>
      </c>
      <c r="AX21" s="264">
        <f t="shared" ca="1" si="27"/>
        <v>0</v>
      </c>
      <c r="AY21" s="264">
        <f t="shared" ca="1" si="28"/>
        <v>0</v>
      </c>
      <c r="AZ21" s="264">
        <f t="shared" ca="1" si="29"/>
        <v>0</v>
      </c>
      <c r="BA21" s="264">
        <f t="shared" ca="1" si="30"/>
        <v>0</v>
      </c>
      <c r="BB21" s="264">
        <f t="shared" ca="1" si="31"/>
        <v>0</v>
      </c>
      <c r="BC21" s="264">
        <f t="shared" ca="1" si="32"/>
        <v>0</v>
      </c>
      <c r="BD21" s="264">
        <f t="shared" ca="1" si="33"/>
        <v>0</v>
      </c>
      <c r="BE21" s="264">
        <f t="shared" ca="1" si="34"/>
        <v>0</v>
      </c>
      <c r="BF21" s="264">
        <f t="shared" ca="1" si="35"/>
        <v>0</v>
      </c>
      <c r="BG21" s="264">
        <f t="shared" ca="1" si="36"/>
        <v>0</v>
      </c>
      <c r="BH21" s="264">
        <f t="shared" ca="1" si="75"/>
        <v>0</v>
      </c>
      <c r="BI21" s="264">
        <f t="shared" ca="1" si="76"/>
        <v>0</v>
      </c>
      <c r="BJ21" s="264">
        <f t="shared" ca="1" si="37"/>
        <v>0</v>
      </c>
      <c r="BK21" s="264">
        <f t="shared" ca="1" si="38"/>
        <v>0</v>
      </c>
      <c r="BL21" s="264">
        <f t="shared" ca="1" si="39"/>
        <v>0</v>
      </c>
      <c r="BM21" s="264">
        <f t="shared" ca="1" si="40"/>
        <v>0</v>
      </c>
      <c r="BN21" s="264">
        <f t="shared" ca="1" si="41"/>
        <v>0</v>
      </c>
      <c r="BO21" s="264">
        <f t="shared" ca="1" si="42"/>
        <v>0</v>
      </c>
      <c r="BP21" s="264">
        <f t="shared" ca="1" si="77"/>
        <v>0</v>
      </c>
      <c r="BQ21" s="264">
        <f t="shared" ca="1" si="78"/>
        <v>0</v>
      </c>
      <c r="BR21" s="264">
        <f t="shared" ca="1" si="43"/>
        <v>0</v>
      </c>
      <c r="BS21" s="264">
        <f t="shared" ca="1" si="44"/>
        <v>0</v>
      </c>
      <c r="BT21" s="264">
        <f t="shared" ca="1" si="79"/>
        <v>0</v>
      </c>
      <c r="BU21" s="264">
        <f t="shared" ca="1" si="80"/>
        <v>0</v>
      </c>
      <c r="BV21" s="264">
        <f t="shared" ca="1" si="81"/>
        <v>0</v>
      </c>
      <c r="BW21" s="264">
        <f t="shared" ca="1" si="82"/>
        <v>0</v>
      </c>
      <c r="BX21" s="264">
        <f t="shared" ca="1" si="45"/>
        <v>0</v>
      </c>
      <c r="BY21" s="264">
        <f t="shared" ca="1" si="46"/>
        <v>0</v>
      </c>
      <c r="BZ21" s="264">
        <f t="shared" ca="1" si="47"/>
        <v>0</v>
      </c>
      <c r="CA21" s="264">
        <f t="shared" ca="1" si="48"/>
        <v>0</v>
      </c>
      <c r="CB21" s="264">
        <f t="shared" ca="1" si="49"/>
        <v>0</v>
      </c>
      <c r="CC21" s="264">
        <f t="shared" ca="1" si="50"/>
        <v>0</v>
      </c>
      <c r="CD21" s="264">
        <f t="shared" ca="1" si="83"/>
        <v>0</v>
      </c>
      <c r="CE21" s="264">
        <f t="shared" ca="1" si="84"/>
        <v>0</v>
      </c>
      <c r="CF21" s="264">
        <f t="shared" ca="1" si="85"/>
        <v>0</v>
      </c>
      <c r="CG21" s="264">
        <f t="shared" ca="1" si="86"/>
        <v>0</v>
      </c>
      <c r="CH21" s="264">
        <f t="shared" ca="1" si="51"/>
        <v>0</v>
      </c>
      <c r="CI21" s="264">
        <f t="shared" ca="1" si="52"/>
        <v>0</v>
      </c>
      <c r="CJ21" s="264">
        <f t="shared" ca="1" si="87"/>
        <v>0</v>
      </c>
      <c r="CK21" s="264">
        <f t="shared" ca="1" si="88"/>
        <v>0</v>
      </c>
      <c r="CL21" s="264">
        <f t="shared" ca="1" si="53"/>
        <v>0</v>
      </c>
      <c r="CM21" s="264">
        <f t="shared" ca="1" si="54"/>
        <v>0</v>
      </c>
      <c r="CN21" s="264">
        <f t="shared" ca="1" si="55"/>
        <v>0</v>
      </c>
      <c r="CO21" s="264">
        <f t="shared" ca="1" si="56"/>
        <v>0</v>
      </c>
      <c r="CP21" s="264">
        <f t="shared" ca="1" si="89"/>
        <v>0</v>
      </c>
      <c r="CQ21" s="264">
        <f t="shared" ca="1" si="90"/>
        <v>0</v>
      </c>
      <c r="CR21" s="264">
        <f t="shared" ca="1" si="91"/>
        <v>0</v>
      </c>
      <c r="CS21" s="264">
        <f t="shared" ca="1" si="92"/>
        <v>0</v>
      </c>
      <c r="CT21" s="264">
        <f t="shared" ca="1" si="57"/>
        <v>0</v>
      </c>
      <c r="CU21" s="264">
        <f t="shared" ca="1" si="58"/>
        <v>0</v>
      </c>
      <c r="CV21" s="264">
        <f t="shared" ca="1" si="59"/>
        <v>0</v>
      </c>
      <c r="CW21" s="264">
        <f t="shared" ca="1" si="60"/>
        <v>0</v>
      </c>
      <c r="CX21" s="264">
        <f t="shared" ca="1" si="93"/>
        <v>0</v>
      </c>
      <c r="CY21" s="264">
        <f t="shared" ca="1" si="94"/>
        <v>0</v>
      </c>
      <c r="CZ21" s="264">
        <f t="shared" ca="1" si="95"/>
        <v>0</v>
      </c>
      <c r="DA21" s="264">
        <f t="shared" ca="1" si="96"/>
        <v>0</v>
      </c>
    </row>
    <row r="22" spans="1:105" s="261" customFormat="1" ht="15" customHeight="1">
      <c r="A22" s="63">
        <f t="array" aca="1" ref="A22" ca="1">IF(C22&lt;&gt;0,SUM(($C$11:C22&lt;&gt;0)*1),"")</f>
        <v>12</v>
      </c>
      <c r="B22" s="262" t="str">
        <f ca="1">IF(ROWS($1:12)&gt;COUNT(Dong6),"",OFFSET(TH!C$1,SMALL(Dong6,ROWS($1:12)),))</f>
        <v/>
      </c>
      <c r="C22" s="262" t="str">
        <f ca="1">IF(ROWS($1:12)&gt;COUNT(Dong6),"",OFFSET(TH!D$1,SMALL(Dong6,ROWS($1:12)),))</f>
        <v/>
      </c>
      <c r="D22" s="262" t="str">
        <f ca="1">IF(ROWS($1:12)&gt;COUNT(Dong6),"",OFFSET(TH!E$1,SMALL(Dong6,ROWS($1:12)),))</f>
        <v/>
      </c>
      <c r="E22" s="310" t="str">
        <f ca="1">IF(ROWS($1:12)&gt;COUNT(Dong6),"",OFFSET(TH!F$1,SMALL(Dong6,ROWS($1:12)),))</f>
        <v/>
      </c>
      <c r="F22" s="311" t="str">
        <f ca="1">IF(ROWS($1:12)&gt;COUNT(Dong6),"",OFFSET(TH!M$1,SMALL(Dong6,ROWS($1:12)),))</f>
        <v/>
      </c>
      <c r="G22" s="312" t="str">
        <f ca="1">IF(ROWS($1:12)&gt;COUNT(Dong6),"",OFFSET(TH!N$1,SMALL(Dong6,ROWS($1:12)),))</f>
        <v/>
      </c>
      <c r="H22" s="312" t="str">
        <f ca="1">IF(ROWS($1:12)&gt;COUNT(Dong6),"",OFFSET(TH!O$1,SMALL(Dong6,ROWS($1:12)),))</f>
        <v/>
      </c>
      <c r="I22" s="63">
        <f t="shared" ca="1" si="0"/>
        <v>12</v>
      </c>
      <c r="J22" s="264">
        <f t="shared" ca="1" si="61"/>
        <v>0</v>
      </c>
      <c r="K22" s="264">
        <f t="shared" ca="1" si="62"/>
        <v>0</v>
      </c>
      <c r="L22" s="264">
        <f t="shared" ca="1" si="1"/>
        <v>0</v>
      </c>
      <c r="M22" s="264">
        <f t="shared" ca="1" si="2"/>
        <v>0</v>
      </c>
      <c r="N22" s="264">
        <f t="shared" ca="1" si="3"/>
        <v>0</v>
      </c>
      <c r="O22" s="264">
        <f t="shared" ca="1" si="4"/>
        <v>0</v>
      </c>
      <c r="P22" s="264">
        <f t="shared" ca="1" si="5"/>
        <v>0</v>
      </c>
      <c r="Q22" s="264">
        <f t="shared" ca="1" si="6"/>
        <v>0</v>
      </c>
      <c r="R22" s="264">
        <f t="shared" ca="1" si="7"/>
        <v>0</v>
      </c>
      <c r="S22" s="264">
        <f t="shared" ca="1" si="8"/>
        <v>0</v>
      </c>
      <c r="T22" s="264">
        <f t="shared" ca="1" si="9"/>
        <v>0</v>
      </c>
      <c r="U22" s="264">
        <f t="shared" ca="1" si="10"/>
        <v>0</v>
      </c>
      <c r="V22" s="264">
        <f t="shared" ca="1" si="11"/>
        <v>0</v>
      </c>
      <c r="W22" s="264">
        <f t="shared" ca="1" si="12"/>
        <v>0</v>
      </c>
      <c r="X22" s="264">
        <f t="shared" ca="1" si="13"/>
        <v>0</v>
      </c>
      <c r="Y22" s="264">
        <f t="shared" ca="1" si="14"/>
        <v>0</v>
      </c>
      <c r="Z22" s="264">
        <f t="shared" ca="1" si="15"/>
        <v>0</v>
      </c>
      <c r="AA22" s="264">
        <f t="shared" ca="1" si="16"/>
        <v>0</v>
      </c>
      <c r="AB22" s="264">
        <f t="shared" ca="1" si="63"/>
        <v>0</v>
      </c>
      <c r="AC22" s="264">
        <f t="shared" ca="1" si="64"/>
        <v>0</v>
      </c>
      <c r="AD22" s="264">
        <f t="shared" ca="1" si="17"/>
        <v>0</v>
      </c>
      <c r="AE22" s="264">
        <f t="shared" ca="1" si="18"/>
        <v>0</v>
      </c>
      <c r="AF22" s="264">
        <f t="shared" ca="1" si="19"/>
        <v>0</v>
      </c>
      <c r="AG22" s="264">
        <f t="shared" ca="1" si="20"/>
        <v>0</v>
      </c>
      <c r="AH22" s="264">
        <f t="shared" ca="1" si="65"/>
        <v>0</v>
      </c>
      <c r="AI22" s="264">
        <f t="shared" ca="1" si="66"/>
        <v>0</v>
      </c>
      <c r="AJ22" s="264">
        <f t="shared" ca="1" si="67"/>
        <v>0</v>
      </c>
      <c r="AK22" s="264">
        <f t="shared" ca="1" si="68"/>
        <v>0</v>
      </c>
      <c r="AL22" s="264">
        <f t="shared" ca="1" si="69"/>
        <v>0</v>
      </c>
      <c r="AM22" s="264">
        <f t="shared" ca="1" si="70"/>
        <v>0</v>
      </c>
      <c r="AN22" s="264">
        <f t="shared" ca="1" si="71"/>
        <v>0</v>
      </c>
      <c r="AO22" s="264">
        <f t="shared" ca="1" si="72"/>
        <v>0</v>
      </c>
      <c r="AP22" s="264">
        <f t="shared" ca="1" si="21"/>
        <v>0</v>
      </c>
      <c r="AQ22" s="264">
        <f t="shared" ca="1" si="22"/>
        <v>0</v>
      </c>
      <c r="AR22" s="264">
        <f t="shared" ca="1" si="23"/>
        <v>0</v>
      </c>
      <c r="AS22" s="264">
        <f t="shared" ca="1" si="24"/>
        <v>0</v>
      </c>
      <c r="AT22" s="264">
        <f t="shared" ca="1" si="73"/>
        <v>0</v>
      </c>
      <c r="AU22" s="264">
        <f t="shared" ca="1" si="74"/>
        <v>0</v>
      </c>
      <c r="AV22" s="264">
        <f t="shared" ca="1" si="25"/>
        <v>0</v>
      </c>
      <c r="AW22" s="264">
        <f t="shared" ca="1" si="26"/>
        <v>0</v>
      </c>
      <c r="AX22" s="264">
        <f t="shared" ca="1" si="27"/>
        <v>0</v>
      </c>
      <c r="AY22" s="264">
        <f t="shared" ca="1" si="28"/>
        <v>0</v>
      </c>
      <c r="AZ22" s="264">
        <f t="shared" ca="1" si="29"/>
        <v>0</v>
      </c>
      <c r="BA22" s="264">
        <f t="shared" ca="1" si="30"/>
        <v>0</v>
      </c>
      <c r="BB22" s="264">
        <f t="shared" ca="1" si="31"/>
        <v>0</v>
      </c>
      <c r="BC22" s="264">
        <f t="shared" ca="1" si="32"/>
        <v>0</v>
      </c>
      <c r="BD22" s="264">
        <f t="shared" ca="1" si="33"/>
        <v>0</v>
      </c>
      <c r="BE22" s="264">
        <f t="shared" ca="1" si="34"/>
        <v>0</v>
      </c>
      <c r="BF22" s="264">
        <f t="shared" ca="1" si="35"/>
        <v>0</v>
      </c>
      <c r="BG22" s="264">
        <f t="shared" ca="1" si="36"/>
        <v>0</v>
      </c>
      <c r="BH22" s="264">
        <f t="shared" ca="1" si="75"/>
        <v>0</v>
      </c>
      <c r="BI22" s="264">
        <f t="shared" ca="1" si="76"/>
        <v>0</v>
      </c>
      <c r="BJ22" s="264">
        <f t="shared" ca="1" si="37"/>
        <v>0</v>
      </c>
      <c r="BK22" s="264">
        <f t="shared" ca="1" si="38"/>
        <v>0</v>
      </c>
      <c r="BL22" s="264">
        <f t="shared" ca="1" si="39"/>
        <v>0</v>
      </c>
      <c r="BM22" s="264">
        <f t="shared" ca="1" si="40"/>
        <v>0</v>
      </c>
      <c r="BN22" s="264">
        <f t="shared" ca="1" si="41"/>
        <v>0</v>
      </c>
      <c r="BO22" s="264">
        <f t="shared" ca="1" si="42"/>
        <v>0</v>
      </c>
      <c r="BP22" s="264">
        <f t="shared" ca="1" si="77"/>
        <v>0</v>
      </c>
      <c r="BQ22" s="264">
        <f t="shared" ca="1" si="78"/>
        <v>0</v>
      </c>
      <c r="BR22" s="264">
        <f t="shared" ca="1" si="43"/>
        <v>0</v>
      </c>
      <c r="BS22" s="264">
        <f t="shared" ca="1" si="44"/>
        <v>0</v>
      </c>
      <c r="BT22" s="264">
        <f t="shared" ca="1" si="79"/>
        <v>0</v>
      </c>
      <c r="BU22" s="264">
        <f t="shared" ca="1" si="80"/>
        <v>0</v>
      </c>
      <c r="BV22" s="264">
        <f t="shared" ca="1" si="81"/>
        <v>0</v>
      </c>
      <c r="BW22" s="264">
        <f t="shared" ca="1" si="82"/>
        <v>0</v>
      </c>
      <c r="BX22" s="264">
        <f t="shared" ca="1" si="45"/>
        <v>0</v>
      </c>
      <c r="BY22" s="264">
        <f t="shared" ca="1" si="46"/>
        <v>0</v>
      </c>
      <c r="BZ22" s="264">
        <f t="shared" ca="1" si="47"/>
        <v>0</v>
      </c>
      <c r="CA22" s="264">
        <f t="shared" ca="1" si="48"/>
        <v>0</v>
      </c>
      <c r="CB22" s="264">
        <f t="shared" ca="1" si="49"/>
        <v>0</v>
      </c>
      <c r="CC22" s="264">
        <f t="shared" ca="1" si="50"/>
        <v>0</v>
      </c>
      <c r="CD22" s="264">
        <f t="shared" ca="1" si="83"/>
        <v>0</v>
      </c>
      <c r="CE22" s="264">
        <f t="shared" ca="1" si="84"/>
        <v>0</v>
      </c>
      <c r="CF22" s="264">
        <f t="shared" ca="1" si="85"/>
        <v>0</v>
      </c>
      <c r="CG22" s="264">
        <f t="shared" ca="1" si="86"/>
        <v>0</v>
      </c>
      <c r="CH22" s="264">
        <f t="shared" ca="1" si="51"/>
        <v>0</v>
      </c>
      <c r="CI22" s="264">
        <f t="shared" ca="1" si="52"/>
        <v>0</v>
      </c>
      <c r="CJ22" s="264">
        <f t="shared" ca="1" si="87"/>
        <v>0</v>
      </c>
      <c r="CK22" s="264">
        <f t="shared" ca="1" si="88"/>
        <v>0</v>
      </c>
      <c r="CL22" s="264">
        <f t="shared" ca="1" si="53"/>
        <v>0</v>
      </c>
      <c r="CM22" s="264">
        <f t="shared" ca="1" si="54"/>
        <v>0</v>
      </c>
      <c r="CN22" s="264">
        <f t="shared" ca="1" si="55"/>
        <v>0</v>
      </c>
      <c r="CO22" s="264">
        <f t="shared" ca="1" si="56"/>
        <v>0</v>
      </c>
      <c r="CP22" s="264">
        <f t="shared" ca="1" si="89"/>
        <v>0</v>
      </c>
      <c r="CQ22" s="264">
        <f t="shared" ca="1" si="90"/>
        <v>0</v>
      </c>
      <c r="CR22" s="264">
        <f t="shared" ca="1" si="91"/>
        <v>0</v>
      </c>
      <c r="CS22" s="264">
        <f t="shared" ca="1" si="92"/>
        <v>0</v>
      </c>
      <c r="CT22" s="264">
        <f t="shared" ca="1" si="57"/>
        <v>0</v>
      </c>
      <c r="CU22" s="264">
        <f t="shared" ca="1" si="58"/>
        <v>0</v>
      </c>
      <c r="CV22" s="264">
        <f t="shared" ca="1" si="59"/>
        <v>0</v>
      </c>
      <c r="CW22" s="264">
        <f t="shared" ca="1" si="60"/>
        <v>0</v>
      </c>
      <c r="CX22" s="264">
        <f t="shared" ca="1" si="93"/>
        <v>0</v>
      </c>
      <c r="CY22" s="264">
        <f t="shared" ca="1" si="94"/>
        <v>0</v>
      </c>
      <c r="CZ22" s="264">
        <f t="shared" ca="1" si="95"/>
        <v>0</v>
      </c>
      <c r="DA22" s="264">
        <f t="shared" ca="1" si="96"/>
        <v>0</v>
      </c>
    </row>
    <row r="23" spans="1:105" s="261" customFormat="1" ht="15" customHeight="1">
      <c r="A23" s="63">
        <f t="array" aca="1" ref="A23" ca="1">IF(C23&lt;&gt;0,SUM(($C$11:C23&lt;&gt;0)*1),"")</f>
        <v>13</v>
      </c>
      <c r="B23" s="262" t="str">
        <f ca="1">IF(ROWS($1:13)&gt;COUNT(Dong6),"",OFFSET(TH!C$1,SMALL(Dong6,ROWS($1:13)),))</f>
        <v/>
      </c>
      <c r="C23" s="262" t="str">
        <f ca="1">IF(ROWS($1:13)&gt;COUNT(Dong6),"",OFFSET(TH!D$1,SMALL(Dong6,ROWS($1:13)),))</f>
        <v/>
      </c>
      <c r="D23" s="262" t="str">
        <f ca="1">IF(ROWS($1:13)&gt;COUNT(Dong6),"",OFFSET(TH!E$1,SMALL(Dong6,ROWS($1:13)),))</f>
        <v/>
      </c>
      <c r="E23" s="310" t="str">
        <f ca="1">IF(ROWS($1:13)&gt;COUNT(Dong6),"",OFFSET(TH!F$1,SMALL(Dong6,ROWS($1:13)),))</f>
        <v/>
      </c>
      <c r="F23" s="311" t="str">
        <f ca="1">IF(ROWS($1:13)&gt;COUNT(Dong6),"",OFFSET(TH!M$1,SMALL(Dong6,ROWS($1:13)),))</f>
        <v/>
      </c>
      <c r="G23" s="312" t="str">
        <f ca="1">IF(ROWS($1:13)&gt;COUNT(Dong6),"",OFFSET(TH!N$1,SMALL(Dong6,ROWS($1:13)),))</f>
        <v/>
      </c>
      <c r="H23" s="312" t="str">
        <f ca="1">IF(ROWS($1:13)&gt;COUNT(Dong6),"",OFFSET(TH!O$1,SMALL(Dong6,ROWS($1:13)),))</f>
        <v/>
      </c>
      <c r="I23" s="63">
        <f t="shared" ca="1" si="0"/>
        <v>13</v>
      </c>
      <c r="J23" s="264">
        <f t="shared" ca="1" si="61"/>
        <v>0</v>
      </c>
      <c r="K23" s="264">
        <f t="shared" ca="1" si="62"/>
        <v>0</v>
      </c>
      <c r="L23" s="264">
        <f t="shared" ca="1" si="1"/>
        <v>0</v>
      </c>
      <c r="M23" s="264">
        <f t="shared" ca="1" si="2"/>
        <v>0</v>
      </c>
      <c r="N23" s="264">
        <f t="shared" ca="1" si="3"/>
        <v>0</v>
      </c>
      <c r="O23" s="264">
        <f t="shared" ca="1" si="4"/>
        <v>0</v>
      </c>
      <c r="P23" s="264">
        <f t="shared" ca="1" si="5"/>
        <v>0</v>
      </c>
      <c r="Q23" s="264">
        <f t="shared" ca="1" si="6"/>
        <v>0</v>
      </c>
      <c r="R23" s="264">
        <f t="shared" ca="1" si="7"/>
        <v>0</v>
      </c>
      <c r="S23" s="264">
        <f t="shared" ca="1" si="8"/>
        <v>0</v>
      </c>
      <c r="T23" s="264">
        <f t="shared" ca="1" si="9"/>
        <v>0</v>
      </c>
      <c r="U23" s="264">
        <f t="shared" ca="1" si="10"/>
        <v>0</v>
      </c>
      <c r="V23" s="264">
        <f t="shared" ca="1" si="11"/>
        <v>0</v>
      </c>
      <c r="W23" s="264">
        <f t="shared" ca="1" si="12"/>
        <v>0</v>
      </c>
      <c r="X23" s="264">
        <f t="shared" ca="1" si="13"/>
        <v>0</v>
      </c>
      <c r="Y23" s="264">
        <f t="shared" ca="1" si="14"/>
        <v>0</v>
      </c>
      <c r="Z23" s="264">
        <f t="shared" ca="1" si="15"/>
        <v>0</v>
      </c>
      <c r="AA23" s="264">
        <f t="shared" ca="1" si="16"/>
        <v>0</v>
      </c>
      <c r="AB23" s="264">
        <f t="shared" ca="1" si="63"/>
        <v>0</v>
      </c>
      <c r="AC23" s="264">
        <f t="shared" ca="1" si="64"/>
        <v>0</v>
      </c>
      <c r="AD23" s="264">
        <f t="shared" ca="1" si="17"/>
        <v>0</v>
      </c>
      <c r="AE23" s="264">
        <f t="shared" ca="1" si="18"/>
        <v>0</v>
      </c>
      <c r="AF23" s="264">
        <f t="shared" ca="1" si="19"/>
        <v>0</v>
      </c>
      <c r="AG23" s="264">
        <f t="shared" ca="1" si="20"/>
        <v>0</v>
      </c>
      <c r="AH23" s="264">
        <f t="shared" ca="1" si="65"/>
        <v>0</v>
      </c>
      <c r="AI23" s="264">
        <f t="shared" ca="1" si="66"/>
        <v>0</v>
      </c>
      <c r="AJ23" s="264">
        <f t="shared" ca="1" si="67"/>
        <v>0</v>
      </c>
      <c r="AK23" s="264">
        <f t="shared" ca="1" si="68"/>
        <v>0</v>
      </c>
      <c r="AL23" s="264">
        <f t="shared" ca="1" si="69"/>
        <v>0</v>
      </c>
      <c r="AM23" s="264">
        <f t="shared" ca="1" si="70"/>
        <v>0</v>
      </c>
      <c r="AN23" s="264">
        <f t="shared" ca="1" si="71"/>
        <v>0</v>
      </c>
      <c r="AO23" s="264">
        <f t="shared" ca="1" si="72"/>
        <v>0</v>
      </c>
      <c r="AP23" s="264">
        <f t="shared" ca="1" si="21"/>
        <v>0</v>
      </c>
      <c r="AQ23" s="264">
        <f t="shared" ca="1" si="22"/>
        <v>0</v>
      </c>
      <c r="AR23" s="264">
        <f t="shared" ca="1" si="23"/>
        <v>0</v>
      </c>
      <c r="AS23" s="264">
        <f t="shared" ca="1" si="24"/>
        <v>0</v>
      </c>
      <c r="AT23" s="264">
        <f t="shared" ca="1" si="73"/>
        <v>0</v>
      </c>
      <c r="AU23" s="264">
        <f t="shared" ca="1" si="74"/>
        <v>0</v>
      </c>
      <c r="AV23" s="264">
        <f t="shared" ca="1" si="25"/>
        <v>0</v>
      </c>
      <c r="AW23" s="264">
        <f t="shared" ca="1" si="26"/>
        <v>0</v>
      </c>
      <c r="AX23" s="264">
        <f t="shared" ca="1" si="27"/>
        <v>0</v>
      </c>
      <c r="AY23" s="264">
        <f t="shared" ca="1" si="28"/>
        <v>0</v>
      </c>
      <c r="AZ23" s="264">
        <f t="shared" ca="1" si="29"/>
        <v>0</v>
      </c>
      <c r="BA23" s="264">
        <f t="shared" ca="1" si="30"/>
        <v>0</v>
      </c>
      <c r="BB23" s="264">
        <f t="shared" ca="1" si="31"/>
        <v>0</v>
      </c>
      <c r="BC23" s="264">
        <f t="shared" ca="1" si="32"/>
        <v>0</v>
      </c>
      <c r="BD23" s="264">
        <f t="shared" ca="1" si="33"/>
        <v>0</v>
      </c>
      <c r="BE23" s="264">
        <f t="shared" ca="1" si="34"/>
        <v>0</v>
      </c>
      <c r="BF23" s="264">
        <f t="shared" ca="1" si="35"/>
        <v>0</v>
      </c>
      <c r="BG23" s="264">
        <f t="shared" ca="1" si="36"/>
        <v>0</v>
      </c>
      <c r="BH23" s="264">
        <f t="shared" ca="1" si="75"/>
        <v>0</v>
      </c>
      <c r="BI23" s="264">
        <f t="shared" ca="1" si="76"/>
        <v>0</v>
      </c>
      <c r="BJ23" s="264">
        <f t="shared" ca="1" si="37"/>
        <v>0</v>
      </c>
      <c r="BK23" s="264">
        <f t="shared" ca="1" si="38"/>
        <v>0</v>
      </c>
      <c r="BL23" s="264">
        <f t="shared" ca="1" si="39"/>
        <v>0</v>
      </c>
      <c r="BM23" s="264">
        <f t="shared" ca="1" si="40"/>
        <v>0</v>
      </c>
      <c r="BN23" s="264">
        <f t="shared" ca="1" si="41"/>
        <v>0</v>
      </c>
      <c r="BO23" s="264">
        <f t="shared" ca="1" si="42"/>
        <v>0</v>
      </c>
      <c r="BP23" s="264">
        <f t="shared" ca="1" si="77"/>
        <v>0</v>
      </c>
      <c r="BQ23" s="264">
        <f t="shared" ca="1" si="78"/>
        <v>0</v>
      </c>
      <c r="BR23" s="264">
        <f t="shared" ca="1" si="43"/>
        <v>0</v>
      </c>
      <c r="BS23" s="264">
        <f t="shared" ca="1" si="44"/>
        <v>0</v>
      </c>
      <c r="BT23" s="264">
        <f t="shared" ca="1" si="79"/>
        <v>0</v>
      </c>
      <c r="BU23" s="264">
        <f t="shared" ca="1" si="80"/>
        <v>0</v>
      </c>
      <c r="BV23" s="264">
        <f t="shared" ca="1" si="81"/>
        <v>0</v>
      </c>
      <c r="BW23" s="264">
        <f t="shared" ca="1" si="82"/>
        <v>0</v>
      </c>
      <c r="BX23" s="264">
        <f t="shared" ca="1" si="45"/>
        <v>0</v>
      </c>
      <c r="BY23" s="264">
        <f t="shared" ca="1" si="46"/>
        <v>0</v>
      </c>
      <c r="BZ23" s="264">
        <f t="shared" ca="1" si="47"/>
        <v>0</v>
      </c>
      <c r="CA23" s="264">
        <f t="shared" ca="1" si="48"/>
        <v>0</v>
      </c>
      <c r="CB23" s="264">
        <f t="shared" ca="1" si="49"/>
        <v>0</v>
      </c>
      <c r="CC23" s="264">
        <f t="shared" ca="1" si="50"/>
        <v>0</v>
      </c>
      <c r="CD23" s="264">
        <f t="shared" ca="1" si="83"/>
        <v>0</v>
      </c>
      <c r="CE23" s="264">
        <f t="shared" ca="1" si="84"/>
        <v>0</v>
      </c>
      <c r="CF23" s="264">
        <f t="shared" ca="1" si="85"/>
        <v>0</v>
      </c>
      <c r="CG23" s="264">
        <f t="shared" ca="1" si="86"/>
        <v>0</v>
      </c>
      <c r="CH23" s="264">
        <f t="shared" ca="1" si="51"/>
        <v>0</v>
      </c>
      <c r="CI23" s="264">
        <f t="shared" ca="1" si="52"/>
        <v>0</v>
      </c>
      <c r="CJ23" s="264">
        <f t="shared" ca="1" si="87"/>
        <v>0</v>
      </c>
      <c r="CK23" s="264">
        <f t="shared" ca="1" si="88"/>
        <v>0</v>
      </c>
      <c r="CL23" s="264">
        <f t="shared" ca="1" si="53"/>
        <v>0</v>
      </c>
      <c r="CM23" s="264">
        <f t="shared" ca="1" si="54"/>
        <v>0</v>
      </c>
      <c r="CN23" s="264">
        <f t="shared" ca="1" si="55"/>
        <v>0</v>
      </c>
      <c r="CO23" s="264">
        <f t="shared" ca="1" si="56"/>
        <v>0</v>
      </c>
      <c r="CP23" s="264">
        <f t="shared" ca="1" si="89"/>
        <v>0</v>
      </c>
      <c r="CQ23" s="264">
        <f t="shared" ca="1" si="90"/>
        <v>0</v>
      </c>
      <c r="CR23" s="264">
        <f t="shared" ca="1" si="91"/>
        <v>0</v>
      </c>
      <c r="CS23" s="264">
        <f t="shared" ca="1" si="92"/>
        <v>0</v>
      </c>
      <c r="CT23" s="264">
        <f t="shared" ca="1" si="57"/>
        <v>0</v>
      </c>
      <c r="CU23" s="264">
        <f t="shared" ca="1" si="58"/>
        <v>0</v>
      </c>
      <c r="CV23" s="264">
        <f t="shared" ca="1" si="59"/>
        <v>0</v>
      </c>
      <c r="CW23" s="264">
        <f t="shared" ca="1" si="60"/>
        <v>0</v>
      </c>
      <c r="CX23" s="264">
        <f t="shared" ca="1" si="93"/>
        <v>0</v>
      </c>
      <c r="CY23" s="264">
        <f t="shared" ca="1" si="94"/>
        <v>0</v>
      </c>
      <c r="CZ23" s="264">
        <f t="shared" ca="1" si="95"/>
        <v>0</v>
      </c>
      <c r="DA23" s="264">
        <f t="shared" ca="1" si="96"/>
        <v>0</v>
      </c>
    </row>
    <row r="24" spans="1:105" s="261" customFormat="1" ht="15" customHeight="1">
      <c r="A24" s="63">
        <f t="array" aca="1" ref="A24" ca="1">IF(C24&lt;&gt;0,SUM(($C$11:C24&lt;&gt;0)*1),"")</f>
        <v>14</v>
      </c>
      <c r="B24" s="262" t="str">
        <f ca="1">IF(ROWS($1:14)&gt;COUNT(Dong6),"",OFFSET(TH!C$1,SMALL(Dong6,ROWS($1:14)),))</f>
        <v/>
      </c>
      <c r="C24" s="262" t="str">
        <f ca="1">IF(ROWS($1:14)&gt;COUNT(Dong6),"",OFFSET(TH!D$1,SMALL(Dong6,ROWS($1:14)),))</f>
        <v/>
      </c>
      <c r="D24" s="262" t="str">
        <f ca="1">IF(ROWS($1:14)&gt;COUNT(Dong6),"",OFFSET(TH!E$1,SMALL(Dong6,ROWS($1:14)),))</f>
        <v/>
      </c>
      <c r="E24" s="310" t="str">
        <f ca="1">IF(ROWS($1:14)&gt;COUNT(Dong6),"",OFFSET(TH!F$1,SMALL(Dong6,ROWS($1:14)),))</f>
        <v/>
      </c>
      <c r="F24" s="311" t="str">
        <f ca="1">IF(ROWS($1:14)&gt;COUNT(Dong6),"",OFFSET(TH!M$1,SMALL(Dong6,ROWS($1:14)),))</f>
        <v/>
      </c>
      <c r="G24" s="312" t="str">
        <f ca="1">IF(ROWS($1:14)&gt;COUNT(Dong6),"",OFFSET(TH!N$1,SMALL(Dong6,ROWS($1:14)),))</f>
        <v/>
      </c>
      <c r="H24" s="312" t="str">
        <f ca="1">IF(ROWS($1:14)&gt;COUNT(Dong6),"",OFFSET(TH!O$1,SMALL(Dong6,ROWS($1:14)),))</f>
        <v/>
      </c>
      <c r="I24" s="63">
        <f t="shared" ca="1" si="0"/>
        <v>14</v>
      </c>
      <c r="J24" s="264">
        <f t="shared" ca="1" si="61"/>
        <v>0</v>
      </c>
      <c r="K24" s="264">
        <f t="shared" ca="1" si="62"/>
        <v>0</v>
      </c>
      <c r="L24" s="264">
        <f t="shared" ca="1" si="1"/>
        <v>0</v>
      </c>
      <c r="M24" s="264">
        <f t="shared" ca="1" si="2"/>
        <v>0</v>
      </c>
      <c r="N24" s="264">
        <f t="shared" ca="1" si="3"/>
        <v>0</v>
      </c>
      <c r="O24" s="264">
        <f t="shared" ca="1" si="4"/>
        <v>0</v>
      </c>
      <c r="P24" s="264">
        <f t="shared" ca="1" si="5"/>
        <v>0</v>
      </c>
      <c r="Q24" s="264">
        <f t="shared" ca="1" si="6"/>
        <v>0</v>
      </c>
      <c r="R24" s="264">
        <f t="shared" ca="1" si="7"/>
        <v>0</v>
      </c>
      <c r="S24" s="264">
        <f t="shared" ca="1" si="8"/>
        <v>0</v>
      </c>
      <c r="T24" s="264">
        <f t="shared" ca="1" si="9"/>
        <v>0</v>
      </c>
      <c r="U24" s="264">
        <f t="shared" ca="1" si="10"/>
        <v>0</v>
      </c>
      <c r="V24" s="264">
        <f t="shared" ca="1" si="11"/>
        <v>0</v>
      </c>
      <c r="W24" s="264">
        <f t="shared" ca="1" si="12"/>
        <v>0</v>
      </c>
      <c r="X24" s="264">
        <f t="shared" ca="1" si="13"/>
        <v>0</v>
      </c>
      <c r="Y24" s="264">
        <f t="shared" ca="1" si="14"/>
        <v>0</v>
      </c>
      <c r="Z24" s="264">
        <f t="shared" ca="1" si="15"/>
        <v>0</v>
      </c>
      <c r="AA24" s="264">
        <f t="shared" ca="1" si="16"/>
        <v>0</v>
      </c>
      <c r="AB24" s="264">
        <f t="shared" ca="1" si="63"/>
        <v>0</v>
      </c>
      <c r="AC24" s="264">
        <f t="shared" ca="1" si="64"/>
        <v>0</v>
      </c>
      <c r="AD24" s="264">
        <f t="shared" ca="1" si="17"/>
        <v>0</v>
      </c>
      <c r="AE24" s="264">
        <f t="shared" ca="1" si="18"/>
        <v>0</v>
      </c>
      <c r="AF24" s="264">
        <f t="shared" ca="1" si="19"/>
        <v>0</v>
      </c>
      <c r="AG24" s="264">
        <f t="shared" ca="1" si="20"/>
        <v>0</v>
      </c>
      <c r="AH24" s="264">
        <f t="shared" ca="1" si="65"/>
        <v>0</v>
      </c>
      <c r="AI24" s="264">
        <f t="shared" ca="1" si="66"/>
        <v>0</v>
      </c>
      <c r="AJ24" s="264">
        <f t="shared" ca="1" si="67"/>
        <v>0</v>
      </c>
      <c r="AK24" s="264">
        <f t="shared" ca="1" si="68"/>
        <v>0</v>
      </c>
      <c r="AL24" s="264">
        <f t="shared" ca="1" si="69"/>
        <v>0</v>
      </c>
      <c r="AM24" s="264">
        <f t="shared" ca="1" si="70"/>
        <v>0</v>
      </c>
      <c r="AN24" s="264">
        <f t="shared" ca="1" si="71"/>
        <v>0</v>
      </c>
      <c r="AO24" s="264">
        <f t="shared" ca="1" si="72"/>
        <v>0</v>
      </c>
      <c r="AP24" s="264">
        <f t="shared" ca="1" si="21"/>
        <v>0</v>
      </c>
      <c r="AQ24" s="264">
        <f t="shared" ca="1" si="22"/>
        <v>0</v>
      </c>
      <c r="AR24" s="264">
        <f t="shared" ca="1" si="23"/>
        <v>0</v>
      </c>
      <c r="AS24" s="264">
        <f t="shared" ca="1" si="24"/>
        <v>0</v>
      </c>
      <c r="AT24" s="264">
        <f t="shared" ca="1" si="73"/>
        <v>0</v>
      </c>
      <c r="AU24" s="264">
        <f t="shared" ca="1" si="74"/>
        <v>0</v>
      </c>
      <c r="AV24" s="264">
        <f t="shared" ca="1" si="25"/>
        <v>0</v>
      </c>
      <c r="AW24" s="264">
        <f t="shared" ca="1" si="26"/>
        <v>0</v>
      </c>
      <c r="AX24" s="264">
        <f t="shared" ca="1" si="27"/>
        <v>0</v>
      </c>
      <c r="AY24" s="264">
        <f t="shared" ca="1" si="28"/>
        <v>0</v>
      </c>
      <c r="AZ24" s="264">
        <f t="shared" ca="1" si="29"/>
        <v>0</v>
      </c>
      <c r="BA24" s="264">
        <f t="shared" ca="1" si="30"/>
        <v>0</v>
      </c>
      <c r="BB24" s="264">
        <f t="shared" ca="1" si="31"/>
        <v>0</v>
      </c>
      <c r="BC24" s="264">
        <f t="shared" ca="1" si="32"/>
        <v>0</v>
      </c>
      <c r="BD24" s="264">
        <f t="shared" ca="1" si="33"/>
        <v>0</v>
      </c>
      <c r="BE24" s="264">
        <f t="shared" ca="1" si="34"/>
        <v>0</v>
      </c>
      <c r="BF24" s="264">
        <f t="shared" ca="1" si="35"/>
        <v>0</v>
      </c>
      <c r="BG24" s="264">
        <f t="shared" ca="1" si="36"/>
        <v>0</v>
      </c>
      <c r="BH24" s="264">
        <f t="shared" ca="1" si="75"/>
        <v>0</v>
      </c>
      <c r="BI24" s="264">
        <f t="shared" ca="1" si="76"/>
        <v>0</v>
      </c>
      <c r="BJ24" s="264">
        <f t="shared" ca="1" si="37"/>
        <v>0</v>
      </c>
      <c r="BK24" s="264">
        <f t="shared" ca="1" si="38"/>
        <v>0</v>
      </c>
      <c r="BL24" s="264">
        <f t="shared" ca="1" si="39"/>
        <v>0</v>
      </c>
      <c r="BM24" s="264">
        <f t="shared" ca="1" si="40"/>
        <v>0</v>
      </c>
      <c r="BN24" s="264">
        <f t="shared" ca="1" si="41"/>
        <v>0</v>
      </c>
      <c r="BO24" s="264">
        <f t="shared" ca="1" si="42"/>
        <v>0</v>
      </c>
      <c r="BP24" s="264">
        <f t="shared" ca="1" si="77"/>
        <v>0</v>
      </c>
      <c r="BQ24" s="264">
        <f t="shared" ca="1" si="78"/>
        <v>0</v>
      </c>
      <c r="BR24" s="264">
        <f t="shared" ca="1" si="43"/>
        <v>0</v>
      </c>
      <c r="BS24" s="264">
        <f t="shared" ca="1" si="44"/>
        <v>0</v>
      </c>
      <c r="BT24" s="264">
        <f t="shared" ca="1" si="79"/>
        <v>0</v>
      </c>
      <c r="BU24" s="264">
        <f t="shared" ca="1" si="80"/>
        <v>0</v>
      </c>
      <c r="BV24" s="264">
        <f t="shared" ca="1" si="81"/>
        <v>0</v>
      </c>
      <c r="BW24" s="264">
        <f t="shared" ca="1" si="82"/>
        <v>0</v>
      </c>
      <c r="BX24" s="264">
        <f t="shared" ca="1" si="45"/>
        <v>0</v>
      </c>
      <c r="BY24" s="264">
        <f t="shared" ca="1" si="46"/>
        <v>0</v>
      </c>
      <c r="BZ24" s="264">
        <f t="shared" ca="1" si="47"/>
        <v>0</v>
      </c>
      <c r="CA24" s="264">
        <f t="shared" ca="1" si="48"/>
        <v>0</v>
      </c>
      <c r="CB24" s="264">
        <f t="shared" ca="1" si="49"/>
        <v>0</v>
      </c>
      <c r="CC24" s="264">
        <f t="shared" ca="1" si="50"/>
        <v>0</v>
      </c>
      <c r="CD24" s="264">
        <f t="shared" ca="1" si="83"/>
        <v>0</v>
      </c>
      <c r="CE24" s="264">
        <f t="shared" ca="1" si="84"/>
        <v>0</v>
      </c>
      <c r="CF24" s="264">
        <f t="shared" ca="1" si="85"/>
        <v>0</v>
      </c>
      <c r="CG24" s="264">
        <f t="shared" ca="1" si="86"/>
        <v>0</v>
      </c>
      <c r="CH24" s="264">
        <f t="shared" ca="1" si="51"/>
        <v>0</v>
      </c>
      <c r="CI24" s="264">
        <f t="shared" ca="1" si="52"/>
        <v>0</v>
      </c>
      <c r="CJ24" s="264">
        <f t="shared" ca="1" si="87"/>
        <v>0</v>
      </c>
      <c r="CK24" s="264">
        <f t="shared" ca="1" si="88"/>
        <v>0</v>
      </c>
      <c r="CL24" s="264">
        <f t="shared" ca="1" si="53"/>
        <v>0</v>
      </c>
      <c r="CM24" s="264">
        <f t="shared" ca="1" si="54"/>
        <v>0</v>
      </c>
      <c r="CN24" s="264">
        <f t="shared" ca="1" si="55"/>
        <v>0</v>
      </c>
      <c r="CO24" s="264">
        <f t="shared" ca="1" si="56"/>
        <v>0</v>
      </c>
      <c r="CP24" s="264">
        <f t="shared" ca="1" si="89"/>
        <v>0</v>
      </c>
      <c r="CQ24" s="264">
        <f t="shared" ca="1" si="90"/>
        <v>0</v>
      </c>
      <c r="CR24" s="264">
        <f t="shared" ca="1" si="91"/>
        <v>0</v>
      </c>
      <c r="CS24" s="264">
        <f t="shared" ca="1" si="92"/>
        <v>0</v>
      </c>
      <c r="CT24" s="264">
        <f t="shared" ca="1" si="57"/>
        <v>0</v>
      </c>
      <c r="CU24" s="264">
        <f t="shared" ca="1" si="58"/>
        <v>0</v>
      </c>
      <c r="CV24" s="264">
        <f t="shared" ca="1" si="59"/>
        <v>0</v>
      </c>
      <c r="CW24" s="264">
        <f t="shared" ca="1" si="60"/>
        <v>0</v>
      </c>
      <c r="CX24" s="264">
        <f t="shared" ca="1" si="93"/>
        <v>0</v>
      </c>
      <c r="CY24" s="264">
        <f t="shared" ca="1" si="94"/>
        <v>0</v>
      </c>
      <c r="CZ24" s="264">
        <f t="shared" ca="1" si="95"/>
        <v>0</v>
      </c>
      <c r="DA24" s="264">
        <f t="shared" ca="1" si="96"/>
        <v>0</v>
      </c>
    </row>
    <row r="25" spans="1:105" s="261" customFormat="1" ht="15" customHeight="1">
      <c r="A25" s="63">
        <f t="array" aca="1" ref="A25" ca="1">IF(C25&lt;&gt;0,SUM(($C$11:C25&lt;&gt;0)*1),"")</f>
        <v>15</v>
      </c>
      <c r="B25" s="262" t="str">
        <f ca="1">IF(ROWS($1:15)&gt;COUNT(Dong6),"",OFFSET(TH!C$1,SMALL(Dong6,ROWS($1:15)),))</f>
        <v/>
      </c>
      <c r="C25" s="262" t="str">
        <f ca="1">IF(ROWS($1:15)&gt;COUNT(Dong6),"",OFFSET(TH!D$1,SMALL(Dong6,ROWS($1:15)),))</f>
        <v/>
      </c>
      <c r="D25" s="262" t="str">
        <f ca="1">IF(ROWS($1:15)&gt;COUNT(Dong6),"",OFFSET(TH!E$1,SMALL(Dong6,ROWS($1:15)),))</f>
        <v/>
      </c>
      <c r="E25" s="310" t="str">
        <f ca="1">IF(ROWS($1:15)&gt;COUNT(Dong6),"",OFFSET(TH!F$1,SMALL(Dong6,ROWS($1:15)),))</f>
        <v/>
      </c>
      <c r="F25" s="311" t="str">
        <f ca="1">IF(ROWS($1:15)&gt;COUNT(Dong6),"",OFFSET(TH!M$1,SMALL(Dong6,ROWS($1:15)),))</f>
        <v/>
      </c>
      <c r="G25" s="312" t="str">
        <f ca="1">IF(ROWS($1:15)&gt;COUNT(Dong6),"",OFFSET(TH!N$1,SMALL(Dong6,ROWS($1:15)),))</f>
        <v/>
      </c>
      <c r="H25" s="312" t="str">
        <f ca="1">IF(ROWS($1:15)&gt;COUNT(Dong6),"",OFFSET(TH!O$1,SMALL(Dong6,ROWS($1:15)),))</f>
        <v/>
      </c>
      <c r="I25" s="63">
        <f t="shared" ca="1" si="0"/>
        <v>15</v>
      </c>
      <c r="J25" s="264">
        <f t="shared" ca="1" si="61"/>
        <v>0</v>
      </c>
      <c r="K25" s="264">
        <f t="shared" ca="1" si="62"/>
        <v>0</v>
      </c>
      <c r="L25" s="264">
        <f t="shared" ca="1" si="1"/>
        <v>0</v>
      </c>
      <c r="M25" s="264">
        <f t="shared" ca="1" si="2"/>
        <v>0</v>
      </c>
      <c r="N25" s="264">
        <f t="shared" ca="1" si="3"/>
        <v>0</v>
      </c>
      <c r="O25" s="264">
        <f t="shared" ca="1" si="4"/>
        <v>0</v>
      </c>
      <c r="P25" s="264">
        <f t="shared" ca="1" si="5"/>
        <v>0</v>
      </c>
      <c r="Q25" s="264">
        <f t="shared" ca="1" si="6"/>
        <v>0</v>
      </c>
      <c r="R25" s="264">
        <f t="shared" ca="1" si="7"/>
        <v>0</v>
      </c>
      <c r="S25" s="264">
        <f t="shared" ca="1" si="8"/>
        <v>0</v>
      </c>
      <c r="T25" s="264">
        <f t="shared" ca="1" si="9"/>
        <v>0</v>
      </c>
      <c r="U25" s="264">
        <f t="shared" ca="1" si="10"/>
        <v>0</v>
      </c>
      <c r="V25" s="264">
        <f t="shared" ca="1" si="11"/>
        <v>0</v>
      </c>
      <c r="W25" s="264">
        <f t="shared" ca="1" si="12"/>
        <v>0</v>
      </c>
      <c r="X25" s="264">
        <f t="shared" ca="1" si="13"/>
        <v>0</v>
      </c>
      <c r="Y25" s="264">
        <f t="shared" ca="1" si="14"/>
        <v>0</v>
      </c>
      <c r="Z25" s="264">
        <f t="shared" ca="1" si="15"/>
        <v>0</v>
      </c>
      <c r="AA25" s="264">
        <f t="shared" ca="1" si="16"/>
        <v>0</v>
      </c>
      <c r="AB25" s="264">
        <f t="shared" ca="1" si="63"/>
        <v>0</v>
      </c>
      <c r="AC25" s="264">
        <f t="shared" ca="1" si="64"/>
        <v>0</v>
      </c>
      <c r="AD25" s="264">
        <f t="shared" ca="1" si="17"/>
        <v>0</v>
      </c>
      <c r="AE25" s="264">
        <f t="shared" ca="1" si="18"/>
        <v>0</v>
      </c>
      <c r="AF25" s="264">
        <f t="shared" ca="1" si="19"/>
        <v>0</v>
      </c>
      <c r="AG25" s="264">
        <f t="shared" ca="1" si="20"/>
        <v>0</v>
      </c>
      <c r="AH25" s="264">
        <f t="shared" ca="1" si="65"/>
        <v>0</v>
      </c>
      <c r="AI25" s="264">
        <f t="shared" ca="1" si="66"/>
        <v>0</v>
      </c>
      <c r="AJ25" s="264">
        <f t="shared" ca="1" si="67"/>
        <v>0</v>
      </c>
      <c r="AK25" s="264">
        <f t="shared" ca="1" si="68"/>
        <v>0</v>
      </c>
      <c r="AL25" s="264">
        <f t="shared" ca="1" si="69"/>
        <v>0</v>
      </c>
      <c r="AM25" s="264">
        <f t="shared" ca="1" si="70"/>
        <v>0</v>
      </c>
      <c r="AN25" s="264">
        <f t="shared" ca="1" si="71"/>
        <v>0</v>
      </c>
      <c r="AO25" s="264">
        <f t="shared" ca="1" si="72"/>
        <v>0</v>
      </c>
      <c r="AP25" s="264">
        <f t="shared" ca="1" si="21"/>
        <v>0</v>
      </c>
      <c r="AQ25" s="264">
        <f t="shared" ca="1" si="22"/>
        <v>0</v>
      </c>
      <c r="AR25" s="264">
        <f t="shared" ca="1" si="23"/>
        <v>0</v>
      </c>
      <c r="AS25" s="264">
        <f t="shared" ca="1" si="24"/>
        <v>0</v>
      </c>
      <c r="AT25" s="264">
        <f t="shared" ca="1" si="73"/>
        <v>0</v>
      </c>
      <c r="AU25" s="264">
        <f t="shared" ca="1" si="74"/>
        <v>0</v>
      </c>
      <c r="AV25" s="264">
        <f t="shared" ca="1" si="25"/>
        <v>0</v>
      </c>
      <c r="AW25" s="264">
        <f t="shared" ca="1" si="26"/>
        <v>0</v>
      </c>
      <c r="AX25" s="264">
        <f t="shared" ca="1" si="27"/>
        <v>0</v>
      </c>
      <c r="AY25" s="264">
        <f t="shared" ca="1" si="28"/>
        <v>0</v>
      </c>
      <c r="AZ25" s="264">
        <f t="shared" ca="1" si="29"/>
        <v>0</v>
      </c>
      <c r="BA25" s="264">
        <f t="shared" ca="1" si="30"/>
        <v>0</v>
      </c>
      <c r="BB25" s="264">
        <f t="shared" ca="1" si="31"/>
        <v>0</v>
      </c>
      <c r="BC25" s="264">
        <f t="shared" ca="1" si="32"/>
        <v>0</v>
      </c>
      <c r="BD25" s="264">
        <f t="shared" ca="1" si="33"/>
        <v>0</v>
      </c>
      <c r="BE25" s="264">
        <f t="shared" ca="1" si="34"/>
        <v>0</v>
      </c>
      <c r="BF25" s="264">
        <f t="shared" ca="1" si="35"/>
        <v>0</v>
      </c>
      <c r="BG25" s="264">
        <f t="shared" ca="1" si="36"/>
        <v>0</v>
      </c>
      <c r="BH25" s="264">
        <f t="shared" ca="1" si="75"/>
        <v>0</v>
      </c>
      <c r="BI25" s="264">
        <f t="shared" ca="1" si="76"/>
        <v>0</v>
      </c>
      <c r="BJ25" s="264">
        <f t="shared" ca="1" si="37"/>
        <v>0</v>
      </c>
      <c r="BK25" s="264">
        <f t="shared" ca="1" si="38"/>
        <v>0</v>
      </c>
      <c r="BL25" s="264">
        <f t="shared" ca="1" si="39"/>
        <v>0</v>
      </c>
      <c r="BM25" s="264">
        <f t="shared" ca="1" si="40"/>
        <v>0</v>
      </c>
      <c r="BN25" s="264">
        <f t="shared" ca="1" si="41"/>
        <v>0</v>
      </c>
      <c r="BO25" s="264">
        <f t="shared" ca="1" si="42"/>
        <v>0</v>
      </c>
      <c r="BP25" s="264">
        <f t="shared" ca="1" si="77"/>
        <v>0</v>
      </c>
      <c r="BQ25" s="264">
        <f t="shared" ca="1" si="78"/>
        <v>0</v>
      </c>
      <c r="BR25" s="264">
        <f t="shared" ca="1" si="43"/>
        <v>0</v>
      </c>
      <c r="BS25" s="264">
        <f t="shared" ca="1" si="44"/>
        <v>0</v>
      </c>
      <c r="BT25" s="264">
        <f t="shared" ca="1" si="79"/>
        <v>0</v>
      </c>
      <c r="BU25" s="264">
        <f t="shared" ca="1" si="80"/>
        <v>0</v>
      </c>
      <c r="BV25" s="264">
        <f t="shared" ca="1" si="81"/>
        <v>0</v>
      </c>
      <c r="BW25" s="264">
        <f t="shared" ca="1" si="82"/>
        <v>0</v>
      </c>
      <c r="BX25" s="264">
        <f t="shared" ca="1" si="45"/>
        <v>0</v>
      </c>
      <c r="BY25" s="264">
        <f t="shared" ca="1" si="46"/>
        <v>0</v>
      </c>
      <c r="BZ25" s="264">
        <f t="shared" ca="1" si="47"/>
        <v>0</v>
      </c>
      <c r="CA25" s="264">
        <f t="shared" ca="1" si="48"/>
        <v>0</v>
      </c>
      <c r="CB25" s="264">
        <f t="shared" ca="1" si="49"/>
        <v>0</v>
      </c>
      <c r="CC25" s="264">
        <f t="shared" ca="1" si="50"/>
        <v>0</v>
      </c>
      <c r="CD25" s="264">
        <f t="shared" ca="1" si="83"/>
        <v>0</v>
      </c>
      <c r="CE25" s="264">
        <f t="shared" ca="1" si="84"/>
        <v>0</v>
      </c>
      <c r="CF25" s="264">
        <f t="shared" ca="1" si="85"/>
        <v>0</v>
      </c>
      <c r="CG25" s="264">
        <f t="shared" ca="1" si="86"/>
        <v>0</v>
      </c>
      <c r="CH25" s="264">
        <f t="shared" ca="1" si="51"/>
        <v>0</v>
      </c>
      <c r="CI25" s="264">
        <f t="shared" ca="1" si="52"/>
        <v>0</v>
      </c>
      <c r="CJ25" s="264">
        <f t="shared" ca="1" si="87"/>
        <v>0</v>
      </c>
      <c r="CK25" s="264">
        <f t="shared" ca="1" si="88"/>
        <v>0</v>
      </c>
      <c r="CL25" s="264">
        <f t="shared" ca="1" si="53"/>
        <v>0</v>
      </c>
      <c r="CM25" s="264">
        <f t="shared" ca="1" si="54"/>
        <v>0</v>
      </c>
      <c r="CN25" s="264">
        <f t="shared" ca="1" si="55"/>
        <v>0</v>
      </c>
      <c r="CO25" s="264">
        <f t="shared" ca="1" si="56"/>
        <v>0</v>
      </c>
      <c r="CP25" s="264">
        <f t="shared" ca="1" si="89"/>
        <v>0</v>
      </c>
      <c r="CQ25" s="264">
        <f t="shared" ca="1" si="90"/>
        <v>0</v>
      </c>
      <c r="CR25" s="264">
        <f t="shared" ca="1" si="91"/>
        <v>0</v>
      </c>
      <c r="CS25" s="264">
        <f t="shared" ca="1" si="92"/>
        <v>0</v>
      </c>
      <c r="CT25" s="264">
        <f t="shared" ca="1" si="57"/>
        <v>0</v>
      </c>
      <c r="CU25" s="264">
        <f t="shared" ca="1" si="58"/>
        <v>0</v>
      </c>
      <c r="CV25" s="264">
        <f t="shared" ca="1" si="59"/>
        <v>0</v>
      </c>
      <c r="CW25" s="264">
        <f t="shared" ca="1" si="60"/>
        <v>0</v>
      </c>
      <c r="CX25" s="264">
        <f t="shared" ca="1" si="93"/>
        <v>0</v>
      </c>
      <c r="CY25" s="264">
        <f t="shared" ca="1" si="94"/>
        <v>0</v>
      </c>
      <c r="CZ25" s="264">
        <f t="shared" ca="1" si="95"/>
        <v>0</v>
      </c>
      <c r="DA25" s="264">
        <f t="shared" ca="1" si="96"/>
        <v>0</v>
      </c>
    </row>
    <row r="26" spans="1:105" s="261" customFormat="1" ht="15" customHeight="1">
      <c r="A26" s="63">
        <f t="array" aca="1" ref="A26" ca="1">IF(C26&lt;&gt;0,SUM(($C$11:C26&lt;&gt;0)*1),"")</f>
        <v>16</v>
      </c>
      <c r="B26" s="262" t="str">
        <f ca="1">IF(ROWS($1:16)&gt;COUNT(Dong6),"",OFFSET(TH!C$1,SMALL(Dong6,ROWS($1:16)),))</f>
        <v/>
      </c>
      <c r="C26" s="262" t="str">
        <f ca="1">IF(ROWS($1:16)&gt;COUNT(Dong6),"",OFFSET(TH!D$1,SMALL(Dong6,ROWS($1:16)),))</f>
        <v/>
      </c>
      <c r="D26" s="262" t="str">
        <f ca="1">IF(ROWS($1:16)&gt;COUNT(Dong6),"",OFFSET(TH!E$1,SMALL(Dong6,ROWS($1:16)),))</f>
        <v/>
      </c>
      <c r="E26" s="310" t="str">
        <f ca="1">IF(ROWS($1:16)&gt;COUNT(Dong6),"",OFFSET(TH!F$1,SMALL(Dong6,ROWS($1:16)),))</f>
        <v/>
      </c>
      <c r="F26" s="311" t="str">
        <f ca="1">IF(ROWS($1:16)&gt;COUNT(Dong6),"",OFFSET(TH!M$1,SMALL(Dong6,ROWS($1:16)),))</f>
        <v/>
      </c>
      <c r="G26" s="312" t="str">
        <f ca="1">IF(ROWS($1:16)&gt;COUNT(Dong6),"",OFFSET(TH!N$1,SMALL(Dong6,ROWS($1:16)),))</f>
        <v/>
      </c>
      <c r="H26" s="312" t="str">
        <f ca="1">IF(ROWS($1:16)&gt;COUNT(Dong6),"",OFFSET(TH!O$1,SMALL(Dong6,ROWS($1:16)),))</f>
        <v/>
      </c>
      <c r="I26" s="63">
        <f t="shared" ca="1" si="0"/>
        <v>16</v>
      </c>
      <c r="J26" s="264">
        <f t="shared" ca="1" si="61"/>
        <v>0</v>
      </c>
      <c r="K26" s="264">
        <f t="shared" ca="1" si="62"/>
        <v>0</v>
      </c>
      <c r="L26" s="264">
        <f t="shared" ca="1" si="1"/>
        <v>0</v>
      </c>
      <c r="M26" s="264">
        <f t="shared" ca="1" si="2"/>
        <v>0</v>
      </c>
      <c r="N26" s="264">
        <f t="shared" ca="1" si="3"/>
        <v>0</v>
      </c>
      <c r="O26" s="264">
        <f t="shared" ca="1" si="4"/>
        <v>0</v>
      </c>
      <c r="P26" s="264">
        <f t="shared" ca="1" si="5"/>
        <v>0</v>
      </c>
      <c r="Q26" s="264">
        <f t="shared" ca="1" si="6"/>
        <v>0</v>
      </c>
      <c r="R26" s="264">
        <f t="shared" ca="1" si="7"/>
        <v>0</v>
      </c>
      <c r="S26" s="264">
        <f t="shared" ca="1" si="8"/>
        <v>0</v>
      </c>
      <c r="T26" s="264">
        <f t="shared" ca="1" si="9"/>
        <v>0</v>
      </c>
      <c r="U26" s="264">
        <f t="shared" ca="1" si="10"/>
        <v>0</v>
      </c>
      <c r="V26" s="264">
        <f t="shared" ca="1" si="11"/>
        <v>0</v>
      </c>
      <c r="W26" s="264">
        <f t="shared" ca="1" si="12"/>
        <v>0</v>
      </c>
      <c r="X26" s="264">
        <f t="shared" ca="1" si="13"/>
        <v>0</v>
      </c>
      <c r="Y26" s="264">
        <f t="shared" ca="1" si="14"/>
        <v>0</v>
      </c>
      <c r="Z26" s="264">
        <f t="shared" ca="1" si="15"/>
        <v>0</v>
      </c>
      <c r="AA26" s="264">
        <f t="shared" ca="1" si="16"/>
        <v>0</v>
      </c>
      <c r="AB26" s="264">
        <f t="shared" ca="1" si="63"/>
        <v>0</v>
      </c>
      <c r="AC26" s="264">
        <f t="shared" ca="1" si="64"/>
        <v>0</v>
      </c>
      <c r="AD26" s="264">
        <f t="shared" ca="1" si="17"/>
        <v>0</v>
      </c>
      <c r="AE26" s="264">
        <f t="shared" ca="1" si="18"/>
        <v>0</v>
      </c>
      <c r="AF26" s="264">
        <f t="shared" ca="1" si="19"/>
        <v>0</v>
      </c>
      <c r="AG26" s="264">
        <f t="shared" ca="1" si="20"/>
        <v>0</v>
      </c>
      <c r="AH26" s="264">
        <f t="shared" ca="1" si="65"/>
        <v>0</v>
      </c>
      <c r="AI26" s="264">
        <f t="shared" ca="1" si="66"/>
        <v>0</v>
      </c>
      <c r="AJ26" s="264">
        <f t="shared" ca="1" si="67"/>
        <v>0</v>
      </c>
      <c r="AK26" s="264">
        <f t="shared" ca="1" si="68"/>
        <v>0</v>
      </c>
      <c r="AL26" s="264">
        <f t="shared" ca="1" si="69"/>
        <v>0</v>
      </c>
      <c r="AM26" s="264">
        <f t="shared" ca="1" si="70"/>
        <v>0</v>
      </c>
      <c r="AN26" s="264">
        <f t="shared" ca="1" si="71"/>
        <v>0</v>
      </c>
      <c r="AO26" s="264">
        <f t="shared" ca="1" si="72"/>
        <v>0</v>
      </c>
      <c r="AP26" s="264">
        <f t="shared" ca="1" si="21"/>
        <v>0</v>
      </c>
      <c r="AQ26" s="264">
        <f t="shared" ca="1" si="22"/>
        <v>0</v>
      </c>
      <c r="AR26" s="264">
        <f t="shared" ca="1" si="23"/>
        <v>0</v>
      </c>
      <c r="AS26" s="264">
        <f t="shared" ca="1" si="24"/>
        <v>0</v>
      </c>
      <c r="AT26" s="264">
        <f t="shared" ca="1" si="73"/>
        <v>0</v>
      </c>
      <c r="AU26" s="264">
        <f t="shared" ca="1" si="74"/>
        <v>0</v>
      </c>
      <c r="AV26" s="264">
        <f t="shared" ca="1" si="25"/>
        <v>0</v>
      </c>
      <c r="AW26" s="264">
        <f t="shared" ca="1" si="26"/>
        <v>0</v>
      </c>
      <c r="AX26" s="264">
        <f t="shared" ca="1" si="27"/>
        <v>0</v>
      </c>
      <c r="AY26" s="264">
        <f t="shared" ca="1" si="28"/>
        <v>0</v>
      </c>
      <c r="AZ26" s="264">
        <f t="shared" ca="1" si="29"/>
        <v>0</v>
      </c>
      <c r="BA26" s="264">
        <f t="shared" ca="1" si="30"/>
        <v>0</v>
      </c>
      <c r="BB26" s="264">
        <f t="shared" ca="1" si="31"/>
        <v>0</v>
      </c>
      <c r="BC26" s="264">
        <f t="shared" ca="1" si="32"/>
        <v>0</v>
      </c>
      <c r="BD26" s="264">
        <f t="shared" ca="1" si="33"/>
        <v>0</v>
      </c>
      <c r="BE26" s="264">
        <f t="shared" ca="1" si="34"/>
        <v>0</v>
      </c>
      <c r="BF26" s="264">
        <f t="shared" ca="1" si="35"/>
        <v>0</v>
      </c>
      <c r="BG26" s="264">
        <f t="shared" ca="1" si="36"/>
        <v>0</v>
      </c>
      <c r="BH26" s="264">
        <f t="shared" ca="1" si="75"/>
        <v>0</v>
      </c>
      <c r="BI26" s="264">
        <f t="shared" ca="1" si="76"/>
        <v>0</v>
      </c>
      <c r="BJ26" s="264">
        <f t="shared" ca="1" si="37"/>
        <v>0</v>
      </c>
      <c r="BK26" s="264">
        <f t="shared" ca="1" si="38"/>
        <v>0</v>
      </c>
      <c r="BL26" s="264">
        <f t="shared" ca="1" si="39"/>
        <v>0</v>
      </c>
      <c r="BM26" s="264">
        <f t="shared" ca="1" si="40"/>
        <v>0</v>
      </c>
      <c r="BN26" s="264">
        <f t="shared" ca="1" si="41"/>
        <v>0</v>
      </c>
      <c r="BO26" s="264">
        <f t="shared" ca="1" si="42"/>
        <v>0</v>
      </c>
      <c r="BP26" s="264">
        <f t="shared" ca="1" si="77"/>
        <v>0</v>
      </c>
      <c r="BQ26" s="264">
        <f t="shared" ca="1" si="78"/>
        <v>0</v>
      </c>
      <c r="BR26" s="264">
        <f t="shared" ca="1" si="43"/>
        <v>0</v>
      </c>
      <c r="BS26" s="264">
        <f t="shared" ca="1" si="44"/>
        <v>0</v>
      </c>
      <c r="BT26" s="264">
        <f t="shared" ca="1" si="79"/>
        <v>0</v>
      </c>
      <c r="BU26" s="264">
        <f t="shared" ca="1" si="80"/>
        <v>0</v>
      </c>
      <c r="BV26" s="264">
        <f t="shared" ca="1" si="81"/>
        <v>0</v>
      </c>
      <c r="BW26" s="264">
        <f t="shared" ca="1" si="82"/>
        <v>0</v>
      </c>
      <c r="BX26" s="264">
        <f t="shared" ca="1" si="45"/>
        <v>0</v>
      </c>
      <c r="BY26" s="264">
        <f t="shared" ca="1" si="46"/>
        <v>0</v>
      </c>
      <c r="BZ26" s="264">
        <f t="shared" ca="1" si="47"/>
        <v>0</v>
      </c>
      <c r="CA26" s="264">
        <f t="shared" ca="1" si="48"/>
        <v>0</v>
      </c>
      <c r="CB26" s="264">
        <f t="shared" ca="1" si="49"/>
        <v>0</v>
      </c>
      <c r="CC26" s="264">
        <f t="shared" ca="1" si="50"/>
        <v>0</v>
      </c>
      <c r="CD26" s="264">
        <f t="shared" ca="1" si="83"/>
        <v>0</v>
      </c>
      <c r="CE26" s="264">
        <f t="shared" ca="1" si="84"/>
        <v>0</v>
      </c>
      <c r="CF26" s="264">
        <f t="shared" ca="1" si="85"/>
        <v>0</v>
      </c>
      <c r="CG26" s="264">
        <f t="shared" ca="1" si="86"/>
        <v>0</v>
      </c>
      <c r="CH26" s="264">
        <f t="shared" ca="1" si="51"/>
        <v>0</v>
      </c>
      <c r="CI26" s="264">
        <f t="shared" ca="1" si="52"/>
        <v>0</v>
      </c>
      <c r="CJ26" s="264">
        <f t="shared" ca="1" si="87"/>
        <v>0</v>
      </c>
      <c r="CK26" s="264">
        <f t="shared" ca="1" si="88"/>
        <v>0</v>
      </c>
      <c r="CL26" s="264">
        <f t="shared" ca="1" si="53"/>
        <v>0</v>
      </c>
      <c r="CM26" s="264">
        <f t="shared" ca="1" si="54"/>
        <v>0</v>
      </c>
      <c r="CN26" s="264">
        <f t="shared" ca="1" si="55"/>
        <v>0</v>
      </c>
      <c r="CO26" s="264">
        <f t="shared" ca="1" si="56"/>
        <v>0</v>
      </c>
      <c r="CP26" s="264">
        <f t="shared" ca="1" si="89"/>
        <v>0</v>
      </c>
      <c r="CQ26" s="264">
        <f t="shared" ca="1" si="90"/>
        <v>0</v>
      </c>
      <c r="CR26" s="264">
        <f t="shared" ca="1" si="91"/>
        <v>0</v>
      </c>
      <c r="CS26" s="264">
        <f t="shared" ca="1" si="92"/>
        <v>0</v>
      </c>
      <c r="CT26" s="264">
        <f t="shared" ca="1" si="57"/>
        <v>0</v>
      </c>
      <c r="CU26" s="264">
        <f t="shared" ca="1" si="58"/>
        <v>0</v>
      </c>
      <c r="CV26" s="264">
        <f t="shared" ca="1" si="59"/>
        <v>0</v>
      </c>
      <c r="CW26" s="264">
        <f t="shared" ca="1" si="60"/>
        <v>0</v>
      </c>
      <c r="CX26" s="264">
        <f t="shared" ca="1" si="93"/>
        <v>0</v>
      </c>
      <c r="CY26" s="264">
        <f t="shared" ca="1" si="94"/>
        <v>0</v>
      </c>
      <c r="CZ26" s="264">
        <f t="shared" ca="1" si="95"/>
        <v>0</v>
      </c>
      <c r="DA26" s="264">
        <f t="shared" ca="1" si="96"/>
        <v>0</v>
      </c>
    </row>
    <row r="27" spans="1:105" s="261" customFormat="1" ht="15" customHeight="1">
      <c r="A27" s="63">
        <f t="array" aca="1" ref="A27" ca="1">IF(C27&lt;&gt;0,SUM(($C$11:C27&lt;&gt;0)*1),"")</f>
        <v>17</v>
      </c>
      <c r="B27" s="262" t="str">
        <f ca="1">IF(ROWS($1:17)&gt;COUNT(Dong6),"",OFFSET(TH!C$1,SMALL(Dong6,ROWS($1:17)),))</f>
        <v/>
      </c>
      <c r="C27" s="262" t="str">
        <f ca="1">IF(ROWS($1:17)&gt;COUNT(Dong6),"",OFFSET(TH!D$1,SMALL(Dong6,ROWS($1:17)),))</f>
        <v/>
      </c>
      <c r="D27" s="262" t="str">
        <f ca="1">IF(ROWS($1:17)&gt;COUNT(Dong6),"",OFFSET(TH!E$1,SMALL(Dong6,ROWS($1:17)),))</f>
        <v/>
      </c>
      <c r="E27" s="310" t="str">
        <f ca="1">IF(ROWS($1:17)&gt;COUNT(Dong6),"",OFFSET(TH!F$1,SMALL(Dong6,ROWS($1:17)),))</f>
        <v/>
      </c>
      <c r="F27" s="311" t="str">
        <f ca="1">IF(ROWS($1:17)&gt;COUNT(Dong6),"",OFFSET(TH!M$1,SMALL(Dong6,ROWS($1:17)),))</f>
        <v/>
      </c>
      <c r="G27" s="312" t="str">
        <f ca="1">IF(ROWS($1:17)&gt;COUNT(Dong6),"",OFFSET(TH!N$1,SMALL(Dong6,ROWS($1:17)),))</f>
        <v/>
      </c>
      <c r="H27" s="312" t="str">
        <f ca="1">IF(ROWS($1:17)&gt;COUNT(Dong6),"",OFFSET(TH!O$1,SMALL(Dong6,ROWS($1:17)),))</f>
        <v/>
      </c>
      <c r="I27" s="63">
        <f t="shared" ca="1" si="0"/>
        <v>17</v>
      </c>
      <c r="J27" s="264">
        <f t="shared" ca="1" si="61"/>
        <v>0</v>
      </c>
      <c r="K27" s="264">
        <f t="shared" ca="1" si="62"/>
        <v>0</v>
      </c>
      <c r="L27" s="264">
        <f t="shared" ca="1" si="1"/>
        <v>0</v>
      </c>
      <c r="M27" s="264">
        <f t="shared" ca="1" si="2"/>
        <v>0</v>
      </c>
      <c r="N27" s="264">
        <f t="shared" ca="1" si="3"/>
        <v>0</v>
      </c>
      <c r="O27" s="264">
        <f t="shared" ca="1" si="4"/>
        <v>0</v>
      </c>
      <c r="P27" s="264">
        <f t="shared" ca="1" si="5"/>
        <v>0</v>
      </c>
      <c r="Q27" s="264">
        <f t="shared" ca="1" si="6"/>
        <v>0</v>
      </c>
      <c r="R27" s="264">
        <f t="shared" ca="1" si="7"/>
        <v>0</v>
      </c>
      <c r="S27" s="264">
        <f t="shared" ca="1" si="8"/>
        <v>0</v>
      </c>
      <c r="T27" s="264">
        <f t="shared" ca="1" si="9"/>
        <v>0</v>
      </c>
      <c r="U27" s="264">
        <f t="shared" ca="1" si="10"/>
        <v>0</v>
      </c>
      <c r="V27" s="264">
        <f t="shared" ca="1" si="11"/>
        <v>0</v>
      </c>
      <c r="W27" s="264">
        <f t="shared" ca="1" si="12"/>
        <v>0</v>
      </c>
      <c r="X27" s="264">
        <f t="shared" ca="1" si="13"/>
        <v>0</v>
      </c>
      <c r="Y27" s="264">
        <f t="shared" ca="1" si="14"/>
        <v>0</v>
      </c>
      <c r="Z27" s="264">
        <f t="shared" ca="1" si="15"/>
        <v>0</v>
      </c>
      <c r="AA27" s="264">
        <f t="shared" ca="1" si="16"/>
        <v>0</v>
      </c>
      <c r="AB27" s="264">
        <f t="shared" ca="1" si="63"/>
        <v>0</v>
      </c>
      <c r="AC27" s="264">
        <f t="shared" ca="1" si="64"/>
        <v>0</v>
      </c>
      <c r="AD27" s="264">
        <f t="shared" ca="1" si="17"/>
        <v>0</v>
      </c>
      <c r="AE27" s="264">
        <f t="shared" ca="1" si="18"/>
        <v>0</v>
      </c>
      <c r="AF27" s="264">
        <f t="shared" ca="1" si="19"/>
        <v>0</v>
      </c>
      <c r="AG27" s="264">
        <f t="shared" ca="1" si="20"/>
        <v>0</v>
      </c>
      <c r="AH27" s="264">
        <f t="shared" ca="1" si="65"/>
        <v>0</v>
      </c>
      <c r="AI27" s="264">
        <f t="shared" ca="1" si="66"/>
        <v>0</v>
      </c>
      <c r="AJ27" s="264">
        <f t="shared" ca="1" si="67"/>
        <v>0</v>
      </c>
      <c r="AK27" s="264">
        <f t="shared" ca="1" si="68"/>
        <v>0</v>
      </c>
      <c r="AL27" s="264">
        <f t="shared" ca="1" si="69"/>
        <v>0</v>
      </c>
      <c r="AM27" s="264">
        <f t="shared" ca="1" si="70"/>
        <v>0</v>
      </c>
      <c r="AN27" s="264">
        <f t="shared" ca="1" si="71"/>
        <v>0</v>
      </c>
      <c r="AO27" s="264">
        <f t="shared" ca="1" si="72"/>
        <v>0</v>
      </c>
      <c r="AP27" s="264">
        <f t="shared" ca="1" si="21"/>
        <v>0</v>
      </c>
      <c r="AQ27" s="264">
        <f t="shared" ca="1" si="22"/>
        <v>0</v>
      </c>
      <c r="AR27" s="264">
        <f t="shared" ca="1" si="23"/>
        <v>0</v>
      </c>
      <c r="AS27" s="264">
        <f t="shared" ca="1" si="24"/>
        <v>0</v>
      </c>
      <c r="AT27" s="264">
        <f t="shared" ca="1" si="73"/>
        <v>0</v>
      </c>
      <c r="AU27" s="264">
        <f t="shared" ca="1" si="74"/>
        <v>0</v>
      </c>
      <c r="AV27" s="264">
        <f t="shared" ca="1" si="25"/>
        <v>0</v>
      </c>
      <c r="AW27" s="264">
        <f t="shared" ca="1" si="26"/>
        <v>0</v>
      </c>
      <c r="AX27" s="264">
        <f t="shared" ca="1" si="27"/>
        <v>0</v>
      </c>
      <c r="AY27" s="264">
        <f t="shared" ca="1" si="28"/>
        <v>0</v>
      </c>
      <c r="AZ27" s="264">
        <f t="shared" ca="1" si="29"/>
        <v>0</v>
      </c>
      <c r="BA27" s="264">
        <f t="shared" ca="1" si="30"/>
        <v>0</v>
      </c>
      <c r="BB27" s="264">
        <f t="shared" ca="1" si="31"/>
        <v>0</v>
      </c>
      <c r="BC27" s="264">
        <f t="shared" ca="1" si="32"/>
        <v>0</v>
      </c>
      <c r="BD27" s="264">
        <f t="shared" ca="1" si="33"/>
        <v>0</v>
      </c>
      <c r="BE27" s="264">
        <f t="shared" ca="1" si="34"/>
        <v>0</v>
      </c>
      <c r="BF27" s="264">
        <f t="shared" ca="1" si="35"/>
        <v>0</v>
      </c>
      <c r="BG27" s="264">
        <f t="shared" ca="1" si="36"/>
        <v>0</v>
      </c>
      <c r="BH27" s="264">
        <f t="shared" ca="1" si="75"/>
        <v>0</v>
      </c>
      <c r="BI27" s="264">
        <f t="shared" ca="1" si="76"/>
        <v>0</v>
      </c>
      <c r="BJ27" s="264">
        <f t="shared" ca="1" si="37"/>
        <v>0</v>
      </c>
      <c r="BK27" s="264">
        <f t="shared" ca="1" si="38"/>
        <v>0</v>
      </c>
      <c r="BL27" s="264">
        <f t="shared" ca="1" si="39"/>
        <v>0</v>
      </c>
      <c r="BM27" s="264">
        <f t="shared" ca="1" si="40"/>
        <v>0</v>
      </c>
      <c r="BN27" s="264">
        <f t="shared" ca="1" si="41"/>
        <v>0</v>
      </c>
      <c r="BO27" s="264">
        <f t="shared" ca="1" si="42"/>
        <v>0</v>
      </c>
      <c r="BP27" s="264">
        <f t="shared" ca="1" si="77"/>
        <v>0</v>
      </c>
      <c r="BQ27" s="264">
        <f t="shared" ca="1" si="78"/>
        <v>0</v>
      </c>
      <c r="BR27" s="264">
        <f t="shared" ca="1" si="43"/>
        <v>0</v>
      </c>
      <c r="BS27" s="264">
        <f t="shared" ca="1" si="44"/>
        <v>0</v>
      </c>
      <c r="BT27" s="264">
        <f t="shared" ca="1" si="79"/>
        <v>0</v>
      </c>
      <c r="BU27" s="264">
        <f t="shared" ca="1" si="80"/>
        <v>0</v>
      </c>
      <c r="BV27" s="264">
        <f t="shared" ca="1" si="81"/>
        <v>0</v>
      </c>
      <c r="BW27" s="264">
        <f t="shared" ca="1" si="82"/>
        <v>0</v>
      </c>
      <c r="BX27" s="264">
        <f t="shared" ca="1" si="45"/>
        <v>0</v>
      </c>
      <c r="BY27" s="264">
        <f t="shared" ca="1" si="46"/>
        <v>0</v>
      </c>
      <c r="BZ27" s="264">
        <f t="shared" ca="1" si="47"/>
        <v>0</v>
      </c>
      <c r="CA27" s="264">
        <f t="shared" ca="1" si="48"/>
        <v>0</v>
      </c>
      <c r="CB27" s="264">
        <f t="shared" ca="1" si="49"/>
        <v>0</v>
      </c>
      <c r="CC27" s="264">
        <f t="shared" ca="1" si="50"/>
        <v>0</v>
      </c>
      <c r="CD27" s="264">
        <f t="shared" ca="1" si="83"/>
        <v>0</v>
      </c>
      <c r="CE27" s="264">
        <f t="shared" ca="1" si="84"/>
        <v>0</v>
      </c>
      <c r="CF27" s="264">
        <f t="shared" ca="1" si="85"/>
        <v>0</v>
      </c>
      <c r="CG27" s="264">
        <f t="shared" ca="1" si="86"/>
        <v>0</v>
      </c>
      <c r="CH27" s="264">
        <f t="shared" ca="1" si="51"/>
        <v>0</v>
      </c>
      <c r="CI27" s="264">
        <f t="shared" ca="1" si="52"/>
        <v>0</v>
      </c>
      <c r="CJ27" s="264">
        <f t="shared" ca="1" si="87"/>
        <v>0</v>
      </c>
      <c r="CK27" s="264">
        <f t="shared" ca="1" si="88"/>
        <v>0</v>
      </c>
      <c r="CL27" s="264">
        <f t="shared" ca="1" si="53"/>
        <v>0</v>
      </c>
      <c r="CM27" s="264">
        <f t="shared" ca="1" si="54"/>
        <v>0</v>
      </c>
      <c r="CN27" s="264">
        <f t="shared" ca="1" si="55"/>
        <v>0</v>
      </c>
      <c r="CO27" s="264">
        <f t="shared" ca="1" si="56"/>
        <v>0</v>
      </c>
      <c r="CP27" s="264">
        <f t="shared" ca="1" si="89"/>
        <v>0</v>
      </c>
      <c r="CQ27" s="264">
        <f t="shared" ca="1" si="90"/>
        <v>0</v>
      </c>
      <c r="CR27" s="264">
        <f t="shared" ca="1" si="91"/>
        <v>0</v>
      </c>
      <c r="CS27" s="264">
        <f t="shared" ca="1" si="92"/>
        <v>0</v>
      </c>
      <c r="CT27" s="264">
        <f t="shared" ca="1" si="57"/>
        <v>0</v>
      </c>
      <c r="CU27" s="264">
        <f t="shared" ca="1" si="58"/>
        <v>0</v>
      </c>
      <c r="CV27" s="264">
        <f t="shared" ca="1" si="59"/>
        <v>0</v>
      </c>
      <c r="CW27" s="264">
        <f t="shared" ca="1" si="60"/>
        <v>0</v>
      </c>
      <c r="CX27" s="264">
        <f t="shared" ca="1" si="93"/>
        <v>0</v>
      </c>
      <c r="CY27" s="264">
        <f t="shared" ca="1" si="94"/>
        <v>0</v>
      </c>
      <c r="CZ27" s="264">
        <f t="shared" ca="1" si="95"/>
        <v>0</v>
      </c>
      <c r="DA27" s="264">
        <f t="shared" ca="1" si="96"/>
        <v>0</v>
      </c>
    </row>
    <row r="28" spans="1:105" s="261" customFormat="1" ht="15" customHeight="1">
      <c r="A28" s="63">
        <f t="array" aca="1" ref="A28" ca="1">IF(C28&lt;&gt;0,SUM(($C$11:C28&lt;&gt;0)*1),"")</f>
        <v>18</v>
      </c>
      <c r="B28" s="262" t="str">
        <f ca="1">IF(ROWS($1:18)&gt;COUNT(Dong6),"",OFFSET(TH!C$1,SMALL(Dong6,ROWS($1:18)),))</f>
        <v/>
      </c>
      <c r="C28" s="262" t="str">
        <f ca="1">IF(ROWS($1:18)&gt;COUNT(Dong6),"",OFFSET(TH!D$1,SMALL(Dong6,ROWS($1:18)),))</f>
        <v/>
      </c>
      <c r="D28" s="262" t="str">
        <f ca="1">IF(ROWS($1:18)&gt;COUNT(Dong6),"",OFFSET(TH!E$1,SMALL(Dong6,ROWS($1:18)),))</f>
        <v/>
      </c>
      <c r="E28" s="310" t="str">
        <f ca="1">IF(ROWS($1:18)&gt;COUNT(Dong6),"",OFFSET(TH!F$1,SMALL(Dong6,ROWS($1:18)),))</f>
        <v/>
      </c>
      <c r="F28" s="311" t="str">
        <f ca="1">IF(ROWS($1:18)&gt;COUNT(Dong6),"",OFFSET(TH!M$1,SMALL(Dong6,ROWS($1:18)),))</f>
        <v/>
      </c>
      <c r="G28" s="312" t="str">
        <f ca="1">IF(ROWS($1:18)&gt;COUNT(Dong6),"",OFFSET(TH!N$1,SMALL(Dong6,ROWS($1:18)),))</f>
        <v/>
      </c>
      <c r="H28" s="312" t="str">
        <f ca="1">IF(ROWS($1:18)&gt;COUNT(Dong6),"",OFFSET(TH!O$1,SMALL(Dong6,ROWS($1:18)),))</f>
        <v/>
      </c>
      <c r="I28" s="63">
        <f t="shared" ca="1" si="0"/>
        <v>18</v>
      </c>
      <c r="J28" s="264">
        <f t="shared" ca="1" si="61"/>
        <v>0</v>
      </c>
      <c r="K28" s="264">
        <f t="shared" ca="1" si="62"/>
        <v>0</v>
      </c>
      <c r="L28" s="264">
        <f t="shared" ca="1" si="1"/>
        <v>0</v>
      </c>
      <c r="M28" s="264">
        <f t="shared" ca="1" si="2"/>
        <v>0</v>
      </c>
      <c r="N28" s="264">
        <f t="shared" ca="1" si="3"/>
        <v>0</v>
      </c>
      <c r="O28" s="264">
        <f t="shared" ca="1" si="4"/>
        <v>0</v>
      </c>
      <c r="P28" s="264">
        <f t="shared" ca="1" si="5"/>
        <v>0</v>
      </c>
      <c r="Q28" s="264">
        <f t="shared" ca="1" si="6"/>
        <v>0</v>
      </c>
      <c r="R28" s="264">
        <f t="shared" ca="1" si="7"/>
        <v>0</v>
      </c>
      <c r="S28" s="264">
        <f t="shared" ca="1" si="8"/>
        <v>0</v>
      </c>
      <c r="T28" s="264">
        <f t="shared" ca="1" si="9"/>
        <v>0</v>
      </c>
      <c r="U28" s="264">
        <f t="shared" ca="1" si="10"/>
        <v>0</v>
      </c>
      <c r="V28" s="264">
        <f t="shared" ca="1" si="11"/>
        <v>0</v>
      </c>
      <c r="W28" s="264">
        <f t="shared" ca="1" si="12"/>
        <v>0</v>
      </c>
      <c r="X28" s="264">
        <f t="shared" ca="1" si="13"/>
        <v>0</v>
      </c>
      <c r="Y28" s="264">
        <f t="shared" ca="1" si="14"/>
        <v>0</v>
      </c>
      <c r="Z28" s="264">
        <f t="shared" ca="1" si="15"/>
        <v>0</v>
      </c>
      <c r="AA28" s="264">
        <f t="shared" ca="1" si="16"/>
        <v>0</v>
      </c>
      <c r="AB28" s="264">
        <f t="shared" ca="1" si="63"/>
        <v>0</v>
      </c>
      <c r="AC28" s="264">
        <f t="shared" ca="1" si="64"/>
        <v>0</v>
      </c>
      <c r="AD28" s="264">
        <f t="shared" ca="1" si="17"/>
        <v>0</v>
      </c>
      <c r="AE28" s="264">
        <f t="shared" ca="1" si="18"/>
        <v>0</v>
      </c>
      <c r="AF28" s="264">
        <f t="shared" ca="1" si="19"/>
        <v>0</v>
      </c>
      <c r="AG28" s="264">
        <f t="shared" ca="1" si="20"/>
        <v>0</v>
      </c>
      <c r="AH28" s="264">
        <f t="shared" ca="1" si="65"/>
        <v>0</v>
      </c>
      <c r="AI28" s="264">
        <f t="shared" ca="1" si="66"/>
        <v>0</v>
      </c>
      <c r="AJ28" s="264">
        <f t="shared" ca="1" si="67"/>
        <v>0</v>
      </c>
      <c r="AK28" s="264">
        <f t="shared" ca="1" si="68"/>
        <v>0</v>
      </c>
      <c r="AL28" s="264">
        <f t="shared" ca="1" si="69"/>
        <v>0</v>
      </c>
      <c r="AM28" s="264">
        <f t="shared" ca="1" si="70"/>
        <v>0</v>
      </c>
      <c r="AN28" s="264">
        <f t="shared" ca="1" si="71"/>
        <v>0</v>
      </c>
      <c r="AO28" s="264">
        <f t="shared" ca="1" si="72"/>
        <v>0</v>
      </c>
      <c r="AP28" s="264">
        <f t="shared" ca="1" si="21"/>
        <v>0</v>
      </c>
      <c r="AQ28" s="264">
        <f t="shared" ca="1" si="22"/>
        <v>0</v>
      </c>
      <c r="AR28" s="264">
        <f t="shared" ca="1" si="23"/>
        <v>0</v>
      </c>
      <c r="AS28" s="264">
        <f t="shared" ca="1" si="24"/>
        <v>0</v>
      </c>
      <c r="AT28" s="264">
        <f t="shared" ca="1" si="73"/>
        <v>0</v>
      </c>
      <c r="AU28" s="264">
        <f t="shared" ca="1" si="74"/>
        <v>0</v>
      </c>
      <c r="AV28" s="264">
        <f t="shared" ca="1" si="25"/>
        <v>0</v>
      </c>
      <c r="AW28" s="264">
        <f t="shared" ca="1" si="26"/>
        <v>0</v>
      </c>
      <c r="AX28" s="264">
        <f t="shared" ca="1" si="27"/>
        <v>0</v>
      </c>
      <c r="AY28" s="264">
        <f t="shared" ca="1" si="28"/>
        <v>0</v>
      </c>
      <c r="AZ28" s="264">
        <f t="shared" ca="1" si="29"/>
        <v>0</v>
      </c>
      <c r="BA28" s="264">
        <f t="shared" ca="1" si="30"/>
        <v>0</v>
      </c>
      <c r="BB28" s="264">
        <f t="shared" ca="1" si="31"/>
        <v>0</v>
      </c>
      <c r="BC28" s="264">
        <f t="shared" ca="1" si="32"/>
        <v>0</v>
      </c>
      <c r="BD28" s="264">
        <f t="shared" ca="1" si="33"/>
        <v>0</v>
      </c>
      <c r="BE28" s="264">
        <f t="shared" ca="1" si="34"/>
        <v>0</v>
      </c>
      <c r="BF28" s="264">
        <f t="shared" ca="1" si="35"/>
        <v>0</v>
      </c>
      <c r="BG28" s="264">
        <f t="shared" ca="1" si="36"/>
        <v>0</v>
      </c>
      <c r="BH28" s="264">
        <f t="shared" ca="1" si="75"/>
        <v>0</v>
      </c>
      <c r="BI28" s="264">
        <f t="shared" ca="1" si="76"/>
        <v>0</v>
      </c>
      <c r="BJ28" s="264">
        <f t="shared" ca="1" si="37"/>
        <v>0</v>
      </c>
      <c r="BK28" s="264">
        <f t="shared" ca="1" si="38"/>
        <v>0</v>
      </c>
      <c r="BL28" s="264">
        <f t="shared" ca="1" si="39"/>
        <v>0</v>
      </c>
      <c r="BM28" s="264">
        <f t="shared" ca="1" si="40"/>
        <v>0</v>
      </c>
      <c r="BN28" s="264">
        <f t="shared" ca="1" si="41"/>
        <v>0</v>
      </c>
      <c r="BO28" s="264">
        <f t="shared" ca="1" si="42"/>
        <v>0</v>
      </c>
      <c r="BP28" s="264">
        <f t="shared" ca="1" si="77"/>
        <v>0</v>
      </c>
      <c r="BQ28" s="264">
        <f t="shared" ca="1" si="78"/>
        <v>0</v>
      </c>
      <c r="BR28" s="264">
        <f t="shared" ca="1" si="43"/>
        <v>0</v>
      </c>
      <c r="BS28" s="264">
        <f t="shared" ca="1" si="44"/>
        <v>0</v>
      </c>
      <c r="BT28" s="264">
        <f t="shared" ca="1" si="79"/>
        <v>0</v>
      </c>
      <c r="BU28" s="264">
        <f t="shared" ca="1" si="80"/>
        <v>0</v>
      </c>
      <c r="BV28" s="264">
        <f t="shared" ca="1" si="81"/>
        <v>0</v>
      </c>
      <c r="BW28" s="264">
        <f t="shared" ca="1" si="82"/>
        <v>0</v>
      </c>
      <c r="BX28" s="264">
        <f t="shared" ca="1" si="45"/>
        <v>0</v>
      </c>
      <c r="BY28" s="264">
        <f t="shared" ca="1" si="46"/>
        <v>0</v>
      </c>
      <c r="BZ28" s="264">
        <f t="shared" ca="1" si="47"/>
        <v>0</v>
      </c>
      <c r="CA28" s="264">
        <f t="shared" ca="1" si="48"/>
        <v>0</v>
      </c>
      <c r="CB28" s="264">
        <f t="shared" ca="1" si="49"/>
        <v>0</v>
      </c>
      <c r="CC28" s="264">
        <f t="shared" ca="1" si="50"/>
        <v>0</v>
      </c>
      <c r="CD28" s="264">
        <f t="shared" ca="1" si="83"/>
        <v>0</v>
      </c>
      <c r="CE28" s="264">
        <f t="shared" ca="1" si="84"/>
        <v>0</v>
      </c>
      <c r="CF28" s="264">
        <f t="shared" ca="1" si="85"/>
        <v>0</v>
      </c>
      <c r="CG28" s="264">
        <f t="shared" ca="1" si="86"/>
        <v>0</v>
      </c>
      <c r="CH28" s="264">
        <f t="shared" ca="1" si="51"/>
        <v>0</v>
      </c>
      <c r="CI28" s="264">
        <f t="shared" ca="1" si="52"/>
        <v>0</v>
      </c>
      <c r="CJ28" s="264">
        <f t="shared" ca="1" si="87"/>
        <v>0</v>
      </c>
      <c r="CK28" s="264">
        <f t="shared" ca="1" si="88"/>
        <v>0</v>
      </c>
      <c r="CL28" s="264">
        <f t="shared" ca="1" si="53"/>
        <v>0</v>
      </c>
      <c r="CM28" s="264">
        <f t="shared" ca="1" si="54"/>
        <v>0</v>
      </c>
      <c r="CN28" s="264">
        <f t="shared" ca="1" si="55"/>
        <v>0</v>
      </c>
      <c r="CO28" s="264">
        <f t="shared" ca="1" si="56"/>
        <v>0</v>
      </c>
      <c r="CP28" s="264">
        <f t="shared" ca="1" si="89"/>
        <v>0</v>
      </c>
      <c r="CQ28" s="264">
        <f t="shared" ca="1" si="90"/>
        <v>0</v>
      </c>
      <c r="CR28" s="264">
        <f t="shared" ca="1" si="91"/>
        <v>0</v>
      </c>
      <c r="CS28" s="264">
        <f t="shared" ca="1" si="92"/>
        <v>0</v>
      </c>
      <c r="CT28" s="264">
        <f t="shared" ca="1" si="57"/>
        <v>0</v>
      </c>
      <c r="CU28" s="264">
        <f t="shared" ca="1" si="58"/>
        <v>0</v>
      </c>
      <c r="CV28" s="264">
        <f t="shared" ca="1" si="59"/>
        <v>0</v>
      </c>
      <c r="CW28" s="264">
        <f t="shared" ca="1" si="60"/>
        <v>0</v>
      </c>
      <c r="CX28" s="264">
        <f t="shared" ca="1" si="93"/>
        <v>0</v>
      </c>
      <c r="CY28" s="264">
        <f t="shared" ca="1" si="94"/>
        <v>0</v>
      </c>
      <c r="CZ28" s="264">
        <f t="shared" ca="1" si="95"/>
        <v>0</v>
      </c>
      <c r="DA28" s="264">
        <f t="shared" ca="1" si="96"/>
        <v>0</v>
      </c>
    </row>
    <row r="29" spans="1:105" s="261" customFormat="1" ht="15" customHeight="1">
      <c r="A29" s="63">
        <f t="array" aca="1" ref="A29" ca="1">IF(C29&lt;&gt;0,SUM(($C$11:C29&lt;&gt;0)*1),"")</f>
        <v>19</v>
      </c>
      <c r="B29" s="262" t="str">
        <f ca="1">IF(ROWS($1:19)&gt;COUNT(Dong6),"",OFFSET(TH!C$1,SMALL(Dong6,ROWS($1:19)),))</f>
        <v/>
      </c>
      <c r="C29" s="262" t="str">
        <f ca="1">IF(ROWS($1:19)&gt;COUNT(Dong6),"",OFFSET(TH!D$1,SMALL(Dong6,ROWS($1:19)),))</f>
        <v/>
      </c>
      <c r="D29" s="262" t="str">
        <f ca="1">IF(ROWS($1:19)&gt;COUNT(Dong6),"",OFFSET(TH!E$1,SMALL(Dong6,ROWS($1:19)),))</f>
        <v/>
      </c>
      <c r="E29" s="310" t="str">
        <f ca="1">IF(ROWS($1:19)&gt;COUNT(Dong6),"",OFFSET(TH!F$1,SMALL(Dong6,ROWS($1:19)),))</f>
        <v/>
      </c>
      <c r="F29" s="311" t="str">
        <f ca="1">IF(ROWS($1:19)&gt;COUNT(Dong6),"",OFFSET(TH!M$1,SMALL(Dong6,ROWS($1:19)),))</f>
        <v/>
      </c>
      <c r="G29" s="312" t="str">
        <f ca="1">IF(ROWS($1:19)&gt;COUNT(Dong6),"",OFFSET(TH!N$1,SMALL(Dong6,ROWS($1:19)),))</f>
        <v/>
      </c>
      <c r="H29" s="312" t="str">
        <f ca="1">IF(ROWS($1:19)&gt;COUNT(Dong6),"",OFFSET(TH!O$1,SMALL(Dong6,ROWS($1:19)),))</f>
        <v/>
      </c>
      <c r="I29" s="63">
        <f t="shared" ca="1" si="0"/>
        <v>19</v>
      </c>
      <c r="J29" s="264">
        <f t="shared" ca="1" si="61"/>
        <v>0</v>
      </c>
      <c r="K29" s="264">
        <f t="shared" ca="1" si="62"/>
        <v>0</v>
      </c>
      <c r="L29" s="264">
        <f t="shared" ca="1" si="1"/>
        <v>0</v>
      </c>
      <c r="M29" s="264">
        <f t="shared" ca="1" si="2"/>
        <v>0</v>
      </c>
      <c r="N29" s="264">
        <f t="shared" ca="1" si="3"/>
        <v>0</v>
      </c>
      <c r="O29" s="264">
        <f t="shared" ca="1" si="4"/>
        <v>0</v>
      </c>
      <c r="P29" s="264">
        <f t="shared" ca="1" si="5"/>
        <v>0</v>
      </c>
      <c r="Q29" s="264">
        <f t="shared" ca="1" si="6"/>
        <v>0</v>
      </c>
      <c r="R29" s="264">
        <f t="shared" ca="1" si="7"/>
        <v>0</v>
      </c>
      <c r="S29" s="264">
        <f t="shared" ca="1" si="8"/>
        <v>0</v>
      </c>
      <c r="T29" s="264">
        <f t="shared" ca="1" si="9"/>
        <v>0</v>
      </c>
      <c r="U29" s="264">
        <f t="shared" ca="1" si="10"/>
        <v>0</v>
      </c>
      <c r="V29" s="264">
        <f t="shared" ca="1" si="11"/>
        <v>0</v>
      </c>
      <c r="W29" s="264">
        <f t="shared" ca="1" si="12"/>
        <v>0</v>
      </c>
      <c r="X29" s="264">
        <f t="shared" ca="1" si="13"/>
        <v>0</v>
      </c>
      <c r="Y29" s="264">
        <f t="shared" ca="1" si="14"/>
        <v>0</v>
      </c>
      <c r="Z29" s="264">
        <f t="shared" ca="1" si="15"/>
        <v>0</v>
      </c>
      <c r="AA29" s="264">
        <f t="shared" ca="1" si="16"/>
        <v>0</v>
      </c>
      <c r="AB29" s="264">
        <f t="shared" ca="1" si="63"/>
        <v>0</v>
      </c>
      <c r="AC29" s="264">
        <f t="shared" ca="1" si="64"/>
        <v>0</v>
      </c>
      <c r="AD29" s="264">
        <f t="shared" ca="1" si="17"/>
        <v>0</v>
      </c>
      <c r="AE29" s="264">
        <f t="shared" ca="1" si="18"/>
        <v>0</v>
      </c>
      <c r="AF29" s="264">
        <f t="shared" ca="1" si="19"/>
        <v>0</v>
      </c>
      <c r="AG29" s="264">
        <f t="shared" ca="1" si="20"/>
        <v>0</v>
      </c>
      <c r="AH29" s="264">
        <f t="shared" ca="1" si="65"/>
        <v>0</v>
      </c>
      <c r="AI29" s="264">
        <f t="shared" ca="1" si="66"/>
        <v>0</v>
      </c>
      <c r="AJ29" s="264">
        <f t="shared" ca="1" si="67"/>
        <v>0</v>
      </c>
      <c r="AK29" s="264">
        <f t="shared" ca="1" si="68"/>
        <v>0</v>
      </c>
      <c r="AL29" s="264">
        <f t="shared" ca="1" si="69"/>
        <v>0</v>
      </c>
      <c r="AM29" s="264">
        <f t="shared" ca="1" si="70"/>
        <v>0</v>
      </c>
      <c r="AN29" s="264">
        <f t="shared" ca="1" si="71"/>
        <v>0</v>
      </c>
      <c r="AO29" s="264">
        <f t="shared" ca="1" si="72"/>
        <v>0</v>
      </c>
      <c r="AP29" s="264">
        <f t="shared" ca="1" si="21"/>
        <v>0</v>
      </c>
      <c r="AQ29" s="264">
        <f t="shared" ca="1" si="22"/>
        <v>0</v>
      </c>
      <c r="AR29" s="264">
        <f t="shared" ca="1" si="23"/>
        <v>0</v>
      </c>
      <c r="AS29" s="264">
        <f t="shared" ca="1" si="24"/>
        <v>0</v>
      </c>
      <c r="AT29" s="264">
        <f t="shared" ca="1" si="73"/>
        <v>0</v>
      </c>
      <c r="AU29" s="264">
        <f t="shared" ca="1" si="74"/>
        <v>0</v>
      </c>
      <c r="AV29" s="264">
        <f t="shared" ca="1" si="25"/>
        <v>0</v>
      </c>
      <c r="AW29" s="264">
        <f t="shared" ca="1" si="26"/>
        <v>0</v>
      </c>
      <c r="AX29" s="264">
        <f t="shared" ca="1" si="27"/>
        <v>0</v>
      </c>
      <c r="AY29" s="264">
        <f t="shared" ca="1" si="28"/>
        <v>0</v>
      </c>
      <c r="AZ29" s="264">
        <f t="shared" ca="1" si="29"/>
        <v>0</v>
      </c>
      <c r="BA29" s="264">
        <f t="shared" ca="1" si="30"/>
        <v>0</v>
      </c>
      <c r="BB29" s="264">
        <f t="shared" ca="1" si="31"/>
        <v>0</v>
      </c>
      <c r="BC29" s="264">
        <f t="shared" ca="1" si="32"/>
        <v>0</v>
      </c>
      <c r="BD29" s="264">
        <f t="shared" ca="1" si="33"/>
        <v>0</v>
      </c>
      <c r="BE29" s="264">
        <f t="shared" ca="1" si="34"/>
        <v>0</v>
      </c>
      <c r="BF29" s="264">
        <f t="shared" ca="1" si="35"/>
        <v>0</v>
      </c>
      <c r="BG29" s="264">
        <f t="shared" ca="1" si="36"/>
        <v>0</v>
      </c>
      <c r="BH29" s="264">
        <f t="shared" ca="1" si="75"/>
        <v>0</v>
      </c>
      <c r="BI29" s="264">
        <f t="shared" ca="1" si="76"/>
        <v>0</v>
      </c>
      <c r="BJ29" s="264">
        <f t="shared" ca="1" si="37"/>
        <v>0</v>
      </c>
      <c r="BK29" s="264">
        <f t="shared" ca="1" si="38"/>
        <v>0</v>
      </c>
      <c r="BL29" s="264">
        <f t="shared" ca="1" si="39"/>
        <v>0</v>
      </c>
      <c r="BM29" s="264">
        <f t="shared" ca="1" si="40"/>
        <v>0</v>
      </c>
      <c r="BN29" s="264">
        <f t="shared" ca="1" si="41"/>
        <v>0</v>
      </c>
      <c r="BO29" s="264">
        <f t="shared" ca="1" si="42"/>
        <v>0</v>
      </c>
      <c r="BP29" s="264">
        <f t="shared" ca="1" si="77"/>
        <v>0</v>
      </c>
      <c r="BQ29" s="264">
        <f t="shared" ca="1" si="78"/>
        <v>0</v>
      </c>
      <c r="BR29" s="264">
        <f t="shared" ca="1" si="43"/>
        <v>0</v>
      </c>
      <c r="BS29" s="264">
        <f t="shared" ca="1" si="44"/>
        <v>0</v>
      </c>
      <c r="BT29" s="264">
        <f t="shared" ca="1" si="79"/>
        <v>0</v>
      </c>
      <c r="BU29" s="264">
        <f t="shared" ca="1" si="80"/>
        <v>0</v>
      </c>
      <c r="BV29" s="264">
        <f t="shared" ca="1" si="81"/>
        <v>0</v>
      </c>
      <c r="BW29" s="264">
        <f t="shared" ca="1" si="82"/>
        <v>0</v>
      </c>
      <c r="BX29" s="264">
        <f t="shared" ca="1" si="45"/>
        <v>0</v>
      </c>
      <c r="BY29" s="264">
        <f t="shared" ca="1" si="46"/>
        <v>0</v>
      </c>
      <c r="BZ29" s="264">
        <f t="shared" ca="1" si="47"/>
        <v>0</v>
      </c>
      <c r="CA29" s="264">
        <f t="shared" ca="1" si="48"/>
        <v>0</v>
      </c>
      <c r="CB29" s="264">
        <f t="shared" ca="1" si="49"/>
        <v>0</v>
      </c>
      <c r="CC29" s="264">
        <f t="shared" ca="1" si="50"/>
        <v>0</v>
      </c>
      <c r="CD29" s="264">
        <f t="shared" ca="1" si="83"/>
        <v>0</v>
      </c>
      <c r="CE29" s="264">
        <f t="shared" ca="1" si="84"/>
        <v>0</v>
      </c>
      <c r="CF29" s="264">
        <f t="shared" ca="1" si="85"/>
        <v>0</v>
      </c>
      <c r="CG29" s="264">
        <f t="shared" ca="1" si="86"/>
        <v>0</v>
      </c>
      <c r="CH29" s="264">
        <f t="shared" ca="1" si="51"/>
        <v>0</v>
      </c>
      <c r="CI29" s="264">
        <f t="shared" ca="1" si="52"/>
        <v>0</v>
      </c>
      <c r="CJ29" s="264">
        <f t="shared" ca="1" si="87"/>
        <v>0</v>
      </c>
      <c r="CK29" s="264">
        <f t="shared" ca="1" si="88"/>
        <v>0</v>
      </c>
      <c r="CL29" s="264">
        <f t="shared" ca="1" si="53"/>
        <v>0</v>
      </c>
      <c r="CM29" s="264">
        <f t="shared" ca="1" si="54"/>
        <v>0</v>
      </c>
      <c r="CN29" s="264">
        <f t="shared" ca="1" si="55"/>
        <v>0</v>
      </c>
      <c r="CO29" s="264">
        <f t="shared" ca="1" si="56"/>
        <v>0</v>
      </c>
      <c r="CP29" s="264">
        <f t="shared" ca="1" si="89"/>
        <v>0</v>
      </c>
      <c r="CQ29" s="264">
        <f t="shared" ca="1" si="90"/>
        <v>0</v>
      </c>
      <c r="CR29" s="264">
        <f t="shared" ca="1" si="91"/>
        <v>0</v>
      </c>
      <c r="CS29" s="264">
        <f t="shared" ca="1" si="92"/>
        <v>0</v>
      </c>
      <c r="CT29" s="264">
        <f t="shared" ca="1" si="57"/>
        <v>0</v>
      </c>
      <c r="CU29" s="264">
        <f t="shared" ca="1" si="58"/>
        <v>0</v>
      </c>
      <c r="CV29" s="264">
        <f t="shared" ca="1" si="59"/>
        <v>0</v>
      </c>
      <c r="CW29" s="264">
        <f t="shared" ca="1" si="60"/>
        <v>0</v>
      </c>
      <c r="CX29" s="264">
        <f t="shared" ca="1" si="93"/>
        <v>0</v>
      </c>
      <c r="CY29" s="264">
        <f t="shared" ca="1" si="94"/>
        <v>0</v>
      </c>
      <c r="CZ29" s="264">
        <f t="shared" ca="1" si="95"/>
        <v>0</v>
      </c>
      <c r="DA29" s="264">
        <f t="shared" ca="1" si="96"/>
        <v>0</v>
      </c>
    </row>
    <row r="30" spans="1:105" s="261" customFormat="1" ht="15" customHeight="1">
      <c r="A30" s="63">
        <f t="array" aca="1" ref="A30" ca="1">IF(C30&lt;&gt;0,SUM(($C$11:C30&lt;&gt;0)*1),"")</f>
        <v>20</v>
      </c>
      <c r="B30" s="262" t="str">
        <f ca="1">IF(ROWS($1:20)&gt;COUNT(Dong6),"",OFFSET(TH!C$1,SMALL(Dong6,ROWS($1:20)),))</f>
        <v/>
      </c>
      <c r="C30" s="262" t="str">
        <f ca="1">IF(ROWS($1:20)&gt;COUNT(Dong6),"",OFFSET(TH!D$1,SMALL(Dong6,ROWS($1:20)),))</f>
        <v/>
      </c>
      <c r="D30" s="262" t="str">
        <f ca="1">IF(ROWS($1:20)&gt;COUNT(Dong6),"",OFFSET(TH!E$1,SMALL(Dong6,ROWS($1:20)),))</f>
        <v/>
      </c>
      <c r="E30" s="310" t="str">
        <f ca="1">IF(ROWS($1:20)&gt;COUNT(Dong6),"",OFFSET(TH!F$1,SMALL(Dong6,ROWS($1:20)),))</f>
        <v/>
      </c>
      <c r="F30" s="311" t="str">
        <f ca="1">IF(ROWS($1:20)&gt;COUNT(Dong6),"",OFFSET(TH!M$1,SMALL(Dong6,ROWS($1:20)),))</f>
        <v/>
      </c>
      <c r="G30" s="312" t="str">
        <f ca="1">IF(ROWS($1:20)&gt;COUNT(Dong6),"",OFFSET(TH!N$1,SMALL(Dong6,ROWS($1:20)),))</f>
        <v/>
      </c>
      <c r="H30" s="312" t="str">
        <f ca="1">IF(ROWS($1:20)&gt;COUNT(Dong6),"",OFFSET(TH!O$1,SMALL(Dong6,ROWS($1:20)),))</f>
        <v/>
      </c>
      <c r="I30" s="63">
        <f t="shared" ca="1" si="0"/>
        <v>20</v>
      </c>
      <c r="J30" s="264">
        <f t="shared" ca="1" si="61"/>
        <v>0</v>
      </c>
      <c r="K30" s="264">
        <f t="shared" ca="1" si="62"/>
        <v>0</v>
      </c>
      <c r="L30" s="264">
        <f t="shared" ca="1" si="1"/>
        <v>0</v>
      </c>
      <c r="M30" s="264">
        <f t="shared" ca="1" si="2"/>
        <v>0</v>
      </c>
      <c r="N30" s="264">
        <f t="shared" ca="1" si="3"/>
        <v>0</v>
      </c>
      <c r="O30" s="264">
        <f t="shared" ca="1" si="4"/>
        <v>0</v>
      </c>
      <c r="P30" s="264">
        <f t="shared" ca="1" si="5"/>
        <v>0</v>
      </c>
      <c r="Q30" s="264">
        <f t="shared" ca="1" si="6"/>
        <v>0</v>
      </c>
      <c r="R30" s="264">
        <f t="shared" ca="1" si="7"/>
        <v>0</v>
      </c>
      <c r="S30" s="264">
        <f t="shared" ca="1" si="8"/>
        <v>0</v>
      </c>
      <c r="T30" s="264">
        <f t="shared" ca="1" si="9"/>
        <v>0</v>
      </c>
      <c r="U30" s="264">
        <f t="shared" ca="1" si="10"/>
        <v>0</v>
      </c>
      <c r="V30" s="264">
        <f t="shared" ca="1" si="11"/>
        <v>0</v>
      </c>
      <c r="W30" s="264">
        <f t="shared" ca="1" si="12"/>
        <v>0</v>
      </c>
      <c r="X30" s="264">
        <f t="shared" ca="1" si="13"/>
        <v>0</v>
      </c>
      <c r="Y30" s="264">
        <f t="shared" ca="1" si="14"/>
        <v>0</v>
      </c>
      <c r="Z30" s="264">
        <f t="shared" ca="1" si="15"/>
        <v>0</v>
      </c>
      <c r="AA30" s="264">
        <f t="shared" ca="1" si="16"/>
        <v>0</v>
      </c>
      <c r="AB30" s="264">
        <f t="shared" ca="1" si="63"/>
        <v>0</v>
      </c>
      <c r="AC30" s="264">
        <f t="shared" ca="1" si="64"/>
        <v>0</v>
      </c>
      <c r="AD30" s="264">
        <f t="shared" ca="1" si="17"/>
        <v>0</v>
      </c>
      <c r="AE30" s="264">
        <f t="shared" ca="1" si="18"/>
        <v>0</v>
      </c>
      <c r="AF30" s="264">
        <f t="shared" ca="1" si="19"/>
        <v>0</v>
      </c>
      <c r="AG30" s="264">
        <f t="shared" ca="1" si="20"/>
        <v>0</v>
      </c>
      <c r="AH30" s="264">
        <f t="shared" ca="1" si="65"/>
        <v>0</v>
      </c>
      <c r="AI30" s="264">
        <f t="shared" ca="1" si="66"/>
        <v>0</v>
      </c>
      <c r="AJ30" s="264">
        <f t="shared" ca="1" si="67"/>
        <v>0</v>
      </c>
      <c r="AK30" s="264">
        <f t="shared" ca="1" si="68"/>
        <v>0</v>
      </c>
      <c r="AL30" s="264">
        <f t="shared" ca="1" si="69"/>
        <v>0</v>
      </c>
      <c r="AM30" s="264">
        <f t="shared" ca="1" si="70"/>
        <v>0</v>
      </c>
      <c r="AN30" s="264">
        <f t="shared" ca="1" si="71"/>
        <v>0</v>
      </c>
      <c r="AO30" s="264">
        <f t="shared" ca="1" si="72"/>
        <v>0</v>
      </c>
      <c r="AP30" s="264">
        <f t="shared" ca="1" si="21"/>
        <v>0</v>
      </c>
      <c r="AQ30" s="264">
        <f t="shared" ca="1" si="22"/>
        <v>0</v>
      </c>
      <c r="AR30" s="264">
        <f t="shared" ca="1" si="23"/>
        <v>0</v>
      </c>
      <c r="AS30" s="264">
        <f t="shared" ca="1" si="24"/>
        <v>0</v>
      </c>
      <c r="AT30" s="264">
        <f t="shared" ca="1" si="73"/>
        <v>0</v>
      </c>
      <c r="AU30" s="264">
        <f t="shared" ca="1" si="74"/>
        <v>0</v>
      </c>
      <c r="AV30" s="264">
        <f t="shared" ca="1" si="25"/>
        <v>0</v>
      </c>
      <c r="AW30" s="264">
        <f t="shared" ca="1" si="26"/>
        <v>0</v>
      </c>
      <c r="AX30" s="264">
        <f t="shared" ca="1" si="27"/>
        <v>0</v>
      </c>
      <c r="AY30" s="264">
        <f t="shared" ca="1" si="28"/>
        <v>0</v>
      </c>
      <c r="AZ30" s="264">
        <f t="shared" ca="1" si="29"/>
        <v>0</v>
      </c>
      <c r="BA30" s="264">
        <f t="shared" ca="1" si="30"/>
        <v>0</v>
      </c>
      <c r="BB30" s="264">
        <f t="shared" ca="1" si="31"/>
        <v>0</v>
      </c>
      <c r="BC30" s="264">
        <f t="shared" ca="1" si="32"/>
        <v>0</v>
      </c>
      <c r="BD30" s="264">
        <f t="shared" ca="1" si="33"/>
        <v>0</v>
      </c>
      <c r="BE30" s="264">
        <f t="shared" ca="1" si="34"/>
        <v>0</v>
      </c>
      <c r="BF30" s="264">
        <f t="shared" ca="1" si="35"/>
        <v>0</v>
      </c>
      <c r="BG30" s="264">
        <f t="shared" ca="1" si="36"/>
        <v>0</v>
      </c>
      <c r="BH30" s="264">
        <f t="shared" ca="1" si="75"/>
        <v>0</v>
      </c>
      <c r="BI30" s="264">
        <f t="shared" ca="1" si="76"/>
        <v>0</v>
      </c>
      <c r="BJ30" s="264">
        <f t="shared" ca="1" si="37"/>
        <v>0</v>
      </c>
      <c r="BK30" s="264">
        <f t="shared" ca="1" si="38"/>
        <v>0</v>
      </c>
      <c r="BL30" s="264">
        <f t="shared" ca="1" si="39"/>
        <v>0</v>
      </c>
      <c r="BM30" s="264">
        <f t="shared" ca="1" si="40"/>
        <v>0</v>
      </c>
      <c r="BN30" s="264">
        <f t="shared" ca="1" si="41"/>
        <v>0</v>
      </c>
      <c r="BO30" s="264">
        <f t="shared" ca="1" si="42"/>
        <v>0</v>
      </c>
      <c r="BP30" s="264">
        <f t="shared" ca="1" si="77"/>
        <v>0</v>
      </c>
      <c r="BQ30" s="264">
        <f t="shared" ca="1" si="78"/>
        <v>0</v>
      </c>
      <c r="BR30" s="264">
        <f t="shared" ca="1" si="43"/>
        <v>0</v>
      </c>
      <c r="BS30" s="264">
        <f t="shared" ca="1" si="44"/>
        <v>0</v>
      </c>
      <c r="BT30" s="264">
        <f t="shared" ca="1" si="79"/>
        <v>0</v>
      </c>
      <c r="BU30" s="264">
        <f t="shared" ca="1" si="80"/>
        <v>0</v>
      </c>
      <c r="BV30" s="264">
        <f t="shared" ca="1" si="81"/>
        <v>0</v>
      </c>
      <c r="BW30" s="264">
        <f t="shared" ca="1" si="82"/>
        <v>0</v>
      </c>
      <c r="BX30" s="264">
        <f t="shared" ca="1" si="45"/>
        <v>0</v>
      </c>
      <c r="BY30" s="264">
        <f t="shared" ca="1" si="46"/>
        <v>0</v>
      </c>
      <c r="BZ30" s="264">
        <f t="shared" ca="1" si="47"/>
        <v>0</v>
      </c>
      <c r="CA30" s="264">
        <f t="shared" ca="1" si="48"/>
        <v>0</v>
      </c>
      <c r="CB30" s="264">
        <f t="shared" ca="1" si="49"/>
        <v>0</v>
      </c>
      <c r="CC30" s="264">
        <f t="shared" ca="1" si="50"/>
        <v>0</v>
      </c>
      <c r="CD30" s="264">
        <f t="shared" ca="1" si="83"/>
        <v>0</v>
      </c>
      <c r="CE30" s="264">
        <f t="shared" ca="1" si="84"/>
        <v>0</v>
      </c>
      <c r="CF30" s="264">
        <f t="shared" ca="1" si="85"/>
        <v>0</v>
      </c>
      <c r="CG30" s="264">
        <f t="shared" ca="1" si="86"/>
        <v>0</v>
      </c>
      <c r="CH30" s="264">
        <f t="shared" ca="1" si="51"/>
        <v>0</v>
      </c>
      <c r="CI30" s="264">
        <f t="shared" ca="1" si="52"/>
        <v>0</v>
      </c>
      <c r="CJ30" s="264">
        <f t="shared" ca="1" si="87"/>
        <v>0</v>
      </c>
      <c r="CK30" s="264">
        <f t="shared" ca="1" si="88"/>
        <v>0</v>
      </c>
      <c r="CL30" s="264">
        <f t="shared" ca="1" si="53"/>
        <v>0</v>
      </c>
      <c r="CM30" s="264">
        <f t="shared" ca="1" si="54"/>
        <v>0</v>
      </c>
      <c r="CN30" s="264">
        <f t="shared" ca="1" si="55"/>
        <v>0</v>
      </c>
      <c r="CO30" s="264">
        <f t="shared" ca="1" si="56"/>
        <v>0</v>
      </c>
      <c r="CP30" s="264">
        <f t="shared" ca="1" si="89"/>
        <v>0</v>
      </c>
      <c r="CQ30" s="264">
        <f t="shared" ca="1" si="90"/>
        <v>0</v>
      </c>
      <c r="CR30" s="264">
        <f t="shared" ca="1" si="91"/>
        <v>0</v>
      </c>
      <c r="CS30" s="264">
        <f t="shared" ca="1" si="92"/>
        <v>0</v>
      </c>
      <c r="CT30" s="264">
        <f t="shared" ca="1" si="57"/>
        <v>0</v>
      </c>
      <c r="CU30" s="264">
        <f t="shared" ca="1" si="58"/>
        <v>0</v>
      </c>
      <c r="CV30" s="264">
        <f t="shared" ca="1" si="59"/>
        <v>0</v>
      </c>
      <c r="CW30" s="264">
        <f t="shared" ca="1" si="60"/>
        <v>0</v>
      </c>
      <c r="CX30" s="264">
        <f t="shared" ca="1" si="93"/>
        <v>0</v>
      </c>
      <c r="CY30" s="264">
        <f t="shared" ca="1" si="94"/>
        <v>0</v>
      </c>
      <c r="CZ30" s="264">
        <f t="shared" ca="1" si="95"/>
        <v>0</v>
      </c>
      <c r="DA30" s="264">
        <f t="shared" ca="1" si="96"/>
        <v>0</v>
      </c>
    </row>
    <row r="31" spans="1:105" s="261" customFormat="1" ht="15" customHeight="1">
      <c r="A31" s="63">
        <f t="array" aca="1" ref="A31" ca="1">IF(C31&lt;&gt;0,SUM(($C$11:C31&lt;&gt;0)*1),"")</f>
        <v>21</v>
      </c>
      <c r="B31" s="262" t="str">
        <f ca="1">IF(ROWS($1:21)&gt;COUNT(Dong6),"",OFFSET(TH!C$1,SMALL(Dong6,ROWS($1:21)),))</f>
        <v/>
      </c>
      <c r="C31" s="262" t="str">
        <f ca="1">IF(ROWS($1:21)&gt;COUNT(Dong6),"",OFFSET(TH!D$1,SMALL(Dong6,ROWS($1:21)),))</f>
        <v/>
      </c>
      <c r="D31" s="262" t="str">
        <f ca="1">IF(ROWS($1:21)&gt;COUNT(Dong6),"",OFFSET(TH!E$1,SMALL(Dong6,ROWS($1:21)),))</f>
        <v/>
      </c>
      <c r="E31" s="310" t="str">
        <f ca="1">IF(ROWS($1:21)&gt;COUNT(Dong6),"",OFFSET(TH!F$1,SMALL(Dong6,ROWS($1:21)),))</f>
        <v/>
      </c>
      <c r="F31" s="311" t="str">
        <f ca="1">IF(ROWS($1:21)&gt;COUNT(Dong6),"",OFFSET(TH!M$1,SMALL(Dong6,ROWS($1:21)),))</f>
        <v/>
      </c>
      <c r="G31" s="312" t="str">
        <f ca="1">IF(ROWS($1:21)&gt;COUNT(Dong6),"",OFFSET(TH!N$1,SMALL(Dong6,ROWS($1:21)),))</f>
        <v/>
      </c>
      <c r="H31" s="312" t="str">
        <f ca="1">IF(ROWS($1:21)&gt;COUNT(Dong6),"",OFFSET(TH!O$1,SMALL(Dong6,ROWS($1:21)),))</f>
        <v/>
      </c>
      <c r="I31" s="63">
        <f t="shared" ca="1" si="0"/>
        <v>21</v>
      </c>
      <c r="J31" s="264">
        <f t="shared" ca="1" si="61"/>
        <v>0</v>
      </c>
      <c r="K31" s="264">
        <f t="shared" ca="1" si="62"/>
        <v>0</v>
      </c>
      <c r="L31" s="264">
        <f t="shared" ca="1" si="1"/>
        <v>0</v>
      </c>
      <c r="M31" s="264">
        <f t="shared" ca="1" si="2"/>
        <v>0</v>
      </c>
      <c r="N31" s="264">
        <f t="shared" ca="1" si="3"/>
        <v>0</v>
      </c>
      <c r="O31" s="264">
        <f t="shared" ca="1" si="4"/>
        <v>0</v>
      </c>
      <c r="P31" s="264">
        <f t="shared" ca="1" si="5"/>
        <v>0</v>
      </c>
      <c r="Q31" s="264">
        <f t="shared" ca="1" si="6"/>
        <v>0</v>
      </c>
      <c r="R31" s="264">
        <f t="shared" ca="1" si="7"/>
        <v>0</v>
      </c>
      <c r="S31" s="264">
        <f t="shared" ca="1" si="8"/>
        <v>0</v>
      </c>
      <c r="T31" s="264">
        <f t="shared" ca="1" si="9"/>
        <v>0</v>
      </c>
      <c r="U31" s="264">
        <f t="shared" ca="1" si="10"/>
        <v>0</v>
      </c>
      <c r="V31" s="264">
        <f t="shared" ca="1" si="11"/>
        <v>0</v>
      </c>
      <c r="W31" s="264">
        <f t="shared" ca="1" si="12"/>
        <v>0</v>
      </c>
      <c r="X31" s="264">
        <f t="shared" ca="1" si="13"/>
        <v>0</v>
      </c>
      <c r="Y31" s="264">
        <f t="shared" ca="1" si="14"/>
        <v>0</v>
      </c>
      <c r="Z31" s="264">
        <f t="shared" ca="1" si="15"/>
        <v>0</v>
      </c>
      <c r="AA31" s="264">
        <f t="shared" ca="1" si="16"/>
        <v>0</v>
      </c>
      <c r="AB31" s="264">
        <f t="shared" ca="1" si="63"/>
        <v>0</v>
      </c>
      <c r="AC31" s="264">
        <f t="shared" ca="1" si="64"/>
        <v>0</v>
      </c>
      <c r="AD31" s="264">
        <f t="shared" ca="1" si="17"/>
        <v>0</v>
      </c>
      <c r="AE31" s="264">
        <f t="shared" ca="1" si="18"/>
        <v>0</v>
      </c>
      <c r="AF31" s="264">
        <f t="shared" ca="1" si="19"/>
        <v>0</v>
      </c>
      <c r="AG31" s="264">
        <f t="shared" ca="1" si="20"/>
        <v>0</v>
      </c>
      <c r="AH31" s="264">
        <f t="shared" ca="1" si="65"/>
        <v>0</v>
      </c>
      <c r="AI31" s="264">
        <f t="shared" ca="1" si="66"/>
        <v>0</v>
      </c>
      <c r="AJ31" s="264">
        <f t="shared" ca="1" si="67"/>
        <v>0</v>
      </c>
      <c r="AK31" s="264">
        <f t="shared" ca="1" si="68"/>
        <v>0</v>
      </c>
      <c r="AL31" s="264">
        <f t="shared" ca="1" si="69"/>
        <v>0</v>
      </c>
      <c r="AM31" s="264">
        <f t="shared" ca="1" si="70"/>
        <v>0</v>
      </c>
      <c r="AN31" s="264">
        <f t="shared" ca="1" si="71"/>
        <v>0</v>
      </c>
      <c r="AO31" s="264">
        <f t="shared" ca="1" si="72"/>
        <v>0</v>
      </c>
      <c r="AP31" s="264">
        <f t="shared" ca="1" si="21"/>
        <v>0</v>
      </c>
      <c r="AQ31" s="264">
        <f t="shared" ca="1" si="22"/>
        <v>0</v>
      </c>
      <c r="AR31" s="264">
        <f t="shared" ca="1" si="23"/>
        <v>0</v>
      </c>
      <c r="AS31" s="264">
        <f t="shared" ca="1" si="24"/>
        <v>0</v>
      </c>
      <c r="AT31" s="264">
        <f t="shared" ca="1" si="73"/>
        <v>0</v>
      </c>
      <c r="AU31" s="264">
        <f t="shared" ca="1" si="74"/>
        <v>0</v>
      </c>
      <c r="AV31" s="264">
        <f t="shared" ca="1" si="25"/>
        <v>0</v>
      </c>
      <c r="AW31" s="264">
        <f t="shared" ca="1" si="26"/>
        <v>0</v>
      </c>
      <c r="AX31" s="264">
        <f t="shared" ca="1" si="27"/>
        <v>0</v>
      </c>
      <c r="AY31" s="264">
        <f t="shared" ca="1" si="28"/>
        <v>0</v>
      </c>
      <c r="AZ31" s="264">
        <f t="shared" ca="1" si="29"/>
        <v>0</v>
      </c>
      <c r="BA31" s="264">
        <f t="shared" ca="1" si="30"/>
        <v>0</v>
      </c>
      <c r="BB31" s="264">
        <f t="shared" ca="1" si="31"/>
        <v>0</v>
      </c>
      <c r="BC31" s="264">
        <f t="shared" ca="1" si="32"/>
        <v>0</v>
      </c>
      <c r="BD31" s="264">
        <f t="shared" ca="1" si="33"/>
        <v>0</v>
      </c>
      <c r="BE31" s="264">
        <f t="shared" ca="1" si="34"/>
        <v>0</v>
      </c>
      <c r="BF31" s="264">
        <f t="shared" ca="1" si="35"/>
        <v>0</v>
      </c>
      <c r="BG31" s="264">
        <f t="shared" ca="1" si="36"/>
        <v>0</v>
      </c>
      <c r="BH31" s="264">
        <f t="shared" ca="1" si="75"/>
        <v>0</v>
      </c>
      <c r="BI31" s="264">
        <f t="shared" ca="1" si="76"/>
        <v>0</v>
      </c>
      <c r="BJ31" s="264">
        <f t="shared" ca="1" si="37"/>
        <v>0</v>
      </c>
      <c r="BK31" s="264">
        <f t="shared" ca="1" si="38"/>
        <v>0</v>
      </c>
      <c r="BL31" s="264">
        <f t="shared" ca="1" si="39"/>
        <v>0</v>
      </c>
      <c r="BM31" s="264">
        <f t="shared" ca="1" si="40"/>
        <v>0</v>
      </c>
      <c r="BN31" s="264">
        <f t="shared" ca="1" si="41"/>
        <v>0</v>
      </c>
      <c r="BO31" s="264">
        <f t="shared" ca="1" si="42"/>
        <v>0</v>
      </c>
      <c r="BP31" s="264">
        <f t="shared" ca="1" si="77"/>
        <v>0</v>
      </c>
      <c r="BQ31" s="264">
        <f t="shared" ca="1" si="78"/>
        <v>0</v>
      </c>
      <c r="BR31" s="264">
        <f t="shared" ca="1" si="43"/>
        <v>0</v>
      </c>
      <c r="BS31" s="264">
        <f t="shared" ca="1" si="44"/>
        <v>0</v>
      </c>
      <c r="BT31" s="264">
        <f t="shared" ca="1" si="79"/>
        <v>0</v>
      </c>
      <c r="BU31" s="264">
        <f t="shared" ca="1" si="80"/>
        <v>0</v>
      </c>
      <c r="BV31" s="264">
        <f t="shared" ca="1" si="81"/>
        <v>0</v>
      </c>
      <c r="BW31" s="264">
        <f t="shared" ca="1" si="82"/>
        <v>0</v>
      </c>
      <c r="BX31" s="264">
        <f t="shared" ca="1" si="45"/>
        <v>0</v>
      </c>
      <c r="BY31" s="264">
        <f t="shared" ca="1" si="46"/>
        <v>0</v>
      </c>
      <c r="BZ31" s="264">
        <f t="shared" ca="1" si="47"/>
        <v>0</v>
      </c>
      <c r="CA31" s="264">
        <f t="shared" ca="1" si="48"/>
        <v>0</v>
      </c>
      <c r="CB31" s="264">
        <f t="shared" ca="1" si="49"/>
        <v>0</v>
      </c>
      <c r="CC31" s="264">
        <f t="shared" ca="1" si="50"/>
        <v>0</v>
      </c>
      <c r="CD31" s="264">
        <f t="shared" ca="1" si="83"/>
        <v>0</v>
      </c>
      <c r="CE31" s="264">
        <f t="shared" ca="1" si="84"/>
        <v>0</v>
      </c>
      <c r="CF31" s="264">
        <f t="shared" ca="1" si="85"/>
        <v>0</v>
      </c>
      <c r="CG31" s="264">
        <f t="shared" ca="1" si="86"/>
        <v>0</v>
      </c>
      <c r="CH31" s="264">
        <f t="shared" ca="1" si="51"/>
        <v>0</v>
      </c>
      <c r="CI31" s="264">
        <f t="shared" ca="1" si="52"/>
        <v>0</v>
      </c>
      <c r="CJ31" s="264">
        <f t="shared" ca="1" si="87"/>
        <v>0</v>
      </c>
      <c r="CK31" s="264">
        <f t="shared" ca="1" si="88"/>
        <v>0</v>
      </c>
      <c r="CL31" s="264">
        <f t="shared" ca="1" si="53"/>
        <v>0</v>
      </c>
      <c r="CM31" s="264">
        <f t="shared" ca="1" si="54"/>
        <v>0</v>
      </c>
      <c r="CN31" s="264">
        <f t="shared" ca="1" si="55"/>
        <v>0</v>
      </c>
      <c r="CO31" s="264">
        <f t="shared" ca="1" si="56"/>
        <v>0</v>
      </c>
      <c r="CP31" s="264">
        <f t="shared" ca="1" si="89"/>
        <v>0</v>
      </c>
      <c r="CQ31" s="264">
        <f t="shared" ca="1" si="90"/>
        <v>0</v>
      </c>
      <c r="CR31" s="264">
        <f t="shared" ca="1" si="91"/>
        <v>0</v>
      </c>
      <c r="CS31" s="264">
        <f t="shared" ca="1" si="92"/>
        <v>0</v>
      </c>
      <c r="CT31" s="264">
        <f t="shared" ca="1" si="57"/>
        <v>0</v>
      </c>
      <c r="CU31" s="264">
        <f t="shared" ca="1" si="58"/>
        <v>0</v>
      </c>
      <c r="CV31" s="264">
        <f t="shared" ca="1" si="59"/>
        <v>0</v>
      </c>
      <c r="CW31" s="264">
        <f t="shared" ca="1" si="60"/>
        <v>0</v>
      </c>
      <c r="CX31" s="264">
        <f t="shared" ca="1" si="93"/>
        <v>0</v>
      </c>
      <c r="CY31" s="264">
        <f t="shared" ca="1" si="94"/>
        <v>0</v>
      </c>
      <c r="CZ31" s="264">
        <f t="shared" ca="1" si="95"/>
        <v>0</v>
      </c>
      <c r="DA31" s="264">
        <f t="shared" ca="1" si="96"/>
        <v>0</v>
      </c>
    </row>
    <row r="32" spans="1:105" s="261" customFormat="1" ht="15" customHeight="1">
      <c r="A32" s="63">
        <f t="array" aca="1" ref="A32" ca="1">IF(C32&lt;&gt;0,SUM(($C$11:C32&lt;&gt;0)*1),"")</f>
        <v>22</v>
      </c>
      <c r="B32" s="262" t="str">
        <f ca="1">IF(ROWS($1:22)&gt;COUNT(Dong6),"",OFFSET(TH!C$1,SMALL(Dong6,ROWS($1:22)),))</f>
        <v/>
      </c>
      <c r="C32" s="262" t="str">
        <f ca="1">IF(ROWS($1:22)&gt;COUNT(Dong6),"",OFFSET(TH!D$1,SMALL(Dong6,ROWS($1:22)),))</f>
        <v/>
      </c>
      <c r="D32" s="262" t="str">
        <f ca="1">IF(ROWS($1:22)&gt;COUNT(Dong6),"",OFFSET(TH!E$1,SMALL(Dong6,ROWS($1:22)),))</f>
        <v/>
      </c>
      <c r="E32" s="310" t="str">
        <f ca="1">IF(ROWS($1:22)&gt;COUNT(Dong6),"",OFFSET(TH!F$1,SMALL(Dong6,ROWS($1:22)),))</f>
        <v/>
      </c>
      <c r="F32" s="311" t="str">
        <f ca="1">IF(ROWS($1:22)&gt;COUNT(Dong6),"",OFFSET(TH!M$1,SMALL(Dong6,ROWS($1:22)),))</f>
        <v/>
      </c>
      <c r="G32" s="312" t="str">
        <f ca="1">IF(ROWS($1:22)&gt;COUNT(Dong6),"",OFFSET(TH!N$1,SMALL(Dong6,ROWS($1:22)),))</f>
        <v/>
      </c>
      <c r="H32" s="312" t="str">
        <f ca="1">IF(ROWS($1:22)&gt;COUNT(Dong6),"",OFFSET(TH!O$1,SMALL(Dong6,ROWS($1:22)),))</f>
        <v/>
      </c>
      <c r="I32" s="63">
        <f t="shared" ca="1" si="0"/>
        <v>22</v>
      </c>
      <c r="J32" s="264">
        <f t="shared" ca="1" si="61"/>
        <v>0</v>
      </c>
      <c r="K32" s="264">
        <f t="shared" ca="1" si="62"/>
        <v>0</v>
      </c>
      <c r="L32" s="264">
        <f t="shared" ca="1" si="1"/>
        <v>0</v>
      </c>
      <c r="M32" s="264">
        <f t="shared" ca="1" si="2"/>
        <v>0</v>
      </c>
      <c r="N32" s="264">
        <f t="shared" ca="1" si="3"/>
        <v>0</v>
      </c>
      <c r="O32" s="264">
        <f t="shared" ca="1" si="4"/>
        <v>0</v>
      </c>
      <c r="P32" s="264">
        <f t="shared" ca="1" si="5"/>
        <v>0</v>
      </c>
      <c r="Q32" s="264">
        <f t="shared" ca="1" si="6"/>
        <v>0</v>
      </c>
      <c r="R32" s="264">
        <f t="shared" ca="1" si="7"/>
        <v>0</v>
      </c>
      <c r="S32" s="264">
        <f t="shared" ca="1" si="8"/>
        <v>0</v>
      </c>
      <c r="T32" s="264">
        <f t="shared" ca="1" si="9"/>
        <v>0</v>
      </c>
      <c r="U32" s="264">
        <f t="shared" ca="1" si="10"/>
        <v>0</v>
      </c>
      <c r="V32" s="264">
        <f t="shared" ca="1" si="11"/>
        <v>0</v>
      </c>
      <c r="W32" s="264">
        <f t="shared" ca="1" si="12"/>
        <v>0</v>
      </c>
      <c r="X32" s="264">
        <f t="shared" ca="1" si="13"/>
        <v>0</v>
      </c>
      <c r="Y32" s="264">
        <f t="shared" ca="1" si="14"/>
        <v>0</v>
      </c>
      <c r="Z32" s="264">
        <f t="shared" ca="1" si="15"/>
        <v>0</v>
      </c>
      <c r="AA32" s="264">
        <f t="shared" ca="1" si="16"/>
        <v>0</v>
      </c>
      <c r="AB32" s="264">
        <f t="shared" ca="1" si="63"/>
        <v>0</v>
      </c>
      <c r="AC32" s="264">
        <f t="shared" ca="1" si="64"/>
        <v>0</v>
      </c>
      <c r="AD32" s="264">
        <f t="shared" ca="1" si="17"/>
        <v>0</v>
      </c>
      <c r="AE32" s="264">
        <f t="shared" ca="1" si="18"/>
        <v>0</v>
      </c>
      <c r="AF32" s="264">
        <f t="shared" ca="1" si="19"/>
        <v>0</v>
      </c>
      <c r="AG32" s="264">
        <f t="shared" ca="1" si="20"/>
        <v>0</v>
      </c>
      <c r="AH32" s="264">
        <f t="shared" ca="1" si="65"/>
        <v>0</v>
      </c>
      <c r="AI32" s="264">
        <f t="shared" ca="1" si="66"/>
        <v>0</v>
      </c>
      <c r="AJ32" s="264">
        <f t="shared" ca="1" si="67"/>
        <v>0</v>
      </c>
      <c r="AK32" s="264">
        <f t="shared" ca="1" si="68"/>
        <v>0</v>
      </c>
      <c r="AL32" s="264">
        <f t="shared" ca="1" si="69"/>
        <v>0</v>
      </c>
      <c r="AM32" s="264">
        <f t="shared" ca="1" si="70"/>
        <v>0</v>
      </c>
      <c r="AN32" s="264">
        <f t="shared" ca="1" si="71"/>
        <v>0</v>
      </c>
      <c r="AO32" s="264">
        <f t="shared" ca="1" si="72"/>
        <v>0</v>
      </c>
      <c r="AP32" s="264">
        <f t="shared" ca="1" si="21"/>
        <v>0</v>
      </c>
      <c r="AQ32" s="264">
        <f t="shared" ca="1" si="22"/>
        <v>0</v>
      </c>
      <c r="AR32" s="264">
        <f t="shared" ca="1" si="23"/>
        <v>0</v>
      </c>
      <c r="AS32" s="264">
        <f t="shared" ca="1" si="24"/>
        <v>0</v>
      </c>
      <c r="AT32" s="264">
        <f t="shared" ca="1" si="73"/>
        <v>0</v>
      </c>
      <c r="AU32" s="264">
        <f t="shared" ca="1" si="74"/>
        <v>0</v>
      </c>
      <c r="AV32" s="264">
        <f t="shared" ca="1" si="25"/>
        <v>0</v>
      </c>
      <c r="AW32" s="264">
        <f t="shared" ca="1" si="26"/>
        <v>0</v>
      </c>
      <c r="AX32" s="264">
        <f t="shared" ca="1" si="27"/>
        <v>0</v>
      </c>
      <c r="AY32" s="264">
        <f t="shared" ca="1" si="28"/>
        <v>0</v>
      </c>
      <c r="AZ32" s="264">
        <f t="shared" ca="1" si="29"/>
        <v>0</v>
      </c>
      <c r="BA32" s="264">
        <f t="shared" ca="1" si="30"/>
        <v>0</v>
      </c>
      <c r="BB32" s="264">
        <f t="shared" ca="1" si="31"/>
        <v>0</v>
      </c>
      <c r="BC32" s="264">
        <f t="shared" ca="1" si="32"/>
        <v>0</v>
      </c>
      <c r="BD32" s="264">
        <f t="shared" ca="1" si="33"/>
        <v>0</v>
      </c>
      <c r="BE32" s="264">
        <f t="shared" ca="1" si="34"/>
        <v>0</v>
      </c>
      <c r="BF32" s="264">
        <f t="shared" ca="1" si="35"/>
        <v>0</v>
      </c>
      <c r="BG32" s="264">
        <f t="shared" ca="1" si="36"/>
        <v>0</v>
      </c>
      <c r="BH32" s="264">
        <f t="shared" ca="1" si="75"/>
        <v>0</v>
      </c>
      <c r="BI32" s="264">
        <f t="shared" ca="1" si="76"/>
        <v>0</v>
      </c>
      <c r="BJ32" s="264">
        <f t="shared" ca="1" si="37"/>
        <v>0</v>
      </c>
      <c r="BK32" s="264">
        <f t="shared" ca="1" si="38"/>
        <v>0</v>
      </c>
      <c r="BL32" s="264">
        <f t="shared" ca="1" si="39"/>
        <v>0</v>
      </c>
      <c r="BM32" s="264">
        <f t="shared" ca="1" si="40"/>
        <v>0</v>
      </c>
      <c r="BN32" s="264">
        <f t="shared" ca="1" si="41"/>
        <v>0</v>
      </c>
      <c r="BO32" s="264">
        <f t="shared" ca="1" si="42"/>
        <v>0</v>
      </c>
      <c r="BP32" s="264">
        <f t="shared" ca="1" si="77"/>
        <v>0</v>
      </c>
      <c r="BQ32" s="264">
        <f t="shared" ca="1" si="78"/>
        <v>0</v>
      </c>
      <c r="BR32" s="264">
        <f t="shared" ca="1" si="43"/>
        <v>0</v>
      </c>
      <c r="BS32" s="264">
        <f t="shared" ca="1" si="44"/>
        <v>0</v>
      </c>
      <c r="BT32" s="264">
        <f t="shared" ca="1" si="79"/>
        <v>0</v>
      </c>
      <c r="BU32" s="264">
        <f t="shared" ca="1" si="80"/>
        <v>0</v>
      </c>
      <c r="BV32" s="264">
        <f t="shared" ca="1" si="81"/>
        <v>0</v>
      </c>
      <c r="BW32" s="264">
        <f t="shared" ca="1" si="82"/>
        <v>0</v>
      </c>
      <c r="BX32" s="264">
        <f t="shared" ca="1" si="45"/>
        <v>0</v>
      </c>
      <c r="BY32" s="264">
        <f t="shared" ca="1" si="46"/>
        <v>0</v>
      </c>
      <c r="BZ32" s="264">
        <f t="shared" ca="1" si="47"/>
        <v>0</v>
      </c>
      <c r="CA32" s="264">
        <f t="shared" ca="1" si="48"/>
        <v>0</v>
      </c>
      <c r="CB32" s="264">
        <f t="shared" ca="1" si="49"/>
        <v>0</v>
      </c>
      <c r="CC32" s="264">
        <f t="shared" ca="1" si="50"/>
        <v>0</v>
      </c>
      <c r="CD32" s="264">
        <f t="shared" ca="1" si="83"/>
        <v>0</v>
      </c>
      <c r="CE32" s="264">
        <f t="shared" ca="1" si="84"/>
        <v>0</v>
      </c>
      <c r="CF32" s="264">
        <f t="shared" ca="1" si="85"/>
        <v>0</v>
      </c>
      <c r="CG32" s="264">
        <f t="shared" ca="1" si="86"/>
        <v>0</v>
      </c>
      <c r="CH32" s="264">
        <f t="shared" ca="1" si="51"/>
        <v>0</v>
      </c>
      <c r="CI32" s="264">
        <f t="shared" ca="1" si="52"/>
        <v>0</v>
      </c>
      <c r="CJ32" s="264">
        <f t="shared" ca="1" si="87"/>
        <v>0</v>
      </c>
      <c r="CK32" s="264">
        <f t="shared" ca="1" si="88"/>
        <v>0</v>
      </c>
      <c r="CL32" s="264">
        <f t="shared" ca="1" si="53"/>
        <v>0</v>
      </c>
      <c r="CM32" s="264">
        <f t="shared" ca="1" si="54"/>
        <v>0</v>
      </c>
      <c r="CN32" s="264">
        <f t="shared" ca="1" si="55"/>
        <v>0</v>
      </c>
      <c r="CO32" s="264">
        <f t="shared" ca="1" si="56"/>
        <v>0</v>
      </c>
      <c r="CP32" s="264">
        <f t="shared" ca="1" si="89"/>
        <v>0</v>
      </c>
      <c r="CQ32" s="264">
        <f t="shared" ca="1" si="90"/>
        <v>0</v>
      </c>
      <c r="CR32" s="264">
        <f t="shared" ca="1" si="91"/>
        <v>0</v>
      </c>
      <c r="CS32" s="264">
        <f t="shared" ca="1" si="92"/>
        <v>0</v>
      </c>
      <c r="CT32" s="264">
        <f t="shared" ca="1" si="57"/>
        <v>0</v>
      </c>
      <c r="CU32" s="264">
        <f t="shared" ca="1" si="58"/>
        <v>0</v>
      </c>
      <c r="CV32" s="264">
        <f t="shared" ca="1" si="59"/>
        <v>0</v>
      </c>
      <c r="CW32" s="264">
        <f t="shared" ca="1" si="60"/>
        <v>0</v>
      </c>
      <c r="CX32" s="264">
        <f t="shared" ca="1" si="93"/>
        <v>0</v>
      </c>
      <c r="CY32" s="264">
        <f t="shared" ca="1" si="94"/>
        <v>0</v>
      </c>
      <c r="CZ32" s="264">
        <f t="shared" ca="1" si="95"/>
        <v>0</v>
      </c>
      <c r="DA32" s="264">
        <f t="shared" ca="1" si="96"/>
        <v>0</v>
      </c>
    </row>
    <row r="33" spans="1:105" s="261" customFormat="1" ht="15" customHeight="1">
      <c r="A33" s="63">
        <f t="array" aca="1" ref="A33" ca="1">IF(C33&lt;&gt;0,SUM(($C$11:C33&lt;&gt;0)*1),"")</f>
        <v>23</v>
      </c>
      <c r="B33" s="262" t="str">
        <f ca="1">IF(ROWS($1:23)&gt;COUNT(Dong6),"",OFFSET(TH!C$1,SMALL(Dong6,ROWS($1:23)),))</f>
        <v/>
      </c>
      <c r="C33" s="262" t="str">
        <f ca="1">IF(ROWS($1:23)&gt;COUNT(Dong6),"",OFFSET(TH!D$1,SMALL(Dong6,ROWS($1:23)),))</f>
        <v/>
      </c>
      <c r="D33" s="262" t="str">
        <f ca="1">IF(ROWS($1:23)&gt;COUNT(Dong6),"",OFFSET(TH!E$1,SMALL(Dong6,ROWS($1:23)),))</f>
        <v/>
      </c>
      <c r="E33" s="310" t="str">
        <f ca="1">IF(ROWS($1:23)&gt;COUNT(Dong6),"",OFFSET(TH!F$1,SMALL(Dong6,ROWS($1:23)),))</f>
        <v/>
      </c>
      <c r="F33" s="311" t="str">
        <f ca="1">IF(ROWS($1:23)&gt;COUNT(Dong6),"",OFFSET(TH!M$1,SMALL(Dong6,ROWS($1:23)),))</f>
        <v/>
      </c>
      <c r="G33" s="312" t="str">
        <f ca="1">IF(ROWS($1:23)&gt;COUNT(Dong6),"",OFFSET(TH!N$1,SMALL(Dong6,ROWS($1:23)),))</f>
        <v/>
      </c>
      <c r="H33" s="312" t="str">
        <f ca="1">IF(ROWS($1:23)&gt;COUNT(Dong6),"",OFFSET(TH!O$1,SMALL(Dong6,ROWS($1:23)),))</f>
        <v/>
      </c>
      <c r="I33" s="63">
        <f t="shared" ca="1" si="0"/>
        <v>23</v>
      </c>
      <c r="J33" s="264">
        <f t="shared" ca="1" si="61"/>
        <v>0</v>
      </c>
      <c r="K33" s="264">
        <f t="shared" ca="1" si="62"/>
        <v>0</v>
      </c>
      <c r="L33" s="264">
        <f t="shared" ca="1" si="1"/>
        <v>0</v>
      </c>
      <c r="M33" s="264">
        <f t="shared" ca="1" si="2"/>
        <v>0</v>
      </c>
      <c r="N33" s="264">
        <f t="shared" ca="1" si="3"/>
        <v>0</v>
      </c>
      <c r="O33" s="264">
        <f t="shared" ca="1" si="4"/>
        <v>0</v>
      </c>
      <c r="P33" s="264">
        <f t="shared" ca="1" si="5"/>
        <v>0</v>
      </c>
      <c r="Q33" s="264">
        <f t="shared" ca="1" si="6"/>
        <v>0</v>
      </c>
      <c r="R33" s="264">
        <f t="shared" ca="1" si="7"/>
        <v>0</v>
      </c>
      <c r="S33" s="264">
        <f t="shared" ca="1" si="8"/>
        <v>0</v>
      </c>
      <c r="T33" s="264">
        <f t="shared" ca="1" si="9"/>
        <v>0</v>
      </c>
      <c r="U33" s="264">
        <f t="shared" ca="1" si="10"/>
        <v>0</v>
      </c>
      <c r="V33" s="264">
        <f t="shared" ca="1" si="11"/>
        <v>0</v>
      </c>
      <c r="W33" s="264">
        <f t="shared" ca="1" si="12"/>
        <v>0</v>
      </c>
      <c r="X33" s="264">
        <f t="shared" ca="1" si="13"/>
        <v>0</v>
      </c>
      <c r="Y33" s="264">
        <f t="shared" ca="1" si="14"/>
        <v>0</v>
      </c>
      <c r="Z33" s="264">
        <f t="shared" ca="1" si="15"/>
        <v>0</v>
      </c>
      <c r="AA33" s="264">
        <f t="shared" ca="1" si="16"/>
        <v>0</v>
      </c>
      <c r="AB33" s="264">
        <f t="shared" ca="1" si="63"/>
        <v>0</v>
      </c>
      <c r="AC33" s="264">
        <f t="shared" ca="1" si="64"/>
        <v>0</v>
      </c>
      <c r="AD33" s="264">
        <f t="shared" ca="1" si="17"/>
        <v>0</v>
      </c>
      <c r="AE33" s="264">
        <f t="shared" ca="1" si="18"/>
        <v>0</v>
      </c>
      <c r="AF33" s="264">
        <f t="shared" ca="1" si="19"/>
        <v>0</v>
      </c>
      <c r="AG33" s="264">
        <f t="shared" ca="1" si="20"/>
        <v>0</v>
      </c>
      <c r="AH33" s="264">
        <f t="shared" ca="1" si="65"/>
        <v>0</v>
      </c>
      <c r="AI33" s="264">
        <f t="shared" ca="1" si="66"/>
        <v>0</v>
      </c>
      <c r="AJ33" s="264">
        <f t="shared" ca="1" si="67"/>
        <v>0</v>
      </c>
      <c r="AK33" s="264">
        <f t="shared" ca="1" si="68"/>
        <v>0</v>
      </c>
      <c r="AL33" s="264">
        <f t="shared" ca="1" si="69"/>
        <v>0</v>
      </c>
      <c r="AM33" s="264">
        <f t="shared" ca="1" si="70"/>
        <v>0</v>
      </c>
      <c r="AN33" s="264">
        <f t="shared" ca="1" si="71"/>
        <v>0</v>
      </c>
      <c r="AO33" s="264">
        <f t="shared" ca="1" si="72"/>
        <v>0</v>
      </c>
      <c r="AP33" s="264">
        <f t="shared" ca="1" si="21"/>
        <v>0</v>
      </c>
      <c r="AQ33" s="264">
        <f t="shared" ca="1" si="22"/>
        <v>0</v>
      </c>
      <c r="AR33" s="264">
        <f t="shared" ca="1" si="23"/>
        <v>0</v>
      </c>
      <c r="AS33" s="264">
        <f t="shared" ca="1" si="24"/>
        <v>0</v>
      </c>
      <c r="AT33" s="264">
        <f t="shared" ca="1" si="73"/>
        <v>0</v>
      </c>
      <c r="AU33" s="264">
        <f t="shared" ca="1" si="74"/>
        <v>0</v>
      </c>
      <c r="AV33" s="264">
        <f t="shared" ca="1" si="25"/>
        <v>0</v>
      </c>
      <c r="AW33" s="264">
        <f t="shared" ca="1" si="26"/>
        <v>0</v>
      </c>
      <c r="AX33" s="264">
        <f t="shared" ca="1" si="27"/>
        <v>0</v>
      </c>
      <c r="AY33" s="264">
        <f t="shared" ca="1" si="28"/>
        <v>0</v>
      </c>
      <c r="AZ33" s="264">
        <f t="shared" ca="1" si="29"/>
        <v>0</v>
      </c>
      <c r="BA33" s="264">
        <f t="shared" ca="1" si="30"/>
        <v>0</v>
      </c>
      <c r="BB33" s="264">
        <f t="shared" ca="1" si="31"/>
        <v>0</v>
      </c>
      <c r="BC33" s="264">
        <f t="shared" ca="1" si="32"/>
        <v>0</v>
      </c>
      <c r="BD33" s="264">
        <f t="shared" ca="1" si="33"/>
        <v>0</v>
      </c>
      <c r="BE33" s="264">
        <f t="shared" ca="1" si="34"/>
        <v>0</v>
      </c>
      <c r="BF33" s="264">
        <f t="shared" ca="1" si="35"/>
        <v>0</v>
      </c>
      <c r="BG33" s="264">
        <f t="shared" ca="1" si="36"/>
        <v>0</v>
      </c>
      <c r="BH33" s="264">
        <f t="shared" ca="1" si="75"/>
        <v>0</v>
      </c>
      <c r="BI33" s="264">
        <f t="shared" ca="1" si="76"/>
        <v>0</v>
      </c>
      <c r="BJ33" s="264">
        <f t="shared" ca="1" si="37"/>
        <v>0</v>
      </c>
      <c r="BK33" s="264">
        <f t="shared" ca="1" si="38"/>
        <v>0</v>
      </c>
      <c r="BL33" s="264">
        <f t="shared" ca="1" si="39"/>
        <v>0</v>
      </c>
      <c r="BM33" s="264">
        <f t="shared" ca="1" si="40"/>
        <v>0</v>
      </c>
      <c r="BN33" s="264">
        <f t="shared" ca="1" si="41"/>
        <v>0</v>
      </c>
      <c r="BO33" s="264">
        <f t="shared" ca="1" si="42"/>
        <v>0</v>
      </c>
      <c r="BP33" s="264">
        <f t="shared" ca="1" si="77"/>
        <v>0</v>
      </c>
      <c r="BQ33" s="264">
        <f t="shared" ca="1" si="78"/>
        <v>0</v>
      </c>
      <c r="BR33" s="264">
        <f t="shared" ca="1" si="43"/>
        <v>0</v>
      </c>
      <c r="BS33" s="264">
        <f t="shared" ca="1" si="44"/>
        <v>0</v>
      </c>
      <c r="BT33" s="264">
        <f t="shared" ca="1" si="79"/>
        <v>0</v>
      </c>
      <c r="BU33" s="264">
        <f t="shared" ca="1" si="80"/>
        <v>0</v>
      </c>
      <c r="BV33" s="264">
        <f t="shared" ca="1" si="81"/>
        <v>0</v>
      </c>
      <c r="BW33" s="264">
        <f t="shared" ca="1" si="82"/>
        <v>0</v>
      </c>
      <c r="BX33" s="264">
        <f t="shared" ca="1" si="45"/>
        <v>0</v>
      </c>
      <c r="BY33" s="264">
        <f t="shared" ca="1" si="46"/>
        <v>0</v>
      </c>
      <c r="BZ33" s="264">
        <f t="shared" ca="1" si="47"/>
        <v>0</v>
      </c>
      <c r="CA33" s="264">
        <f t="shared" ca="1" si="48"/>
        <v>0</v>
      </c>
      <c r="CB33" s="264">
        <f t="shared" ca="1" si="49"/>
        <v>0</v>
      </c>
      <c r="CC33" s="264">
        <f t="shared" ca="1" si="50"/>
        <v>0</v>
      </c>
      <c r="CD33" s="264">
        <f t="shared" ca="1" si="83"/>
        <v>0</v>
      </c>
      <c r="CE33" s="264">
        <f t="shared" ca="1" si="84"/>
        <v>0</v>
      </c>
      <c r="CF33" s="264">
        <f t="shared" ca="1" si="85"/>
        <v>0</v>
      </c>
      <c r="CG33" s="264">
        <f t="shared" ca="1" si="86"/>
        <v>0</v>
      </c>
      <c r="CH33" s="264">
        <f t="shared" ca="1" si="51"/>
        <v>0</v>
      </c>
      <c r="CI33" s="264">
        <f t="shared" ca="1" si="52"/>
        <v>0</v>
      </c>
      <c r="CJ33" s="264">
        <f t="shared" ca="1" si="87"/>
        <v>0</v>
      </c>
      <c r="CK33" s="264">
        <f t="shared" ca="1" si="88"/>
        <v>0</v>
      </c>
      <c r="CL33" s="264">
        <f t="shared" ca="1" si="53"/>
        <v>0</v>
      </c>
      <c r="CM33" s="264">
        <f t="shared" ca="1" si="54"/>
        <v>0</v>
      </c>
      <c r="CN33" s="264">
        <f t="shared" ca="1" si="55"/>
        <v>0</v>
      </c>
      <c r="CO33" s="264">
        <f t="shared" ca="1" si="56"/>
        <v>0</v>
      </c>
      <c r="CP33" s="264">
        <f t="shared" ca="1" si="89"/>
        <v>0</v>
      </c>
      <c r="CQ33" s="264">
        <f t="shared" ca="1" si="90"/>
        <v>0</v>
      </c>
      <c r="CR33" s="264">
        <f t="shared" ca="1" si="91"/>
        <v>0</v>
      </c>
      <c r="CS33" s="264">
        <f t="shared" ca="1" si="92"/>
        <v>0</v>
      </c>
      <c r="CT33" s="264">
        <f t="shared" ca="1" si="57"/>
        <v>0</v>
      </c>
      <c r="CU33" s="264">
        <f t="shared" ca="1" si="58"/>
        <v>0</v>
      </c>
      <c r="CV33" s="264">
        <f t="shared" ca="1" si="59"/>
        <v>0</v>
      </c>
      <c r="CW33" s="264">
        <f t="shared" ca="1" si="60"/>
        <v>0</v>
      </c>
      <c r="CX33" s="264">
        <f t="shared" ca="1" si="93"/>
        <v>0</v>
      </c>
      <c r="CY33" s="264">
        <f t="shared" ca="1" si="94"/>
        <v>0</v>
      </c>
      <c r="CZ33" s="264">
        <f t="shared" ca="1" si="95"/>
        <v>0</v>
      </c>
      <c r="DA33" s="264">
        <f t="shared" ca="1" si="96"/>
        <v>0</v>
      </c>
    </row>
    <row r="34" spans="1:105" s="261" customFormat="1" ht="15" customHeight="1">
      <c r="A34" s="63">
        <f t="array" aca="1" ref="A34" ca="1">IF(C34&lt;&gt;0,SUM(($C$11:C34&lt;&gt;0)*1),"")</f>
        <v>24</v>
      </c>
      <c r="B34" s="262" t="str">
        <f ca="1">IF(ROWS($1:24)&gt;COUNT(Dong6),"",OFFSET(TH!C$1,SMALL(Dong6,ROWS($1:24)),))</f>
        <v/>
      </c>
      <c r="C34" s="262" t="str">
        <f ca="1">IF(ROWS($1:24)&gt;COUNT(Dong6),"",OFFSET(TH!D$1,SMALL(Dong6,ROWS($1:24)),))</f>
        <v/>
      </c>
      <c r="D34" s="262" t="str">
        <f ca="1">IF(ROWS($1:24)&gt;COUNT(Dong6),"",OFFSET(TH!E$1,SMALL(Dong6,ROWS($1:24)),))</f>
        <v/>
      </c>
      <c r="E34" s="310" t="str">
        <f ca="1">IF(ROWS($1:24)&gt;COUNT(Dong6),"",OFFSET(TH!F$1,SMALL(Dong6,ROWS($1:24)),))</f>
        <v/>
      </c>
      <c r="F34" s="311" t="str">
        <f ca="1">IF(ROWS($1:24)&gt;COUNT(Dong6),"",OFFSET(TH!M$1,SMALL(Dong6,ROWS($1:24)),))</f>
        <v/>
      </c>
      <c r="G34" s="312" t="str">
        <f ca="1">IF(ROWS($1:24)&gt;COUNT(Dong6),"",OFFSET(TH!N$1,SMALL(Dong6,ROWS($1:24)),))</f>
        <v/>
      </c>
      <c r="H34" s="312" t="str">
        <f ca="1">IF(ROWS($1:24)&gt;COUNT(Dong6),"",OFFSET(TH!O$1,SMALL(Dong6,ROWS($1:24)),))</f>
        <v/>
      </c>
      <c r="I34" s="63">
        <f t="shared" ca="1" si="0"/>
        <v>24</v>
      </c>
      <c r="J34" s="264">
        <f t="shared" ca="1" si="61"/>
        <v>0</v>
      </c>
      <c r="K34" s="264">
        <f t="shared" ca="1" si="62"/>
        <v>0</v>
      </c>
      <c r="L34" s="264">
        <f t="shared" ca="1" si="1"/>
        <v>0</v>
      </c>
      <c r="M34" s="264">
        <f t="shared" ca="1" si="2"/>
        <v>0</v>
      </c>
      <c r="N34" s="264">
        <f t="shared" ca="1" si="3"/>
        <v>0</v>
      </c>
      <c r="O34" s="264">
        <f t="shared" ca="1" si="4"/>
        <v>0</v>
      </c>
      <c r="P34" s="264">
        <f t="shared" ca="1" si="5"/>
        <v>0</v>
      </c>
      <c r="Q34" s="264">
        <f t="shared" ca="1" si="6"/>
        <v>0</v>
      </c>
      <c r="R34" s="264">
        <f t="shared" ca="1" si="7"/>
        <v>0</v>
      </c>
      <c r="S34" s="264">
        <f t="shared" ca="1" si="8"/>
        <v>0</v>
      </c>
      <c r="T34" s="264">
        <f t="shared" ca="1" si="9"/>
        <v>0</v>
      </c>
      <c r="U34" s="264">
        <f t="shared" ca="1" si="10"/>
        <v>0</v>
      </c>
      <c r="V34" s="264">
        <f t="shared" ca="1" si="11"/>
        <v>0</v>
      </c>
      <c r="W34" s="264">
        <f t="shared" ca="1" si="12"/>
        <v>0</v>
      </c>
      <c r="X34" s="264">
        <f t="shared" ca="1" si="13"/>
        <v>0</v>
      </c>
      <c r="Y34" s="264">
        <f t="shared" ca="1" si="14"/>
        <v>0</v>
      </c>
      <c r="Z34" s="264">
        <f t="shared" ca="1" si="15"/>
        <v>0</v>
      </c>
      <c r="AA34" s="264">
        <f t="shared" ca="1" si="16"/>
        <v>0</v>
      </c>
      <c r="AB34" s="264">
        <f t="shared" ca="1" si="63"/>
        <v>0</v>
      </c>
      <c r="AC34" s="264">
        <f t="shared" ca="1" si="64"/>
        <v>0</v>
      </c>
      <c r="AD34" s="264">
        <f t="shared" ca="1" si="17"/>
        <v>0</v>
      </c>
      <c r="AE34" s="264">
        <f t="shared" ca="1" si="18"/>
        <v>0</v>
      </c>
      <c r="AF34" s="264">
        <f t="shared" ca="1" si="19"/>
        <v>0</v>
      </c>
      <c r="AG34" s="264">
        <f t="shared" ca="1" si="20"/>
        <v>0</v>
      </c>
      <c r="AH34" s="264">
        <f t="shared" ca="1" si="65"/>
        <v>0</v>
      </c>
      <c r="AI34" s="264">
        <f t="shared" ca="1" si="66"/>
        <v>0</v>
      </c>
      <c r="AJ34" s="264">
        <f t="shared" ca="1" si="67"/>
        <v>0</v>
      </c>
      <c r="AK34" s="264">
        <f t="shared" ca="1" si="68"/>
        <v>0</v>
      </c>
      <c r="AL34" s="264">
        <f t="shared" ca="1" si="69"/>
        <v>0</v>
      </c>
      <c r="AM34" s="264">
        <f t="shared" ca="1" si="70"/>
        <v>0</v>
      </c>
      <c r="AN34" s="264">
        <f t="shared" ca="1" si="71"/>
        <v>0</v>
      </c>
      <c r="AO34" s="264">
        <f t="shared" ca="1" si="72"/>
        <v>0</v>
      </c>
      <c r="AP34" s="264">
        <f t="shared" ca="1" si="21"/>
        <v>0</v>
      </c>
      <c r="AQ34" s="264">
        <f t="shared" ca="1" si="22"/>
        <v>0</v>
      </c>
      <c r="AR34" s="264">
        <f t="shared" ca="1" si="23"/>
        <v>0</v>
      </c>
      <c r="AS34" s="264">
        <f t="shared" ca="1" si="24"/>
        <v>0</v>
      </c>
      <c r="AT34" s="264">
        <f t="shared" ca="1" si="73"/>
        <v>0</v>
      </c>
      <c r="AU34" s="264">
        <f t="shared" ca="1" si="74"/>
        <v>0</v>
      </c>
      <c r="AV34" s="264">
        <f t="shared" ca="1" si="25"/>
        <v>0</v>
      </c>
      <c r="AW34" s="264">
        <f t="shared" ca="1" si="26"/>
        <v>0</v>
      </c>
      <c r="AX34" s="264">
        <f t="shared" ca="1" si="27"/>
        <v>0</v>
      </c>
      <c r="AY34" s="264">
        <f t="shared" ca="1" si="28"/>
        <v>0</v>
      </c>
      <c r="AZ34" s="264">
        <f t="shared" ca="1" si="29"/>
        <v>0</v>
      </c>
      <c r="BA34" s="264">
        <f t="shared" ca="1" si="30"/>
        <v>0</v>
      </c>
      <c r="BB34" s="264">
        <f t="shared" ca="1" si="31"/>
        <v>0</v>
      </c>
      <c r="BC34" s="264">
        <f t="shared" ca="1" si="32"/>
        <v>0</v>
      </c>
      <c r="BD34" s="264">
        <f t="shared" ca="1" si="33"/>
        <v>0</v>
      </c>
      <c r="BE34" s="264">
        <f t="shared" ca="1" si="34"/>
        <v>0</v>
      </c>
      <c r="BF34" s="264">
        <f t="shared" ca="1" si="35"/>
        <v>0</v>
      </c>
      <c r="BG34" s="264">
        <f t="shared" ca="1" si="36"/>
        <v>0</v>
      </c>
      <c r="BH34" s="264">
        <f t="shared" ca="1" si="75"/>
        <v>0</v>
      </c>
      <c r="BI34" s="264">
        <f t="shared" ca="1" si="76"/>
        <v>0</v>
      </c>
      <c r="BJ34" s="264">
        <f t="shared" ca="1" si="37"/>
        <v>0</v>
      </c>
      <c r="BK34" s="264">
        <f t="shared" ca="1" si="38"/>
        <v>0</v>
      </c>
      <c r="BL34" s="264">
        <f t="shared" ca="1" si="39"/>
        <v>0</v>
      </c>
      <c r="BM34" s="264">
        <f t="shared" ca="1" si="40"/>
        <v>0</v>
      </c>
      <c r="BN34" s="264">
        <f t="shared" ca="1" si="41"/>
        <v>0</v>
      </c>
      <c r="BO34" s="264">
        <f t="shared" ca="1" si="42"/>
        <v>0</v>
      </c>
      <c r="BP34" s="264">
        <f t="shared" ca="1" si="77"/>
        <v>0</v>
      </c>
      <c r="BQ34" s="264">
        <f t="shared" ca="1" si="78"/>
        <v>0</v>
      </c>
      <c r="BR34" s="264">
        <f t="shared" ca="1" si="43"/>
        <v>0</v>
      </c>
      <c r="BS34" s="264">
        <f t="shared" ca="1" si="44"/>
        <v>0</v>
      </c>
      <c r="BT34" s="264">
        <f t="shared" ca="1" si="79"/>
        <v>0</v>
      </c>
      <c r="BU34" s="264">
        <f t="shared" ca="1" si="80"/>
        <v>0</v>
      </c>
      <c r="BV34" s="264">
        <f t="shared" ca="1" si="81"/>
        <v>0</v>
      </c>
      <c r="BW34" s="264">
        <f t="shared" ca="1" si="82"/>
        <v>0</v>
      </c>
      <c r="BX34" s="264">
        <f t="shared" ca="1" si="45"/>
        <v>0</v>
      </c>
      <c r="BY34" s="264">
        <f t="shared" ca="1" si="46"/>
        <v>0</v>
      </c>
      <c r="BZ34" s="264">
        <f t="shared" ca="1" si="47"/>
        <v>0</v>
      </c>
      <c r="CA34" s="264">
        <f t="shared" ca="1" si="48"/>
        <v>0</v>
      </c>
      <c r="CB34" s="264">
        <f t="shared" ca="1" si="49"/>
        <v>0</v>
      </c>
      <c r="CC34" s="264">
        <f t="shared" ca="1" si="50"/>
        <v>0</v>
      </c>
      <c r="CD34" s="264">
        <f t="shared" ca="1" si="83"/>
        <v>0</v>
      </c>
      <c r="CE34" s="264">
        <f t="shared" ca="1" si="84"/>
        <v>0</v>
      </c>
      <c r="CF34" s="264">
        <f t="shared" ca="1" si="85"/>
        <v>0</v>
      </c>
      <c r="CG34" s="264">
        <f t="shared" ca="1" si="86"/>
        <v>0</v>
      </c>
      <c r="CH34" s="264">
        <f t="shared" ca="1" si="51"/>
        <v>0</v>
      </c>
      <c r="CI34" s="264">
        <f t="shared" ca="1" si="52"/>
        <v>0</v>
      </c>
      <c r="CJ34" s="264">
        <f t="shared" ca="1" si="87"/>
        <v>0</v>
      </c>
      <c r="CK34" s="264">
        <f t="shared" ca="1" si="88"/>
        <v>0</v>
      </c>
      <c r="CL34" s="264">
        <f t="shared" ca="1" si="53"/>
        <v>0</v>
      </c>
      <c r="CM34" s="264">
        <f t="shared" ca="1" si="54"/>
        <v>0</v>
      </c>
      <c r="CN34" s="264">
        <f t="shared" ca="1" si="55"/>
        <v>0</v>
      </c>
      <c r="CO34" s="264">
        <f t="shared" ca="1" si="56"/>
        <v>0</v>
      </c>
      <c r="CP34" s="264">
        <f t="shared" ca="1" si="89"/>
        <v>0</v>
      </c>
      <c r="CQ34" s="264">
        <f t="shared" ca="1" si="90"/>
        <v>0</v>
      </c>
      <c r="CR34" s="264">
        <f t="shared" ca="1" si="91"/>
        <v>0</v>
      </c>
      <c r="CS34" s="264">
        <f t="shared" ca="1" si="92"/>
        <v>0</v>
      </c>
      <c r="CT34" s="264">
        <f t="shared" ca="1" si="57"/>
        <v>0</v>
      </c>
      <c r="CU34" s="264">
        <f t="shared" ca="1" si="58"/>
        <v>0</v>
      </c>
      <c r="CV34" s="264">
        <f t="shared" ca="1" si="59"/>
        <v>0</v>
      </c>
      <c r="CW34" s="264">
        <f t="shared" ca="1" si="60"/>
        <v>0</v>
      </c>
      <c r="CX34" s="264">
        <f t="shared" ca="1" si="93"/>
        <v>0</v>
      </c>
      <c r="CY34" s="264">
        <f t="shared" ca="1" si="94"/>
        <v>0</v>
      </c>
      <c r="CZ34" s="264">
        <f t="shared" ca="1" si="95"/>
        <v>0</v>
      </c>
      <c r="DA34" s="264">
        <f t="shared" ca="1" si="96"/>
        <v>0</v>
      </c>
    </row>
    <row r="35" spans="1:105" s="261" customFormat="1" ht="15" customHeight="1">
      <c r="A35" s="63">
        <f t="array" aca="1" ref="A35" ca="1">IF(C35&lt;&gt;0,SUM(($C$11:C35&lt;&gt;0)*1),"")</f>
        <v>25</v>
      </c>
      <c r="B35" s="262" t="str">
        <f ca="1">IF(ROWS($1:25)&gt;COUNT(Dong6),"",OFFSET(TH!C$1,SMALL(Dong6,ROWS($1:25)),))</f>
        <v/>
      </c>
      <c r="C35" s="262" t="str">
        <f ca="1">IF(ROWS($1:25)&gt;COUNT(Dong6),"",OFFSET(TH!D$1,SMALL(Dong6,ROWS($1:25)),))</f>
        <v/>
      </c>
      <c r="D35" s="262" t="str">
        <f ca="1">IF(ROWS($1:25)&gt;COUNT(Dong6),"",OFFSET(TH!E$1,SMALL(Dong6,ROWS($1:25)),))</f>
        <v/>
      </c>
      <c r="E35" s="310" t="str">
        <f ca="1">IF(ROWS($1:25)&gt;COUNT(Dong6),"",OFFSET(TH!F$1,SMALL(Dong6,ROWS($1:25)),))</f>
        <v/>
      </c>
      <c r="F35" s="311" t="str">
        <f ca="1">IF(ROWS($1:25)&gt;COUNT(Dong6),"",OFFSET(TH!M$1,SMALL(Dong6,ROWS($1:25)),))</f>
        <v/>
      </c>
      <c r="G35" s="312" t="str">
        <f ca="1">IF(ROWS($1:25)&gt;COUNT(Dong6),"",OFFSET(TH!N$1,SMALL(Dong6,ROWS($1:25)),))</f>
        <v/>
      </c>
      <c r="H35" s="312" t="str">
        <f ca="1">IF(ROWS($1:25)&gt;COUNT(Dong6),"",OFFSET(TH!O$1,SMALL(Dong6,ROWS($1:25)),))</f>
        <v/>
      </c>
      <c r="I35" s="63">
        <f ca="1">A35</f>
        <v>25</v>
      </c>
      <c r="J35" s="264">
        <f t="shared" ca="1" si="61"/>
        <v>0</v>
      </c>
      <c r="K35" s="264">
        <f t="shared" ca="1" si="62"/>
        <v>0</v>
      </c>
      <c r="L35" s="264">
        <f t="shared" ca="1" si="1"/>
        <v>0</v>
      </c>
      <c r="M35" s="264">
        <f t="shared" ca="1" si="2"/>
        <v>0</v>
      </c>
      <c r="N35" s="264">
        <f t="shared" ca="1" si="3"/>
        <v>0</v>
      </c>
      <c r="O35" s="264">
        <f t="shared" ca="1" si="4"/>
        <v>0</v>
      </c>
      <c r="P35" s="264">
        <f t="shared" ca="1" si="5"/>
        <v>0</v>
      </c>
      <c r="Q35" s="264">
        <f t="shared" ca="1" si="6"/>
        <v>0</v>
      </c>
      <c r="R35" s="264">
        <f t="shared" ca="1" si="7"/>
        <v>0</v>
      </c>
      <c r="S35" s="264">
        <f t="shared" ca="1" si="8"/>
        <v>0</v>
      </c>
      <c r="T35" s="264">
        <f t="shared" ca="1" si="9"/>
        <v>0</v>
      </c>
      <c r="U35" s="264">
        <f t="shared" ca="1" si="10"/>
        <v>0</v>
      </c>
      <c r="V35" s="264">
        <f t="shared" ca="1" si="11"/>
        <v>0</v>
      </c>
      <c r="W35" s="264">
        <f t="shared" ca="1" si="12"/>
        <v>0</v>
      </c>
      <c r="X35" s="264">
        <f t="shared" ca="1" si="13"/>
        <v>0</v>
      </c>
      <c r="Y35" s="264">
        <f t="shared" ca="1" si="14"/>
        <v>0</v>
      </c>
      <c r="Z35" s="264">
        <f t="shared" ca="1" si="15"/>
        <v>0</v>
      </c>
      <c r="AA35" s="264">
        <f t="shared" ca="1" si="16"/>
        <v>0</v>
      </c>
      <c r="AB35" s="264">
        <f t="shared" ca="1" si="63"/>
        <v>0</v>
      </c>
      <c r="AC35" s="264">
        <f t="shared" ca="1" si="64"/>
        <v>0</v>
      </c>
      <c r="AD35" s="264">
        <f t="shared" ca="1" si="17"/>
        <v>0</v>
      </c>
      <c r="AE35" s="264">
        <f t="shared" ca="1" si="18"/>
        <v>0</v>
      </c>
      <c r="AF35" s="264">
        <f t="shared" ca="1" si="19"/>
        <v>0</v>
      </c>
      <c r="AG35" s="264">
        <f t="shared" ca="1" si="20"/>
        <v>0</v>
      </c>
      <c r="AH35" s="264">
        <f t="shared" ca="1" si="65"/>
        <v>0</v>
      </c>
      <c r="AI35" s="264">
        <f t="shared" ca="1" si="66"/>
        <v>0</v>
      </c>
      <c r="AJ35" s="264">
        <f t="shared" ca="1" si="67"/>
        <v>0</v>
      </c>
      <c r="AK35" s="264">
        <f t="shared" ca="1" si="68"/>
        <v>0</v>
      </c>
      <c r="AL35" s="264">
        <f t="shared" ca="1" si="69"/>
        <v>0</v>
      </c>
      <c r="AM35" s="264">
        <f t="shared" ca="1" si="70"/>
        <v>0</v>
      </c>
      <c r="AN35" s="264">
        <f t="shared" ca="1" si="71"/>
        <v>0</v>
      </c>
      <c r="AO35" s="264">
        <f t="shared" ca="1" si="72"/>
        <v>0</v>
      </c>
      <c r="AP35" s="264">
        <f t="shared" ca="1" si="21"/>
        <v>0</v>
      </c>
      <c r="AQ35" s="264">
        <f t="shared" ca="1" si="22"/>
        <v>0</v>
      </c>
      <c r="AR35" s="264">
        <f t="shared" ca="1" si="23"/>
        <v>0</v>
      </c>
      <c r="AS35" s="264">
        <f t="shared" ca="1" si="24"/>
        <v>0</v>
      </c>
      <c r="AT35" s="264">
        <f t="shared" ca="1" si="73"/>
        <v>0</v>
      </c>
      <c r="AU35" s="264">
        <f t="shared" ca="1" si="74"/>
        <v>0</v>
      </c>
      <c r="AV35" s="264">
        <f t="shared" ca="1" si="25"/>
        <v>0</v>
      </c>
      <c r="AW35" s="264">
        <f t="shared" ca="1" si="26"/>
        <v>0</v>
      </c>
      <c r="AX35" s="264">
        <f t="shared" ca="1" si="27"/>
        <v>0</v>
      </c>
      <c r="AY35" s="264">
        <f t="shared" ca="1" si="28"/>
        <v>0</v>
      </c>
      <c r="AZ35" s="264">
        <f t="shared" ca="1" si="29"/>
        <v>0</v>
      </c>
      <c r="BA35" s="264">
        <f t="shared" ca="1" si="30"/>
        <v>0</v>
      </c>
      <c r="BB35" s="264">
        <f t="shared" ca="1" si="31"/>
        <v>0</v>
      </c>
      <c r="BC35" s="264">
        <f t="shared" ca="1" si="32"/>
        <v>0</v>
      </c>
      <c r="BD35" s="264">
        <f t="shared" ca="1" si="33"/>
        <v>0</v>
      </c>
      <c r="BE35" s="264">
        <f t="shared" ca="1" si="34"/>
        <v>0</v>
      </c>
      <c r="BF35" s="264">
        <f t="shared" ca="1" si="35"/>
        <v>0</v>
      </c>
      <c r="BG35" s="264">
        <f t="shared" ca="1" si="36"/>
        <v>0</v>
      </c>
      <c r="BH35" s="264">
        <f t="shared" ca="1" si="75"/>
        <v>0</v>
      </c>
      <c r="BI35" s="264">
        <f t="shared" ca="1" si="76"/>
        <v>0</v>
      </c>
      <c r="BJ35" s="264">
        <f t="shared" ca="1" si="37"/>
        <v>0</v>
      </c>
      <c r="BK35" s="264">
        <f t="shared" ca="1" si="38"/>
        <v>0</v>
      </c>
      <c r="BL35" s="264">
        <f t="shared" ca="1" si="39"/>
        <v>0</v>
      </c>
      <c r="BM35" s="264">
        <f t="shared" ca="1" si="40"/>
        <v>0</v>
      </c>
      <c r="BN35" s="264">
        <f t="shared" ca="1" si="41"/>
        <v>0</v>
      </c>
      <c r="BO35" s="264">
        <f t="shared" ca="1" si="42"/>
        <v>0</v>
      </c>
      <c r="BP35" s="264">
        <f t="shared" ca="1" si="77"/>
        <v>0</v>
      </c>
      <c r="BQ35" s="264">
        <f t="shared" ca="1" si="78"/>
        <v>0</v>
      </c>
      <c r="BR35" s="264">
        <f t="shared" ca="1" si="43"/>
        <v>0</v>
      </c>
      <c r="BS35" s="264">
        <f t="shared" ca="1" si="44"/>
        <v>0</v>
      </c>
      <c r="BT35" s="264">
        <f t="shared" ca="1" si="79"/>
        <v>0</v>
      </c>
      <c r="BU35" s="264">
        <f t="shared" ca="1" si="80"/>
        <v>0</v>
      </c>
      <c r="BV35" s="264">
        <f t="shared" ca="1" si="81"/>
        <v>0</v>
      </c>
      <c r="BW35" s="264">
        <f t="shared" ca="1" si="82"/>
        <v>0</v>
      </c>
      <c r="BX35" s="264">
        <f t="shared" ca="1" si="45"/>
        <v>0</v>
      </c>
      <c r="BY35" s="264">
        <f t="shared" ca="1" si="46"/>
        <v>0</v>
      </c>
      <c r="BZ35" s="264">
        <f t="shared" ca="1" si="47"/>
        <v>0</v>
      </c>
      <c r="CA35" s="264">
        <f t="shared" ca="1" si="48"/>
        <v>0</v>
      </c>
      <c r="CB35" s="264">
        <f t="shared" ca="1" si="49"/>
        <v>0</v>
      </c>
      <c r="CC35" s="264">
        <f t="shared" ca="1" si="50"/>
        <v>0</v>
      </c>
      <c r="CD35" s="264">
        <f t="shared" ca="1" si="83"/>
        <v>0</v>
      </c>
      <c r="CE35" s="264">
        <f t="shared" ca="1" si="84"/>
        <v>0</v>
      </c>
      <c r="CF35" s="264">
        <f t="shared" ca="1" si="85"/>
        <v>0</v>
      </c>
      <c r="CG35" s="264">
        <f t="shared" ca="1" si="86"/>
        <v>0</v>
      </c>
      <c r="CH35" s="264">
        <f t="shared" ca="1" si="51"/>
        <v>0</v>
      </c>
      <c r="CI35" s="264">
        <f t="shared" ca="1" si="52"/>
        <v>0</v>
      </c>
      <c r="CJ35" s="264">
        <f t="shared" ca="1" si="87"/>
        <v>0</v>
      </c>
      <c r="CK35" s="264">
        <f t="shared" ca="1" si="88"/>
        <v>0</v>
      </c>
      <c r="CL35" s="264">
        <f t="shared" ca="1" si="53"/>
        <v>0</v>
      </c>
      <c r="CM35" s="264">
        <f t="shared" ca="1" si="54"/>
        <v>0</v>
      </c>
      <c r="CN35" s="264">
        <f t="shared" ca="1" si="55"/>
        <v>0</v>
      </c>
      <c r="CO35" s="264">
        <f t="shared" ca="1" si="56"/>
        <v>0</v>
      </c>
      <c r="CP35" s="264">
        <f t="shared" ca="1" si="89"/>
        <v>0</v>
      </c>
      <c r="CQ35" s="264">
        <f t="shared" ca="1" si="90"/>
        <v>0</v>
      </c>
      <c r="CR35" s="264">
        <f t="shared" ca="1" si="91"/>
        <v>0</v>
      </c>
      <c r="CS35" s="264">
        <f t="shared" ca="1" si="92"/>
        <v>0</v>
      </c>
      <c r="CT35" s="264">
        <f t="shared" ca="1" si="57"/>
        <v>0</v>
      </c>
      <c r="CU35" s="264">
        <f t="shared" ca="1" si="58"/>
        <v>0</v>
      </c>
      <c r="CV35" s="264">
        <f t="shared" ca="1" si="59"/>
        <v>0</v>
      </c>
      <c r="CW35" s="264">
        <f t="shared" ca="1" si="60"/>
        <v>0</v>
      </c>
      <c r="CX35" s="264">
        <f t="shared" ca="1" si="93"/>
        <v>0</v>
      </c>
      <c r="CY35" s="264">
        <f t="shared" ca="1" si="94"/>
        <v>0</v>
      </c>
      <c r="CZ35" s="264">
        <f t="shared" ca="1" si="95"/>
        <v>0</v>
      </c>
      <c r="DA35" s="264">
        <f t="shared" ca="1" si="96"/>
        <v>0</v>
      </c>
    </row>
    <row r="36" spans="1:105" s="261" customFormat="1" ht="15" customHeight="1">
      <c r="A36" s="63">
        <f t="array" aca="1" ref="A36" ca="1">IF(C36&lt;&gt;0,SUM(($C$11:C36&lt;&gt;0)*1),"")</f>
        <v>26</v>
      </c>
      <c r="B36" s="262" t="str">
        <f ca="1">IF(ROWS($1:26)&gt;COUNT(Dong6),"",OFFSET(TH!C$1,SMALL(Dong6,ROWS($1:26)),))</f>
        <v/>
      </c>
      <c r="C36" s="262" t="str">
        <f ca="1">IF(ROWS($1:26)&gt;COUNT(Dong6),"",OFFSET(TH!D$1,SMALL(Dong6,ROWS($1:26)),))</f>
        <v/>
      </c>
      <c r="D36" s="262" t="str">
        <f ca="1">IF(ROWS($1:26)&gt;COUNT(Dong6),"",OFFSET(TH!E$1,SMALL(Dong6,ROWS($1:26)),))</f>
        <v/>
      </c>
      <c r="E36" s="310" t="str">
        <f ca="1">IF(ROWS($1:26)&gt;COUNT(Dong6),"",OFFSET(TH!F$1,SMALL(Dong6,ROWS($1:26)),))</f>
        <v/>
      </c>
      <c r="F36" s="311" t="str">
        <f ca="1">IF(ROWS($1:26)&gt;COUNT(Dong6),"",OFFSET(TH!M$1,SMALL(Dong6,ROWS($1:26)),))</f>
        <v/>
      </c>
      <c r="G36" s="312" t="str">
        <f ca="1">IF(ROWS($1:26)&gt;COUNT(Dong6),"",OFFSET(TH!N$1,SMALL(Dong6,ROWS($1:26)),))</f>
        <v/>
      </c>
      <c r="H36" s="312" t="str">
        <f ca="1">IF(ROWS($1:26)&gt;COUNT(Dong6),"",OFFSET(TH!O$1,SMALL(Dong6,ROWS($1:26)),))</f>
        <v/>
      </c>
      <c r="I36" s="63">
        <f ca="1">A36</f>
        <v>26</v>
      </c>
      <c r="J36" s="264">
        <f t="shared" ca="1" si="61"/>
        <v>0</v>
      </c>
      <c r="K36" s="264">
        <f t="shared" ca="1" si="62"/>
        <v>0</v>
      </c>
      <c r="L36" s="264">
        <f t="shared" ca="1" si="1"/>
        <v>0</v>
      </c>
      <c r="M36" s="264">
        <f t="shared" ca="1" si="2"/>
        <v>0</v>
      </c>
      <c r="N36" s="264">
        <f t="shared" ca="1" si="3"/>
        <v>0</v>
      </c>
      <c r="O36" s="264">
        <f t="shared" ca="1" si="4"/>
        <v>0</v>
      </c>
      <c r="P36" s="264">
        <f t="shared" ca="1" si="5"/>
        <v>0</v>
      </c>
      <c r="Q36" s="264">
        <f t="shared" ca="1" si="6"/>
        <v>0</v>
      </c>
      <c r="R36" s="264">
        <f t="shared" ca="1" si="7"/>
        <v>0</v>
      </c>
      <c r="S36" s="264">
        <f t="shared" ca="1" si="8"/>
        <v>0</v>
      </c>
      <c r="T36" s="264">
        <f t="shared" ca="1" si="9"/>
        <v>0</v>
      </c>
      <c r="U36" s="264">
        <f t="shared" ca="1" si="10"/>
        <v>0</v>
      </c>
      <c r="V36" s="264">
        <f t="shared" ca="1" si="11"/>
        <v>0</v>
      </c>
      <c r="W36" s="264">
        <f t="shared" ca="1" si="12"/>
        <v>0</v>
      </c>
      <c r="X36" s="264">
        <f t="shared" ca="1" si="13"/>
        <v>0</v>
      </c>
      <c r="Y36" s="264">
        <f t="shared" ca="1" si="14"/>
        <v>0</v>
      </c>
      <c r="Z36" s="264">
        <f t="shared" ca="1" si="15"/>
        <v>0</v>
      </c>
      <c r="AA36" s="264">
        <f t="shared" ca="1" si="16"/>
        <v>0</v>
      </c>
      <c r="AB36" s="264">
        <f t="shared" ca="1" si="63"/>
        <v>0</v>
      </c>
      <c r="AC36" s="264">
        <f t="shared" ca="1" si="64"/>
        <v>0</v>
      </c>
      <c r="AD36" s="264">
        <f t="shared" ca="1" si="17"/>
        <v>0</v>
      </c>
      <c r="AE36" s="264">
        <f t="shared" ca="1" si="18"/>
        <v>0</v>
      </c>
      <c r="AF36" s="264">
        <f t="shared" ca="1" si="19"/>
        <v>0</v>
      </c>
      <c r="AG36" s="264">
        <f t="shared" ca="1" si="20"/>
        <v>0</v>
      </c>
      <c r="AH36" s="264">
        <f t="shared" ca="1" si="65"/>
        <v>0</v>
      </c>
      <c r="AI36" s="264">
        <f t="shared" ca="1" si="66"/>
        <v>0</v>
      </c>
      <c r="AJ36" s="264">
        <f t="shared" ca="1" si="67"/>
        <v>0</v>
      </c>
      <c r="AK36" s="264">
        <f t="shared" ca="1" si="68"/>
        <v>0</v>
      </c>
      <c r="AL36" s="264">
        <f t="shared" ca="1" si="69"/>
        <v>0</v>
      </c>
      <c r="AM36" s="264">
        <f t="shared" ca="1" si="70"/>
        <v>0</v>
      </c>
      <c r="AN36" s="264">
        <f t="shared" ca="1" si="71"/>
        <v>0</v>
      </c>
      <c r="AO36" s="264">
        <f t="shared" ca="1" si="72"/>
        <v>0</v>
      </c>
      <c r="AP36" s="264">
        <f t="shared" ca="1" si="21"/>
        <v>0</v>
      </c>
      <c r="AQ36" s="264">
        <f t="shared" ca="1" si="22"/>
        <v>0</v>
      </c>
      <c r="AR36" s="264">
        <f t="shared" ca="1" si="23"/>
        <v>0</v>
      </c>
      <c r="AS36" s="264">
        <f t="shared" ca="1" si="24"/>
        <v>0</v>
      </c>
      <c r="AT36" s="264">
        <f t="shared" ca="1" si="73"/>
        <v>0</v>
      </c>
      <c r="AU36" s="264">
        <f t="shared" ca="1" si="74"/>
        <v>0</v>
      </c>
      <c r="AV36" s="264">
        <f t="shared" ca="1" si="25"/>
        <v>0</v>
      </c>
      <c r="AW36" s="264">
        <f t="shared" ca="1" si="26"/>
        <v>0</v>
      </c>
      <c r="AX36" s="264">
        <f t="shared" ca="1" si="27"/>
        <v>0</v>
      </c>
      <c r="AY36" s="264">
        <f t="shared" ca="1" si="28"/>
        <v>0</v>
      </c>
      <c r="AZ36" s="264">
        <f t="shared" ca="1" si="29"/>
        <v>0</v>
      </c>
      <c r="BA36" s="264">
        <f t="shared" ca="1" si="30"/>
        <v>0</v>
      </c>
      <c r="BB36" s="264">
        <f t="shared" ca="1" si="31"/>
        <v>0</v>
      </c>
      <c r="BC36" s="264">
        <f t="shared" ca="1" si="32"/>
        <v>0</v>
      </c>
      <c r="BD36" s="264">
        <f t="shared" ca="1" si="33"/>
        <v>0</v>
      </c>
      <c r="BE36" s="264">
        <f t="shared" ca="1" si="34"/>
        <v>0</v>
      </c>
      <c r="BF36" s="264">
        <f t="shared" ca="1" si="35"/>
        <v>0</v>
      </c>
      <c r="BG36" s="264">
        <f t="shared" ca="1" si="36"/>
        <v>0</v>
      </c>
      <c r="BH36" s="264">
        <f t="shared" ca="1" si="75"/>
        <v>0</v>
      </c>
      <c r="BI36" s="264">
        <f t="shared" ca="1" si="76"/>
        <v>0</v>
      </c>
      <c r="BJ36" s="264">
        <f t="shared" ca="1" si="37"/>
        <v>0</v>
      </c>
      <c r="BK36" s="264">
        <f t="shared" ca="1" si="38"/>
        <v>0</v>
      </c>
      <c r="BL36" s="264">
        <f t="shared" ca="1" si="39"/>
        <v>0</v>
      </c>
      <c r="BM36" s="264">
        <f t="shared" ca="1" si="40"/>
        <v>0</v>
      </c>
      <c r="BN36" s="264">
        <f t="shared" ca="1" si="41"/>
        <v>0</v>
      </c>
      <c r="BO36" s="264">
        <f t="shared" ca="1" si="42"/>
        <v>0</v>
      </c>
      <c r="BP36" s="264">
        <f t="shared" ca="1" si="77"/>
        <v>0</v>
      </c>
      <c r="BQ36" s="264">
        <f t="shared" ca="1" si="78"/>
        <v>0</v>
      </c>
      <c r="BR36" s="264">
        <f t="shared" ca="1" si="43"/>
        <v>0</v>
      </c>
      <c r="BS36" s="264">
        <f t="shared" ca="1" si="44"/>
        <v>0</v>
      </c>
      <c r="BT36" s="264">
        <f t="shared" ca="1" si="79"/>
        <v>0</v>
      </c>
      <c r="BU36" s="264">
        <f t="shared" ca="1" si="80"/>
        <v>0</v>
      </c>
      <c r="BV36" s="264">
        <f t="shared" ca="1" si="81"/>
        <v>0</v>
      </c>
      <c r="BW36" s="264">
        <f t="shared" ca="1" si="82"/>
        <v>0</v>
      </c>
      <c r="BX36" s="264">
        <f t="shared" ca="1" si="45"/>
        <v>0</v>
      </c>
      <c r="BY36" s="264">
        <f t="shared" ca="1" si="46"/>
        <v>0</v>
      </c>
      <c r="BZ36" s="264">
        <f t="shared" ca="1" si="47"/>
        <v>0</v>
      </c>
      <c r="CA36" s="264">
        <f t="shared" ca="1" si="48"/>
        <v>0</v>
      </c>
      <c r="CB36" s="264">
        <f t="shared" ca="1" si="49"/>
        <v>0</v>
      </c>
      <c r="CC36" s="264">
        <f t="shared" ca="1" si="50"/>
        <v>0</v>
      </c>
      <c r="CD36" s="264">
        <f t="shared" ca="1" si="83"/>
        <v>0</v>
      </c>
      <c r="CE36" s="264">
        <f t="shared" ca="1" si="84"/>
        <v>0</v>
      </c>
      <c r="CF36" s="264">
        <f t="shared" ca="1" si="85"/>
        <v>0</v>
      </c>
      <c r="CG36" s="264">
        <f t="shared" ca="1" si="86"/>
        <v>0</v>
      </c>
      <c r="CH36" s="264">
        <f t="shared" ca="1" si="51"/>
        <v>0</v>
      </c>
      <c r="CI36" s="264">
        <f t="shared" ca="1" si="52"/>
        <v>0</v>
      </c>
      <c r="CJ36" s="264">
        <f t="shared" ca="1" si="87"/>
        <v>0</v>
      </c>
      <c r="CK36" s="264">
        <f t="shared" ca="1" si="88"/>
        <v>0</v>
      </c>
      <c r="CL36" s="264">
        <f t="shared" ca="1" si="53"/>
        <v>0</v>
      </c>
      <c r="CM36" s="264">
        <f t="shared" ca="1" si="54"/>
        <v>0</v>
      </c>
      <c r="CN36" s="264">
        <f t="shared" ca="1" si="55"/>
        <v>0</v>
      </c>
      <c r="CO36" s="264">
        <f t="shared" ca="1" si="56"/>
        <v>0</v>
      </c>
      <c r="CP36" s="264">
        <f t="shared" ca="1" si="89"/>
        <v>0</v>
      </c>
      <c r="CQ36" s="264">
        <f t="shared" ca="1" si="90"/>
        <v>0</v>
      </c>
      <c r="CR36" s="264">
        <f t="shared" ca="1" si="91"/>
        <v>0</v>
      </c>
      <c r="CS36" s="264">
        <f t="shared" ca="1" si="92"/>
        <v>0</v>
      </c>
      <c r="CT36" s="264">
        <f t="shared" ca="1" si="57"/>
        <v>0</v>
      </c>
      <c r="CU36" s="264">
        <f t="shared" ca="1" si="58"/>
        <v>0</v>
      </c>
      <c r="CV36" s="264">
        <f t="shared" ca="1" si="59"/>
        <v>0</v>
      </c>
      <c r="CW36" s="264">
        <f t="shared" ca="1" si="60"/>
        <v>0</v>
      </c>
      <c r="CX36" s="264">
        <f t="shared" ca="1" si="93"/>
        <v>0</v>
      </c>
      <c r="CY36" s="264">
        <f t="shared" ca="1" si="94"/>
        <v>0</v>
      </c>
      <c r="CZ36" s="264">
        <f t="shared" ca="1" si="95"/>
        <v>0</v>
      </c>
      <c r="DA36" s="264">
        <f t="shared" ca="1" si="96"/>
        <v>0</v>
      </c>
    </row>
    <row r="37" spans="1:105" s="261" customFormat="1" ht="15" customHeight="1">
      <c r="A37" s="63">
        <f t="array" aca="1" ref="A37" ca="1">IF(C37&lt;&gt;0,SUM(($C$11:C37&lt;&gt;0)*1),"")</f>
        <v>27</v>
      </c>
      <c r="B37" s="262" t="str">
        <f ca="1">IF(ROWS($1:27)&gt;COUNT(Dong6),"",OFFSET(TH!C$1,SMALL(Dong6,ROWS($1:27)),))</f>
        <v/>
      </c>
      <c r="C37" s="262" t="str">
        <f ca="1">IF(ROWS($1:27)&gt;COUNT(Dong6),"",OFFSET(TH!D$1,SMALL(Dong6,ROWS($1:27)),))</f>
        <v/>
      </c>
      <c r="D37" s="262" t="str">
        <f ca="1">IF(ROWS($1:27)&gt;COUNT(Dong6),"",OFFSET(TH!E$1,SMALL(Dong6,ROWS($1:27)),))</f>
        <v/>
      </c>
      <c r="E37" s="310" t="str">
        <f ca="1">IF(ROWS($1:27)&gt;COUNT(Dong6),"",OFFSET(TH!F$1,SMALL(Dong6,ROWS($1:27)),))</f>
        <v/>
      </c>
      <c r="F37" s="311" t="str">
        <f ca="1">IF(ROWS($1:27)&gt;COUNT(Dong6),"",OFFSET(TH!M$1,SMALL(Dong6,ROWS($1:27)),))</f>
        <v/>
      </c>
      <c r="G37" s="312" t="str">
        <f ca="1">IF(ROWS($1:27)&gt;COUNT(Dong6),"",OFFSET(TH!N$1,SMALL(Dong6,ROWS($1:27)),))</f>
        <v/>
      </c>
      <c r="H37" s="312" t="str">
        <f ca="1">IF(ROWS($1:27)&gt;COUNT(Dong6),"",OFFSET(TH!O$1,SMALL(Dong6,ROWS($1:27)),))</f>
        <v/>
      </c>
      <c r="I37" s="63">
        <f ca="1">A37</f>
        <v>27</v>
      </c>
      <c r="J37" s="264">
        <f t="shared" ca="1" si="61"/>
        <v>0</v>
      </c>
      <c r="K37" s="264">
        <f t="shared" ca="1" si="62"/>
        <v>0</v>
      </c>
      <c r="L37" s="264">
        <f t="shared" ca="1" si="1"/>
        <v>0</v>
      </c>
      <c r="M37" s="264">
        <f t="shared" ca="1" si="2"/>
        <v>0</v>
      </c>
      <c r="N37" s="264">
        <f t="shared" ca="1" si="3"/>
        <v>0</v>
      </c>
      <c r="O37" s="264">
        <f t="shared" ca="1" si="4"/>
        <v>0</v>
      </c>
      <c r="P37" s="264">
        <f t="shared" ca="1" si="5"/>
        <v>0</v>
      </c>
      <c r="Q37" s="264">
        <f t="shared" ca="1" si="6"/>
        <v>0</v>
      </c>
      <c r="R37" s="264">
        <f t="shared" ca="1" si="7"/>
        <v>0</v>
      </c>
      <c r="S37" s="264">
        <f t="shared" ca="1" si="8"/>
        <v>0</v>
      </c>
      <c r="T37" s="264">
        <f t="shared" ca="1" si="9"/>
        <v>0</v>
      </c>
      <c r="U37" s="264">
        <f t="shared" ca="1" si="10"/>
        <v>0</v>
      </c>
      <c r="V37" s="264">
        <f t="shared" ca="1" si="11"/>
        <v>0</v>
      </c>
      <c r="W37" s="264">
        <f t="shared" ca="1" si="12"/>
        <v>0</v>
      </c>
      <c r="X37" s="264">
        <f t="shared" ca="1" si="13"/>
        <v>0</v>
      </c>
      <c r="Y37" s="264">
        <f t="shared" ca="1" si="14"/>
        <v>0</v>
      </c>
      <c r="Z37" s="264">
        <f t="shared" ca="1" si="15"/>
        <v>0</v>
      </c>
      <c r="AA37" s="264">
        <f t="shared" ca="1" si="16"/>
        <v>0</v>
      </c>
      <c r="AB37" s="264">
        <f t="shared" ca="1" si="63"/>
        <v>0</v>
      </c>
      <c r="AC37" s="264">
        <f t="shared" ca="1" si="64"/>
        <v>0</v>
      </c>
      <c r="AD37" s="264">
        <f t="shared" ca="1" si="17"/>
        <v>0</v>
      </c>
      <c r="AE37" s="264">
        <f t="shared" ca="1" si="18"/>
        <v>0</v>
      </c>
      <c r="AF37" s="264">
        <f t="shared" ca="1" si="19"/>
        <v>0</v>
      </c>
      <c r="AG37" s="264">
        <f t="shared" ca="1" si="20"/>
        <v>0</v>
      </c>
      <c r="AH37" s="264">
        <f t="shared" ca="1" si="65"/>
        <v>0</v>
      </c>
      <c r="AI37" s="264">
        <f t="shared" ca="1" si="66"/>
        <v>0</v>
      </c>
      <c r="AJ37" s="264">
        <f t="shared" ca="1" si="67"/>
        <v>0</v>
      </c>
      <c r="AK37" s="264">
        <f t="shared" ca="1" si="68"/>
        <v>0</v>
      </c>
      <c r="AL37" s="264">
        <f t="shared" ca="1" si="69"/>
        <v>0</v>
      </c>
      <c r="AM37" s="264">
        <f t="shared" ca="1" si="70"/>
        <v>0</v>
      </c>
      <c r="AN37" s="264">
        <f t="shared" ca="1" si="71"/>
        <v>0</v>
      </c>
      <c r="AO37" s="264">
        <f t="shared" ca="1" si="72"/>
        <v>0</v>
      </c>
      <c r="AP37" s="264">
        <f t="shared" ca="1" si="21"/>
        <v>0</v>
      </c>
      <c r="AQ37" s="264">
        <f t="shared" ca="1" si="22"/>
        <v>0</v>
      </c>
      <c r="AR37" s="264">
        <f t="shared" ca="1" si="23"/>
        <v>0</v>
      </c>
      <c r="AS37" s="264">
        <f t="shared" ca="1" si="24"/>
        <v>0</v>
      </c>
      <c r="AT37" s="264">
        <f t="shared" ca="1" si="73"/>
        <v>0</v>
      </c>
      <c r="AU37" s="264">
        <f t="shared" ca="1" si="74"/>
        <v>0</v>
      </c>
      <c r="AV37" s="264">
        <f t="shared" ca="1" si="25"/>
        <v>0</v>
      </c>
      <c r="AW37" s="264">
        <f t="shared" ca="1" si="26"/>
        <v>0</v>
      </c>
      <c r="AX37" s="264">
        <f t="shared" ca="1" si="27"/>
        <v>0</v>
      </c>
      <c r="AY37" s="264">
        <f t="shared" ca="1" si="28"/>
        <v>0</v>
      </c>
      <c r="AZ37" s="264">
        <f t="shared" ca="1" si="29"/>
        <v>0</v>
      </c>
      <c r="BA37" s="264">
        <f t="shared" ca="1" si="30"/>
        <v>0</v>
      </c>
      <c r="BB37" s="264">
        <f t="shared" ca="1" si="31"/>
        <v>0</v>
      </c>
      <c r="BC37" s="264">
        <f t="shared" ca="1" si="32"/>
        <v>0</v>
      </c>
      <c r="BD37" s="264">
        <f t="shared" ca="1" si="33"/>
        <v>0</v>
      </c>
      <c r="BE37" s="264">
        <f t="shared" ca="1" si="34"/>
        <v>0</v>
      </c>
      <c r="BF37" s="264">
        <f t="shared" ca="1" si="35"/>
        <v>0</v>
      </c>
      <c r="BG37" s="264">
        <f t="shared" ca="1" si="36"/>
        <v>0</v>
      </c>
      <c r="BH37" s="264">
        <f t="shared" ca="1" si="75"/>
        <v>0</v>
      </c>
      <c r="BI37" s="264">
        <f t="shared" ca="1" si="76"/>
        <v>0</v>
      </c>
      <c r="BJ37" s="264">
        <f t="shared" ca="1" si="37"/>
        <v>0</v>
      </c>
      <c r="BK37" s="264">
        <f t="shared" ca="1" si="38"/>
        <v>0</v>
      </c>
      <c r="BL37" s="264">
        <f t="shared" ca="1" si="39"/>
        <v>0</v>
      </c>
      <c r="BM37" s="264">
        <f t="shared" ca="1" si="40"/>
        <v>0</v>
      </c>
      <c r="BN37" s="264">
        <f t="shared" ca="1" si="41"/>
        <v>0</v>
      </c>
      <c r="BO37" s="264">
        <f t="shared" ca="1" si="42"/>
        <v>0</v>
      </c>
      <c r="BP37" s="264">
        <f t="shared" ca="1" si="77"/>
        <v>0</v>
      </c>
      <c r="BQ37" s="264">
        <f t="shared" ca="1" si="78"/>
        <v>0</v>
      </c>
      <c r="BR37" s="264">
        <f t="shared" ca="1" si="43"/>
        <v>0</v>
      </c>
      <c r="BS37" s="264">
        <f t="shared" ca="1" si="44"/>
        <v>0</v>
      </c>
      <c r="BT37" s="264">
        <f t="shared" ca="1" si="79"/>
        <v>0</v>
      </c>
      <c r="BU37" s="264">
        <f t="shared" ca="1" si="80"/>
        <v>0</v>
      </c>
      <c r="BV37" s="264">
        <f t="shared" ca="1" si="81"/>
        <v>0</v>
      </c>
      <c r="BW37" s="264">
        <f t="shared" ca="1" si="82"/>
        <v>0</v>
      </c>
      <c r="BX37" s="264">
        <f t="shared" ca="1" si="45"/>
        <v>0</v>
      </c>
      <c r="BY37" s="264">
        <f t="shared" ca="1" si="46"/>
        <v>0</v>
      </c>
      <c r="BZ37" s="264">
        <f t="shared" ca="1" si="47"/>
        <v>0</v>
      </c>
      <c r="CA37" s="264">
        <f t="shared" ca="1" si="48"/>
        <v>0</v>
      </c>
      <c r="CB37" s="264">
        <f t="shared" ca="1" si="49"/>
        <v>0</v>
      </c>
      <c r="CC37" s="264">
        <f t="shared" ca="1" si="50"/>
        <v>0</v>
      </c>
      <c r="CD37" s="264">
        <f t="shared" ca="1" si="83"/>
        <v>0</v>
      </c>
      <c r="CE37" s="264">
        <f t="shared" ca="1" si="84"/>
        <v>0</v>
      </c>
      <c r="CF37" s="264">
        <f t="shared" ca="1" si="85"/>
        <v>0</v>
      </c>
      <c r="CG37" s="264">
        <f t="shared" ca="1" si="86"/>
        <v>0</v>
      </c>
      <c r="CH37" s="264">
        <f t="shared" ca="1" si="51"/>
        <v>0</v>
      </c>
      <c r="CI37" s="264">
        <f t="shared" ca="1" si="52"/>
        <v>0</v>
      </c>
      <c r="CJ37" s="264">
        <f t="shared" ca="1" si="87"/>
        <v>0</v>
      </c>
      <c r="CK37" s="264">
        <f t="shared" ca="1" si="88"/>
        <v>0</v>
      </c>
      <c r="CL37" s="264">
        <f t="shared" ca="1" si="53"/>
        <v>0</v>
      </c>
      <c r="CM37" s="264">
        <f t="shared" ca="1" si="54"/>
        <v>0</v>
      </c>
      <c r="CN37" s="264">
        <f t="shared" ca="1" si="55"/>
        <v>0</v>
      </c>
      <c r="CO37" s="264">
        <f t="shared" ca="1" si="56"/>
        <v>0</v>
      </c>
      <c r="CP37" s="264">
        <f t="shared" ca="1" si="89"/>
        <v>0</v>
      </c>
      <c r="CQ37" s="264">
        <f t="shared" ca="1" si="90"/>
        <v>0</v>
      </c>
      <c r="CR37" s="264">
        <f t="shared" ca="1" si="91"/>
        <v>0</v>
      </c>
      <c r="CS37" s="264">
        <f t="shared" ca="1" si="92"/>
        <v>0</v>
      </c>
      <c r="CT37" s="264">
        <f t="shared" ca="1" si="57"/>
        <v>0</v>
      </c>
      <c r="CU37" s="264">
        <f t="shared" ca="1" si="58"/>
        <v>0</v>
      </c>
      <c r="CV37" s="264">
        <f t="shared" ca="1" si="59"/>
        <v>0</v>
      </c>
      <c r="CW37" s="264">
        <f t="shared" ca="1" si="60"/>
        <v>0</v>
      </c>
      <c r="CX37" s="264">
        <f t="shared" ca="1" si="93"/>
        <v>0</v>
      </c>
      <c r="CY37" s="264">
        <f t="shared" ca="1" si="94"/>
        <v>0</v>
      </c>
      <c r="CZ37" s="264">
        <f t="shared" ca="1" si="95"/>
        <v>0</v>
      </c>
      <c r="DA37" s="264">
        <f t="shared" ca="1" si="96"/>
        <v>0</v>
      </c>
    </row>
    <row r="38" spans="1:105" s="261" customFormat="1" ht="15" customHeight="1">
      <c r="A38" s="63">
        <f t="array" aca="1" ref="A38" ca="1">IF(C38&lt;&gt;0,SUM(($C$11:C38&lt;&gt;0)*1),"")</f>
        <v>28</v>
      </c>
      <c r="B38" s="262" t="str">
        <f ca="1">IF(ROWS($1:28)&gt;COUNT(Dong6),"",OFFSET(TH!C$1,SMALL(Dong6,ROWS($1:28)),))</f>
        <v/>
      </c>
      <c r="C38" s="262" t="str">
        <f ca="1">IF(ROWS($1:28)&gt;COUNT(Dong6),"",OFFSET(TH!D$1,SMALL(Dong6,ROWS($1:28)),))</f>
        <v/>
      </c>
      <c r="D38" s="262" t="str">
        <f ca="1">IF(ROWS($1:28)&gt;COUNT(Dong6),"",OFFSET(TH!E$1,SMALL(Dong6,ROWS($1:28)),))</f>
        <v/>
      </c>
      <c r="E38" s="310" t="str">
        <f ca="1">IF(ROWS($1:28)&gt;COUNT(Dong6),"",OFFSET(TH!F$1,SMALL(Dong6,ROWS($1:28)),))</f>
        <v/>
      </c>
      <c r="F38" s="311" t="str">
        <f ca="1">IF(ROWS($1:28)&gt;COUNT(Dong6),"",OFFSET(TH!M$1,SMALL(Dong6,ROWS($1:28)),))</f>
        <v/>
      </c>
      <c r="G38" s="312" t="str">
        <f ca="1">IF(ROWS($1:28)&gt;COUNT(Dong6),"",OFFSET(TH!N$1,SMALL(Dong6,ROWS($1:28)),))</f>
        <v/>
      </c>
      <c r="H38" s="312" t="str">
        <f ca="1">IF(ROWS($1:28)&gt;COUNT(Dong6),"",OFFSET(TH!O$1,SMALL(Dong6,ROWS($1:28)),))</f>
        <v/>
      </c>
      <c r="I38" s="63">
        <f ca="1">A38</f>
        <v>28</v>
      </c>
      <c r="J38" s="264">
        <f t="shared" ca="1" si="61"/>
        <v>0</v>
      </c>
      <c r="K38" s="264">
        <f t="shared" ca="1" si="62"/>
        <v>0</v>
      </c>
      <c r="L38" s="264">
        <f t="shared" ca="1" si="1"/>
        <v>0</v>
      </c>
      <c r="M38" s="264">
        <f t="shared" ca="1" si="2"/>
        <v>0</v>
      </c>
      <c r="N38" s="264">
        <f t="shared" ca="1" si="3"/>
        <v>0</v>
      </c>
      <c r="O38" s="264">
        <f t="shared" ca="1" si="4"/>
        <v>0</v>
      </c>
      <c r="P38" s="264">
        <f t="shared" ca="1" si="5"/>
        <v>0</v>
      </c>
      <c r="Q38" s="264">
        <f t="shared" ca="1" si="6"/>
        <v>0</v>
      </c>
      <c r="R38" s="264">
        <f t="shared" ca="1" si="7"/>
        <v>0</v>
      </c>
      <c r="S38" s="264">
        <f t="shared" ca="1" si="8"/>
        <v>0</v>
      </c>
      <c r="T38" s="264">
        <f t="shared" ca="1" si="9"/>
        <v>0</v>
      </c>
      <c r="U38" s="264">
        <f t="shared" ca="1" si="10"/>
        <v>0</v>
      </c>
      <c r="V38" s="264">
        <f t="shared" ca="1" si="11"/>
        <v>0</v>
      </c>
      <c r="W38" s="264">
        <f t="shared" ca="1" si="12"/>
        <v>0</v>
      </c>
      <c r="X38" s="264">
        <f t="shared" ca="1" si="13"/>
        <v>0</v>
      </c>
      <c r="Y38" s="264">
        <f t="shared" ca="1" si="14"/>
        <v>0</v>
      </c>
      <c r="Z38" s="264">
        <f t="shared" ca="1" si="15"/>
        <v>0</v>
      </c>
      <c r="AA38" s="264">
        <f t="shared" ca="1" si="16"/>
        <v>0</v>
      </c>
      <c r="AB38" s="264">
        <f t="shared" ca="1" si="63"/>
        <v>0</v>
      </c>
      <c r="AC38" s="264">
        <f t="shared" ca="1" si="64"/>
        <v>0</v>
      </c>
      <c r="AD38" s="264">
        <f t="shared" ca="1" si="17"/>
        <v>0</v>
      </c>
      <c r="AE38" s="264">
        <f t="shared" ca="1" si="18"/>
        <v>0</v>
      </c>
      <c r="AF38" s="264">
        <f t="shared" ca="1" si="19"/>
        <v>0</v>
      </c>
      <c r="AG38" s="264">
        <f t="shared" ca="1" si="20"/>
        <v>0</v>
      </c>
      <c r="AH38" s="264">
        <f t="shared" ca="1" si="65"/>
        <v>0</v>
      </c>
      <c r="AI38" s="264">
        <f t="shared" ca="1" si="66"/>
        <v>0</v>
      </c>
      <c r="AJ38" s="264">
        <f t="shared" ca="1" si="67"/>
        <v>0</v>
      </c>
      <c r="AK38" s="264">
        <f t="shared" ca="1" si="68"/>
        <v>0</v>
      </c>
      <c r="AL38" s="264">
        <f t="shared" ca="1" si="69"/>
        <v>0</v>
      </c>
      <c r="AM38" s="264">
        <f t="shared" ca="1" si="70"/>
        <v>0</v>
      </c>
      <c r="AN38" s="264">
        <f t="shared" ca="1" si="71"/>
        <v>0</v>
      </c>
      <c r="AO38" s="264">
        <f t="shared" ca="1" si="72"/>
        <v>0</v>
      </c>
      <c r="AP38" s="264">
        <f t="shared" ca="1" si="21"/>
        <v>0</v>
      </c>
      <c r="AQ38" s="264">
        <f t="shared" ca="1" si="22"/>
        <v>0</v>
      </c>
      <c r="AR38" s="264">
        <f t="shared" ca="1" si="23"/>
        <v>0</v>
      </c>
      <c r="AS38" s="264">
        <f t="shared" ca="1" si="24"/>
        <v>0</v>
      </c>
      <c r="AT38" s="264">
        <f t="shared" ca="1" si="73"/>
        <v>0</v>
      </c>
      <c r="AU38" s="264">
        <f t="shared" ca="1" si="74"/>
        <v>0</v>
      </c>
      <c r="AV38" s="264">
        <f t="shared" ca="1" si="25"/>
        <v>0</v>
      </c>
      <c r="AW38" s="264">
        <f t="shared" ca="1" si="26"/>
        <v>0</v>
      </c>
      <c r="AX38" s="264">
        <f t="shared" ca="1" si="27"/>
        <v>0</v>
      </c>
      <c r="AY38" s="264">
        <f t="shared" ca="1" si="28"/>
        <v>0</v>
      </c>
      <c r="AZ38" s="264">
        <f t="shared" ca="1" si="29"/>
        <v>0</v>
      </c>
      <c r="BA38" s="264">
        <f t="shared" ca="1" si="30"/>
        <v>0</v>
      </c>
      <c r="BB38" s="264">
        <f t="shared" ca="1" si="31"/>
        <v>0</v>
      </c>
      <c r="BC38" s="264">
        <f t="shared" ca="1" si="32"/>
        <v>0</v>
      </c>
      <c r="BD38" s="264">
        <f t="shared" ca="1" si="33"/>
        <v>0</v>
      </c>
      <c r="BE38" s="264">
        <f t="shared" ca="1" si="34"/>
        <v>0</v>
      </c>
      <c r="BF38" s="264">
        <f t="shared" ca="1" si="35"/>
        <v>0</v>
      </c>
      <c r="BG38" s="264">
        <f t="shared" ca="1" si="36"/>
        <v>0</v>
      </c>
      <c r="BH38" s="264">
        <f t="shared" ca="1" si="75"/>
        <v>0</v>
      </c>
      <c r="BI38" s="264">
        <f t="shared" ca="1" si="76"/>
        <v>0</v>
      </c>
      <c r="BJ38" s="264">
        <f t="shared" ca="1" si="37"/>
        <v>0</v>
      </c>
      <c r="BK38" s="264">
        <f t="shared" ca="1" si="38"/>
        <v>0</v>
      </c>
      <c r="BL38" s="264">
        <f t="shared" ca="1" si="39"/>
        <v>0</v>
      </c>
      <c r="BM38" s="264">
        <f t="shared" ca="1" si="40"/>
        <v>0</v>
      </c>
      <c r="BN38" s="264">
        <f t="shared" ca="1" si="41"/>
        <v>0</v>
      </c>
      <c r="BO38" s="264">
        <f t="shared" ca="1" si="42"/>
        <v>0</v>
      </c>
      <c r="BP38" s="264">
        <f t="shared" ca="1" si="77"/>
        <v>0</v>
      </c>
      <c r="BQ38" s="264">
        <f t="shared" ca="1" si="78"/>
        <v>0</v>
      </c>
      <c r="BR38" s="264">
        <f t="shared" ca="1" si="43"/>
        <v>0</v>
      </c>
      <c r="BS38" s="264">
        <f t="shared" ca="1" si="44"/>
        <v>0</v>
      </c>
      <c r="BT38" s="264">
        <f t="shared" ca="1" si="79"/>
        <v>0</v>
      </c>
      <c r="BU38" s="264">
        <f t="shared" ca="1" si="80"/>
        <v>0</v>
      </c>
      <c r="BV38" s="264">
        <f t="shared" ca="1" si="81"/>
        <v>0</v>
      </c>
      <c r="BW38" s="264">
        <f t="shared" ca="1" si="82"/>
        <v>0</v>
      </c>
      <c r="BX38" s="264">
        <f t="shared" ca="1" si="45"/>
        <v>0</v>
      </c>
      <c r="BY38" s="264">
        <f t="shared" ca="1" si="46"/>
        <v>0</v>
      </c>
      <c r="BZ38" s="264">
        <f t="shared" ca="1" si="47"/>
        <v>0</v>
      </c>
      <c r="CA38" s="264">
        <f t="shared" ca="1" si="48"/>
        <v>0</v>
      </c>
      <c r="CB38" s="264">
        <f t="shared" ca="1" si="49"/>
        <v>0</v>
      </c>
      <c r="CC38" s="264">
        <f t="shared" ca="1" si="50"/>
        <v>0</v>
      </c>
      <c r="CD38" s="264">
        <f t="shared" ca="1" si="83"/>
        <v>0</v>
      </c>
      <c r="CE38" s="264">
        <f t="shared" ca="1" si="84"/>
        <v>0</v>
      </c>
      <c r="CF38" s="264">
        <f t="shared" ca="1" si="85"/>
        <v>0</v>
      </c>
      <c r="CG38" s="264">
        <f t="shared" ca="1" si="86"/>
        <v>0</v>
      </c>
      <c r="CH38" s="264">
        <f t="shared" ca="1" si="51"/>
        <v>0</v>
      </c>
      <c r="CI38" s="264">
        <f t="shared" ca="1" si="52"/>
        <v>0</v>
      </c>
      <c r="CJ38" s="264">
        <f t="shared" ca="1" si="87"/>
        <v>0</v>
      </c>
      <c r="CK38" s="264">
        <f t="shared" ca="1" si="88"/>
        <v>0</v>
      </c>
      <c r="CL38" s="264">
        <f t="shared" ca="1" si="53"/>
        <v>0</v>
      </c>
      <c r="CM38" s="264">
        <f t="shared" ca="1" si="54"/>
        <v>0</v>
      </c>
      <c r="CN38" s="264">
        <f t="shared" ca="1" si="55"/>
        <v>0</v>
      </c>
      <c r="CO38" s="264">
        <f t="shared" ca="1" si="56"/>
        <v>0</v>
      </c>
      <c r="CP38" s="264">
        <f t="shared" ca="1" si="89"/>
        <v>0</v>
      </c>
      <c r="CQ38" s="264">
        <f t="shared" ca="1" si="90"/>
        <v>0</v>
      </c>
      <c r="CR38" s="264">
        <f t="shared" ca="1" si="91"/>
        <v>0</v>
      </c>
      <c r="CS38" s="264">
        <f t="shared" ca="1" si="92"/>
        <v>0</v>
      </c>
      <c r="CT38" s="264">
        <f t="shared" ca="1" si="57"/>
        <v>0</v>
      </c>
      <c r="CU38" s="264">
        <f t="shared" ca="1" si="58"/>
        <v>0</v>
      </c>
      <c r="CV38" s="264">
        <f t="shared" ca="1" si="59"/>
        <v>0</v>
      </c>
      <c r="CW38" s="264">
        <f t="shared" ca="1" si="60"/>
        <v>0</v>
      </c>
      <c r="CX38" s="264">
        <f t="shared" ca="1" si="93"/>
        <v>0</v>
      </c>
      <c r="CY38" s="264">
        <f t="shared" ca="1" si="94"/>
        <v>0</v>
      </c>
      <c r="CZ38" s="264">
        <f t="shared" ca="1" si="95"/>
        <v>0</v>
      </c>
      <c r="DA38" s="264">
        <f t="shared" ca="1" si="96"/>
        <v>0</v>
      </c>
    </row>
    <row r="39" spans="1:105" s="261" customFormat="1" ht="15" customHeight="1">
      <c r="A39" s="63">
        <f t="array" aca="1" ref="A39" ca="1">IF(C39&lt;&gt;0,SUM(($C$11:C39&lt;&gt;0)*1),"")</f>
        <v>29</v>
      </c>
      <c r="B39" s="262">
        <v>42460</v>
      </c>
      <c r="C39" s="265" t="s">
        <v>115</v>
      </c>
      <c r="D39" s="265">
        <f t="shared" ref="D39:D44" si="97">B39</f>
        <v>42460</v>
      </c>
      <c r="E39" s="915" t="s">
        <v>214</v>
      </c>
      <c r="F39" s="916">
        <f>[2]CDPS!D59</f>
        <v>107861885.00000048</v>
      </c>
      <c r="G39" s="917" t="s">
        <v>94</v>
      </c>
      <c r="H39" s="917" t="s">
        <v>92</v>
      </c>
      <c r="I39" s="63">
        <f t="shared" ref="I39:I50" ca="1" si="98">A39</f>
        <v>29</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ref="AT39:AT51" si="99">IF($G39="2412",$F39,0)</f>
        <v>0</v>
      </c>
      <c r="AU39" s="264">
        <f t="shared" ref="AU39:AU51" si="100">IF($H39="2412",$F39,0)</f>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ref="BV39:BV51" si="101">IF($G39="3412",$F39,0)</f>
        <v>0</v>
      </c>
      <c r="BW39" s="264">
        <f t="shared" ref="BW39:BW51" si="102">IF($H39="3412",$F39,0)</f>
        <v>0</v>
      </c>
      <c r="BX39" s="264">
        <f t="shared" si="45"/>
        <v>0</v>
      </c>
      <c r="BY39" s="264">
        <f t="shared" si="46"/>
        <v>0</v>
      </c>
      <c r="BZ39" s="264">
        <f t="shared" si="47"/>
        <v>0</v>
      </c>
      <c r="CA39" s="264">
        <f t="shared" si="48"/>
        <v>107861885.00000048</v>
      </c>
      <c r="CB39" s="264">
        <f t="shared" si="49"/>
        <v>107861885.00000048</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5" customHeight="1">
      <c r="A40" s="63">
        <f t="array" aca="1" ref="A40" ca="1">IF(C40&lt;&gt;0,SUM(($C$11:C40&lt;&gt;0)*1),"")</f>
        <v>30</v>
      </c>
      <c r="B40" s="262">
        <v>42460</v>
      </c>
      <c r="C40" s="265" t="s">
        <v>115</v>
      </c>
      <c r="D40" s="265">
        <f t="shared" si="97"/>
        <v>42460</v>
      </c>
      <c r="E40" s="915" t="s">
        <v>668</v>
      </c>
      <c r="F40" s="916">
        <f ca="1">AY52</f>
        <v>0</v>
      </c>
      <c r="G40" s="917" t="s">
        <v>673</v>
      </c>
      <c r="H40" s="917" t="s">
        <v>9</v>
      </c>
      <c r="I40" s="63">
        <f t="shared" ca="1" si="98"/>
        <v>30</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99"/>
        <v>0</v>
      </c>
      <c r="AU40" s="264">
        <f t="shared" si="100"/>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101"/>
        <v>0</v>
      </c>
      <c r="BW40" s="264">
        <f t="shared" si="10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5" customHeight="1">
      <c r="A41" s="63">
        <f t="array" aca="1" ref="A41" ca="1">IF(C41&lt;&gt;0,SUM(($C$11:C41&lt;&gt;0)*1),"")</f>
        <v>31</v>
      </c>
      <c r="B41" s="262">
        <v>42460</v>
      </c>
      <c r="C41" s="265" t="s">
        <v>115</v>
      </c>
      <c r="D41" s="265">
        <f t="shared" si="97"/>
        <v>42460</v>
      </c>
      <c r="E41" s="915" t="s">
        <v>669</v>
      </c>
      <c r="F41" s="916">
        <f ca="1">CL52</f>
        <v>0</v>
      </c>
      <c r="G41" s="917" t="s">
        <v>109</v>
      </c>
      <c r="H41" s="917" t="s">
        <v>295</v>
      </c>
      <c r="I41" s="63">
        <f t="shared" ca="1" si="98"/>
        <v>31</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99"/>
        <v>0</v>
      </c>
      <c r="AU41" s="264">
        <f t="shared" si="100"/>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101"/>
        <v>0</v>
      </c>
      <c r="BW41" s="264">
        <f t="shared" si="10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5" customHeight="1">
      <c r="A42" s="63">
        <f t="array" aca="1" ref="A42" ca="1">IF(C42&lt;&gt;0,SUM(($C$11:C42&lt;&gt;0)*1),"")</f>
        <v>32</v>
      </c>
      <c r="B42" s="262">
        <v>42460</v>
      </c>
      <c r="C42" s="265" t="s">
        <v>115</v>
      </c>
      <c r="D42" s="265">
        <f t="shared" si="97"/>
        <v>42460</v>
      </c>
      <c r="E42" s="915" t="s">
        <v>116</v>
      </c>
      <c r="F42" s="916">
        <f ca="1">CN52</f>
        <v>0</v>
      </c>
      <c r="G42" s="917" t="s">
        <v>109</v>
      </c>
      <c r="H42" s="917" t="s">
        <v>99</v>
      </c>
      <c r="I42" s="63">
        <f t="shared" ca="1" si="98"/>
        <v>32</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99"/>
        <v>0</v>
      </c>
      <c r="AU42" s="264">
        <f t="shared" si="100"/>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101"/>
        <v>0</v>
      </c>
      <c r="BW42" s="264">
        <f t="shared" si="10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5" customHeight="1">
      <c r="A43" s="63">
        <f t="array" aca="1" ref="A43" ca="1">IF(C43&lt;&gt;0,SUM(($C$11:C43&lt;&gt;0)*1),"")</f>
        <v>33</v>
      </c>
      <c r="B43" s="262">
        <v>42460</v>
      </c>
      <c r="C43" s="265" t="s">
        <v>115</v>
      </c>
      <c r="D43" s="265">
        <f t="shared" si="97"/>
        <v>42460</v>
      </c>
      <c r="E43" s="915" t="s">
        <v>670</v>
      </c>
      <c r="F43" s="916">
        <f ca="1">CP52</f>
        <v>0</v>
      </c>
      <c r="G43" s="917" t="s">
        <v>109</v>
      </c>
      <c r="H43" s="917" t="s">
        <v>584</v>
      </c>
      <c r="I43" s="63">
        <f t="shared" ca="1" si="98"/>
        <v>33</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99"/>
        <v>0</v>
      </c>
      <c r="AU43" s="264">
        <f t="shared" si="100"/>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101"/>
        <v>0</v>
      </c>
      <c r="BW43" s="264">
        <f t="shared" si="10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5" customHeight="1">
      <c r="A44" s="63">
        <f t="array" aca="1" ref="A44" ca="1">IF(C44&lt;&gt;0,SUM(($C$11:C44&lt;&gt;0)*1),"")</f>
        <v>34</v>
      </c>
      <c r="B44" s="262">
        <v>42460</v>
      </c>
      <c r="C44" s="265" t="s">
        <v>115</v>
      </c>
      <c r="D44" s="265">
        <f t="shared" si="97"/>
        <v>42460</v>
      </c>
      <c r="E44" s="915" t="s">
        <v>117</v>
      </c>
      <c r="F44" s="916">
        <f ca="1">CR52</f>
        <v>0</v>
      </c>
      <c r="G44" s="917" t="s">
        <v>109</v>
      </c>
      <c r="H44" s="917" t="s">
        <v>101</v>
      </c>
      <c r="I44" s="63">
        <f t="shared" ca="1" si="98"/>
        <v>34</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99"/>
        <v>0</v>
      </c>
      <c r="AU44" s="264">
        <f t="shared" si="100"/>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101"/>
        <v>0</v>
      </c>
      <c r="BW44" s="264">
        <f t="shared" si="10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5" customHeight="1">
      <c r="A45" s="63">
        <f t="array" aca="1" ref="A45" ca="1">IF(C45&lt;&gt;0,SUM(($C$11:C45&lt;&gt;0)*1),"")</f>
        <v>35</v>
      </c>
      <c r="B45" s="262">
        <v>42460</v>
      </c>
      <c r="C45" s="265" t="s">
        <v>115</v>
      </c>
      <c r="D45" s="265">
        <f t="shared" ref="D45:D50" si="103">B45</f>
        <v>42460</v>
      </c>
      <c r="E45" s="915" t="s">
        <v>215</v>
      </c>
      <c r="F45" s="916"/>
      <c r="G45" s="917" t="s">
        <v>109</v>
      </c>
      <c r="H45" s="917" t="s">
        <v>94</v>
      </c>
      <c r="I45" s="63">
        <f t="shared" ca="1" si="98"/>
        <v>35</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99"/>
        <v>0</v>
      </c>
      <c r="AU45" s="264">
        <f t="shared" si="100"/>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101"/>
        <v>0</v>
      </c>
      <c r="BW45" s="264">
        <f t="shared" si="10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5" customHeight="1">
      <c r="A46" s="63">
        <f t="array" aca="1" ref="A46" ca="1">IF(C46&lt;&gt;0,SUM(($C$11:C46&lt;&gt;0)*1),"")</f>
        <v>36</v>
      </c>
      <c r="B46" s="262">
        <v>42460</v>
      </c>
      <c r="C46" s="265" t="s">
        <v>115</v>
      </c>
      <c r="D46" s="265">
        <f t="shared" si="103"/>
        <v>42460</v>
      </c>
      <c r="E46" s="915" t="s">
        <v>118</v>
      </c>
      <c r="F46" s="916">
        <f ca="1">CI52</f>
        <v>0</v>
      </c>
      <c r="G46" s="917" t="s">
        <v>43</v>
      </c>
      <c r="H46" s="917" t="s">
        <v>109</v>
      </c>
      <c r="I46" s="63">
        <f t="shared" ca="1" si="98"/>
        <v>36</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99"/>
        <v>0</v>
      </c>
      <c r="AU46" s="264">
        <f t="shared" si="100"/>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101"/>
        <v>0</v>
      </c>
      <c r="BW46" s="264">
        <f t="shared" si="10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5" customHeight="1">
      <c r="A47" s="63">
        <f t="array" aca="1" ref="A47" ca="1">IF(C47&lt;&gt;0,SUM(($C$11:C47&lt;&gt;0)*1),"")</f>
        <v>37</v>
      </c>
      <c r="B47" s="262">
        <v>42460</v>
      </c>
      <c r="C47" s="265" t="s">
        <v>115</v>
      </c>
      <c r="D47" s="265">
        <f t="shared" si="103"/>
        <v>42460</v>
      </c>
      <c r="E47" s="915" t="s">
        <v>671</v>
      </c>
      <c r="F47" s="916">
        <f ca="1">CE52</f>
        <v>0</v>
      </c>
      <c r="G47" s="917" t="s">
        <v>297</v>
      </c>
      <c r="H47" s="917" t="s">
        <v>109</v>
      </c>
      <c r="I47" s="63">
        <f t="shared" ca="1" si="98"/>
        <v>37</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99"/>
        <v>0</v>
      </c>
      <c r="AU47" s="264">
        <f t="shared" si="100"/>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101"/>
        <v>0</v>
      </c>
      <c r="BW47" s="264">
        <f t="shared" si="10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5" customHeight="1">
      <c r="A48" s="63">
        <f t="array" aca="1" ref="A48" ca="1">IF(C48&lt;&gt;0,SUM(($C$11:C48&lt;&gt;0)*1),"")</f>
        <v>38</v>
      </c>
      <c r="B48" s="262">
        <v>42460</v>
      </c>
      <c r="C48" s="265" t="s">
        <v>115</v>
      </c>
      <c r="D48" s="265">
        <f t="shared" si="103"/>
        <v>42460</v>
      </c>
      <c r="E48" s="915" t="s">
        <v>672</v>
      </c>
      <c r="F48" s="916">
        <f ca="1">CG52</f>
        <v>0</v>
      </c>
      <c r="G48" s="917" t="s">
        <v>299</v>
      </c>
      <c r="H48" s="917" t="s">
        <v>109</v>
      </c>
      <c r="I48" s="63">
        <f t="shared" ca="1" si="98"/>
        <v>38</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99"/>
        <v>0</v>
      </c>
      <c r="AU48" s="264">
        <f t="shared" si="100"/>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101"/>
        <v>0</v>
      </c>
      <c r="BW48" s="264">
        <f t="shared" si="10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5" customHeight="1">
      <c r="A49" s="63">
        <f t="array" aca="1" ref="A49" ca="1">IF(C49&lt;&gt;0,SUM(($C$11:C49&lt;&gt;0)*1),"")</f>
        <v>39</v>
      </c>
      <c r="B49" s="262">
        <v>42460</v>
      </c>
      <c r="C49" s="265" t="s">
        <v>115</v>
      </c>
      <c r="D49" s="265">
        <f t="shared" si="103"/>
        <v>42460</v>
      </c>
      <c r="E49" s="915" t="s">
        <v>119</v>
      </c>
      <c r="F49" s="916">
        <f ca="1">CU52</f>
        <v>0</v>
      </c>
      <c r="G49" s="917" t="s">
        <v>103</v>
      </c>
      <c r="H49" s="917" t="s">
        <v>109</v>
      </c>
      <c r="I49" s="63">
        <f t="shared" ca="1" si="98"/>
        <v>39</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99"/>
        <v>0</v>
      </c>
      <c r="AU49" s="264">
        <f t="shared" si="100"/>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101"/>
        <v>0</v>
      </c>
      <c r="BW49" s="264">
        <f t="shared" si="10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5" customHeight="1">
      <c r="A50" s="63">
        <f t="array" aca="1" ref="A50" ca="1">IF(C50&lt;&gt;0,SUM(($C$11:C50&lt;&gt;0)*1),"")</f>
        <v>40</v>
      </c>
      <c r="B50" s="262">
        <v>42460</v>
      </c>
      <c r="C50" s="265" t="s">
        <v>115</v>
      </c>
      <c r="D50" s="265">
        <f t="shared" si="103"/>
        <v>42460</v>
      </c>
      <c r="E50" s="915" t="s">
        <v>120</v>
      </c>
      <c r="F50" s="916">
        <f ca="1">CV52</f>
        <v>0</v>
      </c>
      <c r="G50" s="917" t="s">
        <v>109</v>
      </c>
      <c r="H50" s="917" t="s">
        <v>105</v>
      </c>
      <c r="I50" s="63">
        <f t="shared" ca="1" si="98"/>
        <v>40</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99"/>
        <v>0</v>
      </c>
      <c r="AU50" s="264">
        <f t="shared" si="100"/>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101"/>
        <v>0</v>
      </c>
      <c r="BW50" s="264">
        <f t="shared" si="10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5" customHeight="1">
      <c r="A51" s="63" t="str">
        <f t="array" ref="A51">IF(C51&lt;&gt;0,SUM(($C$11:C51&lt;&gt;0)*1),"")</f>
        <v/>
      </c>
      <c r="B51" s="228"/>
      <c r="C51" s="266"/>
      <c r="D51" s="228"/>
      <c r="E51" s="263"/>
      <c r="F51" s="65"/>
      <c r="G51" s="267"/>
      <c r="H51" s="267"/>
      <c r="I51" s="63" t="str">
        <f>A51</f>
        <v/>
      </c>
      <c r="J51" s="264">
        <f t="shared" si="61"/>
        <v>0</v>
      </c>
      <c r="K51" s="264">
        <f t="shared" si="62"/>
        <v>0</v>
      </c>
      <c r="L51" s="264">
        <f t="shared" si="1"/>
        <v>0</v>
      </c>
      <c r="M51" s="264">
        <f t="shared" si="2"/>
        <v>0</v>
      </c>
      <c r="N51" s="264">
        <f t="shared" si="3"/>
        <v>0</v>
      </c>
      <c r="O51" s="264">
        <f t="shared" si="4"/>
        <v>0</v>
      </c>
      <c r="P51" s="264">
        <f t="shared" si="5"/>
        <v>0</v>
      </c>
      <c r="Q51" s="264">
        <f t="shared" si="6"/>
        <v>0</v>
      </c>
      <c r="R51" s="264">
        <f t="shared" si="7"/>
        <v>0</v>
      </c>
      <c r="S51" s="264">
        <f t="shared" si="8"/>
        <v>0</v>
      </c>
      <c r="T51" s="264">
        <f t="shared" si="9"/>
        <v>0</v>
      </c>
      <c r="U51" s="264">
        <f t="shared" si="10"/>
        <v>0</v>
      </c>
      <c r="V51" s="264">
        <f t="shared" si="11"/>
        <v>0</v>
      </c>
      <c r="W51" s="264">
        <f t="shared" si="12"/>
        <v>0</v>
      </c>
      <c r="X51" s="264">
        <f t="shared" si="13"/>
        <v>0</v>
      </c>
      <c r="Y51" s="264">
        <f t="shared" si="14"/>
        <v>0</v>
      </c>
      <c r="Z51" s="264">
        <f t="shared" si="15"/>
        <v>0</v>
      </c>
      <c r="AA51" s="264">
        <f t="shared" si="16"/>
        <v>0</v>
      </c>
      <c r="AB51" s="264">
        <f t="shared" si="63"/>
        <v>0</v>
      </c>
      <c r="AC51" s="264">
        <f t="shared" si="64"/>
        <v>0</v>
      </c>
      <c r="AD51" s="264">
        <f t="shared" si="17"/>
        <v>0</v>
      </c>
      <c r="AE51" s="264">
        <f t="shared" si="18"/>
        <v>0</v>
      </c>
      <c r="AF51" s="264">
        <f t="shared" si="19"/>
        <v>0</v>
      </c>
      <c r="AG51" s="264">
        <f t="shared" si="20"/>
        <v>0</v>
      </c>
      <c r="AH51" s="264">
        <f t="shared" si="65"/>
        <v>0</v>
      </c>
      <c r="AI51" s="264">
        <f t="shared" si="66"/>
        <v>0</v>
      </c>
      <c r="AJ51" s="264">
        <f t="shared" si="67"/>
        <v>0</v>
      </c>
      <c r="AK51" s="264">
        <f t="shared" si="68"/>
        <v>0</v>
      </c>
      <c r="AL51" s="264">
        <f t="shared" si="69"/>
        <v>0</v>
      </c>
      <c r="AM51" s="264">
        <f t="shared" si="70"/>
        <v>0</v>
      </c>
      <c r="AN51" s="264">
        <f t="shared" si="71"/>
        <v>0</v>
      </c>
      <c r="AO51" s="264">
        <f t="shared" si="72"/>
        <v>0</v>
      </c>
      <c r="AP51" s="264">
        <f t="shared" si="21"/>
        <v>0</v>
      </c>
      <c r="AQ51" s="264">
        <f t="shared" si="22"/>
        <v>0</v>
      </c>
      <c r="AR51" s="264">
        <f t="shared" si="23"/>
        <v>0</v>
      </c>
      <c r="AS51" s="264">
        <f t="shared" si="24"/>
        <v>0</v>
      </c>
      <c r="AT51" s="264">
        <f t="shared" si="99"/>
        <v>0</v>
      </c>
      <c r="AU51" s="264">
        <f t="shared" si="100"/>
        <v>0</v>
      </c>
      <c r="AV51" s="264">
        <f t="shared" si="25"/>
        <v>0</v>
      </c>
      <c r="AW51" s="264">
        <f t="shared" si="26"/>
        <v>0</v>
      </c>
      <c r="AX51" s="264">
        <f t="shared" si="27"/>
        <v>0</v>
      </c>
      <c r="AY51" s="264">
        <f t="shared" si="28"/>
        <v>0</v>
      </c>
      <c r="AZ51" s="264">
        <f t="shared" si="29"/>
        <v>0</v>
      </c>
      <c r="BA51" s="264">
        <f t="shared" si="30"/>
        <v>0</v>
      </c>
      <c r="BB51" s="264">
        <f t="shared" si="31"/>
        <v>0</v>
      </c>
      <c r="BC51" s="264">
        <f t="shared" si="32"/>
        <v>0</v>
      </c>
      <c r="BD51" s="264">
        <f t="shared" si="33"/>
        <v>0</v>
      </c>
      <c r="BE51" s="264">
        <f t="shared" si="34"/>
        <v>0</v>
      </c>
      <c r="BF51" s="264">
        <f t="shared" si="35"/>
        <v>0</v>
      </c>
      <c r="BG51" s="264">
        <f t="shared" si="36"/>
        <v>0</v>
      </c>
      <c r="BH51" s="264">
        <f t="shared" si="75"/>
        <v>0</v>
      </c>
      <c r="BI51" s="264">
        <f t="shared" si="76"/>
        <v>0</v>
      </c>
      <c r="BJ51" s="264">
        <f t="shared" si="37"/>
        <v>0</v>
      </c>
      <c r="BK51" s="264">
        <f t="shared" si="38"/>
        <v>0</v>
      </c>
      <c r="BL51" s="264">
        <f t="shared" si="39"/>
        <v>0</v>
      </c>
      <c r="BM51" s="264">
        <f t="shared" si="40"/>
        <v>0</v>
      </c>
      <c r="BN51" s="264">
        <f t="shared" si="41"/>
        <v>0</v>
      </c>
      <c r="BO51" s="264">
        <f t="shared" si="42"/>
        <v>0</v>
      </c>
      <c r="BP51" s="264">
        <f t="shared" si="77"/>
        <v>0</v>
      </c>
      <c r="BQ51" s="264">
        <f t="shared" si="78"/>
        <v>0</v>
      </c>
      <c r="BR51" s="264">
        <f t="shared" si="43"/>
        <v>0</v>
      </c>
      <c r="BS51" s="264">
        <f t="shared" si="44"/>
        <v>0</v>
      </c>
      <c r="BT51" s="264">
        <f t="shared" si="79"/>
        <v>0</v>
      </c>
      <c r="BU51" s="264">
        <f t="shared" si="80"/>
        <v>0</v>
      </c>
      <c r="BV51" s="264">
        <f t="shared" si="101"/>
        <v>0</v>
      </c>
      <c r="BW51" s="264">
        <f t="shared" si="102"/>
        <v>0</v>
      </c>
      <c r="BX51" s="264">
        <f t="shared" si="45"/>
        <v>0</v>
      </c>
      <c r="BY51" s="264">
        <f t="shared" si="46"/>
        <v>0</v>
      </c>
      <c r="BZ51" s="264">
        <f t="shared" si="47"/>
        <v>0</v>
      </c>
      <c r="CA51" s="264">
        <f t="shared" si="48"/>
        <v>0</v>
      </c>
      <c r="CB51" s="264">
        <f t="shared" si="49"/>
        <v>0</v>
      </c>
      <c r="CC51" s="264">
        <f t="shared" si="50"/>
        <v>0</v>
      </c>
      <c r="CD51" s="264">
        <f t="shared" si="83"/>
        <v>0</v>
      </c>
      <c r="CE51" s="264">
        <f t="shared" si="84"/>
        <v>0</v>
      </c>
      <c r="CF51" s="264">
        <f t="shared" si="85"/>
        <v>0</v>
      </c>
      <c r="CG51" s="264">
        <f t="shared" si="86"/>
        <v>0</v>
      </c>
      <c r="CH51" s="264">
        <f t="shared" si="51"/>
        <v>0</v>
      </c>
      <c r="CI51" s="264">
        <f t="shared" si="52"/>
        <v>0</v>
      </c>
      <c r="CJ51" s="264">
        <f t="shared" si="87"/>
        <v>0</v>
      </c>
      <c r="CK51" s="264">
        <f t="shared" si="88"/>
        <v>0</v>
      </c>
      <c r="CL51" s="264">
        <f t="shared" si="53"/>
        <v>0</v>
      </c>
      <c r="CM51" s="264">
        <f t="shared" si="54"/>
        <v>0</v>
      </c>
      <c r="CN51" s="264">
        <f t="shared" si="55"/>
        <v>0</v>
      </c>
      <c r="CO51" s="264">
        <f t="shared" si="56"/>
        <v>0</v>
      </c>
      <c r="CP51" s="264">
        <f t="shared" si="89"/>
        <v>0</v>
      </c>
      <c r="CQ51" s="264">
        <f t="shared" si="90"/>
        <v>0</v>
      </c>
      <c r="CR51" s="264">
        <f t="shared" si="91"/>
        <v>0</v>
      </c>
      <c r="CS51" s="264">
        <f t="shared" si="92"/>
        <v>0</v>
      </c>
      <c r="CT51" s="264">
        <f t="shared" si="57"/>
        <v>0</v>
      </c>
      <c r="CU51" s="264">
        <f t="shared" si="58"/>
        <v>0</v>
      </c>
      <c r="CV51" s="264">
        <f t="shared" si="59"/>
        <v>0</v>
      </c>
      <c r="CW51" s="264">
        <f t="shared" si="60"/>
        <v>0</v>
      </c>
      <c r="CX51" s="264">
        <f t="shared" si="93"/>
        <v>0</v>
      </c>
      <c r="CY51" s="264">
        <f t="shared" si="94"/>
        <v>0</v>
      </c>
      <c r="CZ51" s="264">
        <f t="shared" si="95"/>
        <v>0</v>
      </c>
      <c r="DA51" s="264">
        <f t="shared" si="96"/>
        <v>0</v>
      </c>
    </row>
    <row r="52" spans="1:105" s="261" customFormat="1" ht="15" customHeight="1">
      <c r="A52" s="63" t="str">
        <f t="array" ref="A52">IF(C52&lt;&gt;0,SUM(($C$11:C52&lt;&gt;0)*1),"")</f>
        <v/>
      </c>
      <c r="B52" s="268"/>
      <c r="C52" s="268"/>
      <c r="D52" s="268"/>
      <c r="E52" s="263" t="s">
        <v>175</v>
      </c>
      <c r="F52" s="268"/>
      <c r="G52" s="267"/>
      <c r="H52" s="267"/>
      <c r="I52" s="268"/>
      <c r="J52" s="264">
        <f t="shared" ref="J52:AO52" ca="1" si="104">SUM(J11:J51)</f>
        <v>0</v>
      </c>
      <c r="K52" s="264">
        <f t="shared" ca="1" si="104"/>
        <v>0</v>
      </c>
      <c r="L52" s="264">
        <f t="shared" ca="1" si="104"/>
        <v>0</v>
      </c>
      <c r="M52" s="264">
        <f t="shared" ca="1" si="104"/>
        <v>0</v>
      </c>
      <c r="N52" s="264">
        <f t="shared" ca="1" si="104"/>
        <v>0</v>
      </c>
      <c r="O52" s="264">
        <f t="shared" ca="1" si="104"/>
        <v>0</v>
      </c>
      <c r="P52" s="264">
        <f t="shared" ca="1" si="104"/>
        <v>0</v>
      </c>
      <c r="Q52" s="264">
        <f t="shared" ca="1" si="104"/>
        <v>0</v>
      </c>
      <c r="R52" s="264">
        <f t="shared" ca="1" si="104"/>
        <v>0</v>
      </c>
      <c r="S52" s="264">
        <f t="shared" ca="1" si="104"/>
        <v>0</v>
      </c>
      <c r="T52" s="264">
        <f t="shared" ca="1" si="104"/>
        <v>0</v>
      </c>
      <c r="U52" s="264">
        <f t="shared" ca="1" si="104"/>
        <v>0</v>
      </c>
      <c r="V52" s="264">
        <f t="shared" ca="1" si="104"/>
        <v>0</v>
      </c>
      <c r="W52" s="264">
        <f t="shared" ca="1" si="104"/>
        <v>0</v>
      </c>
      <c r="X52" s="264">
        <f t="shared" ca="1" si="104"/>
        <v>0</v>
      </c>
      <c r="Y52" s="264">
        <f t="shared" ca="1" si="104"/>
        <v>0</v>
      </c>
      <c r="Z52" s="264">
        <f t="shared" ca="1" si="104"/>
        <v>0</v>
      </c>
      <c r="AA52" s="264">
        <f t="shared" ca="1" si="104"/>
        <v>0</v>
      </c>
      <c r="AB52" s="264">
        <f t="shared" ca="1" si="104"/>
        <v>0</v>
      </c>
      <c r="AC52" s="264">
        <f t="shared" ca="1" si="104"/>
        <v>0</v>
      </c>
      <c r="AD52" s="264">
        <f t="shared" ca="1" si="104"/>
        <v>0</v>
      </c>
      <c r="AE52" s="264">
        <f t="shared" ca="1" si="104"/>
        <v>0</v>
      </c>
      <c r="AF52" s="264">
        <f t="shared" ca="1" si="104"/>
        <v>0</v>
      </c>
      <c r="AG52" s="264">
        <f t="shared" ca="1" si="104"/>
        <v>0</v>
      </c>
      <c r="AH52" s="264">
        <f t="shared" ca="1" si="104"/>
        <v>0</v>
      </c>
      <c r="AI52" s="264">
        <f t="shared" ca="1" si="104"/>
        <v>0</v>
      </c>
      <c r="AJ52" s="264">
        <f t="shared" ca="1" si="104"/>
        <v>0</v>
      </c>
      <c r="AK52" s="264">
        <f t="shared" ca="1" si="104"/>
        <v>0</v>
      </c>
      <c r="AL52" s="264">
        <f t="shared" ca="1" si="104"/>
        <v>0</v>
      </c>
      <c r="AM52" s="264">
        <f t="shared" ca="1" si="104"/>
        <v>0</v>
      </c>
      <c r="AN52" s="264">
        <f t="shared" ca="1" si="104"/>
        <v>0</v>
      </c>
      <c r="AO52" s="264">
        <f t="shared" ca="1" si="104"/>
        <v>0</v>
      </c>
      <c r="AP52" s="264">
        <f t="shared" ref="AP52:BU52" ca="1" si="105">SUM(AP11:AP51)</f>
        <v>0</v>
      </c>
      <c r="AQ52" s="264">
        <f t="shared" ca="1" si="105"/>
        <v>0</v>
      </c>
      <c r="AR52" s="264">
        <f t="shared" ca="1" si="105"/>
        <v>0</v>
      </c>
      <c r="AS52" s="264">
        <f t="shared" ca="1" si="105"/>
        <v>0</v>
      </c>
      <c r="AT52" s="264">
        <f t="shared" ca="1" si="105"/>
        <v>0</v>
      </c>
      <c r="AU52" s="264">
        <f t="shared" ca="1" si="105"/>
        <v>0</v>
      </c>
      <c r="AV52" s="264">
        <f t="shared" ca="1" si="105"/>
        <v>0</v>
      </c>
      <c r="AW52" s="264">
        <f t="shared" ca="1" si="105"/>
        <v>0</v>
      </c>
      <c r="AX52" s="264">
        <f t="shared" ca="1" si="105"/>
        <v>0</v>
      </c>
      <c r="AY52" s="264">
        <f t="shared" ca="1" si="105"/>
        <v>0</v>
      </c>
      <c r="AZ52" s="264">
        <f t="shared" ca="1" si="105"/>
        <v>0</v>
      </c>
      <c r="BA52" s="264">
        <f t="shared" ca="1" si="105"/>
        <v>0</v>
      </c>
      <c r="BB52" s="264">
        <f t="shared" ca="1" si="105"/>
        <v>0</v>
      </c>
      <c r="BC52" s="264">
        <f t="shared" ca="1" si="105"/>
        <v>0</v>
      </c>
      <c r="BD52" s="264">
        <f t="shared" ca="1" si="105"/>
        <v>0</v>
      </c>
      <c r="BE52" s="264">
        <f t="shared" ca="1" si="105"/>
        <v>0</v>
      </c>
      <c r="BF52" s="264">
        <f t="shared" ca="1" si="105"/>
        <v>0</v>
      </c>
      <c r="BG52" s="264">
        <f t="shared" ca="1" si="105"/>
        <v>0</v>
      </c>
      <c r="BH52" s="264">
        <f t="shared" ca="1" si="105"/>
        <v>0</v>
      </c>
      <c r="BI52" s="264">
        <f t="shared" ca="1" si="105"/>
        <v>0</v>
      </c>
      <c r="BJ52" s="264">
        <f t="shared" ca="1" si="105"/>
        <v>0</v>
      </c>
      <c r="BK52" s="264">
        <f t="shared" ca="1" si="105"/>
        <v>0</v>
      </c>
      <c r="BL52" s="264">
        <f t="shared" ca="1" si="105"/>
        <v>0</v>
      </c>
      <c r="BM52" s="264">
        <f t="shared" ca="1" si="105"/>
        <v>0</v>
      </c>
      <c r="BN52" s="264">
        <f t="shared" ca="1" si="105"/>
        <v>0</v>
      </c>
      <c r="BO52" s="264">
        <f t="shared" ca="1" si="105"/>
        <v>0</v>
      </c>
      <c r="BP52" s="264">
        <f t="shared" ca="1" si="105"/>
        <v>0</v>
      </c>
      <c r="BQ52" s="264">
        <f t="shared" ca="1" si="105"/>
        <v>0</v>
      </c>
      <c r="BR52" s="264">
        <f t="shared" ca="1" si="105"/>
        <v>0</v>
      </c>
      <c r="BS52" s="264">
        <f t="shared" ca="1" si="105"/>
        <v>0</v>
      </c>
      <c r="BT52" s="264">
        <f t="shared" ca="1" si="105"/>
        <v>0</v>
      </c>
      <c r="BU52" s="264">
        <f t="shared" ca="1" si="105"/>
        <v>0</v>
      </c>
      <c r="BV52" s="264">
        <f t="shared" ref="BV52:DA52" ca="1" si="106">SUM(BV11:BV51)</f>
        <v>0</v>
      </c>
      <c r="BW52" s="264">
        <f t="shared" ca="1" si="106"/>
        <v>0</v>
      </c>
      <c r="BX52" s="264">
        <f t="shared" ca="1" si="106"/>
        <v>0</v>
      </c>
      <c r="BY52" s="264">
        <f t="shared" ca="1" si="106"/>
        <v>0</v>
      </c>
      <c r="BZ52" s="264">
        <f t="shared" ca="1" si="106"/>
        <v>0</v>
      </c>
      <c r="CA52" s="264">
        <f t="shared" ca="1" si="106"/>
        <v>107861885.00000048</v>
      </c>
      <c r="CB52" s="264">
        <f t="shared" ca="1" si="106"/>
        <v>107861885.00000048</v>
      </c>
      <c r="CC52" s="264">
        <f t="shared" ca="1" si="106"/>
        <v>0</v>
      </c>
      <c r="CD52" s="264">
        <f t="shared" ca="1" si="106"/>
        <v>0</v>
      </c>
      <c r="CE52" s="264">
        <f t="shared" ca="1" si="106"/>
        <v>0</v>
      </c>
      <c r="CF52" s="264">
        <f t="shared" ca="1" si="106"/>
        <v>0</v>
      </c>
      <c r="CG52" s="264">
        <f t="shared" ca="1" si="106"/>
        <v>0</v>
      </c>
      <c r="CH52" s="264">
        <f t="shared" ca="1" si="106"/>
        <v>0</v>
      </c>
      <c r="CI52" s="264">
        <f t="shared" ca="1" si="106"/>
        <v>0</v>
      </c>
      <c r="CJ52" s="264">
        <f t="shared" ca="1" si="106"/>
        <v>0</v>
      </c>
      <c r="CK52" s="264">
        <f t="shared" ca="1" si="106"/>
        <v>0</v>
      </c>
      <c r="CL52" s="264">
        <f t="shared" ca="1" si="106"/>
        <v>0</v>
      </c>
      <c r="CM52" s="264">
        <f t="shared" ca="1" si="106"/>
        <v>0</v>
      </c>
      <c r="CN52" s="264">
        <f t="shared" ca="1" si="106"/>
        <v>0</v>
      </c>
      <c r="CO52" s="264">
        <f t="shared" ca="1" si="106"/>
        <v>0</v>
      </c>
      <c r="CP52" s="264">
        <f t="shared" ca="1" si="106"/>
        <v>0</v>
      </c>
      <c r="CQ52" s="264">
        <f t="shared" ca="1" si="106"/>
        <v>0</v>
      </c>
      <c r="CR52" s="264">
        <f t="shared" ca="1" si="106"/>
        <v>0</v>
      </c>
      <c r="CS52" s="264">
        <f t="shared" ca="1" si="106"/>
        <v>0</v>
      </c>
      <c r="CT52" s="264">
        <f t="shared" ca="1" si="106"/>
        <v>0</v>
      </c>
      <c r="CU52" s="264">
        <f t="shared" ca="1" si="106"/>
        <v>0</v>
      </c>
      <c r="CV52" s="264">
        <f t="shared" ca="1" si="106"/>
        <v>0</v>
      </c>
      <c r="CW52" s="264">
        <f t="shared" ca="1" si="106"/>
        <v>0</v>
      </c>
      <c r="CX52" s="264">
        <f t="shared" ca="1" si="106"/>
        <v>0</v>
      </c>
      <c r="CY52" s="264">
        <f t="shared" ca="1" si="106"/>
        <v>0</v>
      </c>
      <c r="CZ52" s="264">
        <f t="shared" ca="1" si="106"/>
        <v>0</v>
      </c>
      <c r="DA52" s="264">
        <f t="shared" ca="1" si="106"/>
        <v>0</v>
      </c>
    </row>
    <row r="53" spans="1:105" s="261" customFormat="1" ht="15" customHeight="1">
      <c r="A53" s="269"/>
      <c r="B53" s="269"/>
      <c r="C53" s="269"/>
      <c r="D53" s="269"/>
      <c r="E53" s="270" t="s">
        <v>216</v>
      </c>
      <c r="F53" s="269"/>
      <c r="G53" s="271"/>
      <c r="H53" s="271"/>
      <c r="I53" s="269"/>
      <c r="J53" s="272">
        <f ca="1">MAX(J10+J52-K10-K52,0)</f>
        <v>3705039095</v>
      </c>
      <c r="K53" s="272">
        <f ca="1">MAX(K10+K52-J10-J52,0)</f>
        <v>0</v>
      </c>
      <c r="L53" s="272">
        <f ca="1">MAX(L10+L52-M10-M52,0)</f>
        <v>19829295</v>
      </c>
      <c r="M53" s="272">
        <f ca="1">MAX(M10+M52-L10-L52,0)</f>
        <v>0</v>
      </c>
      <c r="N53" s="272">
        <f ca="1">MAX(N10+N52-O10-O52,0)</f>
        <v>2236796790</v>
      </c>
      <c r="O53" s="272">
        <f ca="1">MAX(O10+O52-N10-N52,0)</f>
        <v>0</v>
      </c>
      <c r="P53" s="272">
        <f ca="1">MAX(P10+P52-Q10-Q52,0)</f>
        <v>3343381600</v>
      </c>
      <c r="Q53" s="272">
        <f ca="1">MAX(Q10+Q52-P10-P52,0)</f>
        <v>0</v>
      </c>
      <c r="R53" s="272">
        <f ca="1">MAX(R10+R52-S10-S52,0)</f>
        <v>162420936</v>
      </c>
      <c r="S53" s="272">
        <f ca="1">MAX(S10+S52-R10-R52,0)</f>
        <v>0</v>
      </c>
      <c r="T53" s="272">
        <f ca="1">MAX(T10+T52-U10-U52,0)</f>
        <v>1500000000</v>
      </c>
      <c r="U53" s="272">
        <f ca="1">MAX(U10+U52-T10-T52,0)</f>
        <v>0</v>
      </c>
      <c r="V53" s="272">
        <f ca="1">MAX(V10+V52-W10-W52,0)</f>
        <v>0</v>
      </c>
      <c r="W53" s="272">
        <f ca="1">MAX(W10+W52-V10-V52,0)</f>
        <v>0</v>
      </c>
      <c r="X53" s="272">
        <f ca="1">MAX(X10+X52-Y10-Y52,0)</f>
        <v>2772400000</v>
      </c>
      <c r="Y53" s="272">
        <f ca="1">MAX(Y10+Y52-X10-X52,0)</f>
        <v>0</v>
      </c>
      <c r="Z53" s="272">
        <f ca="1">MAX(Z10+Z52-AA10-AA52,0)</f>
        <v>526519887</v>
      </c>
      <c r="AA53" s="272">
        <f ca="1">MAX(AA10+AA52-Z10-Z52,0)</f>
        <v>0</v>
      </c>
      <c r="AB53" s="272">
        <f ca="1">MAX(AB10+AB52-AC10-AC52,0)</f>
        <v>0</v>
      </c>
      <c r="AC53" s="272">
        <f ca="1">MAX(AC10+AC52-AB10-AB52,0)</f>
        <v>0</v>
      </c>
      <c r="AD53" s="272">
        <f ca="1">MAX(AD10+AD52-AE10-AE52,0)</f>
        <v>0</v>
      </c>
      <c r="AE53" s="272">
        <f ca="1">MAX(AE10+AE52-AD10-AD52,0)</f>
        <v>0</v>
      </c>
      <c r="AF53" s="272">
        <f ca="1">MAX(AF10+AF52-AG10-AG52,0)</f>
        <v>9386323824</v>
      </c>
      <c r="AG53" s="272">
        <f ca="1">MAX(AG10+AG52-AF10-AF52,0)</f>
        <v>0</v>
      </c>
      <c r="AH53" s="272">
        <f ca="1">MAX(AH10+AH52-AI10-AI52,0)</f>
        <v>7490743648</v>
      </c>
      <c r="AI53" s="272">
        <f ca="1">MAX(AI10+AI52-AH10-AH52,0)</f>
        <v>0</v>
      </c>
      <c r="AJ53" s="272">
        <f ca="1">MAX(AJ10+AJ52-AK10-AK52,0)</f>
        <v>3807898863</v>
      </c>
      <c r="AK53" s="272">
        <f ca="1">MAX(AK10+AK52-AJ10-AJ52,0)</f>
        <v>0</v>
      </c>
      <c r="AL53" s="272">
        <f ca="1">MAX(AL10+AL52-AM10-AM52,0)</f>
        <v>3790918485</v>
      </c>
      <c r="AM53" s="272">
        <f ca="1">MAX(AM10+AM52-AL10-AL52,0)</f>
        <v>0</v>
      </c>
      <c r="AN53" s="272">
        <f ca="1">MAX(AN10+AN52-AO10-AO52,0)</f>
        <v>5405781300</v>
      </c>
      <c r="AO53" s="272">
        <f ca="1">MAX(AO10+AO52-AN10-AN52,0)</f>
        <v>0</v>
      </c>
      <c r="AP53" s="272">
        <f ca="1">MAX(AP10+AP52-AQ10-AQ52,0)</f>
        <v>0</v>
      </c>
      <c r="AQ53" s="272">
        <f ca="1">MAX(AQ10+AQ52-AP10-AP52,0)</f>
        <v>9132359256</v>
      </c>
      <c r="AR53" s="272">
        <f ca="1">MAX(AR10+AR52-AS10-AS52,0)</f>
        <v>0</v>
      </c>
      <c r="AS53" s="272">
        <f ca="1">MAX(AS10+AS52-AR10-AR52,0)</f>
        <v>600642360</v>
      </c>
      <c r="AT53" s="272">
        <f ca="1">MAX(AT10+AT52-AU10-AU52,0)</f>
        <v>0</v>
      </c>
      <c r="AU53" s="272">
        <f ca="1">MAX(AU10+AU52-AT10-AT52,0)</f>
        <v>0</v>
      </c>
      <c r="AV53" s="272">
        <f ca="1">MAX(AV10+AV52-AW10-AW52,0)</f>
        <v>0</v>
      </c>
      <c r="AW53" s="272">
        <f ca="1">MAX(AW10+AW52-AV10-AV52,0)</f>
        <v>476953252</v>
      </c>
      <c r="AX53" s="272">
        <f ca="1">MAX(AX10+AX52-AY10-AY52,0)</f>
        <v>0</v>
      </c>
      <c r="AY53" s="272">
        <f ca="1">MAX(AY10+AY52-AX10-AX52,0)</f>
        <v>0</v>
      </c>
      <c r="AZ53" s="272">
        <f ca="1">MAX(AZ10+AZ52-BA10-BA52,0)</f>
        <v>0</v>
      </c>
      <c r="BA53" s="272">
        <f ca="1">MAX(BA10+BA52-AZ10-AZ52,0)</f>
        <v>0</v>
      </c>
      <c r="BB53" s="272">
        <f ca="1">MAX(BB10+BB52-BC10-BC52,0)</f>
        <v>0</v>
      </c>
      <c r="BC53" s="272">
        <f ca="1">MAX(BC10+BC52-BB10-BB52,0)</f>
        <v>0</v>
      </c>
      <c r="BD53" s="272">
        <f ca="1">MAX(BD10+BD52-BE10-BE52,0)</f>
        <v>0</v>
      </c>
      <c r="BE53" s="272">
        <f ca="1">MAX(BE10+BE52-BD10-BD52,0)</f>
        <v>3313435</v>
      </c>
      <c r="BF53" s="272">
        <f ca="1">MAX(BF10+BF52-BG10-BG52,0)</f>
        <v>3389804</v>
      </c>
      <c r="BG53" s="272">
        <f ca="1">MAX(BG10+BG52-BF10-BF52,0)</f>
        <v>0</v>
      </c>
      <c r="BH53" s="272">
        <f ca="1">MAX(BH10+BH52-BI10-BI52,0)</f>
        <v>0</v>
      </c>
      <c r="BI53" s="272">
        <f ca="1">MAX(BI10+BI52-BH10-BH52,0)</f>
        <v>0</v>
      </c>
      <c r="BJ53" s="272">
        <f ca="1">MAX(BJ10+BJ52-BK10-BK52,0)</f>
        <v>0</v>
      </c>
      <c r="BK53" s="272">
        <f ca="1">MAX(BK10+BK52-BJ10-BJ52,0)</f>
        <v>0</v>
      </c>
      <c r="BL53" s="272">
        <f ca="1">MAX(BL10+BL52-BM10-BM52,0)</f>
        <v>0</v>
      </c>
      <c r="BM53" s="272">
        <f ca="1">MAX(BM10+BM52-BL10-BL52,0)</f>
        <v>40272309</v>
      </c>
      <c r="BN53" s="272">
        <f ca="1">MAX(BN10+BN52-BO10-BO52,0)</f>
        <v>0</v>
      </c>
      <c r="BO53" s="272">
        <f ca="1">MAX(BO10+BO52-BN10-BN52,0)</f>
        <v>6403142</v>
      </c>
      <c r="BP53" s="272">
        <f ca="1">MAX(BP10+BP52-BQ10-BQ52,0)</f>
        <v>0</v>
      </c>
      <c r="BQ53" s="272">
        <f ca="1">MAX(BQ10+BQ52-BP10-BP52,0)</f>
        <v>2761373</v>
      </c>
      <c r="BR53" s="272">
        <f ca="1">MAX(BR10+BR52-BS10-BS52,0)</f>
        <v>0</v>
      </c>
      <c r="BS53" s="272">
        <f ca="1">MAX(BS10+BS52-BR10-BR52,0)</f>
        <v>0</v>
      </c>
      <c r="BT53" s="272">
        <f ca="1">MAX(BT10+BT52-BU10-BU52,0)</f>
        <v>0</v>
      </c>
      <c r="BU53" s="272">
        <f ca="1">MAX(BU10+BU52-BT10-BT52,0)</f>
        <v>2169121879</v>
      </c>
      <c r="BV53" s="272">
        <f ca="1">MAX(BV10+BV52-BW10-BW52,0)</f>
        <v>0</v>
      </c>
      <c r="BW53" s="272">
        <f ca="1">MAX(BW10+BW52-BV10-BV52,0)</f>
        <v>21202920500</v>
      </c>
      <c r="BX53" s="272">
        <f ca="1">MAX(BX10+BX52-BY10-BY52,0)</f>
        <v>0</v>
      </c>
      <c r="BY53" s="272">
        <f ca="1">MAX(BY10+BY52-BX10-BX52,0)</f>
        <v>10000000000</v>
      </c>
      <c r="BZ53" s="272">
        <f ca="1">MAX(BZ10+BZ52-CA10-CA52,0)</f>
        <v>0</v>
      </c>
      <c r="CA53" s="272">
        <f ca="1">MAX(CA10+CA52-BZ10-BZ52,0)</f>
        <v>594397022.00000048</v>
      </c>
      <c r="CB53" s="272">
        <f ca="1">MAX(CB10+CB52-CC10-CC52,0)</f>
        <v>77701001</v>
      </c>
      <c r="CC53" s="272">
        <f ca="1">MAX(CC10+CC52-CB10-CB52,0)</f>
        <v>0</v>
      </c>
      <c r="CD53" s="272">
        <f ca="1">MAX(CD10+CD52-CE10-CE52,0)</f>
        <v>0</v>
      </c>
      <c r="CE53" s="272">
        <f ca="1">MAX(CE10+CE52-CD10-CD52,0)</f>
        <v>0</v>
      </c>
      <c r="CF53" s="272">
        <f ca="1">MAX(CF10+CF52-CG10-CG52,0)</f>
        <v>0</v>
      </c>
      <c r="CG53" s="272">
        <f ca="1">MAX(CG10+CG52-CF10-CF52,0)</f>
        <v>0</v>
      </c>
      <c r="CH53" s="272">
        <f ca="1">MAX(CH10+CH52-CI10-CI52,0)</f>
        <v>0</v>
      </c>
      <c r="CI53" s="272">
        <f ca="1">MAX(CI10+CI52-CH10-CH52,0)</f>
        <v>0</v>
      </c>
      <c r="CJ53" s="272">
        <f ca="1">MAX(CJ10+CJ52-CK10-CK52,0)</f>
        <v>0</v>
      </c>
      <c r="CK53" s="272">
        <f ca="1">MAX(CK10+CK52-CJ10-CJ52,0)</f>
        <v>0</v>
      </c>
      <c r="CL53" s="272">
        <f ca="1">MAX(CL10+CL52-CM10-CM52,0)</f>
        <v>0</v>
      </c>
      <c r="CM53" s="272">
        <f ca="1">MAX(CM10+CM52-CL10-CL52,0)</f>
        <v>0</v>
      </c>
      <c r="CN53" s="272">
        <f ca="1">MAX(CN10+CN52-CO10-CO52,0)</f>
        <v>0</v>
      </c>
      <c r="CO53" s="272">
        <f ca="1">MAX(CO10+CO52-CN10-CN52,0)</f>
        <v>0</v>
      </c>
      <c r="CP53" s="272">
        <f ca="1">MAX(CP10+CP52-CQ10-CQ52,0)</f>
        <v>0</v>
      </c>
      <c r="CQ53" s="272">
        <f ca="1">MAX(CQ10+CQ52-CP10-CP52,0)</f>
        <v>0</v>
      </c>
      <c r="CR53" s="272">
        <f ca="1">MAX(CR10+CR52-CS10-CS52,0)</f>
        <v>0</v>
      </c>
      <c r="CS53" s="272">
        <f ca="1">MAX(CS10+CS52-CR10-CR52,0)</f>
        <v>0</v>
      </c>
      <c r="CT53" s="272">
        <f ca="1">MAX(CT10+CT52-CU10-CU52,0)</f>
        <v>0</v>
      </c>
      <c r="CU53" s="272">
        <f ca="1">MAX(CU10+CU52-CT10-CT52,0)</f>
        <v>0</v>
      </c>
      <c r="CV53" s="272">
        <f ca="1">MAX(CV10+CV52-CW10-CW52,0)</f>
        <v>0</v>
      </c>
      <c r="CW53" s="272">
        <f ca="1">MAX(CW10+CW52-CV10-CV52,0)</f>
        <v>0</v>
      </c>
      <c r="CX53" s="272">
        <f ca="1">MAX(CX10+CX52-CY10-CY52,0)</f>
        <v>0</v>
      </c>
      <c r="CY53" s="272">
        <f ca="1">MAX(CY10+CY52-CX10-CX52,0)</f>
        <v>0</v>
      </c>
      <c r="CZ53" s="272">
        <f ca="1">MAX(CZ10+CZ52-DA10-DA52,0)</f>
        <v>0</v>
      </c>
      <c r="DA53" s="272">
        <f ca="1">MAX(DA10+DA52-CZ10-CZ52,0)</f>
        <v>0</v>
      </c>
    </row>
    <row r="54" spans="1:105" s="261" customFormat="1" ht="15" customHeight="1">
      <c r="A54" s="273"/>
      <c r="B54" s="273"/>
      <c r="C54" s="274"/>
      <c r="D54" s="273"/>
      <c r="E54" s="275" t="s">
        <v>217</v>
      </c>
      <c r="F54" s="273"/>
      <c r="G54" s="276"/>
      <c r="H54" s="276"/>
      <c r="I54" s="273"/>
      <c r="J54" s="277">
        <f ca="1">J52</f>
        <v>0</v>
      </c>
      <c r="K54" s="277">
        <f ca="1">K52</f>
        <v>0</v>
      </c>
      <c r="L54" s="277">
        <f t="shared" ref="L54:BY54" ca="1" si="107">L52</f>
        <v>0</v>
      </c>
      <c r="M54" s="277">
        <f t="shared" ca="1" si="107"/>
        <v>0</v>
      </c>
      <c r="N54" s="277">
        <f t="shared" ca="1" si="107"/>
        <v>0</v>
      </c>
      <c r="O54" s="277">
        <f t="shared" ca="1" si="107"/>
        <v>0</v>
      </c>
      <c r="P54" s="277">
        <f t="shared" ca="1" si="107"/>
        <v>0</v>
      </c>
      <c r="Q54" s="277">
        <f t="shared" ca="1" si="107"/>
        <v>0</v>
      </c>
      <c r="R54" s="277">
        <f t="shared" ca="1" si="107"/>
        <v>0</v>
      </c>
      <c r="S54" s="277">
        <f t="shared" ca="1" si="107"/>
        <v>0</v>
      </c>
      <c r="T54" s="277">
        <f t="shared" ca="1" si="107"/>
        <v>0</v>
      </c>
      <c r="U54" s="277">
        <f t="shared" ca="1" si="107"/>
        <v>0</v>
      </c>
      <c r="V54" s="277">
        <f t="shared" ca="1" si="107"/>
        <v>0</v>
      </c>
      <c r="W54" s="277">
        <f t="shared" ca="1" si="107"/>
        <v>0</v>
      </c>
      <c r="X54" s="277">
        <f t="shared" ca="1" si="107"/>
        <v>0</v>
      </c>
      <c r="Y54" s="277">
        <f t="shared" ca="1" si="107"/>
        <v>0</v>
      </c>
      <c r="Z54" s="277">
        <f t="shared" ca="1" si="107"/>
        <v>0</v>
      </c>
      <c r="AA54" s="277">
        <f t="shared" ca="1" si="107"/>
        <v>0</v>
      </c>
      <c r="AB54" s="277">
        <f t="shared" ca="1" si="107"/>
        <v>0</v>
      </c>
      <c r="AC54" s="277">
        <f t="shared" ca="1" si="107"/>
        <v>0</v>
      </c>
      <c r="AD54" s="277">
        <f t="shared" ca="1" si="107"/>
        <v>0</v>
      </c>
      <c r="AE54" s="277">
        <f t="shared" ca="1" si="107"/>
        <v>0</v>
      </c>
      <c r="AF54" s="277">
        <f t="shared" ca="1" si="107"/>
        <v>0</v>
      </c>
      <c r="AG54" s="277">
        <f t="shared" ca="1" si="107"/>
        <v>0</v>
      </c>
      <c r="AH54" s="277">
        <f t="shared" ca="1" si="107"/>
        <v>0</v>
      </c>
      <c r="AI54" s="277">
        <f t="shared" ca="1" si="107"/>
        <v>0</v>
      </c>
      <c r="AJ54" s="277">
        <f t="shared" ca="1" si="107"/>
        <v>0</v>
      </c>
      <c r="AK54" s="277">
        <f t="shared" ca="1" si="107"/>
        <v>0</v>
      </c>
      <c r="AL54" s="277">
        <f t="shared" ca="1" si="107"/>
        <v>0</v>
      </c>
      <c r="AM54" s="277">
        <f t="shared" ca="1" si="107"/>
        <v>0</v>
      </c>
      <c r="AN54" s="277">
        <f t="shared" ca="1" si="107"/>
        <v>0</v>
      </c>
      <c r="AO54" s="277">
        <f t="shared" ca="1" si="107"/>
        <v>0</v>
      </c>
      <c r="AP54" s="277">
        <f t="shared" ca="1" si="107"/>
        <v>0</v>
      </c>
      <c r="AQ54" s="277">
        <f t="shared" ca="1" si="107"/>
        <v>0</v>
      </c>
      <c r="AR54" s="277">
        <f t="shared" ca="1" si="107"/>
        <v>0</v>
      </c>
      <c r="AS54" s="277">
        <f t="shared" ca="1" si="107"/>
        <v>0</v>
      </c>
      <c r="AT54" s="277">
        <f ca="1">AT52</f>
        <v>0</v>
      </c>
      <c r="AU54" s="277">
        <f ca="1">AU52</f>
        <v>0</v>
      </c>
      <c r="AV54" s="277">
        <f t="shared" ca="1" si="107"/>
        <v>0</v>
      </c>
      <c r="AW54" s="277">
        <f t="shared" ca="1" si="107"/>
        <v>0</v>
      </c>
      <c r="AX54" s="277">
        <f t="shared" ca="1" si="107"/>
        <v>0</v>
      </c>
      <c r="AY54" s="277">
        <f t="shared" ca="1" si="107"/>
        <v>0</v>
      </c>
      <c r="AZ54" s="277">
        <f t="shared" ca="1" si="107"/>
        <v>0</v>
      </c>
      <c r="BA54" s="277">
        <f t="shared" ca="1" si="107"/>
        <v>0</v>
      </c>
      <c r="BB54" s="277">
        <f t="shared" ca="1" si="107"/>
        <v>0</v>
      </c>
      <c r="BC54" s="277">
        <f t="shared" ca="1" si="107"/>
        <v>0</v>
      </c>
      <c r="BD54" s="277">
        <f t="shared" ca="1" si="107"/>
        <v>0</v>
      </c>
      <c r="BE54" s="277">
        <f t="shared" ca="1" si="107"/>
        <v>0</v>
      </c>
      <c r="BF54" s="277">
        <f t="shared" ca="1" si="107"/>
        <v>0</v>
      </c>
      <c r="BG54" s="277">
        <f t="shared" ca="1" si="107"/>
        <v>0</v>
      </c>
      <c r="BH54" s="277">
        <f t="shared" ca="1" si="107"/>
        <v>0</v>
      </c>
      <c r="BI54" s="277">
        <f t="shared" ca="1" si="107"/>
        <v>0</v>
      </c>
      <c r="BJ54" s="277">
        <f t="shared" ca="1" si="107"/>
        <v>0</v>
      </c>
      <c r="BK54" s="277">
        <f t="shared" ca="1" si="107"/>
        <v>0</v>
      </c>
      <c r="BL54" s="277">
        <f t="shared" ca="1" si="107"/>
        <v>0</v>
      </c>
      <c r="BM54" s="277">
        <f t="shared" ca="1" si="107"/>
        <v>0</v>
      </c>
      <c r="BN54" s="277">
        <f t="shared" ca="1" si="107"/>
        <v>0</v>
      </c>
      <c r="BO54" s="277">
        <f t="shared" ca="1" si="107"/>
        <v>0</v>
      </c>
      <c r="BP54" s="277">
        <f t="shared" ca="1" si="107"/>
        <v>0</v>
      </c>
      <c r="BQ54" s="277">
        <f t="shared" ca="1" si="107"/>
        <v>0</v>
      </c>
      <c r="BR54" s="277">
        <f t="shared" ca="1" si="107"/>
        <v>0</v>
      </c>
      <c r="BS54" s="277">
        <f t="shared" ca="1" si="107"/>
        <v>0</v>
      </c>
      <c r="BT54" s="277">
        <f t="shared" ca="1" si="107"/>
        <v>0</v>
      </c>
      <c r="BU54" s="277">
        <f t="shared" ca="1" si="107"/>
        <v>0</v>
      </c>
      <c r="BV54" s="277">
        <f ca="1">BV52</f>
        <v>0</v>
      </c>
      <c r="BW54" s="277">
        <f ca="1">BW52</f>
        <v>0</v>
      </c>
      <c r="BX54" s="277">
        <f t="shared" ca="1" si="107"/>
        <v>0</v>
      </c>
      <c r="BY54" s="277">
        <f t="shared" ca="1" si="107"/>
        <v>0</v>
      </c>
      <c r="BZ54" s="277">
        <f t="shared" ref="BZ54:DA54" ca="1" si="108">BZ52</f>
        <v>0</v>
      </c>
      <c r="CA54" s="277">
        <f t="shared" ca="1" si="108"/>
        <v>107861885.00000048</v>
      </c>
      <c r="CB54" s="277">
        <f t="shared" ca="1" si="108"/>
        <v>107861885.00000048</v>
      </c>
      <c r="CC54" s="277">
        <f t="shared" ca="1" si="108"/>
        <v>0</v>
      </c>
      <c r="CD54" s="277">
        <f t="shared" ca="1" si="108"/>
        <v>0</v>
      </c>
      <c r="CE54" s="277">
        <f t="shared" ca="1" si="108"/>
        <v>0</v>
      </c>
      <c r="CF54" s="277">
        <f t="shared" ca="1" si="108"/>
        <v>0</v>
      </c>
      <c r="CG54" s="277">
        <f t="shared" ca="1" si="108"/>
        <v>0</v>
      </c>
      <c r="CH54" s="277">
        <f t="shared" ca="1" si="108"/>
        <v>0</v>
      </c>
      <c r="CI54" s="277">
        <f t="shared" ca="1" si="108"/>
        <v>0</v>
      </c>
      <c r="CJ54" s="277">
        <f t="shared" ca="1" si="108"/>
        <v>0</v>
      </c>
      <c r="CK54" s="277">
        <f t="shared" ca="1" si="108"/>
        <v>0</v>
      </c>
      <c r="CL54" s="277">
        <f t="shared" ca="1" si="108"/>
        <v>0</v>
      </c>
      <c r="CM54" s="277">
        <f t="shared" ca="1" si="108"/>
        <v>0</v>
      </c>
      <c r="CN54" s="277">
        <f t="shared" ca="1" si="108"/>
        <v>0</v>
      </c>
      <c r="CO54" s="277">
        <f t="shared" ca="1" si="108"/>
        <v>0</v>
      </c>
      <c r="CP54" s="277">
        <f t="shared" ca="1" si="108"/>
        <v>0</v>
      </c>
      <c r="CQ54" s="277">
        <f t="shared" ca="1" si="108"/>
        <v>0</v>
      </c>
      <c r="CR54" s="277">
        <f t="shared" ca="1" si="108"/>
        <v>0</v>
      </c>
      <c r="CS54" s="277">
        <f t="shared" ca="1" si="108"/>
        <v>0</v>
      </c>
      <c r="CT54" s="277">
        <f t="shared" ca="1" si="108"/>
        <v>0</v>
      </c>
      <c r="CU54" s="277">
        <f t="shared" ca="1" si="108"/>
        <v>0</v>
      </c>
      <c r="CV54" s="277">
        <f t="shared" ca="1" si="108"/>
        <v>0</v>
      </c>
      <c r="CW54" s="277">
        <f t="shared" ca="1" si="108"/>
        <v>0</v>
      </c>
      <c r="CX54" s="277">
        <f t="shared" ca="1" si="108"/>
        <v>0</v>
      </c>
      <c r="CY54" s="277">
        <f t="shared" ca="1" si="108"/>
        <v>0</v>
      </c>
      <c r="CZ54" s="277">
        <f t="shared" ca="1" si="108"/>
        <v>0</v>
      </c>
      <c r="DA54" s="277">
        <f t="shared" ca="1" si="108"/>
        <v>0</v>
      </c>
    </row>
    <row r="55" spans="1:105" ht="12" customHeight="1">
      <c r="B55" s="278"/>
      <c r="C55" s="279"/>
      <c r="D55" s="279"/>
      <c r="E55" s="279"/>
      <c r="F55" s="279"/>
      <c r="G55" s="280"/>
      <c r="H55" s="280"/>
      <c r="I55" s="279"/>
      <c r="J55" s="279"/>
      <c r="K55" s="279"/>
    </row>
    <row r="56" spans="1:105">
      <c r="F56" s="281"/>
      <c r="M56" s="281"/>
      <c r="O56" s="281"/>
      <c r="Q56" s="281"/>
      <c r="R56" s="281"/>
      <c r="S56" s="281"/>
      <c r="T56" s="281"/>
      <c r="U56" s="281"/>
      <c r="V56" s="281"/>
      <c r="AN56" s="282" t="s">
        <v>218</v>
      </c>
      <c r="AO56" s="283"/>
      <c r="AP56" s="283"/>
      <c r="AQ56" s="283"/>
      <c r="AR56" s="284"/>
      <c r="AS56" s="284"/>
      <c r="AT56" s="283"/>
    </row>
    <row r="57" spans="1:105">
      <c r="F57" s="281"/>
      <c r="M57" s="281"/>
      <c r="O57" s="281"/>
      <c r="Q57" s="281"/>
      <c r="R57" s="281"/>
      <c r="S57" s="281"/>
      <c r="T57" s="281"/>
      <c r="U57" s="281"/>
      <c r="V57" s="281"/>
      <c r="AN57" s="285" t="s">
        <v>219</v>
      </c>
      <c r="AO57" s="283"/>
      <c r="AP57" s="283"/>
      <c r="AQ57" s="283"/>
      <c r="AR57" s="284"/>
      <c r="AS57" s="284"/>
      <c r="AT57" s="283"/>
    </row>
    <row r="58" spans="1:105">
      <c r="F58" s="281"/>
      <c r="M58" s="281"/>
      <c r="O58" s="281"/>
      <c r="Q58" s="281"/>
      <c r="R58" s="281"/>
      <c r="S58" s="281"/>
      <c r="T58" s="281"/>
      <c r="U58" s="281"/>
      <c r="V58" s="281"/>
      <c r="AN58" s="283"/>
      <c r="AO58" s="283"/>
      <c r="AP58" s="283"/>
      <c r="AQ58" s="283"/>
      <c r="AR58" s="283"/>
      <c r="AS58" s="283"/>
      <c r="AT58" s="284"/>
    </row>
    <row r="59" spans="1:105">
      <c r="F59" s="281"/>
      <c r="AN59" s="283"/>
      <c r="AO59" s="283"/>
      <c r="AP59" s="283"/>
      <c r="AQ59" s="283"/>
      <c r="AR59" s="283"/>
      <c r="AS59" s="283"/>
      <c r="AT59" s="284"/>
      <c r="AZ59" s="286" t="str">
        <f>"Ngày 31 tháng 03 năm 2015 "</f>
        <v xml:space="preserve">Ngày 31 tháng 03 năm 2015 </v>
      </c>
    </row>
    <row r="60" spans="1:105">
      <c r="F60" s="281"/>
      <c r="M60" s="281"/>
      <c r="O60" s="281"/>
      <c r="Q60" s="281"/>
      <c r="R60" s="281"/>
      <c r="S60" s="281"/>
      <c r="T60" s="281"/>
      <c r="U60" s="281"/>
      <c r="V60" s="281"/>
      <c r="AN60" s="283"/>
      <c r="AO60" s="287" t="s">
        <v>11</v>
      </c>
      <c r="AP60" s="283"/>
      <c r="AQ60" s="283"/>
      <c r="AR60" s="283"/>
      <c r="AS60" s="288" t="s">
        <v>12</v>
      </c>
      <c r="AT60" s="284"/>
      <c r="AZ60" s="287" t="s">
        <v>131</v>
      </c>
    </row>
    <row r="61" spans="1:105">
      <c r="F61" s="281"/>
      <c r="M61" s="281"/>
      <c r="O61" s="281"/>
      <c r="Q61" s="281"/>
      <c r="R61" s="281"/>
      <c r="S61" s="281"/>
      <c r="T61" s="281"/>
      <c r="U61" s="281"/>
      <c r="V61" s="281"/>
      <c r="AN61" s="283"/>
      <c r="AO61" s="289" t="s">
        <v>13</v>
      </c>
      <c r="AP61" s="283"/>
      <c r="AQ61" s="283"/>
      <c r="AR61" s="283"/>
      <c r="AS61" s="290" t="s">
        <v>13</v>
      </c>
      <c r="AT61" s="284"/>
      <c r="AZ61" s="289" t="s">
        <v>161</v>
      </c>
    </row>
    <row r="62" spans="1:105">
      <c r="F62" s="281"/>
      <c r="M62" s="281"/>
      <c r="O62" s="281"/>
      <c r="Q62" s="281"/>
      <c r="R62" s="281"/>
      <c r="S62" s="281"/>
      <c r="T62" s="281"/>
      <c r="U62" s="281"/>
      <c r="V62" s="281"/>
      <c r="AL62" s="283"/>
      <c r="AM62" s="283"/>
      <c r="AN62" s="283"/>
      <c r="AO62" s="283"/>
      <c r="AP62" s="283"/>
      <c r="AQ62" s="283"/>
      <c r="AR62" s="283"/>
      <c r="AS62" s="283"/>
      <c r="AT62" s="284"/>
      <c r="AZ62" s="283"/>
    </row>
    <row r="63" spans="1:105">
      <c r="F63" s="281"/>
      <c r="M63" s="281"/>
      <c r="O63" s="281"/>
      <c r="Q63" s="281"/>
      <c r="R63" s="281"/>
      <c r="S63" s="281"/>
      <c r="T63" s="281"/>
      <c r="U63" s="281"/>
      <c r="V63" s="281"/>
      <c r="AZ63" s="283"/>
    </row>
    <row r="64" spans="1:105">
      <c r="F64" s="281"/>
      <c r="M64" s="281"/>
      <c r="O64" s="281"/>
      <c r="Q64" s="281"/>
      <c r="R64" s="281"/>
      <c r="S64" s="281"/>
      <c r="T64" s="281"/>
      <c r="U64" s="281"/>
      <c r="V64" s="281"/>
    </row>
    <row r="65" spans="6:22">
      <c r="F65" s="281"/>
      <c r="M65" s="281"/>
      <c r="O65" s="281"/>
      <c r="Q65" s="281"/>
      <c r="R65" s="281"/>
      <c r="S65" s="281"/>
      <c r="T65" s="281"/>
      <c r="U65" s="281"/>
      <c r="V65" s="281"/>
    </row>
    <row r="66" spans="6:22">
      <c r="F66" s="281"/>
    </row>
    <row r="67" spans="6:22">
      <c r="F67" s="281"/>
      <c r="M67" s="281"/>
      <c r="O67" s="281"/>
      <c r="Q67" s="281"/>
      <c r="R67" s="281"/>
      <c r="S67" s="281"/>
      <c r="T67" s="281"/>
      <c r="U67" s="281"/>
      <c r="V67" s="281"/>
    </row>
    <row r="68" spans="6:22">
      <c r="F68" s="281"/>
      <c r="M68" s="281"/>
      <c r="O68" s="281"/>
      <c r="Q68" s="281"/>
      <c r="R68" s="281"/>
      <c r="S68" s="281"/>
      <c r="T68" s="281"/>
      <c r="U68" s="281"/>
      <c r="V68" s="281"/>
    </row>
    <row r="69" spans="6:22">
      <c r="F69" s="281"/>
      <c r="M69" s="281"/>
      <c r="O69" s="281"/>
      <c r="Q69" s="281"/>
      <c r="R69" s="281"/>
      <c r="S69" s="281"/>
      <c r="T69" s="281"/>
      <c r="U69" s="281"/>
      <c r="V69" s="281"/>
    </row>
    <row r="70" spans="6:22">
      <c r="F70" s="281"/>
      <c r="M70" s="281"/>
      <c r="O70" s="281"/>
      <c r="Q70" s="281"/>
      <c r="R70" s="281"/>
      <c r="S70" s="281"/>
      <c r="T70" s="281"/>
      <c r="U70" s="281"/>
      <c r="V70" s="281"/>
    </row>
    <row r="71" spans="6:22">
      <c r="F71" s="281"/>
      <c r="M71" s="281"/>
      <c r="O71" s="281"/>
      <c r="Q71" s="281"/>
      <c r="R71" s="281"/>
      <c r="S71" s="281"/>
      <c r="T71" s="281"/>
      <c r="U71" s="281"/>
      <c r="V71" s="281"/>
    </row>
    <row r="72" spans="6:22">
      <c r="F72" s="281"/>
      <c r="M72" s="281"/>
      <c r="O72" s="281"/>
      <c r="Q72" s="281"/>
      <c r="R72" s="281"/>
      <c r="S72" s="281"/>
      <c r="T72" s="281"/>
      <c r="U72" s="281"/>
      <c r="V72" s="281"/>
    </row>
    <row r="73" spans="6:22">
      <c r="F73" s="281"/>
      <c r="M73" s="281"/>
      <c r="O73" s="281"/>
      <c r="Q73" s="281"/>
      <c r="R73" s="281"/>
      <c r="S73" s="281"/>
      <c r="T73" s="281"/>
      <c r="U73" s="281"/>
      <c r="V73" s="281"/>
    </row>
    <row r="74" spans="6:22">
      <c r="F74" s="281"/>
      <c r="M74" s="281"/>
      <c r="O74" s="281"/>
      <c r="Q74" s="281"/>
      <c r="R74" s="281"/>
      <c r="S74" s="281"/>
      <c r="T74" s="281"/>
      <c r="U74" s="281"/>
      <c r="V74" s="281"/>
    </row>
    <row r="75" spans="6:22">
      <c r="F75" s="281"/>
      <c r="M75" s="281"/>
      <c r="O75" s="281"/>
      <c r="Q75" s="281"/>
      <c r="R75" s="281"/>
      <c r="S75" s="281"/>
      <c r="T75" s="281"/>
      <c r="U75" s="281"/>
      <c r="V75" s="281"/>
    </row>
    <row r="76" spans="6:22">
      <c r="F76" s="281"/>
      <c r="M76" s="281"/>
      <c r="O76" s="281"/>
      <c r="Q76" s="281"/>
      <c r="R76" s="281"/>
      <c r="S76" s="281"/>
      <c r="T76" s="281"/>
      <c r="U76" s="281"/>
      <c r="V76" s="281"/>
    </row>
    <row r="77" spans="6:22">
      <c r="F77" s="281"/>
      <c r="M77" s="281"/>
      <c r="O77" s="281"/>
      <c r="Q77" s="281"/>
      <c r="R77" s="281"/>
      <c r="S77" s="281"/>
      <c r="T77" s="281"/>
      <c r="U77" s="281"/>
      <c r="V77" s="281"/>
    </row>
    <row r="78" spans="6:22">
      <c r="F78" s="281"/>
      <c r="M78" s="281"/>
      <c r="O78" s="281"/>
      <c r="Q78" s="281"/>
      <c r="R78" s="281"/>
      <c r="S78" s="281"/>
      <c r="T78" s="281"/>
      <c r="U78" s="281"/>
      <c r="V78" s="281"/>
    </row>
    <row r="79" spans="6:22">
      <c r="F79" s="281"/>
      <c r="M79" s="281"/>
      <c r="O79" s="281"/>
      <c r="Q79" s="281"/>
      <c r="R79" s="281"/>
      <c r="S79" s="281"/>
      <c r="T79" s="281"/>
      <c r="U79" s="281"/>
      <c r="V79" s="281"/>
    </row>
    <row r="80" spans="6:22">
      <c r="F80" s="281"/>
      <c r="M80" s="281"/>
      <c r="O80" s="281"/>
      <c r="Q80" s="281"/>
      <c r="R80" s="281"/>
      <c r="S80" s="281"/>
      <c r="T80" s="281"/>
      <c r="U80" s="281"/>
      <c r="V80" s="281"/>
    </row>
    <row r="81" spans="6:22">
      <c r="F81" s="281"/>
      <c r="M81" s="281"/>
      <c r="O81" s="281"/>
      <c r="Q81" s="281"/>
      <c r="R81" s="281"/>
      <c r="S81" s="281"/>
      <c r="T81" s="281"/>
      <c r="U81" s="281"/>
      <c r="V81" s="281"/>
    </row>
    <row r="82" spans="6:22">
      <c r="F82" s="281"/>
      <c r="M82" s="281"/>
      <c r="O82" s="281"/>
      <c r="Q82" s="281"/>
      <c r="R82" s="281"/>
      <c r="S82" s="281"/>
      <c r="T82" s="281"/>
      <c r="U82" s="281"/>
      <c r="V82" s="281"/>
    </row>
    <row r="83" spans="6:22">
      <c r="F83" s="281"/>
      <c r="M83" s="281"/>
      <c r="O83" s="281"/>
      <c r="Q83" s="281"/>
      <c r="R83" s="281"/>
      <c r="S83" s="281"/>
      <c r="T83" s="281"/>
      <c r="U83" s="281"/>
      <c r="V83" s="281"/>
    </row>
    <row r="84" spans="6:22">
      <c r="F84" s="281"/>
      <c r="M84" s="281"/>
      <c r="O84" s="281"/>
      <c r="Q84" s="281"/>
      <c r="R84" s="281"/>
      <c r="S84" s="281"/>
      <c r="T84" s="281"/>
      <c r="U84" s="281"/>
      <c r="V84" s="281"/>
    </row>
    <row r="85" spans="6:22">
      <c r="F85" s="281"/>
      <c r="M85" s="281"/>
      <c r="O85" s="281"/>
      <c r="Q85" s="281"/>
      <c r="R85" s="281"/>
      <c r="S85" s="281"/>
      <c r="T85" s="281"/>
      <c r="U85" s="281"/>
      <c r="V85" s="281"/>
    </row>
    <row r="86" spans="6:22">
      <c r="F86" s="281"/>
      <c r="M86" s="281"/>
      <c r="O86" s="281"/>
      <c r="Q86" s="281"/>
      <c r="R86" s="281"/>
      <c r="S86" s="281"/>
      <c r="T86" s="281"/>
      <c r="U86" s="281"/>
      <c r="V86" s="281"/>
    </row>
    <row r="87" spans="6:22">
      <c r="F87" s="281"/>
      <c r="M87" s="281"/>
      <c r="O87" s="281"/>
      <c r="Q87" s="281"/>
      <c r="R87" s="281"/>
      <c r="S87" s="281"/>
      <c r="T87" s="281"/>
      <c r="U87" s="281"/>
      <c r="V87" s="281"/>
    </row>
    <row r="88" spans="6:22">
      <c r="F88" s="281"/>
      <c r="M88" s="281"/>
      <c r="O88" s="281"/>
      <c r="Q88" s="281"/>
      <c r="R88" s="281"/>
      <c r="S88" s="281"/>
      <c r="T88" s="281"/>
      <c r="U88" s="281"/>
      <c r="V88" s="281"/>
    </row>
    <row r="89" spans="6:22">
      <c r="F89" s="281"/>
      <c r="M89" s="281"/>
      <c r="O89" s="281"/>
      <c r="Q89" s="281"/>
      <c r="R89" s="281"/>
      <c r="S89" s="281"/>
      <c r="T89" s="281"/>
      <c r="U89" s="281"/>
      <c r="V89" s="281"/>
    </row>
    <row r="90" spans="6:22">
      <c r="F90" s="281"/>
      <c r="M90" s="281"/>
      <c r="O90" s="281"/>
      <c r="Q90" s="281"/>
      <c r="R90" s="281"/>
      <c r="S90" s="281"/>
      <c r="T90" s="281"/>
      <c r="U90" s="281"/>
      <c r="V90" s="281"/>
    </row>
    <row r="91" spans="6:22">
      <c r="F91" s="281"/>
      <c r="M91" s="281"/>
      <c r="O91" s="281"/>
      <c r="Q91" s="281"/>
      <c r="R91" s="281"/>
      <c r="S91" s="281"/>
      <c r="T91" s="281"/>
      <c r="U91" s="281"/>
      <c r="V91" s="281"/>
    </row>
    <row r="92" spans="6:22">
      <c r="F92" s="281"/>
      <c r="M92" s="281"/>
      <c r="O92" s="281"/>
      <c r="Q92" s="281"/>
      <c r="R92" s="281"/>
      <c r="S92" s="281"/>
      <c r="T92" s="281"/>
      <c r="U92" s="281"/>
      <c r="V92" s="281"/>
    </row>
    <row r="93" spans="6:22">
      <c r="F93" s="281"/>
      <c r="M93" s="281"/>
      <c r="O93" s="281"/>
      <c r="Q93" s="281"/>
      <c r="R93" s="281"/>
      <c r="S93" s="281"/>
      <c r="T93" s="281"/>
      <c r="U93" s="281"/>
      <c r="V93" s="281"/>
    </row>
    <row r="94" spans="6:22">
      <c r="F94" s="281"/>
      <c r="M94" s="281"/>
      <c r="O94" s="281"/>
      <c r="Q94" s="281"/>
      <c r="R94" s="281"/>
      <c r="S94" s="281"/>
      <c r="T94" s="281"/>
      <c r="U94" s="281"/>
      <c r="V94" s="281"/>
    </row>
    <row r="95" spans="6:22">
      <c r="F95" s="281"/>
      <c r="M95" s="281"/>
      <c r="O95" s="281"/>
      <c r="Q95" s="281"/>
      <c r="R95" s="281"/>
      <c r="S95" s="281"/>
      <c r="T95" s="281"/>
      <c r="U95" s="281"/>
      <c r="V95" s="281"/>
    </row>
    <row r="96" spans="6:22">
      <c r="F96" s="281"/>
      <c r="M96" s="281"/>
      <c r="O96" s="281"/>
      <c r="Q96" s="281"/>
      <c r="R96" s="281"/>
      <c r="S96" s="281"/>
      <c r="T96" s="281"/>
      <c r="U96" s="281"/>
      <c r="V96" s="281"/>
    </row>
    <row r="97" spans="6:22">
      <c r="F97" s="281"/>
      <c r="M97" s="281"/>
      <c r="O97" s="281"/>
      <c r="Q97" s="281"/>
      <c r="R97" s="281"/>
      <c r="S97" s="281"/>
      <c r="T97" s="281"/>
      <c r="U97" s="281"/>
      <c r="V97" s="281"/>
    </row>
    <row r="98" spans="6:22">
      <c r="F98" s="281"/>
      <c r="M98" s="281"/>
      <c r="O98" s="281"/>
      <c r="Q98" s="281"/>
      <c r="R98" s="281"/>
      <c r="S98" s="281"/>
      <c r="T98" s="281"/>
      <c r="U98" s="281"/>
      <c r="V98" s="281"/>
    </row>
    <row r="99" spans="6:22">
      <c r="F99" s="281"/>
      <c r="M99" s="281"/>
      <c r="O99" s="281"/>
      <c r="Q99" s="281"/>
      <c r="R99" s="281"/>
      <c r="S99" s="281"/>
      <c r="T99" s="281"/>
      <c r="U99" s="281"/>
      <c r="V99" s="281"/>
    </row>
    <row r="100" spans="6:22">
      <c r="F100" s="281"/>
      <c r="M100" s="281"/>
      <c r="O100" s="281"/>
      <c r="Q100" s="281"/>
      <c r="R100" s="281"/>
      <c r="S100" s="281"/>
      <c r="T100" s="281"/>
      <c r="U100" s="281"/>
      <c r="V100" s="281"/>
    </row>
    <row r="101" spans="6:22">
      <c r="F101" s="281"/>
      <c r="M101" s="281"/>
      <c r="O101" s="281"/>
      <c r="Q101" s="281"/>
      <c r="R101" s="281"/>
      <c r="S101" s="281"/>
      <c r="T101" s="281"/>
      <c r="U101" s="281"/>
      <c r="V101" s="281"/>
    </row>
    <row r="102" spans="6:22">
      <c r="F102" s="281"/>
      <c r="M102" s="281"/>
      <c r="O102" s="281"/>
      <c r="Q102" s="281"/>
      <c r="R102" s="281"/>
      <c r="S102" s="281"/>
      <c r="T102" s="281"/>
      <c r="U102" s="281"/>
      <c r="V102" s="281"/>
    </row>
    <row r="103" spans="6:22">
      <c r="F103" s="281"/>
      <c r="M103" s="281"/>
      <c r="O103" s="281"/>
      <c r="Q103" s="281"/>
      <c r="R103" s="281"/>
      <c r="S103" s="281"/>
      <c r="T103" s="281"/>
      <c r="U103" s="281"/>
      <c r="V103" s="281"/>
    </row>
    <row r="104" spans="6:22">
      <c r="F104" s="281"/>
      <c r="M104" s="281"/>
      <c r="O104" s="281"/>
      <c r="Q104" s="281"/>
      <c r="R104" s="281"/>
      <c r="S104" s="281"/>
      <c r="T104" s="281"/>
      <c r="U104" s="281"/>
      <c r="V104" s="281"/>
    </row>
    <row r="105" spans="6:22">
      <c r="F105" s="281"/>
      <c r="M105" s="281"/>
      <c r="O105" s="281"/>
      <c r="Q105" s="281"/>
      <c r="R105" s="281"/>
      <c r="S105" s="281"/>
      <c r="T105" s="281"/>
      <c r="U105" s="281"/>
      <c r="V105" s="281"/>
    </row>
    <row r="106" spans="6:22">
      <c r="F106" s="281"/>
      <c r="M106" s="281"/>
      <c r="O106" s="281"/>
      <c r="Q106" s="281"/>
      <c r="R106" s="281"/>
      <c r="S106" s="281"/>
      <c r="T106" s="281"/>
      <c r="U106" s="281"/>
      <c r="V106" s="281"/>
    </row>
    <row r="107" spans="6:22">
      <c r="F107" s="281"/>
      <c r="M107" s="281"/>
      <c r="O107" s="281"/>
      <c r="Q107" s="281"/>
      <c r="R107" s="281"/>
      <c r="S107" s="281"/>
      <c r="T107" s="281"/>
      <c r="U107" s="281"/>
      <c r="V107" s="281"/>
    </row>
    <row r="108" spans="6:22">
      <c r="F108" s="281"/>
      <c r="M108" s="281"/>
      <c r="O108" s="281"/>
      <c r="Q108" s="281"/>
      <c r="R108" s="281"/>
      <c r="S108" s="281"/>
      <c r="T108" s="281"/>
      <c r="U108" s="281"/>
      <c r="V108" s="281"/>
    </row>
    <row r="109" spans="6:22">
      <c r="F109" s="281"/>
      <c r="M109" s="281"/>
      <c r="O109" s="281"/>
      <c r="Q109" s="281"/>
      <c r="R109" s="281"/>
      <c r="S109" s="281"/>
      <c r="T109" s="281"/>
      <c r="U109" s="281"/>
      <c r="V109" s="281"/>
    </row>
    <row r="110" spans="6:22">
      <c r="F110" s="281"/>
      <c r="M110" s="281"/>
      <c r="O110" s="281"/>
      <c r="Q110" s="281"/>
      <c r="R110" s="281"/>
      <c r="S110" s="281"/>
      <c r="T110" s="281"/>
      <c r="U110" s="281"/>
      <c r="V110" s="281"/>
    </row>
    <row r="111" spans="6:22">
      <c r="M111" s="281"/>
      <c r="O111" s="281"/>
      <c r="Q111" s="281"/>
      <c r="R111" s="281"/>
      <c r="S111" s="281"/>
      <c r="T111" s="281"/>
      <c r="U111" s="281"/>
      <c r="V111" s="281"/>
    </row>
    <row r="112" spans="6:22">
      <c r="M112" s="281"/>
      <c r="O112" s="281"/>
      <c r="Q112" s="281"/>
      <c r="R112" s="281"/>
      <c r="S112" s="281"/>
      <c r="T112" s="281"/>
      <c r="U112" s="281"/>
      <c r="V112" s="281"/>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L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42" customWidth="1"/>
    <col min="2" max="2" width="8.42578125" style="242" customWidth="1"/>
    <col min="3" max="3" width="7.42578125" style="242" customWidth="1"/>
    <col min="4" max="4" width="8.42578125" style="242" customWidth="1"/>
    <col min="5" max="5" width="37.28515625" style="242" customWidth="1"/>
    <col min="6" max="6" width="12.7109375" style="242" customWidth="1"/>
    <col min="7" max="8" width="5.85546875" style="243" customWidth="1"/>
    <col min="9" max="9" width="4.85546875" style="242" customWidth="1"/>
    <col min="10" max="10" width="12.5703125" style="242" customWidth="1"/>
    <col min="11" max="11" width="12.28515625" style="242" customWidth="1"/>
    <col min="12" max="12" width="12.85546875" style="242" customWidth="1"/>
    <col min="13" max="13" width="12.7109375" style="242" customWidth="1"/>
    <col min="14" max="14" width="12.85546875" style="242" customWidth="1"/>
    <col min="15" max="15" width="12.7109375" style="242" customWidth="1"/>
    <col min="16" max="16" width="11.85546875" style="242" customWidth="1"/>
    <col min="17" max="17" width="5" style="242" customWidth="1"/>
    <col min="18" max="18" width="11.28515625" style="242" customWidth="1"/>
    <col min="19" max="19" width="11.42578125" style="242" customWidth="1"/>
    <col min="20" max="20" width="13.140625" style="242" customWidth="1"/>
    <col min="21" max="21" width="6" style="242" customWidth="1"/>
    <col min="22" max="22" width="13.5703125" style="242" customWidth="1"/>
    <col min="23" max="23" width="13.42578125" style="242" customWidth="1"/>
    <col min="24" max="24" width="6.5703125" style="242" customWidth="1"/>
    <col min="25" max="25" width="6.42578125" style="242" customWidth="1"/>
    <col min="26" max="26" width="9.5703125" style="242" customWidth="1"/>
    <col min="27" max="27" width="9.42578125" style="242" customWidth="1"/>
    <col min="28" max="29" width="11.28515625" style="242" customWidth="1"/>
    <col min="30" max="30" width="5.28515625" style="242" customWidth="1"/>
    <col min="31" max="31" width="15" style="242" customWidth="1"/>
    <col min="32" max="32" width="5.28515625" style="242" customWidth="1"/>
    <col min="33" max="33" width="15" style="242" customWidth="1"/>
    <col min="34" max="34" width="4.85546875" style="242" customWidth="1"/>
    <col min="35" max="35" width="13.85546875" style="242" customWidth="1"/>
    <col min="36" max="36" width="11.5703125" style="242" customWidth="1"/>
    <col min="37" max="37" width="5.7109375" style="242" customWidth="1"/>
    <col min="38" max="38" width="12.42578125" style="242" customWidth="1"/>
    <col min="39" max="39" width="10.85546875" style="242" customWidth="1"/>
    <col min="40" max="40" width="9.85546875" style="242" customWidth="1"/>
    <col min="41" max="41" width="9.7109375" style="242" customWidth="1"/>
    <col min="42" max="42" width="13.140625" style="242" customWidth="1"/>
    <col min="43" max="43" width="12.5703125" style="242" customWidth="1"/>
    <col min="44" max="45" width="14.28515625" style="242" customWidth="1"/>
    <col min="46" max="46" width="7" style="242" customWidth="1"/>
    <col min="47" max="47" width="7.5703125" style="242" customWidth="1"/>
    <col min="48" max="48" width="4.7109375" style="242" customWidth="1"/>
    <col min="49" max="49" width="9.5703125" style="242" customWidth="1"/>
    <col min="50" max="51" width="12.28515625" style="242" customWidth="1"/>
    <col min="52" max="52" width="15.7109375" style="242" customWidth="1"/>
    <col min="53" max="53" width="15.85546875" style="242" customWidth="1"/>
    <col min="54" max="16384" width="9.140625" style="242"/>
  </cols>
  <sheetData>
    <row r="1" spans="1:105" ht="12.75" customHeight="1">
      <c r="A1" s="238"/>
      <c r="B1" s="239" t="s">
        <v>121</v>
      </c>
      <c r="C1" s="240"/>
      <c r="D1" s="240"/>
      <c r="E1" s="241"/>
      <c r="I1" s="240"/>
      <c r="M1" s="1127" t="str">
        <f>'SC-I'!M1:S1</f>
        <v>Mẫu số S01-DN</v>
      </c>
      <c r="N1" s="1127"/>
      <c r="O1" s="1127"/>
      <c r="P1" s="1127"/>
      <c r="Q1" s="1127"/>
      <c r="R1" s="1127"/>
      <c r="S1" s="1127"/>
      <c r="X1" s="240"/>
      <c r="Y1" s="240"/>
      <c r="Z1" s="240"/>
      <c r="AA1" s="240"/>
      <c r="AB1" s="241"/>
      <c r="AC1" s="241"/>
      <c r="AD1" s="241"/>
      <c r="AE1" s="241"/>
      <c r="AF1" s="241"/>
      <c r="AG1" s="241"/>
      <c r="AH1" s="241"/>
      <c r="AI1" s="241"/>
      <c r="AJ1" s="241"/>
      <c r="AK1" s="241"/>
      <c r="AL1" s="240"/>
      <c r="AM1" s="240"/>
      <c r="AN1" s="240"/>
      <c r="AO1" s="240"/>
      <c r="AP1" s="240"/>
      <c r="AQ1" s="240"/>
      <c r="AR1" s="240"/>
      <c r="AS1" s="240"/>
      <c r="AT1" s="240"/>
      <c r="AU1" s="240"/>
      <c r="AV1" s="240"/>
      <c r="AW1" s="240"/>
      <c r="AX1" s="240"/>
      <c r="AY1" s="240"/>
      <c r="AZ1" s="240"/>
      <c r="BA1" s="240"/>
    </row>
    <row r="2" spans="1:105" ht="12.75" customHeight="1">
      <c r="A2" s="238"/>
      <c r="B2" s="239" t="s">
        <v>180</v>
      </c>
      <c r="C2" s="240"/>
      <c r="D2" s="240"/>
      <c r="E2" s="240"/>
      <c r="I2" s="244"/>
      <c r="M2" s="1128" t="str">
        <f>'SC-I'!M2:S3</f>
        <v>(Ban hành theo Thông tư số 200/2014/TT-BTC 
 Ngày 22/12/2014 của Bộ Tài chính)</v>
      </c>
      <c r="N2" s="1128"/>
      <c r="O2" s="1128"/>
      <c r="P2" s="1128"/>
      <c r="Q2" s="1128"/>
      <c r="R2" s="1128"/>
      <c r="S2" s="1128"/>
      <c r="X2" s="244"/>
      <c r="Y2" s="244"/>
      <c r="Z2" s="244"/>
      <c r="AA2" s="244"/>
      <c r="AB2" s="245"/>
      <c r="AC2" s="245"/>
      <c r="AD2" s="245"/>
      <c r="AE2" s="245"/>
      <c r="AF2" s="245"/>
      <c r="AG2" s="245"/>
      <c r="AH2" s="245"/>
      <c r="AI2" s="245"/>
      <c r="AJ2" s="245"/>
      <c r="AK2" s="245"/>
      <c r="AL2" s="244"/>
      <c r="AM2" s="244"/>
      <c r="AN2" s="244"/>
      <c r="AO2" s="244"/>
      <c r="AP2" s="244"/>
      <c r="AQ2" s="244"/>
      <c r="AR2" s="244"/>
      <c r="AS2" s="244"/>
      <c r="AT2" s="244"/>
      <c r="AU2" s="244"/>
      <c r="AV2" s="244"/>
      <c r="AW2" s="244"/>
      <c r="AX2" s="244"/>
      <c r="AY2" s="244"/>
      <c r="AZ2" s="244"/>
      <c r="BA2" s="244"/>
    </row>
    <row r="3" spans="1:105" ht="10.5" customHeight="1">
      <c r="A3" s="240"/>
      <c r="B3" s="240"/>
      <c r="C3" s="240"/>
      <c r="D3" s="240"/>
      <c r="E3" s="240"/>
      <c r="F3" s="244"/>
      <c r="G3" s="246"/>
      <c r="H3" s="246"/>
      <c r="I3" s="244"/>
      <c r="M3" s="1128"/>
      <c r="N3" s="1128"/>
      <c r="O3" s="1128"/>
      <c r="P3" s="1128"/>
      <c r="Q3" s="1128"/>
      <c r="R3" s="1128"/>
      <c r="S3" s="1128"/>
      <c r="X3" s="244"/>
      <c r="Y3" s="244"/>
      <c r="Z3" s="244"/>
      <c r="AA3" s="244"/>
      <c r="AB3" s="245"/>
      <c r="AC3" s="245"/>
      <c r="AD3" s="245"/>
      <c r="AE3" s="245"/>
      <c r="AF3" s="245"/>
      <c r="AG3" s="245"/>
      <c r="AH3" s="245"/>
      <c r="AI3" s="245"/>
      <c r="AJ3" s="245"/>
      <c r="AK3" s="245"/>
      <c r="AL3" s="244"/>
      <c r="AM3" s="244"/>
      <c r="AN3" s="244"/>
      <c r="AO3" s="244"/>
      <c r="AP3" s="244"/>
      <c r="AQ3" s="244"/>
      <c r="AR3" s="244"/>
      <c r="AS3" s="244"/>
      <c r="AT3" s="244"/>
      <c r="AU3" s="244"/>
      <c r="AV3" s="244"/>
      <c r="AW3" s="244"/>
      <c r="AX3" s="244"/>
      <c r="AY3" s="244"/>
      <c r="AZ3" s="244"/>
      <c r="BA3" s="244"/>
    </row>
    <row r="4" spans="1:105" ht="19.5" customHeight="1">
      <c r="B4" s="1129" t="s">
        <v>112</v>
      </c>
      <c r="C4" s="1129"/>
      <c r="D4" s="1129"/>
      <c r="E4" s="1129"/>
      <c r="F4" s="1129"/>
      <c r="G4" s="1129"/>
      <c r="H4" s="1129"/>
      <c r="I4" s="1129"/>
      <c r="J4" s="1129"/>
      <c r="K4" s="1129"/>
      <c r="L4" s="1129"/>
      <c r="M4" s="1129"/>
      <c r="N4" s="1129"/>
      <c r="O4" s="1129"/>
      <c r="P4" s="1129"/>
      <c r="Q4" s="1129"/>
      <c r="R4" s="1129"/>
      <c r="S4" s="247"/>
      <c r="T4" s="247"/>
      <c r="U4" s="247"/>
      <c r="V4" s="247"/>
      <c r="W4" s="247"/>
      <c r="X4" s="248"/>
      <c r="Y4" s="248"/>
      <c r="Z4" s="249"/>
      <c r="AA4" s="249"/>
      <c r="AB4" s="247"/>
      <c r="AC4" s="247"/>
      <c r="AD4" s="247"/>
      <c r="AE4" s="247"/>
      <c r="AF4" s="247"/>
      <c r="AG4" s="247"/>
      <c r="AH4" s="247"/>
      <c r="AI4" s="247"/>
      <c r="AJ4" s="247"/>
      <c r="AK4" s="247"/>
      <c r="AL4" s="249"/>
      <c r="AM4" s="249"/>
      <c r="AN4" s="249"/>
      <c r="AO4" s="249"/>
      <c r="AP4" s="249"/>
      <c r="AQ4" s="249"/>
      <c r="AR4" s="249"/>
      <c r="AS4" s="249"/>
      <c r="AT4" s="249"/>
      <c r="AU4" s="249"/>
      <c r="AV4" s="249"/>
      <c r="AW4" s="249"/>
      <c r="AX4" s="249"/>
      <c r="AY4" s="249"/>
      <c r="AZ4" s="249"/>
      <c r="BA4" s="249"/>
    </row>
    <row r="5" spans="1:105" ht="15">
      <c r="B5" s="1130" t="s">
        <v>220</v>
      </c>
      <c r="C5" s="1130"/>
      <c r="D5" s="1130"/>
      <c r="E5" s="1130"/>
      <c r="F5" s="1130"/>
      <c r="G5" s="1130"/>
      <c r="H5" s="1130"/>
      <c r="I5" s="1130"/>
      <c r="J5" s="1130"/>
      <c r="K5" s="1130"/>
      <c r="L5" s="1130"/>
      <c r="M5" s="1130"/>
      <c r="N5" s="1130"/>
      <c r="O5" s="1130"/>
      <c r="P5" s="1130"/>
      <c r="Q5" s="1130"/>
      <c r="R5" s="1130"/>
      <c r="S5" s="250"/>
      <c r="T5" s="250"/>
      <c r="U5" s="250"/>
      <c r="V5" s="250"/>
      <c r="W5" s="250"/>
      <c r="X5" s="251"/>
      <c r="Y5" s="251"/>
      <c r="AB5" s="250"/>
      <c r="AC5" s="250"/>
      <c r="AD5" s="250"/>
      <c r="AE5" s="250"/>
      <c r="AF5" s="250"/>
      <c r="AG5" s="250"/>
      <c r="AH5" s="250"/>
      <c r="AI5" s="250"/>
      <c r="AJ5" s="250"/>
      <c r="AK5" s="250"/>
    </row>
    <row r="6" spans="1:105">
      <c r="P6" s="242" t="s">
        <v>148</v>
      </c>
    </row>
    <row r="7" spans="1:105" ht="13.5" customHeight="1">
      <c r="A7" s="1131" t="s">
        <v>37</v>
      </c>
      <c r="B7" s="1126" t="s">
        <v>22</v>
      </c>
      <c r="C7" s="1133" t="s">
        <v>1</v>
      </c>
      <c r="D7" s="1134"/>
      <c r="E7" s="1126" t="s">
        <v>0</v>
      </c>
      <c r="F7" s="1126" t="s">
        <v>113</v>
      </c>
      <c r="G7" s="1135" t="s">
        <v>114</v>
      </c>
      <c r="H7" s="1135"/>
      <c r="I7" s="1136" t="s">
        <v>37</v>
      </c>
      <c r="J7" s="1126" t="s">
        <v>193</v>
      </c>
      <c r="K7" s="1126"/>
      <c r="L7" s="1126" t="s">
        <v>194</v>
      </c>
      <c r="M7" s="1126"/>
      <c r="N7" s="1126" t="s">
        <v>269</v>
      </c>
      <c r="O7" s="1126"/>
      <c r="P7" s="1126" t="s">
        <v>675</v>
      </c>
      <c r="Q7" s="1126"/>
      <c r="R7" s="1126" t="s">
        <v>195</v>
      </c>
      <c r="S7" s="1126"/>
      <c r="T7" s="1126" t="s">
        <v>196</v>
      </c>
      <c r="U7" s="1126"/>
      <c r="V7" s="1126" t="s">
        <v>676</v>
      </c>
      <c r="W7" s="1126"/>
      <c r="X7" s="1126" t="s">
        <v>677</v>
      </c>
      <c r="Y7" s="1126"/>
      <c r="Z7" s="1126" t="s">
        <v>678</v>
      </c>
      <c r="AA7" s="1126"/>
      <c r="AB7" s="1126" t="s">
        <v>679</v>
      </c>
      <c r="AC7" s="1126"/>
      <c r="AD7" s="1126" t="s">
        <v>680</v>
      </c>
      <c r="AE7" s="1126"/>
      <c r="AF7" s="1126" t="s">
        <v>681</v>
      </c>
      <c r="AG7" s="1126"/>
      <c r="AH7" s="1126" t="s">
        <v>682</v>
      </c>
      <c r="AI7" s="1126"/>
      <c r="AJ7" s="1126" t="s">
        <v>683</v>
      </c>
      <c r="AK7" s="1126"/>
      <c r="AL7" s="1126" t="s">
        <v>684</v>
      </c>
      <c r="AM7" s="1126"/>
      <c r="AN7" s="1126" t="s">
        <v>685</v>
      </c>
      <c r="AO7" s="1126"/>
      <c r="AP7" s="1126" t="s">
        <v>686</v>
      </c>
      <c r="AQ7" s="1126"/>
      <c r="AR7" s="1126" t="s">
        <v>687</v>
      </c>
      <c r="AS7" s="1126"/>
      <c r="AT7" s="1126" t="s">
        <v>197</v>
      </c>
      <c r="AU7" s="1126"/>
      <c r="AV7" s="1126" t="s">
        <v>198</v>
      </c>
      <c r="AW7" s="1126"/>
      <c r="AX7" s="1126" t="s">
        <v>688</v>
      </c>
      <c r="AY7" s="1126"/>
      <c r="AZ7" s="1126" t="s">
        <v>689</v>
      </c>
      <c r="BA7" s="1126"/>
      <c r="BB7" s="1126" t="s">
        <v>690</v>
      </c>
      <c r="BC7" s="1126"/>
      <c r="BD7" s="1126" t="s">
        <v>199</v>
      </c>
      <c r="BE7" s="1126"/>
      <c r="BF7" s="1126" t="s">
        <v>691</v>
      </c>
      <c r="BG7" s="1126"/>
      <c r="BH7" s="1126" t="s">
        <v>200</v>
      </c>
      <c r="BI7" s="1126"/>
      <c r="BJ7" s="1126" t="s">
        <v>692</v>
      </c>
      <c r="BK7" s="1126"/>
      <c r="BL7" s="1126" t="s">
        <v>693</v>
      </c>
      <c r="BM7" s="1126"/>
      <c r="BN7" s="1126" t="s">
        <v>694</v>
      </c>
      <c r="BO7" s="1126"/>
      <c r="BP7" s="1126" t="s">
        <v>695</v>
      </c>
      <c r="BQ7" s="1126"/>
      <c r="BR7" s="1126" t="s">
        <v>201</v>
      </c>
      <c r="BS7" s="1126"/>
      <c r="BT7" s="1126" t="s">
        <v>202</v>
      </c>
      <c r="BU7" s="1126"/>
      <c r="BV7" s="1126" t="s">
        <v>264</v>
      </c>
      <c r="BW7" s="1126"/>
      <c r="BX7" s="1126" t="s">
        <v>203</v>
      </c>
      <c r="BY7" s="1126"/>
      <c r="BZ7" s="1126" t="s">
        <v>204</v>
      </c>
      <c r="CA7" s="1126"/>
      <c r="CB7" s="1126" t="s">
        <v>205</v>
      </c>
      <c r="CC7" s="1126"/>
      <c r="CD7" s="1126" t="s">
        <v>696</v>
      </c>
      <c r="CE7" s="1126"/>
      <c r="CF7" s="1126" t="s">
        <v>697</v>
      </c>
      <c r="CG7" s="1126"/>
      <c r="CH7" s="1126" t="s">
        <v>206</v>
      </c>
      <c r="CI7" s="1126"/>
      <c r="CJ7" s="1126" t="s">
        <v>698</v>
      </c>
      <c r="CK7" s="1126"/>
      <c r="CL7" s="1126" t="s">
        <v>699</v>
      </c>
      <c r="CM7" s="1126"/>
      <c r="CN7" s="1126" t="s">
        <v>207</v>
      </c>
      <c r="CO7" s="1126"/>
      <c r="CP7" s="1126" t="s">
        <v>700</v>
      </c>
      <c r="CQ7" s="1126"/>
      <c r="CR7" s="1126" t="s">
        <v>208</v>
      </c>
      <c r="CS7" s="1126"/>
      <c r="CT7" s="1126" t="s">
        <v>209</v>
      </c>
      <c r="CU7" s="1126"/>
      <c r="CV7" s="1126" t="s">
        <v>210</v>
      </c>
      <c r="CW7" s="1126"/>
      <c r="CX7" s="1126" t="s">
        <v>211</v>
      </c>
      <c r="CY7" s="1126"/>
      <c r="CZ7" s="1126" t="s">
        <v>212</v>
      </c>
      <c r="DA7" s="1126"/>
    </row>
    <row r="8" spans="1:105" ht="22.5" customHeight="1">
      <c r="A8" s="1132"/>
      <c r="B8" s="1126"/>
      <c r="C8" s="923" t="s">
        <v>17</v>
      </c>
      <c r="D8" s="922" t="s">
        <v>34</v>
      </c>
      <c r="E8" s="1126"/>
      <c r="F8" s="1126"/>
      <c r="G8" s="924" t="s">
        <v>24</v>
      </c>
      <c r="H8" s="924" t="s">
        <v>25</v>
      </c>
      <c r="I8" s="1136"/>
      <c r="J8" s="922" t="s">
        <v>24</v>
      </c>
      <c r="K8" s="922" t="s">
        <v>25</v>
      </c>
      <c r="L8" s="922" t="s">
        <v>24</v>
      </c>
      <c r="M8" s="922" t="s">
        <v>25</v>
      </c>
      <c r="N8" s="922" t="s">
        <v>24</v>
      </c>
      <c r="O8" s="922" t="s">
        <v>25</v>
      </c>
      <c r="P8" s="922" t="s">
        <v>24</v>
      </c>
      <c r="Q8" s="922" t="s">
        <v>25</v>
      </c>
      <c r="R8" s="922" t="s">
        <v>24</v>
      </c>
      <c r="S8" s="922" t="s">
        <v>25</v>
      </c>
      <c r="T8" s="922" t="s">
        <v>24</v>
      </c>
      <c r="U8" s="922" t="s">
        <v>25</v>
      </c>
      <c r="V8" s="922" t="s">
        <v>24</v>
      </c>
      <c r="W8" s="922" t="s">
        <v>25</v>
      </c>
      <c r="X8" s="922" t="s">
        <v>24</v>
      </c>
      <c r="Y8" s="922" t="s">
        <v>25</v>
      </c>
      <c r="Z8" s="922" t="s">
        <v>24</v>
      </c>
      <c r="AA8" s="922" t="s">
        <v>25</v>
      </c>
      <c r="AB8" s="922" t="s">
        <v>24</v>
      </c>
      <c r="AC8" s="922" t="s">
        <v>25</v>
      </c>
      <c r="AD8" s="922" t="s">
        <v>24</v>
      </c>
      <c r="AE8" s="922" t="s">
        <v>25</v>
      </c>
      <c r="AF8" s="922" t="s">
        <v>24</v>
      </c>
      <c r="AG8" s="922" t="s">
        <v>25</v>
      </c>
      <c r="AH8" s="922" t="s">
        <v>24</v>
      </c>
      <c r="AI8" s="922" t="s">
        <v>25</v>
      </c>
      <c r="AJ8" s="922" t="s">
        <v>24</v>
      </c>
      <c r="AK8" s="922" t="s">
        <v>25</v>
      </c>
      <c r="AL8" s="922" t="s">
        <v>24</v>
      </c>
      <c r="AM8" s="922" t="s">
        <v>25</v>
      </c>
      <c r="AN8" s="922" t="s">
        <v>24</v>
      </c>
      <c r="AO8" s="922" t="s">
        <v>25</v>
      </c>
      <c r="AP8" s="922" t="s">
        <v>24</v>
      </c>
      <c r="AQ8" s="922" t="s">
        <v>25</v>
      </c>
      <c r="AR8" s="922" t="s">
        <v>24</v>
      </c>
      <c r="AS8" s="922" t="s">
        <v>25</v>
      </c>
      <c r="AT8" s="922" t="s">
        <v>24</v>
      </c>
      <c r="AU8" s="922" t="s">
        <v>25</v>
      </c>
      <c r="AV8" s="922" t="s">
        <v>24</v>
      </c>
      <c r="AW8" s="922" t="s">
        <v>25</v>
      </c>
      <c r="AX8" s="922" t="s">
        <v>24</v>
      </c>
      <c r="AY8" s="922" t="s">
        <v>25</v>
      </c>
      <c r="AZ8" s="922" t="s">
        <v>24</v>
      </c>
      <c r="BA8" s="922" t="s">
        <v>25</v>
      </c>
      <c r="BB8" s="922" t="s">
        <v>24</v>
      </c>
      <c r="BC8" s="922" t="s">
        <v>25</v>
      </c>
      <c r="BD8" s="922" t="s">
        <v>24</v>
      </c>
      <c r="BE8" s="922" t="s">
        <v>25</v>
      </c>
      <c r="BF8" s="922" t="s">
        <v>24</v>
      </c>
      <c r="BG8" s="922" t="s">
        <v>25</v>
      </c>
      <c r="BH8" s="922" t="s">
        <v>24</v>
      </c>
      <c r="BI8" s="922" t="s">
        <v>25</v>
      </c>
      <c r="BJ8" s="922" t="s">
        <v>24</v>
      </c>
      <c r="BK8" s="922" t="s">
        <v>25</v>
      </c>
      <c r="BL8" s="922" t="s">
        <v>24</v>
      </c>
      <c r="BM8" s="922" t="s">
        <v>25</v>
      </c>
      <c r="BN8" s="922" t="s">
        <v>24</v>
      </c>
      <c r="BO8" s="922" t="s">
        <v>25</v>
      </c>
      <c r="BP8" s="922" t="s">
        <v>24</v>
      </c>
      <c r="BQ8" s="922" t="s">
        <v>25</v>
      </c>
      <c r="BR8" s="922" t="s">
        <v>24</v>
      </c>
      <c r="BS8" s="922" t="s">
        <v>25</v>
      </c>
      <c r="BT8" s="922" t="s">
        <v>24</v>
      </c>
      <c r="BU8" s="922" t="s">
        <v>25</v>
      </c>
      <c r="BV8" s="922" t="s">
        <v>24</v>
      </c>
      <c r="BW8" s="922" t="s">
        <v>25</v>
      </c>
      <c r="BX8" s="922" t="s">
        <v>24</v>
      </c>
      <c r="BY8" s="922" t="s">
        <v>25</v>
      </c>
      <c r="BZ8" s="922" t="s">
        <v>24</v>
      </c>
      <c r="CA8" s="922" t="s">
        <v>25</v>
      </c>
      <c r="CB8" s="922" t="s">
        <v>24</v>
      </c>
      <c r="CC8" s="922" t="s">
        <v>25</v>
      </c>
      <c r="CD8" s="922" t="s">
        <v>24</v>
      </c>
      <c r="CE8" s="922" t="s">
        <v>25</v>
      </c>
      <c r="CF8" s="922" t="s">
        <v>24</v>
      </c>
      <c r="CG8" s="922" t="s">
        <v>25</v>
      </c>
      <c r="CH8" s="922" t="s">
        <v>24</v>
      </c>
      <c r="CI8" s="922" t="s">
        <v>25</v>
      </c>
      <c r="CJ8" s="922" t="s">
        <v>24</v>
      </c>
      <c r="CK8" s="922" t="s">
        <v>25</v>
      </c>
      <c r="CL8" s="922" t="s">
        <v>24</v>
      </c>
      <c r="CM8" s="922" t="s">
        <v>25</v>
      </c>
      <c r="CN8" s="922" t="s">
        <v>24</v>
      </c>
      <c r="CO8" s="922" t="s">
        <v>25</v>
      </c>
      <c r="CP8" s="922" t="s">
        <v>24</v>
      </c>
      <c r="CQ8" s="922" t="s">
        <v>25</v>
      </c>
      <c r="CR8" s="922" t="s">
        <v>24</v>
      </c>
      <c r="CS8" s="922" t="s">
        <v>25</v>
      </c>
      <c r="CT8" s="922" t="s">
        <v>24</v>
      </c>
      <c r="CU8" s="922" t="s">
        <v>25</v>
      </c>
      <c r="CV8" s="922" t="s">
        <v>24</v>
      </c>
      <c r="CW8" s="922" t="s">
        <v>25</v>
      </c>
      <c r="CX8" s="922" t="s">
        <v>24</v>
      </c>
      <c r="CY8" s="922" t="s">
        <v>25</v>
      </c>
      <c r="CZ8" s="922" t="s">
        <v>24</v>
      </c>
      <c r="DA8" s="922"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 ca="1">'SC-I'!J53</f>
        <v>3705039095</v>
      </c>
      <c r="K10" s="260">
        <f ca="1">'SC-I'!K53</f>
        <v>0</v>
      </c>
      <c r="L10" s="260">
        <f ca="1">'SC-I'!L53</f>
        <v>19829295</v>
      </c>
      <c r="M10" s="260">
        <f ca="1">'SC-I'!M53</f>
        <v>0</v>
      </c>
      <c r="N10" s="260">
        <f ca="1">'SC-I'!N53</f>
        <v>2236796790</v>
      </c>
      <c r="O10" s="260">
        <f ca="1">'SC-I'!O53</f>
        <v>0</v>
      </c>
      <c r="P10" s="260">
        <f ca="1">'SC-I'!P53</f>
        <v>3343381600</v>
      </c>
      <c r="Q10" s="260">
        <f ca="1">'SC-I'!Q53</f>
        <v>0</v>
      </c>
      <c r="R10" s="260">
        <f ca="1">'SC-I'!R53</f>
        <v>162420936</v>
      </c>
      <c r="S10" s="260">
        <f ca="1">'SC-I'!S53</f>
        <v>0</v>
      </c>
      <c r="T10" s="260">
        <f ca="1">'SC-I'!T53</f>
        <v>1500000000</v>
      </c>
      <c r="U10" s="260">
        <f ca="1">'SC-I'!U53</f>
        <v>0</v>
      </c>
      <c r="V10" s="260">
        <f ca="1">'SC-I'!V53</f>
        <v>0</v>
      </c>
      <c r="W10" s="260">
        <f ca="1">'SC-I'!W53</f>
        <v>0</v>
      </c>
      <c r="X10" s="260">
        <f ca="1">'SC-I'!X53</f>
        <v>2772400000</v>
      </c>
      <c r="Y10" s="260">
        <f ca="1">'SC-I'!Y53</f>
        <v>0</v>
      </c>
      <c r="Z10" s="260">
        <f ca="1">'SC-I'!Z53</f>
        <v>526519887</v>
      </c>
      <c r="AA10" s="260">
        <f ca="1">'SC-I'!AA53</f>
        <v>0</v>
      </c>
      <c r="AB10" s="260">
        <f ca="1">'SC-I'!AB53</f>
        <v>0</v>
      </c>
      <c r="AC10" s="260">
        <f ca="1">'SC-I'!AC53</f>
        <v>0</v>
      </c>
      <c r="AD10" s="260">
        <f ca="1">'SC-I'!AD53</f>
        <v>0</v>
      </c>
      <c r="AE10" s="260">
        <f ca="1">'SC-I'!AE53</f>
        <v>0</v>
      </c>
      <c r="AF10" s="260">
        <f ca="1">'SC-I'!AF53</f>
        <v>9386323824</v>
      </c>
      <c r="AG10" s="260">
        <f ca="1">'SC-I'!AG53</f>
        <v>0</v>
      </c>
      <c r="AH10" s="260">
        <f ca="1">'SC-I'!AH53</f>
        <v>7490743648</v>
      </c>
      <c r="AI10" s="260">
        <f ca="1">'SC-I'!AI53</f>
        <v>0</v>
      </c>
      <c r="AJ10" s="260">
        <f ca="1">'SC-I'!AJ53</f>
        <v>3807898863</v>
      </c>
      <c r="AK10" s="260">
        <f ca="1">'SC-I'!AK53</f>
        <v>0</v>
      </c>
      <c r="AL10" s="260">
        <f ca="1">'SC-I'!AL53</f>
        <v>3790918485</v>
      </c>
      <c r="AM10" s="260">
        <f ca="1">'SC-I'!AM53</f>
        <v>0</v>
      </c>
      <c r="AN10" s="260">
        <f ca="1">'SC-I'!AN53</f>
        <v>5405781300</v>
      </c>
      <c r="AO10" s="260">
        <f ca="1">'SC-I'!AO53</f>
        <v>0</v>
      </c>
      <c r="AP10" s="260">
        <f ca="1">'SC-I'!AP53</f>
        <v>0</v>
      </c>
      <c r="AQ10" s="260">
        <f ca="1">'SC-I'!AQ53</f>
        <v>9132359256</v>
      </c>
      <c r="AR10" s="260">
        <f ca="1">'SC-I'!AR53</f>
        <v>0</v>
      </c>
      <c r="AS10" s="260">
        <f ca="1">'SC-I'!AS53</f>
        <v>600642360</v>
      </c>
      <c r="AT10" s="260">
        <f ca="1">'SC-I'!AT53</f>
        <v>0</v>
      </c>
      <c r="AU10" s="260">
        <f ca="1">'SC-I'!AU53</f>
        <v>0</v>
      </c>
      <c r="AV10" s="260">
        <f ca="1">'SC-I'!AV53</f>
        <v>0</v>
      </c>
      <c r="AW10" s="260">
        <f ca="1">'SC-I'!AW53</f>
        <v>476953252</v>
      </c>
      <c r="AX10" s="260">
        <f ca="1">'SC-I'!AX53</f>
        <v>0</v>
      </c>
      <c r="AY10" s="260">
        <f ca="1">'SC-I'!AY53</f>
        <v>0</v>
      </c>
      <c r="AZ10" s="260">
        <f ca="1">'SC-I'!AZ53</f>
        <v>0</v>
      </c>
      <c r="BA10" s="260">
        <f ca="1">'SC-I'!BA53</f>
        <v>0</v>
      </c>
      <c r="BB10" s="260">
        <f ca="1">'SC-I'!BB53</f>
        <v>0</v>
      </c>
      <c r="BC10" s="260">
        <f ca="1">'SC-I'!BC53</f>
        <v>0</v>
      </c>
      <c r="BD10" s="260">
        <f ca="1">'SC-I'!BD53</f>
        <v>0</v>
      </c>
      <c r="BE10" s="260">
        <f ca="1">'SC-I'!BE53</f>
        <v>3313435</v>
      </c>
      <c r="BF10" s="260">
        <f ca="1">'SC-I'!BF53</f>
        <v>3389804</v>
      </c>
      <c r="BG10" s="260">
        <f ca="1">'SC-I'!BG53</f>
        <v>0</v>
      </c>
      <c r="BH10" s="260">
        <f ca="1">'SC-I'!BH53</f>
        <v>0</v>
      </c>
      <c r="BI10" s="260">
        <f ca="1">'SC-I'!BI53</f>
        <v>0</v>
      </c>
      <c r="BJ10" s="260">
        <f ca="1">'SC-I'!BJ53</f>
        <v>0</v>
      </c>
      <c r="BK10" s="260">
        <f ca="1">'SC-I'!BK53</f>
        <v>0</v>
      </c>
      <c r="BL10" s="260">
        <f ca="1">'SC-I'!BL53</f>
        <v>0</v>
      </c>
      <c r="BM10" s="260">
        <f ca="1">'SC-I'!BM53</f>
        <v>40272309</v>
      </c>
      <c r="BN10" s="260">
        <f ca="1">'SC-I'!BN53</f>
        <v>0</v>
      </c>
      <c r="BO10" s="260">
        <f ca="1">'SC-I'!BO53</f>
        <v>6403142</v>
      </c>
      <c r="BP10" s="260">
        <f ca="1">'SC-I'!BP53</f>
        <v>0</v>
      </c>
      <c r="BQ10" s="260">
        <f ca="1">'SC-I'!BQ53</f>
        <v>2761373</v>
      </c>
      <c r="BR10" s="260">
        <f ca="1">'SC-I'!BR53</f>
        <v>0</v>
      </c>
      <c r="BS10" s="260">
        <f ca="1">'SC-I'!BS53</f>
        <v>0</v>
      </c>
      <c r="BT10" s="260">
        <f ca="1">'SC-I'!BT53</f>
        <v>0</v>
      </c>
      <c r="BU10" s="260">
        <f ca="1">'SC-I'!BU53</f>
        <v>2169121879</v>
      </c>
      <c r="BV10" s="260">
        <f ca="1">'SC-I'!BV53</f>
        <v>0</v>
      </c>
      <c r="BW10" s="260">
        <f ca="1">'SC-I'!BW53</f>
        <v>21202920500</v>
      </c>
      <c r="BX10" s="260">
        <f ca="1">'SC-I'!BX53</f>
        <v>0</v>
      </c>
      <c r="BY10" s="260">
        <f ca="1">'SC-I'!BY53</f>
        <v>10000000000</v>
      </c>
      <c r="BZ10" s="260">
        <f ca="1">'SC-I'!BZ53</f>
        <v>0</v>
      </c>
      <c r="CA10" s="260">
        <f ca="1">'SC-I'!CA53</f>
        <v>594397022.00000048</v>
      </c>
      <c r="CB10" s="260">
        <f ca="1">'SC-I'!CB53</f>
        <v>77701001</v>
      </c>
      <c r="CC10" s="260">
        <f ca="1">'SC-I'!CC53</f>
        <v>0</v>
      </c>
      <c r="CD10" s="260">
        <f ca="1">'SC-I'!CD53</f>
        <v>0</v>
      </c>
      <c r="CE10" s="260">
        <f ca="1">'SC-I'!CE53</f>
        <v>0</v>
      </c>
      <c r="CF10" s="260">
        <f ca="1">'SC-I'!CF53</f>
        <v>0</v>
      </c>
      <c r="CG10" s="260">
        <f ca="1">'SC-I'!CG53</f>
        <v>0</v>
      </c>
      <c r="CH10" s="260">
        <f ca="1">'SC-I'!CH53</f>
        <v>0</v>
      </c>
      <c r="CI10" s="260">
        <f ca="1">'SC-I'!CI53</f>
        <v>0</v>
      </c>
      <c r="CJ10" s="260">
        <f ca="1">'SC-I'!CJ53</f>
        <v>0</v>
      </c>
      <c r="CK10" s="260">
        <f ca="1">'SC-I'!CK53</f>
        <v>0</v>
      </c>
      <c r="CL10" s="260">
        <f ca="1">'SC-I'!CL53</f>
        <v>0</v>
      </c>
      <c r="CM10" s="260">
        <f ca="1">'SC-I'!CM53</f>
        <v>0</v>
      </c>
      <c r="CN10" s="260">
        <f ca="1">'SC-I'!CN53</f>
        <v>0</v>
      </c>
      <c r="CO10" s="260">
        <f ca="1">'SC-I'!CO53</f>
        <v>0</v>
      </c>
      <c r="CP10" s="260">
        <f ca="1">'SC-I'!CP53</f>
        <v>0</v>
      </c>
      <c r="CQ10" s="260">
        <f ca="1">'SC-I'!CQ53</f>
        <v>0</v>
      </c>
      <c r="CR10" s="260">
        <f ca="1">'SC-I'!CR53</f>
        <v>0</v>
      </c>
      <c r="CS10" s="260">
        <f ca="1">'SC-I'!CS53</f>
        <v>0</v>
      </c>
      <c r="CT10" s="260">
        <f ca="1">'SC-I'!CT53</f>
        <v>0</v>
      </c>
      <c r="CU10" s="260">
        <f ca="1">'SC-I'!CU53</f>
        <v>0</v>
      </c>
      <c r="CV10" s="260">
        <f ca="1">'SC-I'!CV53</f>
        <v>0</v>
      </c>
      <c r="CW10" s="260">
        <f ca="1">'SC-I'!CW53</f>
        <v>0</v>
      </c>
      <c r="CX10" s="260">
        <f ca="1">'SC-I'!CX53</f>
        <v>0</v>
      </c>
      <c r="CY10" s="260">
        <f ca="1">'SC-I'!CY53</f>
        <v>0</v>
      </c>
      <c r="CZ10" s="260">
        <f ca="1">'SC-I'!CZ53</f>
        <v>0</v>
      </c>
      <c r="DA10" s="260">
        <f ca="1">'SC-I'!DA53</f>
        <v>0</v>
      </c>
    </row>
    <row r="11" spans="1:105" s="261" customFormat="1" ht="15" customHeight="1">
      <c r="A11" s="63">
        <f t="array" aca="1" ref="A11" ca="1">IF(C11&lt;&gt;0,SUM(($C$11:C11&lt;&gt;0)*1),"")</f>
        <v>1</v>
      </c>
      <c r="B11" s="262" t="str">
        <f ca="1">IF(ROWS($1:1)&gt;COUNT(Dong7),"",OFFSET(TH!C$1,SMALL(Dong7,ROWS($1:1)),))</f>
        <v/>
      </c>
      <c r="C11" s="262" t="str">
        <f ca="1">IF(ROWS($1:1)&gt;COUNT(Dong7),"",OFFSET(TH!D$1,SMALL(Dong7,ROWS($1:1)),))</f>
        <v/>
      </c>
      <c r="D11" s="262" t="str">
        <f ca="1">IF(ROWS($1:1)&gt;COUNT(Dong7),"",OFFSET(TH!E$1,SMALL(Dong7,ROWS($1:1)),))</f>
        <v/>
      </c>
      <c r="E11" s="344" t="str">
        <f ca="1">IF(ROWS($1:1)&gt;COUNT(Dong7),"",OFFSET(TH!F$1,SMALL(Dong7,ROWS($1:1)),))</f>
        <v/>
      </c>
      <c r="F11" s="311" t="str">
        <f ca="1">IF(ROWS($1:1)&gt;COUNT(Dong7),"",OFFSET(TH!M$1,SMALL(Dong7,ROWS($1:1)),))</f>
        <v/>
      </c>
      <c r="G11" s="313" t="str">
        <f ca="1">IF(ROWS($1:1)&gt;COUNT(Dong7),"",OFFSET(TH!N$1,SMALL(Dong7,ROWS($1:1)),))</f>
        <v/>
      </c>
      <c r="H11" s="313" t="str">
        <f ca="1">IF(ROWS($1:1)&gt;COUNT(Dong7),"",OFFSET(TH!O$1,SMALL(Dong7,ROWS($1:1)),))</f>
        <v/>
      </c>
      <c r="I11" s="63">
        <f t="shared" ref="I11:I21" ca="1" si="0">A11</f>
        <v>1</v>
      </c>
      <c r="J11" s="264">
        <f ca="1">IF($G11="1111",$F11,0)</f>
        <v>0</v>
      </c>
      <c r="K11" s="264">
        <f ca="1">IF($H11="1111",$F11,0)</f>
        <v>0</v>
      </c>
      <c r="L11" s="264">
        <f t="shared" ref="L11:L50" ca="1" si="1">IF($G11="1121",$F11,0)</f>
        <v>0</v>
      </c>
      <c r="M11" s="264">
        <f t="shared" ref="M11:M50" ca="1" si="2">IF($H11="1121",$F11,0)</f>
        <v>0</v>
      </c>
      <c r="N11" s="264">
        <f t="shared" ref="N11:N50" ca="1" si="3">IF($G11="1122",$F11,0)</f>
        <v>0</v>
      </c>
      <c r="O11" s="264">
        <f t="shared" ref="O11:O50" ca="1" si="4">IF($H11="1122",$F11,0)</f>
        <v>0</v>
      </c>
      <c r="P11" s="264">
        <f t="shared" ref="P11:P50" ca="1" si="5">IF($G11="131",$F11,0)</f>
        <v>0</v>
      </c>
      <c r="Q11" s="264">
        <f t="shared" ref="Q11:Q50" ca="1" si="6">IF($H11="131",$F11,0)</f>
        <v>0</v>
      </c>
      <c r="R11" s="264">
        <f t="shared" ref="R11:R50" ca="1" si="7">IF($G11="1331",$F11,0)</f>
        <v>0</v>
      </c>
      <c r="S11" s="264">
        <f t="shared" ref="S11:S50" ca="1" si="8">IF($H11="1331",$F11,0)</f>
        <v>0</v>
      </c>
      <c r="T11" s="264">
        <f t="shared" ref="T11:T50" ca="1" si="9">IF($G11="1388",$F11,0)</f>
        <v>0</v>
      </c>
      <c r="U11" s="264">
        <f t="shared" ref="U11:U50" ca="1" si="10">IF($H11="1388",$F11,0)</f>
        <v>0</v>
      </c>
      <c r="V11" s="264">
        <f t="shared" ref="V11:V50" ca="1" si="11">IF($G11="141",$F11,0)</f>
        <v>0</v>
      </c>
      <c r="W11" s="264">
        <f t="shared" ref="W11:W50" ca="1" si="12">IF($H11="141",$F11,0)</f>
        <v>0</v>
      </c>
      <c r="X11" s="264">
        <f t="shared" ref="X11:X50" ca="1" si="13">IF($G11="1521",$F11,0)</f>
        <v>0</v>
      </c>
      <c r="Y11" s="264">
        <f t="shared" ref="Y11:Y50" ca="1" si="14">IF($H11="1521",$F11,0)</f>
        <v>0</v>
      </c>
      <c r="Z11" s="264">
        <f t="shared" ref="Z11:Z50" ca="1" si="15">IF($G11="1522",$F11,0)</f>
        <v>0</v>
      </c>
      <c r="AA11" s="264">
        <f t="shared" ref="AA11:AA50" ca="1" si="16">IF($H11="1522",$F11,0)</f>
        <v>0</v>
      </c>
      <c r="AB11" s="264">
        <f ca="1">IF($G11="153",$F11,0)</f>
        <v>0</v>
      </c>
      <c r="AC11" s="264">
        <f ca="1">IF($H11="153",$F11,0)</f>
        <v>0</v>
      </c>
      <c r="AD11" s="264">
        <f t="shared" ref="AD11:AD50" ca="1" si="17">IF($G11="154",$F11,0)</f>
        <v>0</v>
      </c>
      <c r="AE11" s="264">
        <f t="shared" ref="AE11:AE50" ca="1" si="18">IF($H11="154",$F11,0)</f>
        <v>0</v>
      </c>
      <c r="AF11" s="264">
        <f t="shared" ref="AF11:AF50" ca="1" si="19">IF($G11="155",$F11,0)</f>
        <v>0</v>
      </c>
      <c r="AG11" s="264">
        <f t="shared" ref="AG11:AG50"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0" ca="1" si="21">IF($G11="2141",$F11,0)</f>
        <v>0</v>
      </c>
      <c r="AQ11" s="264">
        <f t="shared" ref="AQ11:AQ50" ca="1" si="22">IF($H11="2141",$F11,0)</f>
        <v>0</v>
      </c>
      <c r="AR11" s="264">
        <f t="shared" ref="AR11:AR50" ca="1" si="23">IF($G11="2143",$F11,0)</f>
        <v>0</v>
      </c>
      <c r="AS11" s="264">
        <f t="shared" ref="AS11:AS50" ca="1" si="24">IF($H11="2143",$F11,0)</f>
        <v>0</v>
      </c>
      <c r="AT11" s="264">
        <f ca="1">IF($G11="2412",$F11,0)</f>
        <v>0</v>
      </c>
      <c r="AU11" s="264">
        <f ca="1">IF($H11="2412",$F11,0)</f>
        <v>0</v>
      </c>
      <c r="AV11" s="264">
        <f t="shared" ref="AV11:AV50" ca="1" si="25">IF($G11="331",$F11,0)</f>
        <v>0</v>
      </c>
      <c r="AW11" s="264">
        <f t="shared" ref="AW11:AW50" ca="1" si="26">IF($H11="331",$F11,0)</f>
        <v>0</v>
      </c>
      <c r="AX11" s="264">
        <f t="shared" ref="AX11:AX50" ca="1" si="27">IF($G11="33311",$F11,0)</f>
        <v>0</v>
      </c>
      <c r="AY11" s="264">
        <f t="shared" ref="AY11:AY50" ca="1" si="28">IF($H11="33311",$F11,0)</f>
        <v>0</v>
      </c>
      <c r="AZ11" s="264">
        <f t="shared" ref="AZ11:AZ50" ca="1" si="29">IF($G11="33312",$F11,0)</f>
        <v>0</v>
      </c>
      <c r="BA11" s="264">
        <f t="shared" ref="BA11:BA50" ca="1" si="30">IF($H11="33312",$F11,0)</f>
        <v>0</v>
      </c>
      <c r="BB11" s="264">
        <f t="shared" ref="BB11:BB50" ca="1" si="31">IF($G11="3333",$F11,0)</f>
        <v>0</v>
      </c>
      <c r="BC11" s="264">
        <f t="shared" ref="BC11:BC50" ca="1" si="32">IF($H11="3333",$F11,0)</f>
        <v>0</v>
      </c>
      <c r="BD11" s="264">
        <f t="shared" ref="BD11:BD50" ca="1" si="33">IF($G11="3334",$F11,0)</f>
        <v>0</v>
      </c>
      <c r="BE11" s="264">
        <f t="shared" ref="BE11:BE50" ca="1" si="34">IF($H11="3334",$F11,0)</f>
        <v>0</v>
      </c>
      <c r="BF11" s="264">
        <f t="shared" ref="BF11:BF50" ca="1" si="35">IF($G11="3335",$F11,0)</f>
        <v>0</v>
      </c>
      <c r="BG11" s="264">
        <f t="shared" ref="BG11:BG50" ca="1" si="36">IF($H11="3335",$F11,0)</f>
        <v>0</v>
      </c>
      <c r="BH11" s="264">
        <f ca="1">IF($G11="33382",$F11,0)</f>
        <v>0</v>
      </c>
      <c r="BI11" s="264">
        <f ca="1">IF($H11="33382",$F11,0)</f>
        <v>0</v>
      </c>
      <c r="BJ11" s="264">
        <f t="shared" ref="BJ11:BJ50" ca="1" si="37">IF($G11="3341",$F11,0)</f>
        <v>0</v>
      </c>
      <c r="BK11" s="264">
        <f t="shared" ref="BK11:BK50" ca="1" si="38">IF($H11="3341",$F11,0)</f>
        <v>0</v>
      </c>
      <c r="BL11" s="264">
        <f t="shared" ref="BL11:BL50" ca="1" si="39">IF($G11="3383",$F11,0)</f>
        <v>0</v>
      </c>
      <c r="BM11" s="264">
        <f t="shared" ref="BM11:BM50" ca="1" si="40">IF($H11="3383",$F11,0)</f>
        <v>0</v>
      </c>
      <c r="BN11" s="264">
        <f t="shared" ref="BN11:BN50" ca="1" si="41">IF($G11="3384",$F11,0)</f>
        <v>0</v>
      </c>
      <c r="BO11" s="264">
        <f t="shared" ref="BO11:BO50" ca="1" si="42">IF($H11="3384",$F11,0)</f>
        <v>0</v>
      </c>
      <c r="BP11" s="264">
        <f ca="1">IF($G11="3386",$F11,0)</f>
        <v>0</v>
      </c>
      <c r="BQ11" s="264">
        <f ca="1">IF($H11="3386",$F11,0)</f>
        <v>0</v>
      </c>
      <c r="BR11" s="264">
        <f t="shared" ref="BR11:BR50" ca="1" si="43">IF($G11="3388",$F11,0)</f>
        <v>0</v>
      </c>
      <c r="BS11" s="264">
        <f t="shared" ref="BS11:BS50" ca="1" si="44">IF($H11="3388",$F11,0)</f>
        <v>0</v>
      </c>
      <c r="BT11" s="264">
        <f ca="1">IF($G11="3411",$F11,0)</f>
        <v>0</v>
      </c>
      <c r="BU11" s="264">
        <f ca="1">IF($H11="3411",$F11,0)</f>
        <v>0</v>
      </c>
      <c r="BV11" s="264">
        <f ca="1">IF($G11="3412",$F11,0)</f>
        <v>0</v>
      </c>
      <c r="BW11" s="264">
        <f ca="1">IF($H11="3412",$F11,0)</f>
        <v>0</v>
      </c>
      <c r="BX11" s="264">
        <f t="shared" ref="BX11:BX50" ca="1" si="45">IF($G11="4111",$F11,0)</f>
        <v>0</v>
      </c>
      <c r="BY11" s="264">
        <f t="shared" ref="BY11:BY50" ca="1" si="46">IF($H11="4111",$F11,0)</f>
        <v>0</v>
      </c>
      <c r="BZ11" s="264">
        <f t="shared" ref="BZ11:BZ50" ca="1" si="47">IF($G11="4211",$F11,0)</f>
        <v>0</v>
      </c>
      <c r="CA11" s="264">
        <f t="shared" ref="CA11:CA50" ca="1" si="48">IF($H11="4211",$F11,0)</f>
        <v>0</v>
      </c>
      <c r="CB11" s="264">
        <f t="shared" ref="CB11:CB50" ca="1" si="49">IF($G11="4212",$F11,0)</f>
        <v>0</v>
      </c>
      <c r="CC11" s="264">
        <f t="shared" ref="CC11:CC50" ca="1" si="50">IF($H11="4212",$F11,0)</f>
        <v>0</v>
      </c>
      <c r="CD11" s="264">
        <f ca="1">IF($G11="5112N",$F11,0)</f>
        <v>0</v>
      </c>
      <c r="CE11" s="264">
        <f ca="1">IF($H11="5112N",$F11,0)</f>
        <v>0</v>
      </c>
      <c r="CF11" s="264">
        <f ca="1">IF($G11="5112X",$F11,0)</f>
        <v>0</v>
      </c>
      <c r="CG11" s="264">
        <f ca="1">IF($H11="5112X",$F11,0)</f>
        <v>0</v>
      </c>
      <c r="CH11" s="264">
        <f t="shared" ref="CH11:CH50" ca="1" si="51">IF($G11="515",$F11,0)</f>
        <v>0</v>
      </c>
      <c r="CI11" s="264">
        <f t="shared" ref="CI11:CI50" ca="1" si="52">IF($H11="515",$F11,0)</f>
        <v>0</v>
      </c>
      <c r="CJ11" s="264">
        <f ca="1">IF($G11="5213",$F11,0)</f>
        <v>0</v>
      </c>
      <c r="CK11" s="264">
        <f ca="1">IF($H11="5213",$F11,0)</f>
        <v>0</v>
      </c>
      <c r="CL11" s="264">
        <f t="shared" ref="CL11:CL50" ca="1" si="53">IF($G11="632",$F11,0)</f>
        <v>0</v>
      </c>
      <c r="CM11" s="264">
        <f t="shared" ref="CM11:CM50" ca="1" si="54">IF($H11="632",$F11,0)</f>
        <v>0</v>
      </c>
      <c r="CN11" s="264">
        <f t="shared" ref="CN11:CN50" ca="1" si="55">IF($G11="635",$F11,0)</f>
        <v>0</v>
      </c>
      <c r="CO11" s="264">
        <f t="shared" ref="CO11:CO50" ca="1" si="56">IF($H11="635",$F11,0)</f>
        <v>0</v>
      </c>
      <c r="CP11" s="264">
        <f ca="1">IF($G11="641",$F11,0)</f>
        <v>0</v>
      </c>
      <c r="CQ11" s="264">
        <f ca="1">IF($H11="641",$F11,0)</f>
        <v>0</v>
      </c>
      <c r="CR11" s="264">
        <f ca="1">IF($G11="642",$F11,0)</f>
        <v>0</v>
      </c>
      <c r="CS11" s="264">
        <f ca="1">IF($H11="642",$F11,0)</f>
        <v>0</v>
      </c>
      <c r="CT11" s="264">
        <f t="shared" ref="CT11:CT50" ca="1" si="57">IF($G11="711",$F11,0)</f>
        <v>0</v>
      </c>
      <c r="CU11" s="264">
        <f t="shared" ref="CU11:CU50" ca="1" si="58">IF($H11="711",$F11,0)</f>
        <v>0</v>
      </c>
      <c r="CV11" s="264">
        <f t="shared" ref="CV11:CV50" ca="1" si="59">IF($G11="811",$F11,0)</f>
        <v>0</v>
      </c>
      <c r="CW11" s="264">
        <f t="shared" ref="CW11:CW50" ca="1" si="60">IF($H11="811",$F11,0)</f>
        <v>0</v>
      </c>
      <c r="CX11" s="264">
        <f ca="1">IF($G11="821",$F11,0)</f>
        <v>0</v>
      </c>
      <c r="CY11" s="264">
        <f ca="1">IF($H11="821",$F11,0)</f>
        <v>0</v>
      </c>
      <c r="CZ11" s="264">
        <f ca="1">IF($G11="911",$F11,0)</f>
        <v>0</v>
      </c>
      <c r="DA11" s="264">
        <f ca="1">IF($H11="911",$F11,0)</f>
        <v>0</v>
      </c>
    </row>
    <row r="12" spans="1:105" s="261" customFormat="1" ht="15" customHeight="1">
      <c r="A12" s="63" t="str">
        <f t="array" ref="A12">IF(C12&lt;&gt;0,SUM(($C$11:C12&lt;&gt;0)*1),"")</f>
        <v/>
      </c>
      <c r="B12" s="262"/>
      <c r="C12" s="262"/>
      <c r="D12" s="262"/>
      <c r="E12" s="344"/>
      <c r="F12" s="311"/>
      <c r="G12" s="313"/>
      <c r="H12" s="313"/>
      <c r="I12" s="63" t="str">
        <f t="shared" si="0"/>
        <v/>
      </c>
      <c r="J12" s="264">
        <f t="shared" ref="J12:J50" si="61">IF($G12="1111",$F12,0)</f>
        <v>0</v>
      </c>
      <c r="K12" s="264">
        <f t="shared" ref="K12:K50" si="62">IF($H12="1111",$F12,0)</f>
        <v>0</v>
      </c>
      <c r="L12" s="264">
        <f t="shared" si="1"/>
        <v>0</v>
      </c>
      <c r="M12" s="264">
        <f t="shared" si="2"/>
        <v>0</v>
      </c>
      <c r="N12" s="264">
        <f t="shared" si="3"/>
        <v>0</v>
      </c>
      <c r="O12" s="264">
        <f t="shared" si="4"/>
        <v>0</v>
      </c>
      <c r="P12" s="264">
        <f t="shared" si="5"/>
        <v>0</v>
      </c>
      <c r="Q12" s="264">
        <f t="shared" si="6"/>
        <v>0</v>
      </c>
      <c r="R12" s="264">
        <f t="shared" si="7"/>
        <v>0</v>
      </c>
      <c r="S12" s="264">
        <f t="shared" si="8"/>
        <v>0</v>
      </c>
      <c r="T12" s="264">
        <f t="shared" si="9"/>
        <v>0</v>
      </c>
      <c r="U12" s="264">
        <f t="shared" si="10"/>
        <v>0</v>
      </c>
      <c r="V12" s="264">
        <f t="shared" si="11"/>
        <v>0</v>
      </c>
      <c r="W12" s="264">
        <f t="shared" si="12"/>
        <v>0</v>
      </c>
      <c r="X12" s="264">
        <f t="shared" si="13"/>
        <v>0</v>
      </c>
      <c r="Y12" s="264">
        <f t="shared" si="14"/>
        <v>0</v>
      </c>
      <c r="Z12" s="264">
        <f t="shared" si="15"/>
        <v>0</v>
      </c>
      <c r="AA12" s="264">
        <f t="shared" si="16"/>
        <v>0</v>
      </c>
      <c r="AB12" s="264">
        <f t="shared" ref="AB12:AB50" si="63">IF($G12="153",$F12,0)</f>
        <v>0</v>
      </c>
      <c r="AC12" s="264">
        <f t="shared" ref="AC12:AC50" si="64">IF($H12="153",$F12,0)</f>
        <v>0</v>
      </c>
      <c r="AD12" s="264">
        <f t="shared" si="17"/>
        <v>0</v>
      </c>
      <c r="AE12" s="264">
        <f t="shared" si="18"/>
        <v>0</v>
      </c>
      <c r="AF12" s="264">
        <f t="shared" si="19"/>
        <v>0</v>
      </c>
      <c r="AG12" s="264">
        <f t="shared" si="20"/>
        <v>0</v>
      </c>
      <c r="AH12" s="264">
        <f t="shared" ref="AH12:AH50" si="65">IF($G12="2111",$F12,0)</f>
        <v>0</v>
      </c>
      <c r="AI12" s="264">
        <f t="shared" ref="AI12:AI50" si="66">IF($H12="2111",$F12,0)</f>
        <v>0</v>
      </c>
      <c r="AJ12" s="264">
        <f t="shared" ref="AJ12:AJ50" si="67">IF($G12="2112",$F12,0)</f>
        <v>0</v>
      </c>
      <c r="AK12" s="264">
        <f t="shared" ref="AK12:AK50" si="68">IF($H12="2112",$F12,0)</f>
        <v>0</v>
      </c>
      <c r="AL12" s="264">
        <f t="shared" ref="AL12:AL50" si="69">IF($G12="2113",$F12,0)</f>
        <v>0</v>
      </c>
      <c r="AM12" s="264">
        <f t="shared" ref="AM12:AM50" si="70">IF($H12="2113",$F12,0)</f>
        <v>0</v>
      </c>
      <c r="AN12" s="264">
        <f t="shared" ref="AN12:AN50" si="71">IF($G12="2131",$F12,0)</f>
        <v>0</v>
      </c>
      <c r="AO12" s="264">
        <f t="shared" ref="AO12:AO50" si="72">IF($H12="2131",$F12,0)</f>
        <v>0</v>
      </c>
      <c r="AP12" s="264">
        <f t="shared" si="21"/>
        <v>0</v>
      </c>
      <c r="AQ12" s="264">
        <f t="shared" si="22"/>
        <v>0</v>
      </c>
      <c r="AR12" s="264">
        <f t="shared" si="23"/>
        <v>0</v>
      </c>
      <c r="AS12" s="264">
        <f t="shared" si="24"/>
        <v>0</v>
      </c>
      <c r="AT12" s="264">
        <f t="shared" ref="AT12:AT50" si="73">IF($G12="2412",$F12,0)</f>
        <v>0</v>
      </c>
      <c r="AU12" s="264">
        <f t="shared" ref="AU12:AU50" si="74">IF($H12="2412",$F12,0)</f>
        <v>0</v>
      </c>
      <c r="AV12" s="264">
        <f t="shared" si="25"/>
        <v>0</v>
      </c>
      <c r="AW12" s="264">
        <f t="shared" si="26"/>
        <v>0</v>
      </c>
      <c r="AX12" s="264">
        <f t="shared" si="27"/>
        <v>0</v>
      </c>
      <c r="AY12" s="264">
        <f t="shared" si="28"/>
        <v>0</v>
      </c>
      <c r="AZ12" s="264">
        <f t="shared" si="29"/>
        <v>0</v>
      </c>
      <c r="BA12" s="264">
        <f t="shared" si="30"/>
        <v>0</v>
      </c>
      <c r="BB12" s="264">
        <f t="shared" si="31"/>
        <v>0</v>
      </c>
      <c r="BC12" s="264">
        <f t="shared" si="32"/>
        <v>0</v>
      </c>
      <c r="BD12" s="264">
        <f t="shared" si="33"/>
        <v>0</v>
      </c>
      <c r="BE12" s="264">
        <f t="shared" si="34"/>
        <v>0</v>
      </c>
      <c r="BF12" s="264">
        <f t="shared" si="35"/>
        <v>0</v>
      </c>
      <c r="BG12" s="264">
        <f t="shared" si="36"/>
        <v>0</v>
      </c>
      <c r="BH12" s="264">
        <f t="shared" ref="BH12:BH50" si="75">IF($G12="33382",$F12,0)</f>
        <v>0</v>
      </c>
      <c r="BI12" s="264">
        <f t="shared" ref="BI12:BI50" si="76">IF($H12="33382",$F12,0)</f>
        <v>0</v>
      </c>
      <c r="BJ12" s="264">
        <f t="shared" si="37"/>
        <v>0</v>
      </c>
      <c r="BK12" s="264">
        <f t="shared" si="38"/>
        <v>0</v>
      </c>
      <c r="BL12" s="264">
        <f t="shared" si="39"/>
        <v>0</v>
      </c>
      <c r="BM12" s="264">
        <f t="shared" si="40"/>
        <v>0</v>
      </c>
      <c r="BN12" s="264">
        <f t="shared" si="41"/>
        <v>0</v>
      </c>
      <c r="BO12" s="264">
        <f t="shared" si="42"/>
        <v>0</v>
      </c>
      <c r="BP12" s="264">
        <f t="shared" ref="BP12:BP50" si="77">IF($G12="3386",$F12,0)</f>
        <v>0</v>
      </c>
      <c r="BQ12" s="264">
        <f t="shared" ref="BQ12:BQ50" si="78">IF($H12="3386",$F12,0)</f>
        <v>0</v>
      </c>
      <c r="BR12" s="264">
        <f t="shared" si="43"/>
        <v>0</v>
      </c>
      <c r="BS12" s="264">
        <f t="shared" si="44"/>
        <v>0</v>
      </c>
      <c r="BT12" s="264">
        <f t="shared" ref="BT12:BT50" si="79">IF($G12="3411",$F12,0)</f>
        <v>0</v>
      </c>
      <c r="BU12" s="264">
        <f t="shared" ref="BU12:BU50" si="80">IF($H12="3411",$F12,0)</f>
        <v>0</v>
      </c>
      <c r="BV12" s="264">
        <f t="shared" ref="BV12:BV50" si="81">IF($G12="3412",$F12,0)</f>
        <v>0</v>
      </c>
      <c r="BW12" s="264">
        <f t="shared" ref="BW12:BW50" si="82">IF($H12="3412",$F12,0)</f>
        <v>0</v>
      </c>
      <c r="BX12" s="264">
        <f t="shared" si="45"/>
        <v>0</v>
      </c>
      <c r="BY12" s="264">
        <f t="shared" si="46"/>
        <v>0</v>
      </c>
      <c r="BZ12" s="264">
        <f t="shared" si="47"/>
        <v>0</v>
      </c>
      <c r="CA12" s="264">
        <f t="shared" si="48"/>
        <v>0</v>
      </c>
      <c r="CB12" s="264">
        <f t="shared" si="49"/>
        <v>0</v>
      </c>
      <c r="CC12" s="264">
        <f t="shared" si="50"/>
        <v>0</v>
      </c>
      <c r="CD12" s="264">
        <f t="shared" ref="CD12:CD50" si="83">IF($G12="5112N",$F12,0)</f>
        <v>0</v>
      </c>
      <c r="CE12" s="264">
        <f t="shared" ref="CE12:CE50" si="84">IF($H12="5112N",$F12,0)</f>
        <v>0</v>
      </c>
      <c r="CF12" s="264">
        <f t="shared" ref="CF12:CF50" si="85">IF($G12="5112X",$F12,0)</f>
        <v>0</v>
      </c>
      <c r="CG12" s="264">
        <f t="shared" ref="CG12:CG50" si="86">IF($H12="5112X",$F12,0)</f>
        <v>0</v>
      </c>
      <c r="CH12" s="264">
        <f t="shared" si="51"/>
        <v>0</v>
      </c>
      <c r="CI12" s="264">
        <f t="shared" si="52"/>
        <v>0</v>
      </c>
      <c r="CJ12" s="264">
        <f t="shared" ref="CJ12:CJ50" si="87">IF($G12="5213",$F12,0)</f>
        <v>0</v>
      </c>
      <c r="CK12" s="264">
        <f t="shared" ref="CK12:CK50" si="88">IF($H12="5213",$F12,0)</f>
        <v>0</v>
      </c>
      <c r="CL12" s="264">
        <f t="shared" si="53"/>
        <v>0</v>
      </c>
      <c r="CM12" s="264">
        <f t="shared" si="54"/>
        <v>0</v>
      </c>
      <c r="CN12" s="264">
        <f t="shared" si="55"/>
        <v>0</v>
      </c>
      <c r="CO12" s="264">
        <f t="shared" si="56"/>
        <v>0</v>
      </c>
      <c r="CP12" s="264">
        <f t="shared" ref="CP12:CP50" si="89">IF($G12="641",$F12,0)</f>
        <v>0</v>
      </c>
      <c r="CQ12" s="264">
        <f t="shared" ref="CQ12:CQ50" si="90">IF($H12="641",$F12,0)</f>
        <v>0</v>
      </c>
      <c r="CR12" s="264">
        <f t="shared" ref="CR12:CR50" si="91">IF($G12="642",$F12,0)</f>
        <v>0</v>
      </c>
      <c r="CS12" s="264">
        <f t="shared" ref="CS12:CS50" si="92">IF($H12="642",$F12,0)</f>
        <v>0</v>
      </c>
      <c r="CT12" s="264">
        <f t="shared" si="57"/>
        <v>0</v>
      </c>
      <c r="CU12" s="264">
        <f t="shared" si="58"/>
        <v>0</v>
      </c>
      <c r="CV12" s="264">
        <f t="shared" si="59"/>
        <v>0</v>
      </c>
      <c r="CW12" s="264">
        <f t="shared" si="60"/>
        <v>0</v>
      </c>
      <c r="CX12" s="264">
        <f t="shared" ref="CX12:CX50" si="93">IF($G12="821",$F12,0)</f>
        <v>0</v>
      </c>
      <c r="CY12" s="264">
        <f t="shared" ref="CY12:CY50" si="94">IF($H12="821",$F12,0)</f>
        <v>0</v>
      </c>
      <c r="CZ12" s="264">
        <f t="shared" ref="CZ12:CZ50" si="95">IF($G12="911",$F12,0)</f>
        <v>0</v>
      </c>
      <c r="DA12" s="264">
        <f t="shared" ref="DA12:DA50" si="96">IF($H12="911",$F12,0)</f>
        <v>0</v>
      </c>
    </row>
    <row r="13" spans="1:105" s="261" customFormat="1" ht="15" customHeight="1">
      <c r="A13" s="63" t="str">
        <f t="array" ref="A13">IF(C13&lt;&gt;0,SUM(($C$11:C13&lt;&gt;0)*1),"")</f>
        <v/>
      </c>
      <c r="B13" s="262"/>
      <c r="C13" s="262"/>
      <c r="D13" s="262"/>
      <c r="E13" s="344"/>
      <c r="F13" s="311"/>
      <c r="G13" s="313"/>
      <c r="H13" s="313"/>
      <c r="I13" s="63" t="str">
        <f t="shared" si="0"/>
        <v/>
      </c>
      <c r="J13" s="264">
        <f t="shared" si="61"/>
        <v>0</v>
      </c>
      <c r="K13" s="264">
        <f t="shared" si="62"/>
        <v>0</v>
      </c>
      <c r="L13" s="264">
        <f t="shared" si="1"/>
        <v>0</v>
      </c>
      <c r="M13" s="264">
        <f t="shared" si="2"/>
        <v>0</v>
      </c>
      <c r="N13" s="264">
        <f t="shared" si="3"/>
        <v>0</v>
      </c>
      <c r="O13" s="264">
        <f t="shared" si="4"/>
        <v>0</v>
      </c>
      <c r="P13" s="264">
        <f t="shared" si="5"/>
        <v>0</v>
      </c>
      <c r="Q13" s="264">
        <f t="shared" si="6"/>
        <v>0</v>
      </c>
      <c r="R13" s="264">
        <f t="shared" si="7"/>
        <v>0</v>
      </c>
      <c r="S13" s="264">
        <f t="shared" si="8"/>
        <v>0</v>
      </c>
      <c r="T13" s="264">
        <f t="shared" si="9"/>
        <v>0</v>
      </c>
      <c r="U13" s="264">
        <f t="shared" si="10"/>
        <v>0</v>
      </c>
      <c r="V13" s="264">
        <f t="shared" si="11"/>
        <v>0</v>
      </c>
      <c r="W13" s="264">
        <f t="shared" si="12"/>
        <v>0</v>
      </c>
      <c r="X13" s="264">
        <f t="shared" si="13"/>
        <v>0</v>
      </c>
      <c r="Y13" s="264">
        <f t="shared" si="14"/>
        <v>0</v>
      </c>
      <c r="Z13" s="264">
        <f t="shared" si="15"/>
        <v>0</v>
      </c>
      <c r="AA13" s="264">
        <f t="shared" si="16"/>
        <v>0</v>
      </c>
      <c r="AB13" s="264">
        <f t="shared" si="63"/>
        <v>0</v>
      </c>
      <c r="AC13" s="264">
        <f t="shared" si="64"/>
        <v>0</v>
      </c>
      <c r="AD13" s="264">
        <f t="shared" si="17"/>
        <v>0</v>
      </c>
      <c r="AE13" s="264">
        <f t="shared" si="18"/>
        <v>0</v>
      </c>
      <c r="AF13" s="264">
        <f t="shared" si="19"/>
        <v>0</v>
      </c>
      <c r="AG13" s="264">
        <f t="shared" si="20"/>
        <v>0</v>
      </c>
      <c r="AH13" s="264">
        <f t="shared" si="65"/>
        <v>0</v>
      </c>
      <c r="AI13" s="264">
        <f t="shared" si="66"/>
        <v>0</v>
      </c>
      <c r="AJ13" s="264">
        <f t="shared" si="67"/>
        <v>0</v>
      </c>
      <c r="AK13" s="264">
        <f t="shared" si="68"/>
        <v>0</v>
      </c>
      <c r="AL13" s="264">
        <f t="shared" si="69"/>
        <v>0</v>
      </c>
      <c r="AM13" s="264">
        <f t="shared" si="70"/>
        <v>0</v>
      </c>
      <c r="AN13" s="264">
        <f t="shared" si="71"/>
        <v>0</v>
      </c>
      <c r="AO13" s="264">
        <f t="shared" si="72"/>
        <v>0</v>
      </c>
      <c r="AP13" s="264">
        <f t="shared" si="21"/>
        <v>0</v>
      </c>
      <c r="AQ13" s="264">
        <f t="shared" si="22"/>
        <v>0</v>
      </c>
      <c r="AR13" s="264">
        <f t="shared" si="23"/>
        <v>0</v>
      </c>
      <c r="AS13" s="264">
        <f t="shared" si="24"/>
        <v>0</v>
      </c>
      <c r="AT13" s="264">
        <f t="shared" si="73"/>
        <v>0</v>
      </c>
      <c r="AU13" s="264">
        <f t="shared" si="74"/>
        <v>0</v>
      </c>
      <c r="AV13" s="264">
        <f t="shared" si="25"/>
        <v>0</v>
      </c>
      <c r="AW13" s="264">
        <f t="shared" si="26"/>
        <v>0</v>
      </c>
      <c r="AX13" s="264">
        <f t="shared" si="27"/>
        <v>0</v>
      </c>
      <c r="AY13" s="264">
        <f t="shared" si="28"/>
        <v>0</v>
      </c>
      <c r="AZ13" s="264">
        <f t="shared" si="29"/>
        <v>0</v>
      </c>
      <c r="BA13" s="264">
        <f t="shared" si="30"/>
        <v>0</v>
      </c>
      <c r="BB13" s="264">
        <f t="shared" si="31"/>
        <v>0</v>
      </c>
      <c r="BC13" s="264">
        <f t="shared" si="32"/>
        <v>0</v>
      </c>
      <c r="BD13" s="264">
        <f t="shared" si="33"/>
        <v>0</v>
      </c>
      <c r="BE13" s="264">
        <f t="shared" si="34"/>
        <v>0</v>
      </c>
      <c r="BF13" s="264">
        <f t="shared" si="35"/>
        <v>0</v>
      </c>
      <c r="BG13" s="264">
        <f t="shared" si="36"/>
        <v>0</v>
      </c>
      <c r="BH13" s="264">
        <f t="shared" si="75"/>
        <v>0</v>
      </c>
      <c r="BI13" s="264">
        <f t="shared" si="76"/>
        <v>0</v>
      </c>
      <c r="BJ13" s="264">
        <f t="shared" si="37"/>
        <v>0</v>
      </c>
      <c r="BK13" s="264">
        <f t="shared" si="38"/>
        <v>0</v>
      </c>
      <c r="BL13" s="264">
        <f t="shared" si="39"/>
        <v>0</v>
      </c>
      <c r="BM13" s="264">
        <f t="shared" si="40"/>
        <v>0</v>
      </c>
      <c r="BN13" s="264">
        <f t="shared" si="41"/>
        <v>0</v>
      </c>
      <c r="BO13" s="264">
        <f t="shared" si="42"/>
        <v>0</v>
      </c>
      <c r="BP13" s="264">
        <f t="shared" si="77"/>
        <v>0</v>
      </c>
      <c r="BQ13" s="264">
        <f t="shared" si="78"/>
        <v>0</v>
      </c>
      <c r="BR13" s="264">
        <f t="shared" si="43"/>
        <v>0</v>
      </c>
      <c r="BS13" s="264">
        <f t="shared" si="44"/>
        <v>0</v>
      </c>
      <c r="BT13" s="264">
        <f t="shared" si="79"/>
        <v>0</v>
      </c>
      <c r="BU13" s="264">
        <f t="shared" si="80"/>
        <v>0</v>
      </c>
      <c r="BV13" s="264">
        <f t="shared" si="81"/>
        <v>0</v>
      </c>
      <c r="BW13" s="264">
        <f t="shared" si="82"/>
        <v>0</v>
      </c>
      <c r="BX13" s="264">
        <f t="shared" si="45"/>
        <v>0</v>
      </c>
      <c r="BY13" s="264">
        <f t="shared" si="46"/>
        <v>0</v>
      </c>
      <c r="BZ13" s="264">
        <f t="shared" si="47"/>
        <v>0</v>
      </c>
      <c r="CA13" s="264">
        <f t="shared" si="48"/>
        <v>0</v>
      </c>
      <c r="CB13" s="264">
        <f t="shared" si="49"/>
        <v>0</v>
      </c>
      <c r="CC13" s="264">
        <f t="shared" si="50"/>
        <v>0</v>
      </c>
      <c r="CD13" s="264">
        <f t="shared" si="83"/>
        <v>0</v>
      </c>
      <c r="CE13" s="264">
        <f t="shared" si="84"/>
        <v>0</v>
      </c>
      <c r="CF13" s="264">
        <f t="shared" si="85"/>
        <v>0</v>
      </c>
      <c r="CG13" s="264">
        <f t="shared" si="86"/>
        <v>0</v>
      </c>
      <c r="CH13" s="264">
        <f t="shared" si="51"/>
        <v>0</v>
      </c>
      <c r="CI13" s="264">
        <f t="shared" si="52"/>
        <v>0</v>
      </c>
      <c r="CJ13" s="264">
        <f t="shared" si="87"/>
        <v>0</v>
      </c>
      <c r="CK13" s="264">
        <f t="shared" si="88"/>
        <v>0</v>
      </c>
      <c r="CL13" s="264">
        <f t="shared" si="53"/>
        <v>0</v>
      </c>
      <c r="CM13" s="264">
        <f t="shared" si="54"/>
        <v>0</v>
      </c>
      <c r="CN13" s="264">
        <f t="shared" si="55"/>
        <v>0</v>
      </c>
      <c r="CO13" s="264">
        <f t="shared" si="56"/>
        <v>0</v>
      </c>
      <c r="CP13" s="264">
        <f t="shared" si="89"/>
        <v>0</v>
      </c>
      <c r="CQ13" s="264">
        <f t="shared" si="90"/>
        <v>0</v>
      </c>
      <c r="CR13" s="264">
        <f t="shared" si="91"/>
        <v>0</v>
      </c>
      <c r="CS13" s="264">
        <f t="shared" si="92"/>
        <v>0</v>
      </c>
      <c r="CT13" s="264">
        <f t="shared" si="57"/>
        <v>0</v>
      </c>
      <c r="CU13" s="264">
        <f t="shared" si="58"/>
        <v>0</v>
      </c>
      <c r="CV13" s="264">
        <f t="shared" si="59"/>
        <v>0</v>
      </c>
      <c r="CW13" s="264">
        <f t="shared" si="60"/>
        <v>0</v>
      </c>
      <c r="CX13" s="264">
        <f t="shared" si="93"/>
        <v>0</v>
      </c>
      <c r="CY13" s="264">
        <f t="shared" si="94"/>
        <v>0</v>
      </c>
      <c r="CZ13" s="264">
        <f t="shared" si="95"/>
        <v>0</v>
      </c>
      <c r="DA13" s="264">
        <f t="shared" si="96"/>
        <v>0</v>
      </c>
    </row>
    <row r="14" spans="1:105" s="261" customFormat="1" ht="15" customHeight="1">
      <c r="A14" s="63" t="str">
        <f t="array" ref="A14">IF(C14&lt;&gt;0,SUM(($C$11:C14&lt;&gt;0)*1),"")</f>
        <v/>
      </c>
      <c r="B14" s="262"/>
      <c r="C14" s="262"/>
      <c r="D14" s="262"/>
      <c r="E14" s="344"/>
      <c r="F14" s="311"/>
      <c r="G14" s="313"/>
      <c r="H14" s="313"/>
      <c r="I14" s="63" t="str">
        <f t="shared" si="0"/>
        <v/>
      </c>
      <c r="J14" s="264">
        <f t="shared" si="61"/>
        <v>0</v>
      </c>
      <c r="K14" s="264">
        <f t="shared" si="62"/>
        <v>0</v>
      </c>
      <c r="L14" s="264">
        <f t="shared" si="1"/>
        <v>0</v>
      </c>
      <c r="M14" s="264">
        <f t="shared" si="2"/>
        <v>0</v>
      </c>
      <c r="N14" s="264">
        <f t="shared" si="3"/>
        <v>0</v>
      </c>
      <c r="O14" s="264">
        <f t="shared" si="4"/>
        <v>0</v>
      </c>
      <c r="P14" s="264">
        <f t="shared" si="5"/>
        <v>0</v>
      </c>
      <c r="Q14" s="264">
        <f t="shared" si="6"/>
        <v>0</v>
      </c>
      <c r="R14" s="264">
        <f t="shared" si="7"/>
        <v>0</v>
      </c>
      <c r="S14" s="264">
        <f t="shared" si="8"/>
        <v>0</v>
      </c>
      <c r="T14" s="264">
        <f t="shared" si="9"/>
        <v>0</v>
      </c>
      <c r="U14" s="264">
        <f t="shared" si="10"/>
        <v>0</v>
      </c>
      <c r="V14" s="264">
        <f t="shared" si="11"/>
        <v>0</v>
      </c>
      <c r="W14" s="264">
        <f t="shared" si="12"/>
        <v>0</v>
      </c>
      <c r="X14" s="264">
        <f t="shared" si="13"/>
        <v>0</v>
      </c>
      <c r="Y14" s="264">
        <f t="shared" si="14"/>
        <v>0</v>
      </c>
      <c r="Z14" s="264">
        <f t="shared" si="15"/>
        <v>0</v>
      </c>
      <c r="AA14" s="264">
        <f t="shared" si="16"/>
        <v>0</v>
      </c>
      <c r="AB14" s="264">
        <f t="shared" si="63"/>
        <v>0</v>
      </c>
      <c r="AC14" s="264">
        <f t="shared" si="64"/>
        <v>0</v>
      </c>
      <c r="AD14" s="264">
        <f t="shared" si="17"/>
        <v>0</v>
      </c>
      <c r="AE14" s="264">
        <f t="shared" si="18"/>
        <v>0</v>
      </c>
      <c r="AF14" s="264">
        <f t="shared" si="19"/>
        <v>0</v>
      </c>
      <c r="AG14" s="264">
        <f t="shared" si="20"/>
        <v>0</v>
      </c>
      <c r="AH14" s="264">
        <f t="shared" si="65"/>
        <v>0</v>
      </c>
      <c r="AI14" s="264">
        <f t="shared" si="66"/>
        <v>0</v>
      </c>
      <c r="AJ14" s="264">
        <f t="shared" si="67"/>
        <v>0</v>
      </c>
      <c r="AK14" s="264">
        <f t="shared" si="68"/>
        <v>0</v>
      </c>
      <c r="AL14" s="264">
        <f t="shared" si="69"/>
        <v>0</v>
      </c>
      <c r="AM14" s="264">
        <f t="shared" si="70"/>
        <v>0</v>
      </c>
      <c r="AN14" s="264">
        <f t="shared" si="71"/>
        <v>0</v>
      </c>
      <c r="AO14" s="264">
        <f t="shared" si="72"/>
        <v>0</v>
      </c>
      <c r="AP14" s="264">
        <f t="shared" si="21"/>
        <v>0</v>
      </c>
      <c r="AQ14" s="264">
        <f t="shared" si="22"/>
        <v>0</v>
      </c>
      <c r="AR14" s="264">
        <f t="shared" si="23"/>
        <v>0</v>
      </c>
      <c r="AS14" s="264">
        <f t="shared" si="24"/>
        <v>0</v>
      </c>
      <c r="AT14" s="264">
        <f t="shared" si="73"/>
        <v>0</v>
      </c>
      <c r="AU14" s="264">
        <f t="shared" si="74"/>
        <v>0</v>
      </c>
      <c r="AV14" s="264">
        <f t="shared" si="25"/>
        <v>0</v>
      </c>
      <c r="AW14" s="264">
        <f t="shared" si="26"/>
        <v>0</v>
      </c>
      <c r="AX14" s="264">
        <f t="shared" si="27"/>
        <v>0</v>
      </c>
      <c r="AY14" s="264">
        <f t="shared" si="28"/>
        <v>0</v>
      </c>
      <c r="AZ14" s="264">
        <f t="shared" si="29"/>
        <v>0</v>
      </c>
      <c r="BA14" s="264">
        <f t="shared" si="30"/>
        <v>0</v>
      </c>
      <c r="BB14" s="264">
        <f t="shared" si="31"/>
        <v>0</v>
      </c>
      <c r="BC14" s="264">
        <f t="shared" si="32"/>
        <v>0</v>
      </c>
      <c r="BD14" s="264">
        <f t="shared" si="33"/>
        <v>0</v>
      </c>
      <c r="BE14" s="264">
        <f t="shared" si="34"/>
        <v>0</v>
      </c>
      <c r="BF14" s="264">
        <f t="shared" si="35"/>
        <v>0</v>
      </c>
      <c r="BG14" s="264">
        <f t="shared" si="36"/>
        <v>0</v>
      </c>
      <c r="BH14" s="264">
        <f t="shared" si="75"/>
        <v>0</v>
      </c>
      <c r="BI14" s="264">
        <f t="shared" si="76"/>
        <v>0</v>
      </c>
      <c r="BJ14" s="264">
        <f t="shared" si="37"/>
        <v>0</v>
      </c>
      <c r="BK14" s="264">
        <f t="shared" si="38"/>
        <v>0</v>
      </c>
      <c r="BL14" s="264">
        <f t="shared" si="39"/>
        <v>0</v>
      </c>
      <c r="BM14" s="264">
        <f t="shared" si="40"/>
        <v>0</v>
      </c>
      <c r="BN14" s="264">
        <f t="shared" si="41"/>
        <v>0</v>
      </c>
      <c r="BO14" s="264">
        <f t="shared" si="42"/>
        <v>0</v>
      </c>
      <c r="BP14" s="264">
        <f t="shared" si="77"/>
        <v>0</v>
      </c>
      <c r="BQ14" s="264">
        <f t="shared" si="78"/>
        <v>0</v>
      </c>
      <c r="BR14" s="264">
        <f t="shared" si="43"/>
        <v>0</v>
      </c>
      <c r="BS14" s="264">
        <f t="shared" si="44"/>
        <v>0</v>
      </c>
      <c r="BT14" s="264">
        <f t="shared" si="79"/>
        <v>0</v>
      </c>
      <c r="BU14" s="264">
        <f t="shared" si="80"/>
        <v>0</v>
      </c>
      <c r="BV14" s="264">
        <f t="shared" si="81"/>
        <v>0</v>
      </c>
      <c r="BW14" s="264">
        <f t="shared" si="82"/>
        <v>0</v>
      </c>
      <c r="BX14" s="264">
        <f t="shared" si="45"/>
        <v>0</v>
      </c>
      <c r="BY14" s="264">
        <f t="shared" si="46"/>
        <v>0</v>
      </c>
      <c r="BZ14" s="264">
        <f t="shared" si="47"/>
        <v>0</v>
      </c>
      <c r="CA14" s="264">
        <f t="shared" si="48"/>
        <v>0</v>
      </c>
      <c r="CB14" s="264">
        <f t="shared" si="49"/>
        <v>0</v>
      </c>
      <c r="CC14" s="264">
        <f t="shared" si="50"/>
        <v>0</v>
      </c>
      <c r="CD14" s="264">
        <f t="shared" si="83"/>
        <v>0</v>
      </c>
      <c r="CE14" s="264">
        <f t="shared" si="84"/>
        <v>0</v>
      </c>
      <c r="CF14" s="264">
        <f t="shared" si="85"/>
        <v>0</v>
      </c>
      <c r="CG14" s="264">
        <f t="shared" si="86"/>
        <v>0</v>
      </c>
      <c r="CH14" s="264">
        <f t="shared" si="51"/>
        <v>0</v>
      </c>
      <c r="CI14" s="264">
        <f t="shared" si="52"/>
        <v>0</v>
      </c>
      <c r="CJ14" s="264">
        <f t="shared" si="87"/>
        <v>0</v>
      </c>
      <c r="CK14" s="264">
        <f t="shared" si="88"/>
        <v>0</v>
      </c>
      <c r="CL14" s="264">
        <f t="shared" si="53"/>
        <v>0</v>
      </c>
      <c r="CM14" s="264">
        <f t="shared" si="54"/>
        <v>0</v>
      </c>
      <c r="CN14" s="264">
        <f t="shared" si="55"/>
        <v>0</v>
      </c>
      <c r="CO14" s="264">
        <f t="shared" si="56"/>
        <v>0</v>
      </c>
      <c r="CP14" s="264">
        <f t="shared" si="89"/>
        <v>0</v>
      </c>
      <c r="CQ14" s="264">
        <f t="shared" si="90"/>
        <v>0</v>
      </c>
      <c r="CR14" s="264">
        <f t="shared" si="91"/>
        <v>0</v>
      </c>
      <c r="CS14" s="264">
        <f t="shared" si="92"/>
        <v>0</v>
      </c>
      <c r="CT14" s="264">
        <f t="shared" si="57"/>
        <v>0</v>
      </c>
      <c r="CU14" s="264">
        <f t="shared" si="58"/>
        <v>0</v>
      </c>
      <c r="CV14" s="264">
        <f t="shared" si="59"/>
        <v>0</v>
      </c>
      <c r="CW14" s="264">
        <f t="shared" si="60"/>
        <v>0</v>
      </c>
      <c r="CX14" s="264">
        <f t="shared" si="93"/>
        <v>0</v>
      </c>
      <c r="CY14" s="264">
        <f t="shared" si="94"/>
        <v>0</v>
      </c>
      <c r="CZ14" s="264">
        <f t="shared" si="95"/>
        <v>0</v>
      </c>
      <c r="DA14" s="264">
        <f t="shared" si="96"/>
        <v>0</v>
      </c>
    </row>
    <row r="15" spans="1:105" s="261" customFormat="1" ht="15" customHeight="1">
      <c r="A15" s="63" t="str">
        <f t="array" ref="A15">IF(C15&lt;&gt;0,SUM(($C$11:C15&lt;&gt;0)*1),"")</f>
        <v/>
      </c>
      <c r="B15" s="262"/>
      <c r="C15" s="262"/>
      <c r="D15" s="262"/>
      <c r="E15" s="344"/>
      <c r="F15" s="311"/>
      <c r="G15" s="313"/>
      <c r="H15" s="313"/>
      <c r="I15" s="63" t="str">
        <f t="shared" si="0"/>
        <v/>
      </c>
      <c r="J15" s="264">
        <f t="shared" si="61"/>
        <v>0</v>
      </c>
      <c r="K15" s="264">
        <f t="shared" si="62"/>
        <v>0</v>
      </c>
      <c r="L15" s="264">
        <f t="shared" si="1"/>
        <v>0</v>
      </c>
      <c r="M15" s="264">
        <f t="shared" si="2"/>
        <v>0</v>
      </c>
      <c r="N15" s="264">
        <f t="shared" si="3"/>
        <v>0</v>
      </c>
      <c r="O15" s="264">
        <f t="shared" si="4"/>
        <v>0</v>
      </c>
      <c r="P15" s="264">
        <f t="shared" si="5"/>
        <v>0</v>
      </c>
      <c r="Q15" s="264">
        <f t="shared" si="6"/>
        <v>0</v>
      </c>
      <c r="R15" s="264">
        <f t="shared" si="7"/>
        <v>0</v>
      </c>
      <c r="S15" s="264">
        <f t="shared" si="8"/>
        <v>0</v>
      </c>
      <c r="T15" s="264">
        <f t="shared" si="9"/>
        <v>0</v>
      </c>
      <c r="U15" s="264">
        <f t="shared" si="10"/>
        <v>0</v>
      </c>
      <c r="V15" s="264">
        <f t="shared" si="11"/>
        <v>0</v>
      </c>
      <c r="W15" s="264">
        <f t="shared" si="12"/>
        <v>0</v>
      </c>
      <c r="X15" s="264">
        <f t="shared" si="13"/>
        <v>0</v>
      </c>
      <c r="Y15" s="264">
        <f t="shared" si="14"/>
        <v>0</v>
      </c>
      <c r="Z15" s="264">
        <f t="shared" si="15"/>
        <v>0</v>
      </c>
      <c r="AA15" s="264">
        <f t="shared" si="16"/>
        <v>0</v>
      </c>
      <c r="AB15" s="264">
        <f t="shared" si="63"/>
        <v>0</v>
      </c>
      <c r="AC15" s="264">
        <f t="shared" si="64"/>
        <v>0</v>
      </c>
      <c r="AD15" s="264">
        <f t="shared" si="17"/>
        <v>0</v>
      </c>
      <c r="AE15" s="264">
        <f t="shared" si="18"/>
        <v>0</v>
      </c>
      <c r="AF15" s="264">
        <f t="shared" si="19"/>
        <v>0</v>
      </c>
      <c r="AG15" s="264">
        <f t="shared" si="20"/>
        <v>0</v>
      </c>
      <c r="AH15" s="264">
        <f t="shared" si="65"/>
        <v>0</v>
      </c>
      <c r="AI15" s="264">
        <f t="shared" si="66"/>
        <v>0</v>
      </c>
      <c r="AJ15" s="264">
        <f t="shared" si="67"/>
        <v>0</v>
      </c>
      <c r="AK15" s="264">
        <f t="shared" si="68"/>
        <v>0</v>
      </c>
      <c r="AL15" s="264">
        <f t="shared" si="69"/>
        <v>0</v>
      </c>
      <c r="AM15" s="264">
        <f t="shared" si="70"/>
        <v>0</v>
      </c>
      <c r="AN15" s="264">
        <f t="shared" si="71"/>
        <v>0</v>
      </c>
      <c r="AO15" s="264">
        <f t="shared" si="72"/>
        <v>0</v>
      </c>
      <c r="AP15" s="264">
        <f t="shared" si="21"/>
        <v>0</v>
      </c>
      <c r="AQ15" s="264">
        <f t="shared" si="22"/>
        <v>0</v>
      </c>
      <c r="AR15" s="264">
        <f t="shared" si="23"/>
        <v>0</v>
      </c>
      <c r="AS15" s="264">
        <f t="shared" si="24"/>
        <v>0</v>
      </c>
      <c r="AT15" s="264">
        <f t="shared" si="73"/>
        <v>0</v>
      </c>
      <c r="AU15" s="264">
        <f t="shared" si="74"/>
        <v>0</v>
      </c>
      <c r="AV15" s="264">
        <f t="shared" si="25"/>
        <v>0</v>
      </c>
      <c r="AW15" s="264">
        <f t="shared" si="26"/>
        <v>0</v>
      </c>
      <c r="AX15" s="264">
        <f t="shared" si="27"/>
        <v>0</v>
      </c>
      <c r="AY15" s="264">
        <f t="shared" si="28"/>
        <v>0</v>
      </c>
      <c r="AZ15" s="264">
        <f t="shared" si="29"/>
        <v>0</v>
      </c>
      <c r="BA15" s="264">
        <f t="shared" si="30"/>
        <v>0</v>
      </c>
      <c r="BB15" s="264">
        <f t="shared" si="31"/>
        <v>0</v>
      </c>
      <c r="BC15" s="264">
        <f t="shared" si="32"/>
        <v>0</v>
      </c>
      <c r="BD15" s="264">
        <f t="shared" si="33"/>
        <v>0</v>
      </c>
      <c r="BE15" s="264">
        <f t="shared" si="34"/>
        <v>0</v>
      </c>
      <c r="BF15" s="264">
        <f t="shared" si="35"/>
        <v>0</v>
      </c>
      <c r="BG15" s="264">
        <f t="shared" si="36"/>
        <v>0</v>
      </c>
      <c r="BH15" s="264">
        <f t="shared" si="75"/>
        <v>0</v>
      </c>
      <c r="BI15" s="264">
        <f t="shared" si="76"/>
        <v>0</v>
      </c>
      <c r="BJ15" s="264">
        <f t="shared" si="37"/>
        <v>0</v>
      </c>
      <c r="BK15" s="264">
        <f t="shared" si="38"/>
        <v>0</v>
      </c>
      <c r="BL15" s="264">
        <f t="shared" si="39"/>
        <v>0</v>
      </c>
      <c r="BM15" s="264">
        <f t="shared" si="40"/>
        <v>0</v>
      </c>
      <c r="BN15" s="264">
        <f t="shared" si="41"/>
        <v>0</v>
      </c>
      <c r="BO15" s="264">
        <f t="shared" si="42"/>
        <v>0</v>
      </c>
      <c r="BP15" s="264">
        <f t="shared" si="77"/>
        <v>0</v>
      </c>
      <c r="BQ15" s="264">
        <f t="shared" si="78"/>
        <v>0</v>
      </c>
      <c r="BR15" s="264">
        <f t="shared" si="43"/>
        <v>0</v>
      </c>
      <c r="BS15" s="264">
        <f t="shared" si="44"/>
        <v>0</v>
      </c>
      <c r="BT15" s="264">
        <f t="shared" si="79"/>
        <v>0</v>
      </c>
      <c r="BU15" s="264">
        <f t="shared" si="80"/>
        <v>0</v>
      </c>
      <c r="BV15" s="264">
        <f t="shared" si="81"/>
        <v>0</v>
      </c>
      <c r="BW15" s="264">
        <f t="shared" si="82"/>
        <v>0</v>
      </c>
      <c r="BX15" s="264">
        <f t="shared" si="45"/>
        <v>0</v>
      </c>
      <c r="BY15" s="264">
        <f t="shared" si="46"/>
        <v>0</v>
      </c>
      <c r="BZ15" s="264">
        <f t="shared" si="47"/>
        <v>0</v>
      </c>
      <c r="CA15" s="264">
        <f t="shared" si="48"/>
        <v>0</v>
      </c>
      <c r="CB15" s="264">
        <f t="shared" si="49"/>
        <v>0</v>
      </c>
      <c r="CC15" s="264">
        <f t="shared" si="50"/>
        <v>0</v>
      </c>
      <c r="CD15" s="264">
        <f t="shared" si="83"/>
        <v>0</v>
      </c>
      <c r="CE15" s="264">
        <f t="shared" si="84"/>
        <v>0</v>
      </c>
      <c r="CF15" s="264">
        <f t="shared" si="85"/>
        <v>0</v>
      </c>
      <c r="CG15" s="264">
        <f t="shared" si="86"/>
        <v>0</v>
      </c>
      <c r="CH15" s="264">
        <f t="shared" si="51"/>
        <v>0</v>
      </c>
      <c r="CI15" s="264">
        <f t="shared" si="52"/>
        <v>0</v>
      </c>
      <c r="CJ15" s="264">
        <f t="shared" si="87"/>
        <v>0</v>
      </c>
      <c r="CK15" s="264">
        <f t="shared" si="88"/>
        <v>0</v>
      </c>
      <c r="CL15" s="264">
        <f t="shared" si="53"/>
        <v>0</v>
      </c>
      <c r="CM15" s="264">
        <f t="shared" si="54"/>
        <v>0</v>
      </c>
      <c r="CN15" s="264">
        <f t="shared" si="55"/>
        <v>0</v>
      </c>
      <c r="CO15" s="264">
        <f t="shared" si="56"/>
        <v>0</v>
      </c>
      <c r="CP15" s="264">
        <f t="shared" si="89"/>
        <v>0</v>
      </c>
      <c r="CQ15" s="264">
        <f t="shared" si="90"/>
        <v>0</v>
      </c>
      <c r="CR15" s="264">
        <f t="shared" si="91"/>
        <v>0</v>
      </c>
      <c r="CS15" s="264">
        <f t="shared" si="92"/>
        <v>0</v>
      </c>
      <c r="CT15" s="264">
        <f t="shared" si="57"/>
        <v>0</v>
      </c>
      <c r="CU15" s="264">
        <f t="shared" si="58"/>
        <v>0</v>
      </c>
      <c r="CV15" s="264">
        <f t="shared" si="59"/>
        <v>0</v>
      </c>
      <c r="CW15" s="264">
        <f t="shared" si="60"/>
        <v>0</v>
      </c>
      <c r="CX15" s="264">
        <f t="shared" si="93"/>
        <v>0</v>
      </c>
      <c r="CY15" s="264">
        <f t="shared" si="94"/>
        <v>0</v>
      </c>
      <c r="CZ15" s="264">
        <f t="shared" si="95"/>
        <v>0</v>
      </c>
      <c r="DA15" s="264">
        <f t="shared" si="96"/>
        <v>0</v>
      </c>
    </row>
    <row r="16" spans="1:105" s="261" customFormat="1" ht="15" customHeight="1">
      <c r="A16" s="63" t="str">
        <f t="array" ref="A16">IF(C16&lt;&gt;0,SUM(($C$11:C16&lt;&gt;0)*1),"")</f>
        <v/>
      </c>
      <c r="B16" s="262"/>
      <c r="C16" s="262"/>
      <c r="D16" s="262"/>
      <c r="E16" s="344"/>
      <c r="F16" s="311"/>
      <c r="G16" s="313"/>
      <c r="H16" s="313"/>
      <c r="I16" s="63" t="str">
        <f t="shared" si="0"/>
        <v/>
      </c>
      <c r="J16" s="264">
        <f t="shared" si="61"/>
        <v>0</v>
      </c>
      <c r="K16" s="264">
        <f t="shared" si="62"/>
        <v>0</v>
      </c>
      <c r="L16" s="264">
        <f t="shared" si="1"/>
        <v>0</v>
      </c>
      <c r="M16" s="264">
        <f t="shared" si="2"/>
        <v>0</v>
      </c>
      <c r="N16" s="264">
        <f t="shared" si="3"/>
        <v>0</v>
      </c>
      <c r="O16" s="264">
        <f t="shared" si="4"/>
        <v>0</v>
      </c>
      <c r="P16" s="264">
        <f t="shared" si="5"/>
        <v>0</v>
      </c>
      <c r="Q16" s="264">
        <f t="shared" si="6"/>
        <v>0</v>
      </c>
      <c r="R16" s="264">
        <f t="shared" si="7"/>
        <v>0</v>
      </c>
      <c r="S16" s="264">
        <f t="shared" si="8"/>
        <v>0</v>
      </c>
      <c r="T16" s="264">
        <f t="shared" si="9"/>
        <v>0</v>
      </c>
      <c r="U16" s="264">
        <f t="shared" si="10"/>
        <v>0</v>
      </c>
      <c r="V16" s="264">
        <f t="shared" si="11"/>
        <v>0</v>
      </c>
      <c r="W16" s="264">
        <f t="shared" si="12"/>
        <v>0</v>
      </c>
      <c r="X16" s="264">
        <f t="shared" si="13"/>
        <v>0</v>
      </c>
      <c r="Y16" s="264">
        <f t="shared" si="14"/>
        <v>0</v>
      </c>
      <c r="Z16" s="264">
        <f t="shared" si="15"/>
        <v>0</v>
      </c>
      <c r="AA16" s="264">
        <f t="shared" si="16"/>
        <v>0</v>
      </c>
      <c r="AB16" s="264">
        <f t="shared" si="63"/>
        <v>0</v>
      </c>
      <c r="AC16" s="264">
        <f t="shared" si="64"/>
        <v>0</v>
      </c>
      <c r="AD16" s="264">
        <f t="shared" si="17"/>
        <v>0</v>
      </c>
      <c r="AE16" s="264">
        <f t="shared" si="18"/>
        <v>0</v>
      </c>
      <c r="AF16" s="264">
        <f t="shared" si="19"/>
        <v>0</v>
      </c>
      <c r="AG16" s="264">
        <f t="shared" si="20"/>
        <v>0</v>
      </c>
      <c r="AH16" s="264">
        <f t="shared" si="65"/>
        <v>0</v>
      </c>
      <c r="AI16" s="264">
        <f t="shared" si="66"/>
        <v>0</v>
      </c>
      <c r="AJ16" s="264">
        <f t="shared" si="67"/>
        <v>0</v>
      </c>
      <c r="AK16" s="264">
        <f t="shared" si="68"/>
        <v>0</v>
      </c>
      <c r="AL16" s="264">
        <f t="shared" si="69"/>
        <v>0</v>
      </c>
      <c r="AM16" s="264">
        <f t="shared" si="70"/>
        <v>0</v>
      </c>
      <c r="AN16" s="264">
        <f t="shared" si="71"/>
        <v>0</v>
      </c>
      <c r="AO16" s="264">
        <f t="shared" si="72"/>
        <v>0</v>
      </c>
      <c r="AP16" s="264">
        <f t="shared" si="21"/>
        <v>0</v>
      </c>
      <c r="AQ16" s="264">
        <f t="shared" si="22"/>
        <v>0</v>
      </c>
      <c r="AR16" s="264">
        <f t="shared" si="23"/>
        <v>0</v>
      </c>
      <c r="AS16" s="264">
        <f t="shared" si="24"/>
        <v>0</v>
      </c>
      <c r="AT16" s="264">
        <f t="shared" si="73"/>
        <v>0</v>
      </c>
      <c r="AU16" s="264">
        <f t="shared" si="74"/>
        <v>0</v>
      </c>
      <c r="AV16" s="264">
        <f t="shared" si="25"/>
        <v>0</v>
      </c>
      <c r="AW16" s="264">
        <f t="shared" si="26"/>
        <v>0</v>
      </c>
      <c r="AX16" s="264">
        <f t="shared" si="27"/>
        <v>0</v>
      </c>
      <c r="AY16" s="264">
        <f t="shared" si="28"/>
        <v>0</v>
      </c>
      <c r="AZ16" s="264">
        <f t="shared" si="29"/>
        <v>0</v>
      </c>
      <c r="BA16" s="264">
        <f t="shared" si="30"/>
        <v>0</v>
      </c>
      <c r="BB16" s="264">
        <f t="shared" si="31"/>
        <v>0</v>
      </c>
      <c r="BC16" s="264">
        <f t="shared" si="32"/>
        <v>0</v>
      </c>
      <c r="BD16" s="264">
        <f t="shared" si="33"/>
        <v>0</v>
      </c>
      <c r="BE16" s="264">
        <f t="shared" si="34"/>
        <v>0</v>
      </c>
      <c r="BF16" s="264">
        <f t="shared" si="35"/>
        <v>0</v>
      </c>
      <c r="BG16" s="264">
        <f t="shared" si="36"/>
        <v>0</v>
      </c>
      <c r="BH16" s="264">
        <f t="shared" si="75"/>
        <v>0</v>
      </c>
      <c r="BI16" s="264">
        <f t="shared" si="76"/>
        <v>0</v>
      </c>
      <c r="BJ16" s="264">
        <f t="shared" si="37"/>
        <v>0</v>
      </c>
      <c r="BK16" s="264">
        <f t="shared" si="38"/>
        <v>0</v>
      </c>
      <c r="BL16" s="264">
        <f t="shared" si="39"/>
        <v>0</v>
      </c>
      <c r="BM16" s="264">
        <f t="shared" si="40"/>
        <v>0</v>
      </c>
      <c r="BN16" s="264">
        <f t="shared" si="41"/>
        <v>0</v>
      </c>
      <c r="BO16" s="264">
        <f t="shared" si="42"/>
        <v>0</v>
      </c>
      <c r="BP16" s="264">
        <f t="shared" si="77"/>
        <v>0</v>
      </c>
      <c r="BQ16" s="264">
        <f t="shared" si="78"/>
        <v>0</v>
      </c>
      <c r="BR16" s="264">
        <f t="shared" si="43"/>
        <v>0</v>
      </c>
      <c r="BS16" s="264">
        <f t="shared" si="44"/>
        <v>0</v>
      </c>
      <c r="BT16" s="264">
        <f t="shared" si="79"/>
        <v>0</v>
      </c>
      <c r="BU16" s="264">
        <f t="shared" si="80"/>
        <v>0</v>
      </c>
      <c r="BV16" s="264">
        <f t="shared" si="81"/>
        <v>0</v>
      </c>
      <c r="BW16" s="264">
        <f t="shared" si="82"/>
        <v>0</v>
      </c>
      <c r="BX16" s="264">
        <f t="shared" si="45"/>
        <v>0</v>
      </c>
      <c r="BY16" s="264">
        <f t="shared" si="46"/>
        <v>0</v>
      </c>
      <c r="BZ16" s="264">
        <f t="shared" si="47"/>
        <v>0</v>
      </c>
      <c r="CA16" s="264">
        <f t="shared" si="48"/>
        <v>0</v>
      </c>
      <c r="CB16" s="264">
        <f t="shared" si="49"/>
        <v>0</v>
      </c>
      <c r="CC16" s="264">
        <f t="shared" si="50"/>
        <v>0</v>
      </c>
      <c r="CD16" s="264">
        <f t="shared" si="83"/>
        <v>0</v>
      </c>
      <c r="CE16" s="264">
        <f t="shared" si="84"/>
        <v>0</v>
      </c>
      <c r="CF16" s="264">
        <f t="shared" si="85"/>
        <v>0</v>
      </c>
      <c r="CG16" s="264">
        <f t="shared" si="86"/>
        <v>0</v>
      </c>
      <c r="CH16" s="264">
        <f t="shared" si="51"/>
        <v>0</v>
      </c>
      <c r="CI16" s="264">
        <f t="shared" si="52"/>
        <v>0</v>
      </c>
      <c r="CJ16" s="264">
        <f t="shared" si="87"/>
        <v>0</v>
      </c>
      <c r="CK16" s="264">
        <f t="shared" si="88"/>
        <v>0</v>
      </c>
      <c r="CL16" s="264">
        <f t="shared" si="53"/>
        <v>0</v>
      </c>
      <c r="CM16" s="264">
        <f t="shared" si="54"/>
        <v>0</v>
      </c>
      <c r="CN16" s="264">
        <f t="shared" si="55"/>
        <v>0</v>
      </c>
      <c r="CO16" s="264">
        <f t="shared" si="56"/>
        <v>0</v>
      </c>
      <c r="CP16" s="264">
        <f t="shared" si="89"/>
        <v>0</v>
      </c>
      <c r="CQ16" s="264">
        <f t="shared" si="90"/>
        <v>0</v>
      </c>
      <c r="CR16" s="264">
        <f t="shared" si="91"/>
        <v>0</v>
      </c>
      <c r="CS16" s="264">
        <f t="shared" si="92"/>
        <v>0</v>
      </c>
      <c r="CT16" s="264">
        <f t="shared" si="57"/>
        <v>0</v>
      </c>
      <c r="CU16" s="264">
        <f t="shared" si="58"/>
        <v>0</v>
      </c>
      <c r="CV16" s="264">
        <f t="shared" si="59"/>
        <v>0</v>
      </c>
      <c r="CW16" s="264">
        <f t="shared" si="60"/>
        <v>0</v>
      </c>
      <c r="CX16" s="264">
        <f t="shared" si="93"/>
        <v>0</v>
      </c>
      <c r="CY16" s="264">
        <f t="shared" si="94"/>
        <v>0</v>
      </c>
      <c r="CZ16" s="264">
        <f t="shared" si="95"/>
        <v>0</v>
      </c>
      <c r="DA16" s="264">
        <f t="shared" si="96"/>
        <v>0</v>
      </c>
    </row>
    <row r="17" spans="1:105" s="261" customFormat="1" ht="15" customHeight="1">
      <c r="A17" s="63" t="str">
        <f t="array" ref="A17">IF(C17&lt;&gt;0,SUM(($C$11:C17&lt;&gt;0)*1),"")</f>
        <v/>
      </c>
      <c r="B17" s="262"/>
      <c r="C17" s="262"/>
      <c r="D17" s="262"/>
      <c r="E17" s="344"/>
      <c r="F17" s="311"/>
      <c r="G17" s="313"/>
      <c r="H17" s="313"/>
      <c r="I17" s="63" t="str">
        <f t="shared" si="0"/>
        <v/>
      </c>
      <c r="J17" s="264">
        <f t="shared" si="61"/>
        <v>0</v>
      </c>
      <c r="K17" s="264">
        <f t="shared" si="62"/>
        <v>0</v>
      </c>
      <c r="L17" s="264">
        <f t="shared" si="1"/>
        <v>0</v>
      </c>
      <c r="M17" s="264">
        <f t="shared" si="2"/>
        <v>0</v>
      </c>
      <c r="N17" s="264">
        <f t="shared" si="3"/>
        <v>0</v>
      </c>
      <c r="O17" s="264">
        <f t="shared" si="4"/>
        <v>0</v>
      </c>
      <c r="P17" s="264">
        <f t="shared" si="5"/>
        <v>0</v>
      </c>
      <c r="Q17" s="264">
        <f t="shared" si="6"/>
        <v>0</v>
      </c>
      <c r="R17" s="264">
        <f t="shared" si="7"/>
        <v>0</v>
      </c>
      <c r="S17" s="264">
        <f t="shared" si="8"/>
        <v>0</v>
      </c>
      <c r="T17" s="264">
        <f t="shared" si="9"/>
        <v>0</v>
      </c>
      <c r="U17" s="264">
        <f t="shared" si="10"/>
        <v>0</v>
      </c>
      <c r="V17" s="264">
        <f t="shared" si="11"/>
        <v>0</v>
      </c>
      <c r="W17" s="264">
        <f t="shared" si="12"/>
        <v>0</v>
      </c>
      <c r="X17" s="264">
        <f t="shared" si="13"/>
        <v>0</v>
      </c>
      <c r="Y17" s="264">
        <f t="shared" si="14"/>
        <v>0</v>
      </c>
      <c r="Z17" s="264">
        <f t="shared" si="15"/>
        <v>0</v>
      </c>
      <c r="AA17" s="264">
        <f t="shared" si="16"/>
        <v>0</v>
      </c>
      <c r="AB17" s="264">
        <f t="shared" si="63"/>
        <v>0</v>
      </c>
      <c r="AC17" s="264">
        <f t="shared" si="64"/>
        <v>0</v>
      </c>
      <c r="AD17" s="264">
        <f t="shared" si="17"/>
        <v>0</v>
      </c>
      <c r="AE17" s="264">
        <f t="shared" si="18"/>
        <v>0</v>
      </c>
      <c r="AF17" s="264">
        <f t="shared" si="19"/>
        <v>0</v>
      </c>
      <c r="AG17" s="264">
        <f t="shared" si="20"/>
        <v>0</v>
      </c>
      <c r="AH17" s="264">
        <f t="shared" si="65"/>
        <v>0</v>
      </c>
      <c r="AI17" s="264">
        <f t="shared" si="66"/>
        <v>0</v>
      </c>
      <c r="AJ17" s="264">
        <f t="shared" si="67"/>
        <v>0</v>
      </c>
      <c r="AK17" s="264">
        <f t="shared" si="68"/>
        <v>0</v>
      </c>
      <c r="AL17" s="264">
        <f t="shared" si="69"/>
        <v>0</v>
      </c>
      <c r="AM17" s="264">
        <f t="shared" si="70"/>
        <v>0</v>
      </c>
      <c r="AN17" s="264">
        <f t="shared" si="71"/>
        <v>0</v>
      </c>
      <c r="AO17" s="264">
        <f t="shared" si="72"/>
        <v>0</v>
      </c>
      <c r="AP17" s="264">
        <f t="shared" si="21"/>
        <v>0</v>
      </c>
      <c r="AQ17" s="264">
        <f t="shared" si="22"/>
        <v>0</v>
      </c>
      <c r="AR17" s="264">
        <f t="shared" si="23"/>
        <v>0</v>
      </c>
      <c r="AS17" s="264">
        <f t="shared" si="24"/>
        <v>0</v>
      </c>
      <c r="AT17" s="264">
        <f t="shared" si="73"/>
        <v>0</v>
      </c>
      <c r="AU17" s="264">
        <f t="shared" si="74"/>
        <v>0</v>
      </c>
      <c r="AV17" s="264">
        <f t="shared" si="25"/>
        <v>0</v>
      </c>
      <c r="AW17" s="264">
        <f t="shared" si="26"/>
        <v>0</v>
      </c>
      <c r="AX17" s="264">
        <f t="shared" si="27"/>
        <v>0</v>
      </c>
      <c r="AY17" s="264">
        <f t="shared" si="28"/>
        <v>0</v>
      </c>
      <c r="AZ17" s="264">
        <f t="shared" si="29"/>
        <v>0</v>
      </c>
      <c r="BA17" s="264">
        <f t="shared" si="30"/>
        <v>0</v>
      </c>
      <c r="BB17" s="264">
        <f t="shared" si="31"/>
        <v>0</v>
      </c>
      <c r="BC17" s="264">
        <f t="shared" si="32"/>
        <v>0</v>
      </c>
      <c r="BD17" s="264">
        <f t="shared" si="33"/>
        <v>0</v>
      </c>
      <c r="BE17" s="264">
        <f t="shared" si="34"/>
        <v>0</v>
      </c>
      <c r="BF17" s="264">
        <f t="shared" si="35"/>
        <v>0</v>
      </c>
      <c r="BG17" s="264">
        <f t="shared" si="36"/>
        <v>0</v>
      </c>
      <c r="BH17" s="264">
        <f t="shared" si="75"/>
        <v>0</v>
      </c>
      <c r="BI17" s="264">
        <f t="shared" si="76"/>
        <v>0</v>
      </c>
      <c r="BJ17" s="264">
        <f t="shared" si="37"/>
        <v>0</v>
      </c>
      <c r="BK17" s="264">
        <f t="shared" si="38"/>
        <v>0</v>
      </c>
      <c r="BL17" s="264">
        <f t="shared" si="39"/>
        <v>0</v>
      </c>
      <c r="BM17" s="264">
        <f t="shared" si="40"/>
        <v>0</v>
      </c>
      <c r="BN17" s="264">
        <f t="shared" si="41"/>
        <v>0</v>
      </c>
      <c r="BO17" s="264">
        <f t="shared" si="42"/>
        <v>0</v>
      </c>
      <c r="BP17" s="264">
        <f t="shared" si="77"/>
        <v>0</v>
      </c>
      <c r="BQ17" s="264">
        <f t="shared" si="78"/>
        <v>0</v>
      </c>
      <c r="BR17" s="264">
        <f t="shared" si="43"/>
        <v>0</v>
      </c>
      <c r="BS17" s="264">
        <f t="shared" si="44"/>
        <v>0</v>
      </c>
      <c r="BT17" s="264">
        <f t="shared" si="79"/>
        <v>0</v>
      </c>
      <c r="BU17" s="264">
        <f t="shared" si="80"/>
        <v>0</v>
      </c>
      <c r="BV17" s="264">
        <f t="shared" si="81"/>
        <v>0</v>
      </c>
      <c r="BW17" s="264">
        <f t="shared" si="82"/>
        <v>0</v>
      </c>
      <c r="BX17" s="264">
        <f t="shared" si="45"/>
        <v>0</v>
      </c>
      <c r="BY17" s="264">
        <f t="shared" si="46"/>
        <v>0</v>
      </c>
      <c r="BZ17" s="264">
        <f t="shared" si="47"/>
        <v>0</v>
      </c>
      <c r="CA17" s="264">
        <f t="shared" si="48"/>
        <v>0</v>
      </c>
      <c r="CB17" s="264">
        <f t="shared" si="49"/>
        <v>0</v>
      </c>
      <c r="CC17" s="264">
        <f t="shared" si="50"/>
        <v>0</v>
      </c>
      <c r="CD17" s="264">
        <f t="shared" si="83"/>
        <v>0</v>
      </c>
      <c r="CE17" s="264">
        <f t="shared" si="84"/>
        <v>0</v>
      </c>
      <c r="CF17" s="264">
        <f t="shared" si="85"/>
        <v>0</v>
      </c>
      <c r="CG17" s="264">
        <f t="shared" si="86"/>
        <v>0</v>
      </c>
      <c r="CH17" s="264">
        <f t="shared" si="51"/>
        <v>0</v>
      </c>
      <c r="CI17" s="264">
        <f t="shared" si="52"/>
        <v>0</v>
      </c>
      <c r="CJ17" s="264">
        <f t="shared" si="87"/>
        <v>0</v>
      </c>
      <c r="CK17" s="264">
        <f t="shared" si="88"/>
        <v>0</v>
      </c>
      <c r="CL17" s="264">
        <f t="shared" si="53"/>
        <v>0</v>
      </c>
      <c r="CM17" s="264">
        <f t="shared" si="54"/>
        <v>0</v>
      </c>
      <c r="CN17" s="264">
        <f t="shared" si="55"/>
        <v>0</v>
      </c>
      <c r="CO17" s="264">
        <f t="shared" si="56"/>
        <v>0</v>
      </c>
      <c r="CP17" s="264">
        <f t="shared" si="89"/>
        <v>0</v>
      </c>
      <c r="CQ17" s="264">
        <f t="shared" si="90"/>
        <v>0</v>
      </c>
      <c r="CR17" s="264">
        <f t="shared" si="91"/>
        <v>0</v>
      </c>
      <c r="CS17" s="264">
        <f t="shared" si="92"/>
        <v>0</v>
      </c>
      <c r="CT17" s="264">
        <f t="shared" si="57"/>
        <v>0</v>
      </c>
      <c r="CU17" s="264">
        <f t="shared" si="58"/>
        <v>0</v>
      </c>
      <c r="CV17" s="264">
        <f t="shared" si="59"/>
        <v>0</v>
      </c>
      <c r="CW17" s="264">
        <f t="shared" si="60"/>
        <v>0</v>
      </c>
      <c r="CX17" s="264">
        <f t="shared" si="93"/>
        <v>0</v>
      </c>
      <c r="CY17" s="264">
        <f t="shared" si="94"/>
        <v>0</v>
      </c>
      <c r="CZ17" s="264">
        <f t="shared" si="95"/>
        <v>0</v>
      </c>
      <c r="DA17" s="264">
        <f t="shared" si="96"/>
        <v>0</v>
      </c>
    </row>
    <row r="18" spans="1:105" s="261" customFormat="1" ht="15" customHeight="1">
      <c r="A18" s="63" t="str">
        <f t="array" ref="A18">IF(C18&lt;&gt;0,SUM(($C$11:C18&lt;&gt;0)*1),"")</f>
        <v/>
      </c>
      <c r="B18" s="262"/>
      <c r="C18" s="262"/>
      <c r="D18" s="262"/>
      <c r="E18" s="344"/>
      <c r="F18" s="311"/>
      <c r="G18" s="313"/>
      <c r="H18" s="313"/>
      <c r="I18" s="63" t="str">
        <f t="shared" si="0"/>
        <v/>
      </c>
      <c r="J18" s="264">
        <f t="shared" si="61"/>
        <v>0</v>
      </c>
      <c r="K18" s="264">
        <f t="shared" si="62"/>
        <v>0</v>
      </c>
      <c r="L18" s="264">
        <f t="shared" si="1"/>
        <v>0</v>
      </c>
      <c r="M18" s="264">
        <f t="shared" si="2"/>
        <v>0</v>
      </c>
      <c r="N18" s="264">
        <f t="shared" si="3"/>
        <v>0</v>
      </c>
      <c r="O18" s="264">
        <f t="shared" si="4"/>
        <v>0</v>
      </c>
      <c r="P18" s="264">
        <f t="shared" si="5"/>
        <v>0</v>
      </c>
      <c r="Q18" s="264">
        <f t="shared" si="6"/>
        <v>0</v>
      </c>
      <c r="R18" s="264">
        <f t="shared" si="7"/>
        <v>0</v>
      </c>
      <c r="S18" s="264">
        <f t="shared" si="8"/>
        <v>0</v>
      </c>
      <c r="T18" s="264">
        <f t="shared" si="9"/>
        <v>0</v>
      </c>
      <c r="U18" s="264">
        <f t="shared" si="10"/>
        <v>0</v>
      </c>
      <c r="V18" s="264">
        <f t="shared" si="11"/>
        <v>0</v>
      </c>
      <c r="W18" s="264">
        <f t="shared" si="12"/>
        <v>0</v>
      </c>
      <c r="X18" s="264">
        <f t="shared" si="13"/>
        <v>0</v>
      </c>
      <c r="Y18" s="264">
        <f t="shared" si="14"/>
        <v>0</v>
      </c>
      <c r="Z18" s="264">
        <f t="shared" si="15"/>
        <v>0</v>
      </c>
      <c r="AA18" s="264">
        <f t="shared" si="16"/>
        <v>0</v>
      </c>
      <c r="AB18" s="264">
        <f t="shared" si="63"/>
        <v>0</v>
      </c>
      <c r="AC18" s="264">
        <f t="shared" si="64"/>
        <v>0</v>
      </c>
      <c r="AD18" s="264">
        <f t="shared" si="17"/>
        <v>0</v>
      </c>
      <c r="AE18" s="264">
        <f t="shared" si="18"/>
        <v>0</v>
      </c>
      <c r="AF18" s="264">
        <f t="shared" si="19"/>
        <v>0</v>
      </c>
      <c r="AG18" s="264">
        <f t="shared" si="20"/>
        <v>0</v>
      </c>
      <c r="AH18" s="264">
        <f t="shared" si="65"/>
        <v>0</v>
      </c>
      <c r="AI18" s="264">
        <f t="shared" si="66"/>
        <v>0</v>
      </c>
      <c r="AJ18" s="264">
        <f t="shared" si="67"/>
        <v>0</v>
      </c>
      <c r="AK18" s="264">
        <f t="shared" si="68"/>
        <v>0</v>
      </c>
      <c r="AL18" s="264">
        <f t="shared" si="69"/>
        <v>0</v>
      </c>
      <c r="AM18" s="264">
        <f t="shared" si="70"/>
        <v>0</v>
      </c>
      <c r="AN18" s="264">
        <f t="shared" si="71"/>
        <v>0</v>
      </c>
      <c r="AO18" s="264">
        <f t="shared" si="72"/>
        <v>0</v>
      </c>
      <c r="AP18" s="264">
        <f t="shared" si="21"/>
        <v>0</v>
      </c>
      <c r="AQ18" s="264">
        <f t="shared" si="22"/>
        <v>0</v>
      </c>
      <c r="AR18" s="264">
        <f t="shared" si="23"/>
        <v>0</v>
      </c>
      <c r="AS18" s="264">
        <f t="shared" si="24"/>
        <v>0</v>
      </c>
      <c r="AT18" s="264">
        <f t="shared" si="73"/>
        <v>0</v>
      </c>
      <c r="AU18" s="264">
        <f t="shared" si="74"/>
        <v>0</v>
      </c>
      <c r="AV18" s="264">
        <f t="shared" si="25"/>
        <v>0</v>
      </c>
      <c r="AW18" s="264">
        <f t="shared" si="26"/>
        <v>0</v>
      </c>
      <c r="AX18" s="264">
        <f t="shared" si="27"/>
        <v>0</v>
      </c>
      <c r="AY18" s="264">
        <f t="shared" si="28"/>
        <v>0</v>
      </c>
      <c r="AZ18" s="264">
        <f t="shared" si="29"/>
        <v>0</v>
      </c>
      <c r="BA18" s="264">
        <f t="shared" si="30"/>
        <v>0</v>
      </c>
      <c r="BB18" s="264">
        <f t="shared" si="31"/>
        <v>0</v>
      </c>
      <c r="BC18" s="264">
        <f t="shared" si="32"/>
        <v>0</v>
      </c>
      <c r="BD18" s="264">
        <f t="shared" si="33"/>
        <v>0</v>
      </c>
      <c r="BE18" s="264">
        <f t="shared" si="34"/>
        <v>0</v>
      </c>
      <c r="BF18" s="264">
        <f t="shared" si="35"/>
        <v>0</v>
      </c>
      <c r="BG18" s="264">
        <f t="shared" si="36"/>
        <v>0</v>
      </c>
      <c r="BH18" s="264">
        <f t="shared" si="75"/>
        <v>0</v>
      </c>
      <c r="BI18" s="264">
        <f t="shared" si="76"/>
        <v>0</v>
      </c>
      <c r="BJ18" s="264">
        <f t="shared" si="37"/>
        <v>0</v>
      </c>
      <c r="BK18" s="264">
        <f t="shared" si="38"/>
        <v>0</v>
      </c>
      <c r="BL18" s="264">
        <f t="shared" si="39"/>
        <v>0</v>
      </c>
      <c r="BM18" s="264">
        <f t="shared" si="40"/>
        <v>0</v>
      </c>
      <c r="BN18" s="264">
        <f t="shared" si="41"/>
        <v>0</v>
      </c>
      <c r="BO18" s="264">
        <f t="shared" si="42"/>
        <v>0</v>
      </c>
      <c r="BP18" s="264">
        <f t="shared" si="77"/>
        <v>0</v>
      </c>
      <c r="BQ18" s="264">
        <f t="shared" si="78"/>
        <v>0</v>
      </c>
      <c r="BR18" s="264">
        <f t="shared" si="43"/>
        <v>0</v>
      </c>
      <c r="BS18" s="264">
        <f t="shared" si="44"/>
        <v>0</v>
      </c>
      <c r="BT18" s="264">
        <f t="shared" si="79"/>
        <v>0</v>
      </c>
      <c r="BU18" s="264">
        <f t="shared" si="80"/>
        <v>0</v>
      </c>
      <c r="BV18" s="264">
        <f t="shared" si="81"/>
        <v>0</v>
      </c>
      <c r="BW18" s="264">
        <f t="shared" si="82"/>
        <v>0</v>
      </c>
      <c r="BX18" s="264">
        <f t="shared" si="45"/>
        <v>0</v>
      </c>
      <c r="BY18" s="264">
        <f t="shared" si="46"/>
        <v>0</v>
      </c>
      <c r="BZ18" s="264">
        <f t="shared" si="47"/>
        <v>0</v>
      </c>
      <c r="CA18" s="264">
        <f t="shared" si="48"/>
        <v>0</v>
      </c>
      <c r="CB18" s="264">
        <f t="shared" si="49"/>
        <v>0</v>
      </c>
      <c r="CC18" s="264">
        <f t="shared" si="50"/>
        <v>0</v>
      </c>
      <c r="CD18" s="264">
        <f t="shared" si="83"/>
        <v>0</v>
      </c>
      <c r="CE18" s="264">
        <f t="shared" si="84"/>
        <v>0</v>
      </c>
      <c r="CF18" s="264">
        <f t="shared" si="85"/>
        <v>0</v>
      </c>
      <c r="CG18" s="264">
        <f t="shared" si="86"/>
        <v>0</v>
      </c>
      <c r="CH18" s="264">
        <f t="shared" si="51"/>
        <v>0</v>
      </c>
      <c r="CI18" s="264">
        <f t="shared" si="52"/>
        <v>0</v>
      </c>
      <c r="CJ18" s="264">
        <f t="shared" si="87"/>
        <v>0</v>
      </c>
      <c r="CK18" s="264">
        <f t="shared" si="88"/>
        <v>0</v>
      </c>
      <c r="CL18" s="264">
        <f t="shared" si="53"/>
        <v>0</v>
      </c>
      <c r="CM18" s="264">
        <f t="shared" si="54"/>
        <v>0</v>
      </c>
      <c r="CN18" s="264">
        <f t="shared" si="55"/>
        <v>0</v>
      </c>
      <c r="CO18" s="264">
        <f t="shared" si="56"/>
        <v>0</v>
      </c>
      <c r="CP18" s="264">
        <f t="shared" si="89"/>
        <v>0</v>
      </c>
      <c r="CQ18" s="264">
        <f t="shared" si="90"/>
        <v>0</v>
      </c>
      <c r="CR18" s="264">
        <f t="shared" si="91"/>
        <v>0</v>
      </c>
      <c r="CS18" s="264">
        <f t="shared" si="92"/>
        <v>0</v>
      </c>
      <c r="CT18" s="264">
        <f t="shared" si="57"/>
        <v>0</v>
      </c>
      <c r="CU18" s="264">
        <f t="shared" si="58"/>
        <v>0</v>
      </c>
      <c r="CV18" s="264">
        <f t="shared" si="59"/>
        <v>0</v>
      </c>
      <c r="CW18" s="264">
        <f t="shared" si="60"/>
        <v>0</v>
      </c>
      <c r="CX18" s="264">
        <f t="shared" si="93"/>
        <v>0</v>
      </c>
      <c r="CY18" s="264">
        <f t="shared" si="94"/>
        <v>0</v>
      </c>
      <c r="CZ18" s="264">
        <f t="shared" si="95"/>
        <v>0</v>
      </c>
      <c r="DA18" s="264">
        <f t="shared" si="96"/>
        <v>0</v>
      </c>
    </row>
    <row r="19" spans="1:105" s="261" customFormat="1" ht="15" customHeight="1">
      <c r="A19" s="63" t="str">
        <f t="array" ref="A19">IF(C19&lt;&gt;0,SUM(($C$11:C19&lt;&gt;0)*1),"")</f>
        <v/>
      </c>
      <c r="B19" s="262"/>
      <c r="C19" s="262"/>
      <c r="D19" s="262"/>
      <c r="E19" s="344"/>
      <c r="F19" s="311"/>
      <c r="G19" s="313"/>
      <c r="H19" s="313"/>
      <c r="I19" s="63" t="str">
        <f t="shared" si="0"/>
        <v/>
      </c>
      <c r="J19" s="264">
        <f t="shared" si="61"/>
        <v>0</v>
      </c>
      <c r="K19" s="264">
        <f t="shared" si="62"/>
        <v>0</v>
      </c>
      <c r="L19" s="264">
        <f t="shared" si="1"/>
        <v>0</v>
      </c>
      <c r="M19" s="264">
        <f t="shared" si="2"/>
        <v>0</v>
      </c>
      <c r="N19" s="264">
        <f t="shared" si="3"/>
        <v>0</v>
      </c>
      <c r="O19" s="264">
        <f t="shared" si="4"/>
        <v>0</v>
      </c>
      <c r="P19" s="264">
        <f t="shared" si="5"/>
        <v>0</v>
      </c>
      <c r="Q19" s="264">
        <f t="shared" si="6"/>
        <v>0</v>
      </c>
      <c r="R19" s="264">
        <f t="shared" si="7"/>
        <v>0</v>
      </c>
      <c r="S19" s="264">
        <f t="shared" si="8"/>
        <v>0</v>
      </c>
      <c r="T19" s="264">
        <f t="shared" si="9"/>
        <v>0</v>
      </c>
      <c r="U19" s="264">
        <f t="shared" si="10"/>
        <v>0</v>
      </c>
      <c r="V19" s="264">
        <f t="shared" si="11"/>
        <v>0</v>
      </c>
      <c r="W19" s="264">
        <f t="shared" si="12"/>
        <v>0</v>
      </c>
      <c r="X19" s="264">
        <f t="shared" si="13"/>
        <v>0</v>
      </c>
      <c r="Y19" s="264">
        <f t="shared" si="14"/>
        <v>0</v>
      </c>
      <c r="Z19" s="264">
        <f t="shared" si="15"/>
        <v>0</v>
      </c>
      <c r="AA19" s="264">
        <f t="shared" si="16"/>
        <v>0</v>
      </c>
      <c r="AB19" s="264">
        <f t="shared" si="63"/>
        <v>0</v>
      </c>
      <c r="AC19" s="264">
        <f t="shared" si="64"/>
        <v>0</v>
      </c>
      <c r="AD19" s="264">
        <f t="shared" si="17"/>
        <v>0</v>
      </c>
      <c r="AE19" s="264">
        <f t="shared" si="18"/>
        <v>0</v>
      </c>
      <c r="AF19" s="264">
        <f t="shared" si="19"/>
        <v>0</v>
      </c>
      <c r="AG19" s="264">
        <f t="shared" si="20"/>
        <v>0</v>
      </c>
      <c r="AH19" s="264">
        <f t="shared" si="65"/>
        <v>0</v>
      </c>
      <c r="AI19" s="264">
        <f t="shared" si="66"/>
        <v>0</v>
      </c>
      <c r="AJ19" s="264">
        <f t="shared" si="67"/>
        <v>0</v>
      </c>
      <c r="AK19" s="264">
        <f t="shared" si="68"/>
        <v>0</v>
      </c>
      <c r="AL19" s="264">
        <f t="shared" si="69"/>
        <v>0</v>
      </c>
      <c r="AM19" s="264">
        <f t="shared" si="70"/>
        <v>0</v>
      </c>
      <c r="AN19" s="264">
        <f t="shared" si="71"/>
        <v>0</v>
      </c>
      <c r="AO19" s="264">
        <f t="shared" si="72"/>
        <v>0</v>
      </c>
      <c r="AP19" s="264">
        <f t="shared" si="21"/>
        <v>0</v>
      </c>
      <c r="AQ19" s="264">
        <f t="shared" si="22"/>
        <v>0</v>
      </c>
      <c r="AR19" s="264">
        <f t="shared" si="23"/>
        <v>0</v>
      </c>
      <c r="AS19" s="264">
        <f t="shared" si="24"/>
        <v>0</v>
      </c>
      <c r="AT19" s="264">
        <f t="shared" si="73"/>
        <v>0</v>
      </c>
      <c r="AU19" s="264">
        <f t="shared" si="74"/>
        <v>0</v>
      </c>
      <c r="AV19" s="264">
        <f t="shared" si="25"/>
        <v>0</v>
      </c>
      <c r="AW19" s="264">
        <f t="shared" si="26"/>
        <v>0</v>
      </c>
      <c r="AX19" s="264">
        <f t="shared" si="27"/>
        <v>0</v>
      </c>
      <c r="AY19" s="264">
        <f t="shared" si="28"/>
        <v>0</v>
      </c>
      <c r="AZ19" s="264">
        <f t="shared" si="29"/>
        <v>0</v>
      </c>
      <c r="BA19" s="264">
        <f t="shared" si="30"/>
        <v>0</v>
      </c>
      <c r="BB19" s="264">
        <f t="shared" si="31"/>
        <v>0</v>
      </c>
      <c r="BC19" s="264">
        <f t="shared" si="32"/>
        <v>0</v>
      </c>
      <c r="BD19" s="264">
        <f t="shared" si="33"/>
        <v>0</v>
      </c>
      <c r="BE19" s="264">
        <f t="shared" si="34"/>
        <v>0</v>
      </c>
      <c r="BF19" s="264">
        <f t="shared" si="35"/>
        <v>0</v>
      </c>
      <c r="BG19" s="264">
        <f t="shared" si="36"/>
        <v>0</v>
      </c>
      <c r="BH19" s="264">
        <f t="shared" si="75"/>
        <v>0</v>
      </c>
      <c r="BI19" s="264">
        <f t="shared" si="76"/>
        <v>0</v>
      </c>
      <c r="BJ19" s="264">
        <f t="shared" si="37"/>
        <v>0</v>
      </c>
      <c r="BK19" s="264">
        <f t="shared" si="38"/>
        <v>0</v>
      </c>
      <c r="BL19" s="264">
        <f t="shared" si="39"/>
        <v>0</v>
      </c>
      <c r="BM19" s="264">
        <f t="shared" si="40"/>
        <v>0</v>
      </c>
      <c r="BN19" s="264">
        <f t="shared" si="41"/>
        <v>0</v>
      </c>
      <c r="BO19" s="264">
        <f t="shared" si="42"/>
        <v>0</v>
      </c>
      <c r="BP19" s="264">
        <f t="shared" si="77"/>
        <v>0</v>
      </c>
      <c r="BQ19" s="264">
        <f t="shared" si="78"/>
        <v>0</v>
      </c>
      <c r="BR19" s="264">
        <f t="shared" si="43"/>
        <v>0</v>
      </c>
      <c r="BS19" s="264">
        <f t="shared" si="44"/>
        <v>0</v>
      </c>
      <c r="BT19" s="264">
        <f t="shared" si="79"/>
        <v>0</v>
      </c>
      <c r="BU19" s="264">
        <f t="shared" si="80"/>
        <v>0</v>
      </c>
      <c r="BV19" s="264">
        <f t="shared" si="81"/>
        <v>0</v>
      </c>
      <c r="BW19" s="264">
        <f t="shared" si="82"/>
        <v>0</v>
      </c>
      <c r="BX19" s="264">
        <f t="shared" si="45"/>
        <v>0</v>
      </c>
      <c r="BY19" s="264">
        <f t="shared" si="46"/>
        <v>0</v>
      </c>
      <c r="BZ19" s="264">
        <f t="shared" si="47"/>
        <v>0</v>
      </c>
      <c r="CA19" s="264">
        <f t="shared" si="48"/>
        <v>0</v>
      </c>
      <c r="CB19" s="264">
        <f t="shared" si="49"/>
        <v>0</v>
      </c>
      <c r="CC19" s="264">
        <f t="shared" si="50"/>
        <v>0</v>
      </c>
      <c r="CD19" s="264">
        <f t="shared" si="83"/>
        <v>0</v>
      </c>
      <c r="CE19" s="264">
        <f t="shared" si="84"/>
        <v>0</v>
      </c>
      <c r="CF19" s="264">
        <f t="shared" si="85"/>
        <v>0</v>
      </c>
      <c r="CG19" s="264">
        <f t="shared" si="86"/>
        <v>0</v>
      </c>
      <c r="CH19" s="264">
        <f t="shared" si="51"/>
        <v>0</v>
      </c>
      <c r="CI19" s="264">
        <f t="shared" si="52"/>
        <v>0</v>
      </c>
      <c r="CJ19" s="264">
        <f t="shared" si="87"/>
        <v>0</v>
      </c>
      <c r="CK19" s="264">
        <f t="shared" si="88"/>
        <v>0</v>
      </c>
      <c r="CL19" s="264">
        <f t="shared" si="53"/>
        <v>0</v>
      </c>
      <c r="CM19" s="264">
        <f t="shared" si="54"/>
        <v>0</v>
      </c>
      <c r="CN19" s="264">
        <f t="shared" si="55"/>
        <v>0</v>
      </c>
      <c r="CO19" s="264">
        <f t="shared" si="56"/>
        <v>0</v>
      </c>
      <c r="CP19" s="264">
        <f t="shared" si="89"/>
        <v>0</v>
      </c>
      <c r="CQ19" s="264">
        <f t="shared" si="90"/>
        <v>0</v>
      </c>
      <c r="CR19" s="264">
        <f t="shared" si="91"/>
        <v>0</v>
      </c>
      <c r="CS19" s="264">
        <f t="shared" si="92"/>
        <v>0</v>
      </c>
      <c r="CT19" s="264">
        <f t="shared" si="57"/>
        <v>0</v>
      </c>
      <c r="CU19" s="264">
        <f t="shared" si="58"/>
        <v>0</v>
      </c>
      <c r="CV19" s="264">
        <f t="shared" si="59"/>
        <v>0</v>
      </c>
      <c r="CW19" s="264">
        <f t="shared" si="60"/>
        <v>0</v>
      </c>
      <c r="CX19" s="264">
        <f t="shared" si="93"/>
        <v>0</v>
      </c>
      <c r="CY19" s="264">
        <f t="shared" si="94"/>
        <v>0</v>
      </c>
      <c r="CZ19" s="264">
        <f t="shared" si="95"/>
        <v>0</v>
      </c>
      <c r="DA19" s="264">
        <f t="shared" si="96"/>
        <v>0</v>
      </c>
    </row>
    <row r="20" spans="1:105" s="261" customFormat="1" ht="15" customHeight="1">
      <c r="A20" s="63" t="str">
        <f t="array" ref="A20">IF(C20&lt;&gt;0,SUM(($C$11:C20&lt;&gt;0)*1),"")</f>
        <v/>
      </c>
      <c r="B20" s="262"/>
      <c r="C20" s="262"/>
      <c r="D20" s="262"/>
      <c r="E20" s="344"/>
      <c r="F20" s="311"/>
      <c r="G20" s="313"/>
      <c r="H20" s="313"/>
      <c r="I20" s="63" t="str">
        <f t="shared" si="0"/>
        <v/>
      </c>
      <c r="J20" s="264">
        <f t="shared" si="61"/>
        <v>0</v>
      </c>
      <c r="K20" s="264">
        <f t="shared" si="62"/>
        <v>0</v>
      </c>
      <c r="L20" s="264">
        <f t="shared" si="1"/>
        <v>0</v>
      </c>
      <c r="M20" s="264">
        <f t="shared" si="2"/>
        <v>0</v>
      </c>
      <c r="N20" s="264">
        <f t="shared" si="3"/>
        <v>0</v>
      </c>
      <c r="O20" s="264">
        <f t="shared" si="4"/>
        <v>0</v>
      </c>
      <c r="P20" s="264">
        <f t="shared" si="5"/>
        <v>0</v>
      </c>
      <c r="Q20" s="264">
        <f t="shared" si="6"/>
        <v>0</v>
      </c>
      <c r="R20" s="264">
        <f t="shared" si="7"/>
        <v>0</v>
      </c>
      <c r="S20" s="264">
        <f t="shared" si="8"/>
        <v>0</v>
      </c>
      <c r="T20" s="264">
        <f t="shared" si="9"/>
        <v>0</v>
      </c>
      <c r="U20" s="264">
        <f t="shared" si="10"/>
        <v>0</v>
      </c>
      <c r="V20" s="264">
        <f t="shared" si="11"/>
        <v>0</v>
      </c>
      <c r="W20" s="264">
        <f t="shared" si="12"/>
        <v>0</v>
      </c>
      <c r="X20" s="264">
        <f t="shared" si="13"/>
        <v>0</v>
      </c>
      <c r="Y20" s="264">
        <f t="shared" si="14"/>
        <v>0</v>
      </c>
      <c r="Z20" s="264">
        <f t="shared" si="15"/>
        <v>0</v>
      </c>
      <c r="AA20" s="264">
        <f t="shared" si="16"/>
        <v>0</v>
      </c>
      <c r="AB20" s="264">
        <f t="shared" si="63"/>
        <v>0</v>
      </c>
      <c r="AC20" s="264">
        <f t="shared" si="64"/>
        <v>0</v>
      </c>
      <c r="AD20" s="264">
        <f t="shared" si="17"/>
        <v>0</v>
      </c>
      <c r="AE20" s="264">
        <f t="shared" si="18"/>
        <v>0</v>
      </c>
      <c r="AF20" s="264">
        <f t="shared" si="19"/>
        <v>0</v>
      </c>
      <c r="AG20" s="264">
        <f t="shared" si="20"/>
        <v>0</v>
      </c>
      <c r="AH20" s="264">
        <f t="shared" si="65"/>
        <v>0</v>
      </c>
      <c r="AI20" s="264">
        <f t="shared" si="66"/>
        <v>0</v>
      </c>
      <c r="AJ20" s="264">
        <f t="shared" si="67"/>
        <v>0</v>
      </c>
      <c r="AK20" s="264">
        <f t="shared" si="68"/>
        <v>0</v>
      </c>
      <c r="AL20" s="264">
        <f t="shared" si="69"/>
        <v>0</v>
      </c>
      <c r="AM20" s="264">
        <f t="shared" si="70"/>
        <v>0</v>
      </c>
      <c r="AN20" s="264">
        <f t="shared" si="71"/>
        <v>0</v>
      </c>
      <c r="AO20" s="264">
        <f t="shared" si="72"/>
        <v>0</v>
      </c>
      <c r="AP20" s="264">
        <f t="shared" si="21"/>
        <v>0</v>
      </c>
      <c r="AQ20" s="264">
        <f t="shared" si="22"/>
        <v>0</v>
      </c>
      <c r="AR20" s="264">
        <f t="shared" si="23"/>
        <v>0</v>
      </c>
      <c r="AS20" s="264">
        <f t="shared" si="24"/>
        <v>0</v>
      </c>
      <c r="AT20" s="264">
        <f t="shared" si="73"/>
        <v>0</v>
      </c>
      <c r="AU20" s="264">
        <f t="shared" si="74"/>
        <v>0</v>
      </c>
      <c r="AV20" s="264">
        <f t="shared" si="25"/>
        <v>0</v>
      </c>
      <c r="AW20" s="264">
        <f t="shared" si="26"/>
        <v>0</v>
      </c>
      <c r="AX20" s="264">
        <f t="shared" si="27"/>
        <v>0</v>
      </c>
      <c r="AY20" s="264">
        <f t="shared" si="28"/>
        <v>0</v>
      </c>
      <c r="AZ20" s="264">
        <f t="shared" si="29"/>
        <v>0</v>
      </c>
      <c r="BA20" s="264">
        <f t="shared" si="30"/>
        <v>0</v>
      </c>
      <c r="BB20" s="264">
        <f t="shared" si="31"/>
        <v>0</v>
      </c>
      <c r="BC20" s="264">
        <f t="shared" si="32"/>
        <v>0</v>
      </c>
      <c r="BD20" s="264">
        <f t="shared" si="33"/>
        <v>0</v>
      </c>
      <c r="BE20" s="264">
        <f t="shared" si="34"/>
        <v>0</v>
      </c>
      <c r="BF20" s="264">
        <f t="shared" si="35"/>
        <v>0</v>
      </c>
      <c r="BG20" s="264">
        <f t="shared" si="36"/>
        <v>0</v>
      </c>
      <c r="BH20" s="264">
        <f t="shared" si="75"/>
        <v>0</v>
      </c>
      <c r="BI20" s="264">
        <f t="shared" si="76"/>
        <v>0</v>
      </c>
      <c r="BJ20" s="264">
        <f t="shared" si="37"/>
        <v>0</v>
      </c>
      <c r="BK20" s="264">
        <f t="shared" si="38"/>
        <v>0</v>
      </c>
      <c r="BL20" s="264">
        <f t="shared" si="39"/>
        <v>0</v>
      </c>
      <c r="BM20" s="264">
        <f t="shared" si="40"/>
        <v>0</v>
      </c>
      <c r="BN20" s="264">
        <f t="shared" si="41"/>
        <v>0</v>
      </c>
      <c r="BO20" s="264">
        <f t="shared" si="42"/>
        <v>0</v>
      </c>
      <c r="BP20" s="264">
        <f t="shared" si="77"/>
        <v>0</v>
      </c>
      <c r="BQ20" s="264">
        <f t="shared" si="78"/>
        <v>0</v>
      </c>
      <c r="BR20" s="264">
        <f t="shared" si="43"/>
        <v>0</v>
      </c>
      <c r="BS20" s="264">
        <f t="shared" si="44"/>
        <v>0</v>
      </c>
      <c r="BT20" s="264">
        <f t="shared" si="79"/>
        <v>0</v>
      </c>
      <c r="BU20" s="264">
        <f t="shared" si="80"/>
        <v>0</v>
      </c>
      <c r="BV20" s="264">
        <f t="shared" si="81"/>
        <v>0</v>
      </c>
      <c r="BW20" s="264">
        <f t="shared" si="82"/>
        <v>0</v>
      </c>
      <c r="BX20" s="264">
        <f t="shared" si="45"/>
        <v>0</v>
      </c>
      <c r="BY20" s="264">
        <f t="shared" si="46"/>
        <v>0</v>
      </c>
      <c r="BZ20" s="264">
        <f t="shared" si="47"/>
        <v>0</v>
      </c>
      <c r="CA20" s="264">
        <f t="shared" si="48"/>
        <v>0</v>
      </c>
      <c r="CB20" s="264">
        <f t="shared" si="49"/>
        <v>0</v>
      </c>
      <c r="CC20" s="264">
        <f t="shared" si="50"/>
        <v>0</v>
      </c>
      <c r="CD20" s="264">
        <f t="shared" si="83"/>
        <v>0</v>
      </c>
      <c r="CE20" s="264">
        <f t="shared" si="84"/>
        <v>0</v>
      </c>
      <c r="CF20" s="264">
        <f t="shared" si="85"/>
        <v>0</v>
      </c>
      <c r="CG20" s="264">
        <f t="shared" si="86"/>
        <v>0</v>
      </c>
      <c r="CH20" s="264">
        <f t="shared" si="51"/>
        <v>0</v>
      </c>
      <c r="CI20" s="264">
        <f t="shared" si="52"/>
        <v>0</v>
      </c>
      <c r="CJ20" s="264">
        <f t="shared" si="87"/>
        <v>0</v>
      </c>
      <c r="CK20" s="264">
        <f t="shared" si="88"/>
        <v>0</v>
      </c>
      <c r="CL20" s="264">
        <f t="shared" si="53"/>
        <v>0</v>
      </c>
      <c r="CM20" s="264">
        <f t="shared" si="54"/>
        <v>0</v>
      </c>
      <c r="CN20" s="264">
        <f t="shared" si="55"/>
        <v>0</v>
      </c>
      <c r="CO20" s="264">
        <f t="shared" si="56"/>
        <v>0</v>
      </c>
      <c r="CP20" s="264">
        <f t="shared" si="89"/>
        <v>0</v>
      </c>
      <c r="CQ20" s="264">
        <f t="shared" si="90"/>
        <v>0</v>
      </c>
      <c r="CR20" s="264">
        <f t="shared" si="91"/>
        <v>0</v>
      </c>
      <c r="CS20" s="264">
        <f t="shared" si="92"/>
        <v>0</v>
      </c>
      <c r="CT20" s="264">
        <f t="shared" si="57"/>
        <v>0</v>
      </c>
      <c r="CU20" s="264">
        <f t="shared" si="58"/>
        <v>0</v>
      </c>
      <c r="CV20" s="264">
        <f t="shared" si="59"/>
        <v>0</v>
      </c>
      <c r="CW20" s="264">
        <f t="shared" si="60"/>
        <v>0</v>
      </c>
      <c r="CX20" s="264">
        <f t="shared" si="93"/>
        <v>0</v>
      </c>
      <c r="CY20" s="264">
        <f t="shared" si="94"/>
        <v>0</v>
      </c>
      <c r="CZ20" s="264">
        <f t="shared" si="95"/>
        <v>0</v>
      </c>
      <c r="DA20" s="264">
        <f t="shared" si="96"/>
        <v>0</v>
      </c>
    </row>
    <row r="21" spans="1:105" s="261" customFormat="1" ht="15" customHeight="1">
      <c r="A21" s="63" t="str">
        <f t="array" ref="A21">IF(C21&lt;&gt;0,SUM(($C$11:C21&lt;&gt;0)*1),"")</f>
        <v/>
      </c>
      <c r="B21" s="262"/>
      <c r="C21" s="262"/>
      <c r="D21" s="262"/>
      <c r="E21" s="344"/>
      <c r="F21" s="311"/>
      <c r="G21" s="313"/>
      <c r="H21" s="313"/>
      <c r="I21" s="63" t="str">
        <f t="shared" si="0"/>
        <v/>
      </c>
      <c r="J21" s="264">
        <f t="shared" si="61"/>
        <v>0</v>
      </c>
      <c r="K21" s="264">
        <f t="shared" si="62"/>
        <v>0</v>
      </c>
      <c r="L21" s="264">
        <f t="shared" si="1"/>
        <v>0</v>
      </c>
      <c r="M21" s="264">
        <f t="shared" si="2"/>
        <v>0</v>
      </c>
      <c r="N21" s="264">
        <f t="shared" si="3"/>
        <v>0</v>
      </c>
      <c r="O21" s="264">
        <f t="shared" si="4"/>
        <v>0</v>
      </c>
      <c r="P21" s="264">
        <f t="shared" si="5"/>
        <v>0</v>
      </c>
      <c r="Q21" s="264">
        <f t="shared" si="6"/>
        <v>0</v>
      </c>
      <c r="R21" s="264">
        <f t="shared" si="7"/>
        <v>0</v>
      </c>
      <c r="S21" s="264">
        <f t="shared" si="8"/>
        <v>0</v>
      </c>
      <c r="T21" s="264">
        <f t="shared" si="9"/>
        <v>0</v>
      </c>
      <c r="U21" s="264">
        <f t="shared" si="10"/>
        <v>0</v>
      </c>
      <c r="V21" s="264">
        <f t="shared" si="11"/>
        <v>0</v>
      </c>
      <c r="W21" s="264">
        <f t="shared" si="12"/>
        <v>0</v>
      </c>
      <c r="X21" s="264">
        <f t="shared" si="13"/>
        <v>0</v>
      </c>
      <c r="Y21" s="264">
        <f t="shared" si="14"/>
        <v>0</v>
      </c>
      <c r="Z21" s="264">
        <f t="shared" si="15"/>
        <v>0</v>
      </c>
      <c r="AA21" s="264">
        <f t="shared" si="16"/>
        <v>0</v>
      </c>
      <c r="AB21" s="264">
        <f t="shared" si="63"/>
        <v>0</v>
      </c>
      <c r="AC21" s="264">
        <f t="shared" si="64"/>
        <v>0</v>
      </c>
      <c r="AD21" s="264">
        <f t="shared" si="17"/>
        <v>0</v>
      </c>
      <c r="AE21" s="264">
        <f t="shared" si="18"/>
        <v>0</v>
      </c>
      <c r="AF21" s="264">
        <f t="shared" si="19"/>
        <v>0</v>
      </c>
      <c r="AG21" s="264">
        <f t="shared" si="20"/>
        <v>0</v>
      </c>
      <c r="AH21" s="264">
        <f t="shared" si="65"/>
        <v>0</v>
      </c>
      <c r="AI21" s="264">
        <f t="shared" si="66"/>
        <v>0</v>
      </c>
      <c r="AJ21" s="264">
        <f t="shared" si="67"/>
        <v>0</v>
      </c>
      <c r="AK21" s="264">
        <f t="shared" si="68"/>
        <v>0</v>
      </c>
      <c r="AL21" s="264">
        <f t="shared" si="69"/>
        <v>0</v>
      </c>
      <c r="AM21" s="264">
        <f t="shared" si="70"/>
        <v>0</v>
      </c>
      <c r="AN21" s="264">
        <f t="shared" si="71"/>
        <v>0</v>
      </c>
      <c r="AO21" s="264">
        <f t="shared" si="72"/>
        <v>0</v>
      </c>
      <c r="AP21" s="264">
        <f t="shared" si="21"/>
        <v>0</v>
      </c>
      <c r="AQ21" s="264">
        <f t="shared" si="22"/>
        <v>0</v>
      </c>
      <c r="AR21" s="264">
        <f t="shared" si="23"/>
        <v>0</v>
      </c>
      <c r="AS21" s="264">
        <f t="shared" si="24"/>
        <v>0</v>
      </c>
      <c r="AT21" s="264">
        <f t="shared" si="73"/>
        <v>0</v>
      </c>
      <c r="AU21" s="264">
        <f t="shared" si="74"/>
        <v>0</v>
      </c>
      <c r="AV21" s="264">
        <f t="shared" si="25"/>
        <v>0</v>
      </c>
      <c r="AW21" s="264">
        <f t="shared" si="26"/>
        <v>0</v>
      </c>
      <c r="AX21" s="264">
        <f t="shared" si="27"/>
        <v>0</v>
      </c>
      <c r="AY21" s="264">
        <f t="shared" si="28"/>
        <v>0</v>
      </c>
      <c r="AZ21" s="264">
        <f t="shared" si="29"/>
        <v>0</v>
      </c>
      <c r="BA21" s="264">
        <f t="shared" si="30"/>
        <v>0</v>
      </c>
      <c r="BB21" s="264">
        <f t="shared" si="31"/>
        <v>0</v>
      </c>
      <c r="BC21" s="264">
        <f t="shared" si="32"/>
        <v>0</v>
      </c>
      <c r="BD21" s="264">
        <f t="shared" si="33"/>
        <v>0</v>
      </c>
      <c r="BE21" s="264">
        <f t="shared" si="34"/>
        <v>0</v>
      </c>
      <c r="BF21" s="264">
        <f t="shared" si="35"/>
        <v>0</v>
      </c>
      <c r="BG21" s="264">
        <f t="shared" si="36"/>
        <v>0</v>
      </c>
      <c r="BH21" s="264">
        <f t="shared" si="75"/>
        <v>0</v>
      </c>
      <c r="BI21" s="264">
        <f t="shared" si="76"/>
        <v>0</v>
      </c>
      <c r="BJ21" s="264">
        <f t="shared" si="37"/>
        <v>0</v>
      </c>
      <c r="BK21" s="264">
        <f t="shared" si="38"/>
        <v>0</v>
      </c>
      <c r="BL21" s="264">
        <f t="shared" si="39"/>
        <v>0</v>
      </c>
      <c r="BM21" s="264">
        <f t="shared" si="40"/>
        <v>0</v>
      </c>
      <c r="BN21" s="264">
        <f t="shared" si="41"/>
        <v>0</v>
      </c>
      <c r="BO21" s="264">
        <f t="shared" si="42"/>
        <v>0</v>
      </c>
      <c r="BP21" s="264">
        <f t="shared" si="77"/>
        <v>0</v>
      </c>
      <c r="BQ21" s="264">
        <f t="shared" si="78"/>
        <v>0</v>
      </c>
      <c r="BR21" s="264">
        <f t="shared" si="43"/>
        <v>0</v>
      </c>
      <c r="BS21" s="264">
        <f t="shared" si="44"/>
        <v>0</v>
      </c>
      <c r="BT21" s="264">
        <f t="shared" si="79"/>
        <v>0</v>
      </c>
      <c r="BU21" s="264">
        <f t="shared" si="80"/>
        <v>0</v>
      </c>
      <c r="BV21" s="264">
        <f t="shared" si="81"/>
        <v>0</v>
      </c>
      <c r="BW21" s="264">
        <f t="shared" si="82"/>
        <v>0</v>
      </c>
      <c r="BX21" s="264">
        <f t="shared" si="45"/>
        <v>0</v>
      </c>
      <c r="BY21" s="264">
        <f t="shared" si="46"/>
        <v>0</v>
      </c>
      <c r="BZ21" s="264">
        <f t="shared" si="47"/>
        <v>0</v>
      </c>
      <c r="CA21" s="264">
        <f t="shared" si="48"/>
        <v>0</v>
      </c>
      <c r="CB21" s="264">
        <f t="shared" si="49"/>
        <v>0</v>
      </c>
      <c r="CC21" s="264">
        <f t="shared" si="50"/>
        <v>0</v>
      </c>
      <c r="CD21" s="264">
        <f t="shared" si="83"/>
        <v>0</v>
      </c>
      <c r="CE21" s="264">
        <f t="shared" si="84"/>
        <v>0</v>
      </c>
      <c r="CF21" s="264">
        <f t="shared" si="85"/>
        <v>0</v>
      </c>
      <c r="CG21" s="264">
        <f t="shared" si="86"/>
        <v>0</v>
      </c>
      <c r="CH21" s="264">
        <f t="shared" si="51"/>
        <v>0</v>
      </c>
      <c r="CI21" s="264">
        <f t="shared" si="52"/>
        <v>0</v>
      </c>
      <c r="CJ21" s="264">
        <f t="shared" si="87"/>
        <v>0</v>
      </c>
      <c r="CK21" s="264">
        <f t="shared" si="88"/>
        <v>0</v>
      </c>
      <c r="CL21" s="264">
        <f t="shared" si="53"/>
        <v>0</v>
      </c>
      <c r="CM21" s="264">
        <f t="shared" si="54"/>
        <v>0</v>
      </c>
      <c r="CN21" s="264">
        <f t="shared" si="55"/>
        <v>0</v>
      </c>
      <c r="CO21" s="264">
        <f t="shared" si="56"/>
        <v>0</v>
      </c>
      <c r="CP21" s="264">
        <f t="shared" si="89"/>
        <v>0</v>
      </c>
      <c r="CQ21" s="264">
        <f t="shared" si="90"/>
        <v>0</v>
      </c>
      <c r="CR21" s="264">
        <f t="shared" si="91"/>
        <v>0</v>
      </c>
      <c r="CS21" s="264">
        <f t="shared" si="92"/>
        <v>0</v>
      </c>
      <c r="CT21" s="264">
        <f t="shared" si="57"/>
        <v>0</v>
      </c>
      <c r="CU21" s="264">
        <f t="shared" si="58"/>
        <v>0</v>
      </c>
      <c r="CV21" s="264">
        <f t="shared" si="59"/>
        <v>0</v>
      </c>
      <c r="CW21" s="264">
        <f t="shared" si="60"/>
        <v>0</v>
      </c>
      <c r="CX21" s="264">
        <f t="shared" si="93"/>
        <v>0</v>
      </c>
      <c r="CY21" s="264">
        <f t="shared" si="94"/>
        <v>0</v>
      </c>
      <c r="CZ21" s="264">
        <f t="shared" si="95"/>
        <v>0</v>
      </c>
      <c r="DA21" s="264">
        <f t="shared" si="96"/>
        <v>0</v>
      </c>
    </row>
    <row r="22" spans="1:105" s="261" customFormat="1" ht="15" customHeight="1">
      <c r="A22" s="63" t="str">
        <f t="array" ref="A22">IF(C22&lt;&gt;0,SUM(($C$11:C22&lt;&gt;0)*1),"")</f>
        <v/>
      </c>
      <c r="B22" s="262"/>
      <c r="C22" s="262"/>
      <c r="D22" s="262"/>
      <c r="E22" s="344"/>
      <c r="F22" s="311"/>
      <c r="G22" s="313"/>
      <c r="H22" s="313"/>
      <c r="I22" s="63" t="str">
        <f t="shared" ref="I22:I50" si="97">A22</f>
        <v/>
      </c>
      <c r="J22" s="264">
        <f t="shared" si="61"/>
        <v>0</v>
      </c>
      <c r="K22" s="264">
        <f t="shared" si="62"/>
        <v>0</v>
      </c>
      <c r="L22" s="264">
        <f t="shared" si="1"/>
        <v>0</v>
      </c>
      <c r="M22" s="264">
        <f t="shared" si="2"/>
        <v>0</v>
      </c>
      <c r="N22" s="264">
        <f t="shared" si="3"/>
        <v>0</v>
      </c>
      <c r="O22" s="264">
        <f t="shared" si="4"/>
        <v>0</v>
      </c>
      <c r="P22" s="264">
        <f t="shared" si="5"/>
        <v>0</v>
      </c>
      <c r="Q22" s="264">
        <f t="shared" si="6"/>
        <v>0</v>
      </c>
      <c r="R22" s="264">
        <f t="shared" si="7"/>
        <v>0</v>
      </c>
      <c r="S22" s="264">
        <f t="shared" si="8"/>
        <v>0</v>
      </c>
      <c r="T22" s="264">
        <f t="shared" si="9"/>
        <v>0</v>
      </c>
      <c r="U22" s="264">
        <f t="shared" si="10"/>
        <v>0</v>
      </c>
      <c r="V22" s="264">
        <f t="shared" si="11"/>
        <v>0</v>
      </c>
      <c r="W22" s="264">
        <f t="shared" si="12"/>
        <v>0</v>
      </c>
      <c r="X22" s="264">
        <f t="shared" si="13"/>
        <v>0</v>
      </c>
      <c r="Y22" s="264">
        <f t="shared" si="14"/>
        <v>0</v>
      </c>
      <c r="Z22" s="264">
        <f t="shared" si="15"/>
        <v>0</v>
      </c>
      <c r="AA22" s="264">
        <f t="shared" si="16"/>
        <v>0</v>
      </c>
      <c r="AB22" s="264">
        <f t="shared" si="63"/>
        <v>0</v>
      </c>
      <c r="AC22" s="264">
        <f t="shared" si="64"/>
        <v>0</v>
      </c>
      <c r="AD22" s="264">
        <f t="shared" si="17"/>
        <v>0</v>
      </c>
      <c r="AE22" s="264">
        <f t="shared" si="18"/>
        <v>0</v>
      </c>
      <c r="AF22" s="264">
        <f t="shared" si="19"/>
        <v>0</v>
      </c>
      <c r="AG22" s="264">
        <f t="shared" si="20"/>
        <v>0</v>
      </c>
      <c r="AH22" s="264">
        <f t="shared" si="65"/>
        <v>0</v>
      </c>
      <c r="AI22" s="264">
        <f t="shared" si="66"/>
        <v>0</v>
      </c>
      <c r="AJ22" s="264">
        <f t="shared" si="67"/>
        <v>0</v>
      </c>
      <c r="AK22" s="264">
        <f t="shared" si="68"/>
        <v>0</v>
      </c>
      <c r="AL22" s="264">
        <f t="shared" si="69"/>
        <v>0</v>
      </c>
      <c r="AM22" s="264">
        <f t="shared" si="70"/>
        <v>0</v>
      </c>
      <c r="AN22" s="264">
        <f t="shared" si="71"/>
        <v>0</v>
      </c>
      <c r="AO22" s="264">
        <f t="shared" si="72"/>
        <v>0</v>
      </c>
      <c r="AP22" s="264">
        <f t="shared" si="21"/>
        <v>0</v>
      </c>
      <c r="AQ22" s="264">
        <f t="shared" si="22"/>
        <v>0</v>
      </c>
      <c r="AR22" s="264">
        <f t="shared" si="23"/>
        <v>0</v>
      </c>
      <c r="AS22" s="264">
        <f t="shared" si="24"/>
        <v>0</v>
      </c>
      <c r="AT22" s="264">
        <f t="shared" si="73"/>
        <v>0</v>
      </c>
      <c r="AU22" s="264">
        <f t="shared" si="74"/>
        <v>0</v>
      </c>
      <c r="AV22" s="264">
        <f t="shared" si="25"/>
        <v>0</v>
      </c>
      <c r="AW22" s="264">
        <f t="shared" si="26"/>
        <v>0</v>
      </c>
      <c r="AX22" s="264">
        <f t="shared" si="27"/>
        <v>0</v>
      </c>
      <c r="AY22" s="264">
        <f t="shared" si="28"/>
        <v>0</v>
      </c>
      <c r="AZ22" s="264">
        <f t="shared" si="29"/>
        <v>0</v>
      </c>
      <c r="BA22" s="264">
        <f t="shared" si="30"/>
        <v>0</v>
      </c>
      <c r="BB22" s="264">
        <f t="shared" si="31"/>
        <v>0</v>
      </c>
      <c r="BC22" s="264">
        <f t="shared" si="32"/>
        <v>0</v>
      </c>
      <c r="BD22" s="264">
        <f t="shared" si="33"/>
        <v>0</v>
      </c>
      <c r="BE22" s="264">
        <f t="shared" si="34"/>
        <v>0</v>
      </c>
      <c r="BF22" s="264">
        <f t="shared" si="35"/>
        <v>0</v>
      </c>
      <c r="BG22" s="264">
        <f t="shared" si="36"/>
        <v>0</v>
      </c>
      <c r="BH22" s="264">
        <f t="shared" si="75"/>
        <v>0</v>
      </c>
      <c r="BI22" s="264">
        <f t="shared" si="76"/>
        <v>0</v>
      </c>
      <c r="BJ22" s="264">
        <f t="shared" si="37"/>
        <v>0</v>
      </c>
      <c r="BK22" s="264">
        <f t="shared" si="38"/>
        <v>0</v>
      </c>
      <c r="BL22" s="264">
        <f t="shared" si="39"/>
        <v>0</v>
      </c>
      <c r="BM22" s="264">
        <f t="shared" si="40"/>
        <v>0</v>
      </c>
      <c r="BN22" s="264">
        <f t="shared" si="41"/>
        <v>0</v>
      </c>
      <c r="BO22" s="264">
        <f t="shared" si="42"/>
        <v>0</v>
      </c>
      <c r="BP22" s="264">
        <f t="shared" si="77"/>
        <v>0</v>
      </c>
      <c r="BQ22" s="264">
        <f t="shared" si="78"/>
        <v>0</v>
      </c>
      <c r="BR22" s="264">
        <f t="shared" si="43"/>
        <v>0</v>
      </c>
      <c r="BS22" s="264">
        <f t="shared" si="44"/>
        <v>0</v>
      </c>
      <c r="BT22" s="264">
        <f t="shared" si="79"/>
        <v>0</v>
      </c>
      <c r="BU22" s="264">
        <f t="shared" si="80"/>
        <v>0</v>
      </c>
      <c r="BV22" s="264">
        <f t="shared" si="81"/>
        <v>0</v>
      </c>
      <c r="BW22" s="264">
        <f t="shared" si="82"/>
        <v>0</v>
      </c>
      <c r="BX22" s="264">
        <f t="shared" si="45"/>
        <v>0</v>
      </c>
      <c r="BY22" s="264">
        <f t="shared" si="46"/>
        <v>0</v>
      </c>
      <c r="BZ22" s="264">
        <f t="shared" si="47"/>
        <v>0</v>
      </c>
      <c r="CA22" s="264">
        <f t="shared" si="48"/>
        <v>0</v>
      </c>
      <c r="CB22" s="264">
        <f t="shared" si="49"/>
        <v>0</v>
      </c>
      <c r="CC22" s="264">
        <f t="shared" si="50"/>
        <v>0</v>
      </c>
      <c r="CD22" s="264">
        <f t="shared" si="83"/>
        <v>0</v>
      </c>
      <c r="CE22" s="264">
        <f t="shared" si="84"/>
        <v>0</v>
      </c>
      <c r="CF22" s="264">
        <f t="shared" si="85"/>
        <v>0</v>
      </c>
      <c r="CG22" s="264">
        <f t="shared" si="86"/>
        <v>0</v>
      </c>
      <c r="CH22" s="264">
        <f t="shared" si="51"/>
        <v>0</v>
      </c>
      <c r="CI22" s="264">
        <f t="shared" si="52"/>
        <v>0</v>
      </c>
      <c r="CJ22" s="264">
        <f t="shared" si="87"/>
        <v>0</v>
      </c>
      <c r="CK22" s="264">
        <f t="shared" si="88"/>
        <v>0</v>
      </c>
      <c r="CL22" s="264">
        <f t="shared" si="53"/>
        <v>0</v>
      </c>
      <c r="CM22" s="264">
        <f t="shared" si="54"/>
        <v>0</v>
      </c>
      <c r="CN22" s="264">
        <f t="shared" si="55"/>
        <v>0</v>
      </c>
      <c r="CO22" s="264">
        <f t="shared" si="56"/>
        <v>0</v>
      </c>
      <c r="CP22" s="264">
        <f t="shared" si="89"/>
        <v>0</v>
      </c>
      <c r="CQ22" s="264">
        <f t="shared" si="90"/>
        <v>0</v>
      </c>
      <c r="CR22" s="264">
        <f t="shared" si="91"/>
        <v>0</v>
      </c>
      <c r="CS22" s="264">
        <f t="shared" si="92"/>
        <v>0</v>
      </c>
      <c r="CT22" s="264">
        <f t="shared" si="57"/>
        <v>0</v>
      </c>
      <c r="CU22" s="264">
        <f t="shared" si="58"/>
        <v>0</v>
      </c>
      <c r="CV22" s="264">
        <f t="shared" si="59"/>
        <v>0</v>
      </c>
      <c r="CW22" s="264">
        <f t="shared" si="60"/>
        <v>0</v>
      </c>
      <c r="CX22" s="264">
        <f t="shared" si="93"/>
        <v>0</v>
      </c>
      <c r="CY22" s="264">
        <f t="shared" si="94"/>
        <v>0</v>
      </c>
      <c r="CZ22" s="264">
        <f t="shared" si="95"/>
        <v>0</v>
      </c>
      <c r="DA22" s="264">
        <f t="shared" si="96"/>
        <v>0</v>
      </c>
    </row>
    <row r="23" spans="1:105" s="261" customFormat="1" ht="15" customHeight="1">
      <c r="A23" s="63" t="str">
        <f t="array" ref="A23">IF(C23&lt;&gt;0,SUM(($C$11:C23&lt;&gt;0)*1),"")</f>
        <v/>
      </c>
      <c r="B23" s="262"/>
      <c r="C23" s="262"/>
      <c r="D23" s="262"/>
      <c r="E23" s="344"/>
      <c r="F23" s="311"/>
      <c r="G23" s="313"/>
      <c r="H23" s="313"/>
      <c r="I23" s="63" t="str">
        <f t="shared" si="97"/>
        <v/>
      </c>
      <c r="J23" s="264">
        <f t="shared" si="61"/>
        <v>0</v>
      </c>
      <c r="K23" s="264">
        <f t="shared" si="62"/>
        <v>0</v>
      </c>
      <c r="L23" s="264">
        <f t="shared" si="1"/>
        <v>0</v>
      </c>
      <c r="M23" s="264">
        <f t="shared" si="2"/>
        <v>0</v>
      </c>
      <c r="N23" s="264">
        <f t="shared" si="3"/>
        <v>0</v>
      </c>
      <c r="O23" s="264">
        <f t="shared" si="4"/>
        <v>0</v>
      </c>
      <c r="P23" s="264">
        <f t="shared" si="5"/>
        <v>0</v>
      </c>
      <c r="Q23" s="264">
        <f t="shared" si="6"/>
        <v>0</v>
      </c>
      <c r="R23" s="264">
        <f t="shared" si="7"/>
        <v>0</v>
      </c>
      <c r="S23" s="264">
        <f t="shared" si="8"/>
        <v>0</v>
      </c>
      <c r="T23" s="264">
        <f t="shared" si="9"/>
        <v>0</v>
      </c>
      <c r="U23" s="264">
        <f t="shared" si="10"/>
        <v>0</v>
      </c>
      <c r="V23" s="264">
        <f t="shared" si="11"/>
        <v>0</v>
      </c>
      <c r="W23" s="264">
        <f t="shared" si="12"/>
        <v>0</v>
      </c>
      <c r="X23" s="264">
        <f t="shared" si="13"/>
        <v>0</v>
      </c>
      <c r="Y23" s="264">
        <f t="shared" si="14"/>
        <v>0</v>
      </c>
      <c r="Z23" s="264">
        <f t="shared" si="15"/>
        <v>0</v>
      </c>
      <c r="AA23" s="264">
        <f t="shared" si="16"/>
        <v>0</v>
      </c>
      <c r="AB23" s="264">
        <f t="shared" si="63"/>
        <v>0</v>
      </c>
      <c r="AC23" s="264">
        <f t="shared" si="64"/>
        <v>0</v>
      </c>
      <c r="AD23" s="264">
        <f t="shared" si="17"/>
        <v>0</v>
      </c>
      <c r="AE23" s="264">
        <f t="shared" si="18"/>
        <v>0</v>
      </c>
      <c r="AF23" s="264">
        <f t="shared" si="19"/>
        <v>0</v>
      </c>
      <c r="AG23" s="264">
        <f t="shared" si="20"/>
        <v>0</v>
      </c>
      <c r="AH23" s="264">
        <f t="shared" si="65"/>
        <v>0</v>
      </c>
      <c r="AI23" s="264">
        <f t="shared" si="66"/>
        <v>0</v>
      </c>
      <c r="AJ23" s="264">
        <f t="shared" si="67"/>
        <v>0</v>
      </c>
      <c r="AK23" s="264">
        <f t="shared" si="68"/>
        <v>0</v>
      </c>
      <c r="AL23" s="264">
        <f t="shared" si="69"/>
        <v>0</v>
      </c>
      <c r="AM23" s="264">
        <f t="shared" si="70"/>
        <v>0</v>
      </c>
      <c r="AN23" s="264">
        <f t="shared" si="71"/>
        <v>0</v>
      </c>
      <c r="AO23" s="264">
        <f t="shared" si="72"/>
        <v>0</v>
      </c>
      <c r="AP23" s="264">
        <f t="shared" si="21"/>
        <v>0</v>
      </c>
      <c r="AQ23" s="264">
        <f t="shared" si="22"/>
        <v>0</v>
      </c>
      <c r="AR23" s="264">
        <f t="shared" si="23"/>
        <v>0</v>
      </c>
      <c r="AS23" s="264">
        <f t="shared" si="24"/>
        <v>0</v>
      </c>
      <c r="AT23" s="264">
        <f t="shared" si="73"/>
        <v>0</v>
      </c>
      <c r="AU23" s="264">
        <f t="shared" si="74"/>
        <v>0</v>
      </c>
      <c r="AV23" s="264">
        <f t="shared" si="25"/>
        <v>0</v>
      </c>
      <c r="AW23" s="264">
        <f t="shared" si="26"/>
        <v>0</v>
      </c>
      <c r="AX23" s="264">
        <f t="shared" si="27"/>
        <v>0</v>
      </c>
      <c r="AY23" s="264">
        <f t="shared" si="28"/>
        <v>0</v>
      </c>
      <c r="AZ23" s="264">
        <f t="shared" si="29"/>
        <v>0</v>
      </c>
      <c r="BA23" s="264">
        <f t="shared" si="30"/>
        <v>0</v>
      </c>
      <c r="BB23" s="264">
        <f t="shared" si="31"/>
        <v>0</v>
      </c>
      <c r="BC23" s="264">
        <f t="shared" si="32"/>
        <v>0</v>
      </c>
      <c r="BD23" s="264">
        <f t="shared" si="33"/>
        <v>0</v>
      </c>
      <c r="BE23" s="264">
        <f t="shared" si="34"/>
        <v>0</v>
      </c>
      <c r="BF23" s="264">
        <f t="shared" si="35"/>
        <v>0</v>
      </c>
      <c r="BG23" s="264">
        <f t="shared" si="36"/>
        <v>0</v>
      </c>
      <c r="BH23" s="264">
        <f t="shared" si="75"/>
        <v>0</v>
      </c>
      <c r="BI23" s="264">
        <f t="shared" si="76"/>
        <v>0</v>
      </c>
      <c r="BJ23" s="264">
        <f t="shared" si="37"/>
        <v>0</v>
      </c>
      <c r="BK23" s="264">
        <f t="shared" si="38"/>
        <v>0</v>
      </c>
      <c r="BL23" s="264">
        <f t="shared" si="39"/>
        <v>0</v>
      </c>
      <c r="BM23" s="264">
        <f t="shared" si="40"/>
        <v>0</v>
      </c>
      <c r="BN23" s="264">
        <f t="shared" si="41"/>
        <v>0</v>
      </c>
      <c r="BO23" s="264">
        <f t="shared" si="42"/>
        <v>0</v>
      </c>
      <c r="BP23" s="264">
        <f t="shared" si="77"/>
        <v>0</v>
      </c>
      <c r="BQ23" s="264">
        <f t="shared" si="78"/>
        <v>0</v>
      </c>
      <c r="BR23" s="264">
        <f t="shared" si="43"/>
        <v>0</v>
      </c>
      <c r="BS23" s="264">
        <f t="shared" si="44"/>
        <v>0</v>
      </c>
      <c r="BT23" s="264">
        <f t="shared" si="79"/>
        <v>0</v>
      </c>
      <c r="BU23" s="264">
        <f t="shared" si="80"/>
        <v>0</v>
      </c>
      <c r="BV23" s="264">
        <f t="shared" si="81"/>
        <v>0</v>
      </c>
      <c r="BW23" s="264">
        <f t="shared" si="82"/>
        <v>0</v>
      </c>
      <c r="BX23" s="264">
        <f t="shared" si="45"/>
        <v>0</v>
      </c>
      <c r="BY23" s="264">
        <f t="shared" si="46"/>
        <v>0</v>
      </c>
      <c r="BZ23" s="264">
        <f t="shared" si="47"/>
        <v>0</v>
      </c>
      <c r="CA23" s="264">
        <f t="shared" si="48"/>
        <v>0</v>
      </c>
      <c r="CB23" s="264">
        <f t="shared" si="49"/>
        <v>0</v>
      </c>
      <c r="CC23" s="264">
        <f t="shared" si="50"/>
        <v>0</v>
      </c>
      <c r="CD23" s="264">
        <f t="shared" si="83"/>
        <v>0</v>
      </c>
      <c r="CE23" s="264">
        <f t="shared" si="84"/>
        <v>0</v>
      </c>
      <c r="CF23" s="264">
        <f t="shared" si="85"/>
        <v>0</v>
      </c>
      <c r="CG23" s="264">
        <f t="shared" si="86"/>
        <v>0</v>
      </c>
      <c r="CH23" s="264">
        <f t="shared" si="51"/>
        <v>0</v>
      </c>
      <c r="CI23" s="264">
        <f t="shared" si="52"/>
        <v>0</v>
      </c>
      <c r="CJ23" s="264">
        <f t="shared" si="87"/>
        <v>0</v>
      </c>
      <c r="CK23" s="264">
        <f t="shared" si="88"/>
        <v>0</v>
      </c>
      <c r="CL23" s="264">
        <f t="shared" si="53"/>
        <v>0</v>
      </c>
      <c r="CM23" s="264">
        <f t="shared" si="54"/>
        <v>0</v>
      </c>
      <c r="CN23" s="264">
        <f t="shared" si="55"/>
        <v>0</v>
      </c>
      <c r="CO23" s="264">
        <f t="shared" si="56"/>
        <v>0</v>
      </c>
      <c r="CP23" s="264">
        <f t="shared" si="89"/>
        <v>0</v>
      </c>
      <c r="CQ23" s="264">
        <f t="shared" si="90"/>
        <v>0</v>
      </c>
      <c r="CR23" s="264">
        <f t="shared" si="91"/>
        <v>0</v>
      </c>
      <c r="CS23" s="264">
        <f t="shared" si="92"/>
        <v>0</v>
      </c>
      <c r="CT23" s="264">
        <f t="shared" si="57"/>
        <v>0</v>
      </c>
      <c r="CU23" s="264">
        <f t="shared" si="58"/>
        <v>0</v>
      </c>
      <c r="CV23" s="264">
        <f t="shared" si="59"/>
        <v>0</v>
      </c>
      <c r="CW23" s="264">
        <f t="shared" si="60"/>
        <v>0</v>
      </c>
      <c r="CX23" s="264">
        <f t="shared" si="93"/>
        <v>0</v>
      </c>
      <c r="CY23" s="264">
        <f t="shared" si="94"/>
        <v>0</v>
      </c>
      <c r="CZ23" s="264">
        <f t="shared" si="95"/>
        <v>0</v>
      </c>
      <c r="DA23" s="264">
        <f t="shared" si="96"/>
        <v>0</v>
      </c>
    </row>
    <row r="24" spans="1:105" s="261" customFormat="1" ht="15" customHeight="1">
      <c r="A24" s="63" t="str">
        <f t="array" ref="A24">IF(C24&lt;&gt;0,SUM(($C$11:C24&lt;&gt;0)*1),"")</f>
        <v/>
      </c>
      <c r="B24" s="262"/>
      <c r="C24" s="262"/>
      <c r="D24" s="262"/>
      <c r="E24" s="344"/>
      <c r="F24" s="311"/>
      <c r="G24" s="313"/>
      <c r="H24" s="313"/>
      <c r="I24" s="63" t="str">
        <f t="shared" si="97"/>
        <v/>
      </c>
      <c r="J24" s="264">
        <f t="shared" si="61"/>
        <v>0</v>
      </c>
      <c r="K24" s="264">
        <f t="shared" si="62"/>
        <v>0</v>
      </c>
      <c r="L24" s="264">
        <f t="shared" si="1"/>
        <v>0</v>
      </c>
      <c r="M24" s="264">
        <f t="shared" si="2"/>
        <v>0</v>
      </c>
      <c r="N24" s="264">
        <f t="shared" si="3"/>
        <v>0</v>
      </c>
      <c r="O24" s="264">
        <f t="shared" si="4"/>
        <v>0</v>
      </c>
      <c r="P24" s="264">
        <f t="shared" si="5"/>
        <v>0</v>
      </c>
      <c r="Q24" s="264">
        <f t="shared" si="6"/>
        <v>0</v>
      </c>
      <c r="R24" s="264">
        <f t="shared" si="7"/>
        <v>0</v>
      </c>
      <c r="S24" s="264">
        <f t="shared" si="8"/>
        <v>0</v>
      </c>
      <c r="T24" s="264">
        <f t="shared" si="9"/>
        <v>0</v>
      </c>
      <c r="U24" s="264">
        <f t="shared" si="10"/>
        <v>0</v>
      </c>
      <c r="V24" s="264">
        <f t="shared" si="11"/>
        <v>0</v>
      </c>
      <c r="W24" s="264">
        <f t="shared" si="12"/>
        <v>0</v>
      </c>
      <c r="X24" s="264">
        <f t="shared" si="13"/>
        <v>0</v>
      </c>
      <c r="Y24" s="264">
        <f t="shared" si="14"/>
        <v>0</v>
      </c>
      <c r="Z24" s="264">
        <f t="shared" si="15"/>
        <v>0</v>
      </c>
      <c r="AA24" s="264">
        <f t="shared" si="16"/>
        <v>0</v>
      </c>
      <c r="AB24" s="264">
        <f t="shared" si="63"/>
        <v>0</v>
      </c>
      <c r="AC24" s="264">
        <f t="shared" si="64"/>
        <v>0</v>
      </c>
      <c r="AD24" s="264">
        <f t="shared" si="17"/>
        <v>0</v>
      </c>
      <c r="AE24" s="264">
        <f t="shared" si="18"/>
        <v>0</v>
      </c>
      <c r="AF24" s="264">
        <f t="shared" si="19"/>
        <v>0</v>
      </c>
      <c r="AG24" s="264">
        <f t="shared" si="20"/>
        <v>0</v>
      </c>
      <c r="AH24" s="264">
        <f t="shared" si="65"/>
        <v>0</v>
      </c>
      <c r="AI24" s="264">
        <f t="shared" si="66"/>
        <v>0</v>
      </c>
      <c r="AJ24" s="264">
        <f t="shared" si="67"/>
        <v>0</v>
      </c>
      <c r="AK24" s="264">
        <f t="shared" si="68"/>
        <v>0</v>
      </c>
      <c r="AL24" s="264">
        <f t="shared" si="69"/>
        <v>0</v>
      </c>
      <c r="AM24" s="264">
        <f t="shared" si="70"/>
        <v>0</v>
      </c>
      <c r="AN24" s="264">
        <f t="shared" si="71"/>
        <v>0</v>
      </c>
      <c r="AO24" s="264">
        <f t="shared" si="72"/>
        <v>0</v>
      </c>
      <c r="AP24" s="264">
        <f t="shared" si="21"/>
        <v>0</v>
      </c>
      <c r="AQ24" s="264">
        <f t="shared" si="22"/>
        <v>0</v>
      </c>
      <c r="AR24" s="264">
        <f t="shared" si="23"/>
        <v>0</v>
      </c>
      <c r="AS24" s="264">
        <f t="shared" si="24"/>
        <v>0</v>
      </c>
      <c r="AT24" s="264">
        <f t="shared" si="73"/>
        <v>0</v>
      </c>
      <c r="AU24" s="264">
        <f t="shared" si="74"/>
        <v>0</v>
      </c>
      <c r="AV24" s="264">
        <f t="shared" si="25"/>
        <v>0</v>
      </c>
      <c r="AW24" s="264">
        <f t="shared" si="26"/>
        <v>0</v>
      </c>
      <c r="AX24" s="264">
        <f t="shared" si="27"/>
        <v>0</v>
      </c>
      <c r="AY24" s="264">
        <f t="shared" si="28"/>
        <v>0</v>
      </c>
      <c r="AZ24" s="264">
        <f t="shared" si="29"/>
        <v>0</v>
      </c>
      <c r="BA24" s="264">
        <f t="shared" si="30"/>
        <v>0</v>
      </c>
      <c r="BB24" s="264">
        <f t="shared" si="31"/>
        <v>0</v>
      </c>
      <c r="BC24" s="264">
        <f t="shared" si="32"/>
        <v>0</v>
      </c>
      <c r="BD24" s="264">
        <f t="shared" si="33"/>
        <v>0</v>
      </c>
      <c r="BE24" s="264">
        <f t="shared" si="34"/>
        <v>0</v>
      </c>
      <c r="BF24" s="264">
        <f t="shared" si="35"/>
        <v>0</v>
      </c>
      <c r="BG24" s="264">
        <f t="shared" si="36"/>
        <v>0</v>
      </c>
      <c r="BH24" s="264">
        <f t="shared" si="75"/>
        <v>0</v>
      </c>
      <c r="BI24" s="264">
        <f t="shared" si="76"/>
        <v>0</v>
      </c>
      <c r="BJ24" s="264">
        <f t="shared" si="37"/>
        <v>0</v>
      </c>
      <c r="BK24" s="264">
        <f t="shared" si="38"/>
        <v>0</v>
      </c>
      <c r="BL24" s="264">
        <f t="shared" si="39"/>
        <v>0</v>
      </c>
      <c r="BM24" s="264">
        <f t="shared" si="40"/>
        <v>0</v>
      </c>
      <c r="BN24" s="264">
        <f t="shared" si="41"/>
        <v>0</v>
      </c>
      <c r="BO24" s="264">
        <f t="shared" si="42"/>
        <v>0</v>
      </c>
      <c r="BP24" s="264">
        <f t="shared" si="77"/>
        <v>0</v>
      </c>
      <c r="BQ24" s="264">
        <f t="shared" si="78"/>
        <v>0</v>
      </c>
      <c r="BR24" s="264">
        <f t="shared" si="43"/>
        <v>0</v>
      </c>
      <c r="BS24" s="264">
        <f t="shared" si="44"/>
        <v>0</v>
      </c>
      <c r="BT24" s="264">
        <f t="shared" si="79"/>
        <v>0</v>
      </c>
      <c r="BU24" s="264">
        <f t="shared" si="80"/>
        <v>0</v>
      </c>
      <c r="BV24" s="264">
        <f t="shared" si="81"/>
        <v>0</v>
      </c>
      <c r="BW24" s="264">
        <f t="shared" si="82"/>
        <v>0</v>
      </c>
      <c r="BX24" s="264">
        <f t="shared" si="45"/>
        <v>0</v>
      </c>
      <c r="BY24" s="264">
        <f t="shared" si="46"/>
        <v>0</v>
      </c>
      <c r="BZ24" s="264">
        <f t="shared" si="47"/>
        <v>0</v>
      </c>
      <c r="CA24" s="264">
        <f t="shared" si="48"/>
        <v>0</v>
      </c>
      <c r="CB24" s="264">
        <f t="shared" si="49"/>
        <v>0</v>
      </c>
      <c r="CC24" s="264">
        <f t="shared" si="50"/>
        <v>0</v>
      </c>
      <c r="CD24" s="264">
        <f t="shared" si="83"/>
        <v>0</v>
      </c>
      <c r="CE24" s="264">
        <f t="shared" si="84"/>
        <v>0</v>
      </c>
      <c r="CF24" s="264">
        <f t="shared" si="85"/>
        <v>0</v>
      </c>
      <c r="CG24" s="264">
        <f t="shared" si="86"/>
        <v>0</v>
      </c>
      <c r="CH24" s="264">
        <f t="shared" si="51"/>
        <v>0</v>
      </c>
      <c r="CI24" s="264">
        <f t="shared" si="52"/>
        <v>0</v>
      </c>
      <c r="CJ24" s="264">
        <f t="shared" si="87"/>
        <v>0</v>
      </c>
      <c r="CK24" s="264">
        <f t="shared" si="88"/>
        <v>0</v>
      </c>
      <c r="CL24" s="264">
        <f t="shared" si="53"/>
        <v>0</v>
      </c>
      <c r="CM24" s="264">
        <f t="shared" si="54"/>
        <v>0</v>
      </c>
      <c r="CN24" s="264">
        <f t="shared" si="55"/>
        <v>0</v>
      </c>
      <c r="CO24" s="264">
        <f t="shared" si="56"/>
        <v>0</v>
      </c>
      <c r="CP24" s="264">
        <f t="shared" si="89"/>
        <v>0</v>
      </c>
      <c r="CQ24" s="264">
        <f t="shared" si="90"/>
        <v>0</v>
      </c>
      <c r="CR24" s="264">
        <f t="shared" si="91"/>
        <v>0</v>
      </c>
      <c r="CS24" s="264">
        <f t="shared" si="92"/>
        <v>0</v>
      </c>
      <c r="CT24" s="264">
        <f t="shared" si="57"/>
        <v>0</v>
      </c>
      <c r="CU24" s="264">
        <f t="shared" si="58"/>
        <v>0</v>
      </c>
      <c r="CV24" s="264">
        <f t="shared" si="59"/>
        <v>0</v>
      </c>
      <c r="CW24" s="264">
        <f t="shared" si="60"/>
        <v>0</v>
      </c>
      <c r="CX24" s="264">
        <f t="shared" si="93"/>
        <v>0</v>
      </c>
      <c r="CY24" s="264">
        <f t="shared" si="94"/>
        <v>0</v>
      </c>
      <c r="CZ24" s="264">
        <f t="shared" si="95"/>
        <v>0</v>
      </c>
      <c r="DA24" s="264">
        <f t="shared" si="96"/>
        <v>0</v>
      </c>
    </row>
    <row r="25" spans="1:105" s="261" customFormat="1" ht="15" customHeight="1">
      <c r="A25" s="63" t="str">
        <f t="array" ref="A25">IF(C25&lt;&gt;0,SUM(($C$11:C25&lt;&gt;0)*1),"")</f>
        <v/>
      </c>
      <c r="B25" s="262"/>
      <c r="C25" s="262"/>
      <c r="D25" s="262"/>
      <c r="E25" s="344"/>
      <c r="F25" s="311"/>
      <c r="G25" s="313"/>
      <c r="H25" s="313"/>
      <c r="I25" s="63" t="str">
        <f t="shared" si="97"/>
        <v/>
      </c>
      <c r="J25" s="264">
        <f t="shared" si="61"/>
        <v>0</v>
      </c>
      <c r="K25" s="264">
        <f t="shared" si="62"/>
        <v>0</v>
      </c>
      <c r="L25" s="264">
        <f t="shared" si="1"/>
        <v>0</v>
      </c>
      <c r="M25" s="264">
        <f t="shared" si="2"/>
        <v>0</v>
      </c>
      <c r="N25" s="264">
        <f t="shared" si="3"/>
        <v>0</v>
      </c>
      <c r="O25" s="264">
        <f t="shared" si="4"/>
        <v>0</v>
      </c>
      <c r="P25" s="264">
        <f t="shared" si="5"/>
        <v>0</v>
      </c>
      <c r="Q25" s="264">
        <f t="shared" si="6"/>
        <v>0</v>
      </c>
      <c r="R25" s="264">
        <f t="shared" si="7"/>
        <v>0</v>
      </c>
      <c r="S25" s="264">
        <f t="shared" si="8"/>
        <v>0</v>
      </c>
      <c r="T25" s="264">
        <f t="shared" si="9"/>
        <v>0</v>
      </c>
      <c r="U25" s="264">
        <f t="shared" si="10"/>
        <v>0</v>
      </c>
      <c r="V25" s="264">
        <f t="shared" si="11"/>
        <v>0</v>
      </c>
      <c r="W25" s="264">
        <f t="shared" si="12"/>
        <v>0</v>
      </c>
      <c r="X25" s="264">
        <f t="shared" si="13"/>
        <v>0</v>
      </c>
      <c r="Y25" s="264">
        <f t="shared" si="14"/>
        <v>0</v>
      </c>
      <c r="Z25" s="264">
        <f t="shared" si="15"/>
        <v>0</v>
      </c>
      <c r="AA25" s="264">
        <f t="shared" si="16"/>
        <v>0</v>
      </c>
      <c r="AB25" s="264">
        <f t="shared" si="63"/>
        <v>0</v>
      </c>
      <c r="AC25" s="264">
        <f t="shared" si="64"/>
        <v>0</v>
      </c>
      <c r="AD25" s="264">
        <f t="shared" si="17"/>
        <v>0</v>
      </c>
      <c r="AE25" s="264">
        <f t="shared" si="18"/>
        <v>0</v>
      </c>
      <c r="AF25" s="264">
        <f t="shared" si="19"/>
        <v>0</v>
      </c>
      <c r="AG25" s="264">
        <f t="shared" si="20"/>
        <v>0</v>
      </c>
      <c r="AH25" s="264">
        <f t="shared" si="65"/>
        <v>0</v>
      </c>
      <c r="AI25" s="264">
        <f t="shared" si="66"/>
        <v>0</v>
      </c>
      <c r="AJ25" s="264">
        <f t="shared" si="67"/>
        <v>0</v>
      </c>
      <c r="AK25" s="264">
        <f t="shared" si="68"/>
        <v>0</v>
      </c>
      <c r="AL25" s="264">
        <f t="shared" si="69"/>
        <v>0</v>
      </c>
      <c r="AM25" s="264">
        <f t="shared" si="70"/>
        <v>0</v>
      </c>
      <c r="AN25" s="264">
        <f t="shared" si="71"/>
        <v>0</v>
      </c>
      <c r="AO25" s="264">
        <f t="shared" si="72"/>
        <v>0</v>
      </c>
      <c r="AP25" s="264">
        <f t="shared" si="21"/>
        <v>0</v>
      </c>
      <c r="AQ25" s="264">
        <f t="shared" si="22"/>
        <v>0</v>
      </c>
      <c r="AR25" s="264">
        <f t="shared" si="23"/>
        <v>0</v>
      </c>
      <c r="AS25" s="264">
        <f t="shared" si="24"/>
        <v>0</v>
      </c>
      <c r="AT25" s="264">
        <f t="shared" si="73"/>
        <v>0</v>
      </c>
      <c r="AU25" s="264">
        <f t="shared" si="74"/>
        <v>0</v>
      </c>
      <c r="AV25" s="264">
        <f t="shared" si="25"/>
        <v>0</v>
      </c>
      <c r="AW25" s="264">
        <f t="shared" si="26"/>
        <v>0</v>
      </c>
      <c r="AX25" s="264">
        <f t="shared" si="27"/>
        <v>0</v>
      </c>
      <c r="AY25" s="264">
        <f t="shared" si="28"/>
        <v>0</v>
      </c>
      <c r="AZ25" s="264">
        <f t="shared" si="29"/>
        <v>0</v>
      </c>
      <c r="BA25" s="264">
        <f t="shared" si="30"/>
        <v>0</v>
      </c>
      <c r="BB25" s="264">
        <f t="shared" si="31"/>
        <v>0</v>
      </c>
      <c r="BC25" s="264">
        <f t="shared" si="32"/>
        <v>0</v>
      </c>
      <c r="BD25" s="264">
        <f t="shared" si="33"/>
        <v>0</v>
      </c>
      <c r="BE25" s="264">
        <f t="shared" si="34"/>
        <v>0</v>
      </c>
      <c r="BF25" s="264">
        <f t="shared" si="35"/>
        <v>0</v>
      </c>
      <c r="BG25" s="264">
        <f t="shared" si="36"/>
        <v>0</v>
      </c>
      <c r="BH25" s="264">
        <f t="shared" si="75"/>
        <v>0</v>
      </c>
      <c r="BI25" s="264">
        <f t="shared" si="76"/>
        <v>0</v>
      </c>
      <c r="BJ25" s="264">
        <f t="shared" si="37"/>
        <v>0</v>
      </c>
      <c r="BK25" s="264">
        <f t="shared" si="38"/>
        <v>0</v>
      </c>
      <c r="BL25" s="264">
        <f t="shared" si="39"/>
        <v>0</v>
      </c>
      <c r="BM25" s="264">
        <f t="shared" si="40"/>
        <v>0</v>
      </c>
      <c r="BN25" s="264">
        <f t="shared" si="41"/>
        <v>0</v>
      </c>
      <c r="BO25" s="264">
        <f t="shared" si="42"/>
        <v>0</v>
      </c>
      <c r="BP25" s="264">
        <f t="shared" si="77"/>
        <v>0</v>
      </c>
      <c r="BQ25" s="264">
        <f t="shared" si="78"/>
        <v>0</v>
      </c>
      <c r="BR25" s="264">
        <f t="shared" si="43"/>
        <v>0</v>
      </c>
      <c r="BS25" s="264">
        <f t="shared" si="44"/>
        <v>0</v>
      </c>
      <c r="BT25" s="264">
        <f t="shared" si="79"/>
        <v>0</v>
      </c>
      <c r="BU25" s="264">
        <f t="shared" si="80"/>
        <v>0</v>
      </c>
      <c r="BV25" s="264">
        <f t="shared" si="81"/>
        <v>0</v>
      </c>
      <c r="BW25" s="264">
        <f t="shared" si="82"/>
        <v>0</v>
      </c>
      <c r="BX25" s="264">
        <f t="shared" si="45"/>
        <v>0</v>
      </c>
      <c r="BY25" s="264">
        <f t="shared" si="46"/>
        <v>0</v>
      </c>
      <c r="BZ25" s="264">
        <f t="shared" si="47"/>
        <v>0</v>
      </c>
      <c r="CA25" s="264">
        <f t="shared" si="48"/>
        <v>0</v>
      </c>
      <c r="CB25" s="264">
        <f t="shared" si="49"/>
        <v>0</v>
      </c>
      <c r="CC25" s="264">
        <f t="shared" si="50"/>
        <v>0</v>
      </c>
      <c r="CD25" s="264">
        <f t="shared" si="83"/>
        <v>0</v>
      </c>
      <c r="CE25" s="264">
        <f t="shared" si="84"/>
        <v>0</v>
      </c>
      <c r="CF25" s="264">
        <f t="shared" si="85"/>
        <v>0</v>
      </c>
      <c r="CG25" s="264">
        <f t="shared" si="86"/>
        <v>0</v>
      </c>
      <c r="CH25" s="264">
        <f t="shared" si="51"/>
        <v>0</v>
      </c>
      <c r="CI25" s="264">
        <f t="shared" si="52"/>
        <v>0</v>
      </c>
      <c r="CJ25" s="264">
        <f t="shared" si="87"/>
        <v>0</v>
      </c>
      <c r="CK25" s="264">
        <f t="shared" si="88"/>
        <v>0</v>
      </c>
      <c r="CL25" s="264">
        <f t="shared" si="53"/>
        <v>0</v>
      </c>
      <c r="CM25" s="264">
        <f t="shared" si="54"/>
        <v>0</v>
      </c>
      <c r="CN25" s="264">
        <f t="shared" si="55"/>
        <v>0</v>
      </c>
      <c r="CO25" s="264">
        <f t="shared" si="56"/>
        <v>0</v>
      </c>
      <c r="CP25" s="264">
        <f t="shared" si="89"/>
        <v>0</v>
      </c>
      <c r="CQ25" s="264">
        <f t="shared" si="90"/>
        <v>0</v>
      </c>
      <c r="CR25" s="264">
        <f t="shared" si="91"/>
        <v>0</v>
      </c>
      <c r="CS25" s="264">
        <f t="shared" si="92"/>
        <v>0</v>
      </c>
      <c r="CT25" s="264">
        <f t="shared" si="57"/>
        <v>0</v>
      </c>
      <c r="CU25" s="264">
        <f t="shared" si="58"/>
        <v>0</v>
      </c>
      <c r="CV25" s="264">
        <f t="shared" si="59"/>
        <v>0</v>
      </c>
      <c r="CW25" s="264">
        <f t="shared" si="60"/>
        <v>0</v>
      </c>
      <c r="CX25" s="264">
        <f t="shared" si="93"/>
        <v>0</v>
      </c>
      <c r="CY25" s="264">
        <f t="shared" si="94"/>
        <v>0</v>
      </c>
      <c r="CZ25" s="264">
        <f t="shared" si="95"/>
        <v>0</v>
      </c>
      <c r="DA25" s="264">
        <f t="shared" si="96"/>
        <v>0</v>
      </c>
    </row>
    <row r="26" spans="1:105" s="261" customFormat="1" ht="15" customHeight="1">
      <c r="A26" s="63" t="str">
        <f t="array" ref="A26">IF(C26&lt;&gt;0,SUM(($C$11:C26&lt;&gt;0)*1),"")</f>
        <v/>
      </c>
      <c r="B26" s="262"/>
      <c r="C26" s="262"/>
      <c r="D26" s="262"/>
      <c r="E26" s="344"/>
      <c r="F26" s="311"/>
      <c r="G26" s="313"/>
      <c r="H26" s="313"/>
      <c r="I26" s="63" t="str">
        <f t="shared" si="97"/>
        <v/>
      </c>
      <c r="J26" s="264">
        <f t="shared" si="61"/>
        <v>0</v>
      </c>
      <c r="K26" s="264">
        <f t="shared" si="62"/>
        <v>0</v>
      </c>
      <c r="L26" s="264">
        <f t="shared" si="1"/>
        <v>0</v>
      </c>
      <c r="M26" s="264">
        <f t="shared" si="2"/>
        <v>0</v>
      </c>
      <c r="N26" s="264">
        <f t="shared" si="3"/>
        <v>0</v>
      </c>
      <c r="O26" s="264">
        <f t="shared" si="4"/>
        <v>0</v>
      </c>
      <c r="P26" s="264">
        <f t="shared" si="5"/>
        <v>0</v>
      </c>
      <c r="Q26" s="264">
        <f t="shared" si="6"/>
        <v>0</v>
      </c>
      <c r="R26" s="264">
        <f t="shared" si="7"/>
        <v>0</v>
      </c>
      <c r="S26" s="264">
        <f t="shared" si="8"/>
        <v>0</v>
      </c>
      <c r="T26" s="264">
        <f t="shared" si="9"/>
        <v>0</v>
      </c>
      <c r="U26" s="264">
        <f t="shared" si="10"/>
        <v>0</v>
      </c>
      <c r="V26" s="264">
        <f t="shared" si="11"/>
        <v>0</v>
      </c>
      <c r="W26" s="264">
        <f t="shared" si="12"/>
        <v>0</v>
      </c>
      <c r="X26" s="264">
        <f t="shared" si="13"/>
        <v>0</v>
      </c>
      <c r="Y26" s="264">
        <f t="shared" si="14"/>
        <v>0</v>
      </c>
      <c r="Z26" s="264">
        <f t="shared" si="15"/>
        <v>0</v>
      </c>
      <c r="AA26" s="264">
        <f t="shared" si="16"/>
        <v>0</v>
      </c>
      <c r="AB26" s="264">
        <f t="shared" si="63"/>
        <v>0</v>
      </c>
      <c r="AC26" s="264">
        <f t="shared" si="64"/>
        <v>0</v>
      </c>
      <c r="AD26" s="264">
        <f t="shared" si="17"/>
        <v>0</v>
      </c>
      <c r="AE26" s="264">
        <f t="shared" si="18"/>
        <v>0</v>
      </c>
      <c r="AF26" s="264">
        <f t="shared" si="19"/>
        <v>0</v>
      </c>
      <c r="AG26" s="264">
        <f t="shared" si="20"/>
        <v>0</v>
      </c>
      <c r="AH26" s="264">
        <f t="shared" si="65"/>
        <v>0</v>
      </c>
      <c r="AI26" s="264">
        <f t="shared" si="66"/>
        <v>0</v>
      </c>
      <c r="AJ26" s="264">
        <f t="shared" si="67"/>
        <v>0</v>
      </c>
      <c r="AK26" s="264">
        <f t="shared" si="68"/>
        <v>0</v>
      </c>
      <c r="AL26" s="264">
        <f t="shared" si="69"/>
        <v>0</v>
      </c>
      <c r="AM26" s="264">
        <f t="shared" si="70"/>
        <v>0</v>
      </c>
      <c r="AN26" s="264">
        <f t="shared" si="71"/>
        <v>0</v>
      </c>
      <c r="AO26" s="264">
        <f t="shared" si="72"/>
        <v>0</v>
      </c>
      <c r="AP26" s="264">
        <f t="shared" si="21"/>
        <v>0</v>
      </c>
      <c r="AQ26" s="264">
        <f t="shared" si="22"/>
        <v>0</v>
      </c>
      <c r="AR26" s="264">
        <f t="shared" si="23"/>
        <v>0</v>
      </c>
      <c r="AS26" s="264">
        <f t="shared" si="24"/>
        <v>0</v>
      </c>
      <c r="AT26" s="264">
        <f t="shared" si="73"/>
        <v>0</v>
      </c>
      <c r="AU26" s="264">
        <f t="shared" si="74"/>
        <v>0</v>
      </c>
      <c r="AV26" s="264">
        <f t="shared" si="25"/>
        <v>0</v>
      </c>
      <c r="AW26" s="264">
        <f t="shared" si="26"/>
        <v>0</v>
      </c>
      <c r="AX26" s="264">
        <f t="shared" si="27"/>
        <v>0</v>
      </c>
      <c r="AY26" s="264">
        <f t="shared" si="28"/>
        <v>0</v>
      </c>
      <c r="AZ26" s="264">
        <f t="shared" si="29"/>
        <v>0</v>
      </c>
      <c r="BA26" s="264">
        <f t="shared" si="30"/>
        <v>0</v>
      </c>
      <c r="BB26" s="264">
        <f t="shared" si="31"/>
        <v>0</v>
      </c>
      <c r="BC26" s="264">
        <f t="shared" si="32"/>
        <v>0</v>
      </c>
      <c r="BD26" s="264">
        <f t="shared" si="33"/>
        <v>0</v>
      </c>
      <c r="BE26" s="264">
        <f t="shared" si="34"/>
        <v>0</v>
      </c>
      <c r="BF26" s="264">
        <f t="shared" si="35"/>
        <v>0</v>
      </c>
      <c r="BG26" s="264">
        <f t="shared" si="36"/>
        <v>0</v>
      </c>
      <c r="BH26" s="264">
        <f t="shared" si="75"/>
        <v>0</v>
      </c>
      <c r="BI26" s="264">
        <f t="shared" si="76"/>
        <v>0</v>
      </c>
      <c r="BJ26" s="264">
        <f t="shared" si="37"/>
        <v>0</v>
      </c>
      <c r="BK26" s="264">
        <f t="shared" si="38"/>
        <v>0</v>
      </c>
      <c r="BL26" s="264">
        <f t="shared" si="39"/>
        <v>0</v>
      </c>
      <c r="BM26" s="264">
        <f t="shared" si="40"/>
        <v>0</v>
      </c>
      <c r="BN26" s="264">
        <f t="shared" si="41"/>
        <v>0</v>
      </c>
      <c r="BO26" s="264">
        <f t="shared" si="42"/>
        <v>0</v>
      </c>
      <c r="BP26" s="264">
        <f t="shared" si="77"/>
        <v>0</v>
      </c>
      <c r="BQ26" s="264">
        <f t="shared" si="78"/>
        <v>0</v>
      </c>
      <c r="BR26" s="264">
        <f t="shared" si="43"/>
        <v>0</v>
      </c>
      <c r="BS26" s="264">
        <f t="shared" si="44"/>
        <v>0</v>
      </c>
      <c r="BT26" s="264">
        <f t="shared" si="79"/>
        <v>0</v>
      </c>
      <c r="BU26" s="264">
        <f t="shared" si="80"/>
        <v>0</v>
      </c>
      <c r="BV26" s="264">
        <f t="shared" si="81"/>
        <v>0</v>
      </c>
      <c r="BW26" s="264">
        <f t="shared" si="82"/>
        <v>0</v>
      </c>
      <c r="BX26" s="264">
        <f t="shared" si="45"/>
        <v>0</v>
      </c>
      <c r="BY26" s="264">
        <f t="shared" si="46"/>
        <v>0</v>
      </c>
      <c r="BZ26" s="264">
        <f t="shared" si="47"/>
        <v>0</v>
      </c>
      <c r="CA26" s="264">
        <f t="shared" si="48"/>
        <v>0</v>
      </c>
      <c r="CB26" s="264">
        <f t="shared" si="49"/>
        <v>0</v>
      </c>
      <c r="CC26" s="264">
        <f t="shared" si="50"/>
        <v>0</v>
      </c>
      <c r="CD26" s="264">
        <f t="shared" si="83"/>
        <v>0</v>
      </c>
      <c r="CE26" s="264">
        <f t="shared" si="84"/>
        <v>0</v>
      </c>
      <c r="CF26" s="264">
        <f t="shared" si="85"/>
        <v>0</v>
      </c>
      <c r="CG26" s="264">
        <f t="shared" si="86"/>
        <v>0</v>
      </c>
      <c r="CH26" s="264">
        <f t="shared" si="51"/>
        <v>0</v>
      </c>
      <c r="CI26" s="264">
        <f t="shared" si="52"/>
        <v>0</v>
      </c>
      <c r="CJ26" s="264">
        <f t="shared" si="87"/>
        <v>0</v>
      </c>
      <c r="CK26" s="264">
        <f t="shared" si="88"/>
        <v>0</v>
      </c>
      <c r="CL26" s="264">
        <f t="shared" si="53"/>
        <v>0</v>
      </c>
      <c r="CM26" s="264">
        <f t="shared" si="54"/>
        <v>0</v>
      </c>
      <c r="CN26" s="264">
        <f t="shared" si="55"/>
        <v>0</v>
      </c>
      <c r="CO26" s="264">
        <f t="shared" si="56"/>
        <v>0</v>
      </c>
      <c r="CP26" s="264">
        <f t="shared" si="89"/>
        <v>0</v>
      </c>
      <c r="CQ26" s="264">
        <f t="shared" si="90"/>
        <v>0</v>
      </c>
      <c r="CR26" s="264">
        <f t="shared" si="91"/>
        <v>0</v>
      </c>
      <c r="CS26" s="264">
        <f t="shared" si="92"/>
        <v>0</v>
      </c>
      <c r="CT26" s="264">
        <f t="shared" si="57"/>
        <v>0</v>
      </c>
      <c r="CU26" s="264">
        <f t="shared" si="58"/>
        <v>0</v>
      </c>
      <c r="CV26" s="264">
        <f t="shared" si="59"/>
        <v>0</v>
      </c>
      <c r="CW26" s="264">
        <f t="shared" si="60"/>
        <v>0</v>
      </c>
      <c r="CX26" s="264">
        <f t="shared" si="93"/>
        <v>0</v>
      </c>
      <c r="CY26" s="264">
        <f t="shared" si="94"/>
        <v>0</v>
      </c>
      <c r="CZ26" s="264">
        <f t="shared" si="95"/>
        <v>0</v>
      </c>
      <c r="DA26" s="264">
        <f t="shared" si="96"/>
        <v>0</v>
      </c>
    </row>
    <row r="27" spans="1:105" s="261" customFormat="1" ht="15" customHeight="1">
      <c r="A27" s="63" t="str">
        <f t="array" ref="A27">IF(C27&lt;&gt;0,SUM(($C$11:C27&lt;&gt;0)*1),"")</f>
        <v/>
      </c>
      <c r="B27" s="262"/>
      <c r="C27" s="262"/>
      <c r="D27" s="262"/>
      <c r="E27" s="344"/>
      <c r="F27" s="311"/>
      <c r="G27" s="313"/>
      <c r="H27" s="313"/>
      <c r="I27" s="63" t="str">
        <f t="shared" si="97"/>
        <v/>
      </c>
      <c r="J27" s="264">
        <f t="shared" si="61"/>
        <v>0</v>
      </c>
      <c r="K27" s="264">
        <f t="shared" si="62"/>
        <v>0</v>
      </c>
      <c r="L27" s="264">
        <f t="shared" si="1"/>
        <v>0</v>
      </c>
      <c r="M27" s="264">
        <f t="shared" si="2"/>
        <v>0</v>
      </c>
      <c r="N27" s="264">
        <f t="shared" si="3"/>
        <v>0</v>
      </c>
      <c r="O27" s="264">
        <f t="shared" si="4"/>
        <v>0</v>
      </c>
      <c r="P27" s="264">
        <f t="shared" si="5"/>
        <v>0</v>
      </c>
      <c r="Q27" s="264">
        <f t="shared" si="6"/>
        <v>0</v>
      </c>
      <c r="R27" s="264">
        <f t="shared" si="7"/>
        <v>0</v>
      </c>
      <c r="S27" s="264">
        <f t="shared" si="8"/>
        <v>0</v>
      </c>
      <c r="T27" s="264">
        <f t="shared" si="9"/>
        <v>0</v>
      </c>
      <c r="U27" s="264">
        <f t="shared" si="10"/>
        <v>0</v>
      </c>
      <c r="V27" s="264">
        <f t="shared" si="11"/>
        <v>0</v>
      </c>
      <c r="W27" s="264">
        <f t="shared" si="12"/>
        <v>0</v>
      </c>
      <c r="X27" s="264">
        <f t="shared" si="13"/>
        <v>0</v>
      </c>
      <c r="Y27" s="264">
        <f t="shared" si="14"/>
        <v>0</v>
      </c>
      <c r="Z27" s="264">
        <f t="shared" si="15"/>
        <v>0</v>
      </c>
      <c r="AA27" s="264">
        <f t="shared" si="16"/>
        <v>0</v>
      </c>
      <c r="AB27" s="264">
        <f t="shared" si="63"/>
        <v>0</v>
      </c>
      <c r="AC27" s="264">
        <f t="shared" si="64"/>
        <v>0</v>
      </c>
      <c r="AD27" s="264">
        <f t="shared" si="17"/>
        <v>0</v>
      </c>
      <c r="AE27" s="264">
        <f t="shared" si="18"/>
        <v>0</v>
      </c>
      <c r="AF27" s="264">
        <f t="shared" si="19"/>
        <v>0</v>
      </c>
      <c r="AG27" s="264">
        <f t="shared" si="20"/>
        <v>0</v>
      </c>
      <c r="AH27" s="264">
        <f t="shared" si="65"/>
        <v>0</v>
      </c>
      <c r="AI27" s="264">
        <f t="shared" si="66"/>
        <v>0</v>
      </c>
      <c r="AJ27" s="264">
        <f t="shared" si="67"/>
        <v>0</v>
      </c>
      <c r="AK27" s="264">
        <f t="shared" si="68"/>
        <v>0</v>
      </c>
      <c r="AL27" s="264">
        <f t="shared" si="69"/>
        <v>0</v>
      </c>
      <c r="AM27" s="264">
        <f t="shared" si="70"/>
        <v>0</v>
      </c>
      <c r="AN27" s="264">
        <f t="shared" si="71"/>
        <v>0</v>
      </c>
      <c r="AO27" s="264">
        <f t="shared" si="72"/>
        <v>0</v>
      </c>
      <c r="AP27" s="264">
        <f t="shared" si="21"/>
        <v>0</v>
      </c>
      <c r="AQ27" s="264">
        <f t="shared" si="22"/>
        <v>0</v>
      </c>
      <c r="AR27" s="264">
        <f t="shared" si="23"/>
        <v>0</v>
      </c>
      <c r="AS27" s="264">
        <f t="shared" si="24"/>
        <v>0</v>
      </c>
      <c r="AT27" s="264">
        <f t="shared" si="73"/>
        <v>0</v>
      </c>
      <c r="AU27" s="264">
        <f t="shared" si="74"/>
        <v>0</v>
      </c>
      <c r="AV27" s="264">
        <f t="shared" si="25"/>
        <v>0</v>
      </c>
      <c r="AW27" s="264">
        <f t="shared" si="26"/>
        <v>0</v>
      </c>
      <c r="AX27" s="264">
        <f t="shared" si="27"/>
        <v>0</v>
      </c>
      <c r="AY27" s="264">
        <f t="shared" si="28"/>
        <v>0</v>
      </c>
      <c r="AZ27" s="264">
        <f t="shared" si="29"/>
        <v>0</v>
      </c>
      <c r="BA27" s="264">
        <f t="shared" si="30"/>
        <v>0</v>
      </c>
      <c r="BB27" s="264">
        <f t="shared" si="31"/>
        <v>0</v>
      </c>
      <c r="BC27" s="264">
        <f t="shared" si="32"/>
        <v>0</v>
      </c>
      <c r="BD27" s="264">
        <f t="shared" si="33"/>
        <v>0</v>
      </c>
      <c r="BE27" s="264">
        <f t="shared" si="34"/>
        <v>0</v>
      </c>
      <c r="BF27" s="264">
        <f t="shared" si="35"/>
        <v>0</v>
      </c>
      <c r="BG27" s="264">
        <f t="shared" si="36"/>
        <v>0</v>
      </c>
      <c r="BH27" s="264">
        <f t="shared" si="75"/>
        <v>0</v>
      </c>
      <c r="BI27" s="264">
        <f t="shared" si="76"/>
        <v>0</v>
      </c>
      <c r="BJ27" s="264">
        <f t="shared" si="37"/>
        <v>0</v>
      </c>
      <c r="BK27" s="264">
        <f t="shared" si="38"/>
        <v>0</v>
      </c>
      <c r="BL27" s="264">
        <f t="shared" si="39"/>
        <v>0</v>
      </c>
      <c r="BM27" s="264">
        <f t="shared" si="40"/>
        <v>0</v>
      </c>
      <c r="BN27" s="264">
        <f t="shared" si="41"/>
        <v>0</v>
      </c>
      <c r="BO27" s="264">
        <f t="shared" si="42"/>
        <v>0</v>
      </c>
      <c r="BP27" s="264">
        <f t="shared" si="77"/>
        <v>0</v>
      </c>
      <c r="BQ27" s="264">
        <f t="shared" si="78"/>
        <v>0</v>
      </c>
      <c r="BR27" s="264">
        <f t="shared" si="43"/>
        <v>0</v>
      </c>
      <c r="BS27" s="264">
        <f t="shared" si="44"/>
        <v>0</v>
      </c>
      <c r="BT27" s="264">
        <f t="shared" si="79"/>
        <v>0</v>
      </c>
      <c r="BU27" s="264">
        <f t="shared" si="80"/>
        <v>0</v>
      </c>
      <c r="BV27" s="264">
        <f t="shared" si="81"/>
        <v>0</v>
      </c>
      <c r="BW27" s="264">
        <f t="shared" si="82"/>
        <v>0</v>
      </c>
      <c r="BX27" s="264">
        <f t="shared" si="45"/>
        <v>0</v>
      </c>
      <c r="BY27" s="264">
        <f t="shared" si="46"/>
        <v>0</v>
      </c>
      <c r="BZ27" s="264">
        <f t="shared" si="47"/>
        <v>0</v>
      </c>
      <c r="CA27" s="264">
        <f t="shared" si="48"/>
        <v>0</v>
      </c>
      <c r="CB27" s="264">
        <f t="shared" si="49"/>
        <v>0</v>
      </c>
      <c r="CC27" s="264">
        <f t="shared" si="50"/>
        <v>0</v>
      </c>
      <c r="CD27" s="264">
        <f t="shared" si="83"/>
        <v>0</v>
      </c>
      <c r="CE27" s="264">
        <f t="shared" si="84"/>
        <v>0</v>
      </c>
      <c r="CF27" s="264">
        <f t="shared" si="85"/>
        <v>0</v>
      </c>
      <c r="CG27" s="264">
        <f t="shared" si="86"/>
        <v>0</v>
      </c>
      <c r="CH27" s="264">
        <f t="shared" si="51"/>
        <v>0</v>
      </c>
      <c r="CI27" s="264">
        <f t="shared" si="52"/>
        <v>0</v>
      </c>
      <c r="CJ27" s="264">
        <f t="shared" si="87"/>
        <v>0</v>
      </c>
      <c r="CK27" s="264">
        <f t="shared" si="88"/>
        <v>0</v>
      </c>
      <c r="CL27" s="264">
        <f t="shared" si="53"/>
        <v>0</v>
      </c>
      <c r="CM27" s="264">
        <f t="shared" si="54"/>
        <v>0</v>
      </c>
      <c r="CN27" s="264">
        <f t="shared" si="55"/>
        <v>0</v>
      </c>
      <c r="CO27" s="264">
        <f t="shared" si="56"/>
        <v>0</v>
      </c>
      <c r="CP27" s="264">
        <f t="shared" si="89"/>
        <v>0</v>
      </c>
      <c r="CQ27" s="264">
        <f t="shared" si="90"/>
        <v>0</v>
      </c>
      <c r="CR27" s="264">
        <f t="shared" si="91"/>
        <v>0</v>
      </c>
      <c r="CS27" s="264">
        <f t="shared" si="92"/>
        <v>0</v>
      </c>
      <c r="CT27" s="264">
        <f t="shared" si="57"/>
        <v>0</v>
      </c>
      <c r="CU27" s="264">
        <f t="shared" si="58"/>
        <v>0</v>
      </c>
      <c r="CV27" s="264">
        <f t="shared" si="59"/>
        <v>0</v>
      </c>
      <c r="CW27" s="264">
        <f t="shared" si="60"/>
        <v>0</v>
      </c>
      <c r="CX27" s="264">
        <f t="shared" si="93"/>
        <v>0</v>
      </c>
      <c r="CY27" s="264">
        <f t="shared" si="94"/>
        <v>0</v>
      </c>
      <c r="CZ27" s="264">
        <f t="shared" si="95"/>
        <v>0</v>
      </c>
      <c r="DA27" s="264">
        <f t="shared" si="96"/>
        <v>0</v>
      </c>
    </row>
    <row r="28" spans="1:105" s="261" customFormat="1" ht="15" customHeight="1">
      <c r="A28" s="63" t="str">
        <f t="array" ref="A28">IF(C28&lt;&gt;0,SUM(($C$11:C28&lt;&gt;0)*1),"")</f>
        <v/>
      </c>
      <c r="B28" s="262"/>
      <c r="C28" s="262"/>
      <c r="D28" s="262"/>
      <c r="E28" s="344"/>
      <c r="F28" s="311"/>
      <c r="G28" s="313"/>
      <c r="H28" s="313"/>
      <c r="I28" s="63" t="str">
        <f t="shared" si="97"/>
        <v/>
      </c>
      <c r="J28" s="264">
        <f t="shared" si="61"/>
        <v>0</v>
      </c>
      <c r="K28" s="264">
        <f t="shared" si="62"/>
        <v>0</v>
      </c>
      <c r="L28" s="264">
        <f t="shared" si="1"/>
        <v>0</v>
      </c>
      <c r="M28" s="264">
        <f t="shared" si="2"/>
        <v>0</v>
      </c>
      <c r="N28" s="264">
        <f t="shared" si="3"/>
        <v>0</v>
      </c>
      <c r="O28" s="264">
        <f t="shared" si="4"/>
        <v>0</v>
      </c>
      <c r="P28" s="264">
        <f t="shared" si="5"/>
        <v>0</v>
      </c>
      <c r="Q28" s="264">
        <f t="shared" si="6"/>
        <v>0</v>
      </c>
      <c r="R28" s="264">
        <f t="shared" si="7"/>
        <v>0</v>
      </c>
      <c r="S28" s="264">
        <f t="shared" si="8"/>
        <v>0</v>
      </c>
      <c r="T28" s="264">
        <f t="shared" si="9"/>
        <v>0</v>
      </c>
      <c r="U28" s="264">
        <f t="shared" si="10"/>
        <v>0</v>
      </c>
      <c r="V28" s="264">
        <f t="shared" si="11"/>
        <v>0</v>
      </c>
      <c r="W28" s="264">
        <f t="shared" si="12"/>
        <v>0</v>
      </c>
      <c r="X28" s="264">
        <f t="shared" si="13"/>
        <v>0</v>
      </c>
      <c r="Y28" s="264">
        <f t="shared" si="14"/>
        <v>0</v>
      </c>
      <c r="Z28" s="264">
        <f t="shared" si="15"/>
        <v>0</v>
      </c>
      <c r="AA28" s="264">
        <f t="shared" si="16"/>
        <v>0</v>
      </c>
      <c r="AB28" s="264">
        <f t="shared" si="63"/>
        <v>0</v>
      </c>
      <c r="AC28" s="264">
        <f t="shared" si="64"/>
        <v>0</v>
      </c>
      <c r="AD28" s="264">
        <f t="shared" si="17"/>
        <v>0</v>
      </c>
      <c r="AE28" s="264">
        <f t="shared" si="18"/>
        <v>0</v>
      </c>
      <c r="AF28" s="264">
        <f t="shared" si="19"/>
        <v>0</v>
      </c>
      <c r="AG28" s="264">
        <f t="shared" si="20"/>
        <v>0</v>
      </c>
      <c r="AH28" s="264">
        <f t="shared" si="65"/>
        <v>0</v>
      </c>
      <c r="AI28" s="264">
        <f t="shared" si="66"/>
        <v>0</v>
      </c>
      <c r="AJ28" s="264">
        <f t="shared" si="67"/>
        <v>0</v>
      </c>
      <c r="AK28" s="264">
        <f t="shared" si="68"/>
        <v>0</v>
      </c>
      <c r="AL28" s="264">
        <f t="shared" si="69"/>
        <v>0</v>
      </c>
      <c r="AM28" s="264">
        <f t="shared" si="70"/>
        <v>0</v>
      </c>
      <c r="AN28" s="264">
        <f t="shared" si="71"/>
        <v>0</v>
      </c>
      <c r="AO28" s="264">
        <f t="shared" si="72"/>
        <v>0</v>
      </c>
      <c r="AP28" s="264">
        <f t="shared" si="21"/>
        <v>0</v>
      </c>
      <c r="AQ28" s="264">
        <f t="shared" si="22"/>
        <v>0</v>
      </c>
      <c r="AR28" s="264">
        <f t="shared" si="23"/>
        <v>0</v>
      </c>
      <c r="AS28" s="264">
        <f t="shared" si="24"/>
        <v>0</v>
      </c>
      <c r="AT28" s="264">
        <f t="shared" si="73"/>
        <v>0</v>
      </c>
      <c r="AU28" s="264">
        <f t="shared" si="74"/>
        <v>0</v>
      </c>
      <c r="AV28" s="264">
        <f t="shared" si="25"/>
        <v>0</v>
      </c>
      <c r="AW28" s="264">
        <f t="shared" si="26"/>
        <v>0</v>
      </c>
      <c r="AX28" s="264">
        <f t="shared" si="27"/>
        <v>0</v>
      </c>
      <c r="AY28" s="264">
        <f t="shared" si="28"/>
        <v>0</v>
      </c>
      <c r="AZ28" s="264">
        <f t="shared" si="29"/>
        <v>0</v>
      </c>
      <c r="BA28" s="264">
        <f t="shared" si="30"/>
        <v>0</v>
      </c>
      <c r="BB28" s="264">
        <f t="shared" si="31"/>
        <v>0</v>
      </c>
      <c r="BC28" s="264">
        <f t="shared" si="32"/>
        <v>0</v>
      </c>
      <c r="BD28" s="264">
        <f t="shared" si="33"/>
        <v>0</v>
      </c>
      <c r="BE28" s="264">
        <f t="shared" si="34"/>
        <v>0</v>
      </c>
      <c r="BF28" s="264">
        <f t="shared" si="35"/>
        <v>0</v>
      </c>
      <c r="BG28" s="264">
        <f t="shared" si="36"/>
        <v>0</v>
      </c>
      <c r="BH28" s="264">
        <f t="shared" si="75"/>
        <v>0</v>
      </c>
      <c r="BI28" s="264">
        <f t="shared" si="76"/>
        <v>0</v>
      </c>
      <c r="BJ28" s="264">
        <f t="shared" si="37"/>
        <v>0</v>
      </c>
      <c r="BK28" s="264">
        <f t="shared" si="38"/>
        <v>0</v>
      </c>
      <c r="BL28" s="264">
        <f t="shared" si="39"/>
        <v>0</v>
      </c>
      <c r="BM28" s="264">
        <f t="shared" si="40"/>
        <v>0</v>
      </c>
      <c r="BN28" s="264">
        <f t="shared" si="41"/>
        <v>0</v>
      </c>
      <c r="BO28" s="264">
        <f t="shared" si="42"/>
        <v>0</v>
      </c>
      <c r="BP28" s="264">
        <f t="shared" si="77"/>
        <v>0</v>
      </c>
      <c r="BQ28" s="264">
        <f t="shared" si="78"/>
        <v>0</v>
      </c>
      <c r="BR28" s="264">
        <f t="shared" si="43"/>
        <v>0</v>
      </c>
      <c r="BS28" s="264">
        <f t="shared" si="44"/>
        <v>0</v>
      </c>
      <c r="BT28" s="264">
        <f t="shared" si="79"/>
        <v>0</v>
      </c>
      <c r="BU28" s="264">
        <f t="shared" si="80"/>
        <v>0</v>
      </c>
      <c r="BV28" s="264">
        <f t="shared" si="81"/>
        <v>0</v>
      </c>
      <c r="BW28" s="264">
        <f t="shared" si="82"/>
        <v>0</v>
      </c>
      <c r="BX28" s="264">
        <f t="shared" si="45"/>
        <v>0</v>
      </c>
      <c r="BY28" s="264">
        <f t="shared" si="46"/>
        <v>0</v>
      </c>
      <c r="BZ28" s="264">
        <f t="shared" si="47"/>
        <v>0</v>
      </c>
      <c r="CA28" s="264">
        <f t="shared" si="48"/>
        <v>0</v>
      </c>
      <c r="CB28" s="264">
        <f t="shared" si="49"/>
        <v>0</v>
      </c>
      <c r="CC28" s="264">
        <f t="shared" si="50"/>
        <v>0</v>
      </c>
      <c r="CD28" s="264">
        <f t="shared" si="83"/>
        <v>0</v>
      </c>
      <c r="CE28" s="264">
        <f t="shared" si="84"/>
        <v>0</v>
      </c>
      <c r="CF28" s="264">
        <f t="shared" si="85"/>
        <v>0</v>
      </c>
      <c r="CG28" s="264">
        <f t="shared" si="86"/>
        <v>0</v>
      </c>
      <c r="CH28" s="264">
        <f t="shared" si="51"/>
        <v>0</v>
      </c>
      <c r="CI28" s="264">
        <f t="shared" si="52"/>
        <v>0</v>
      </c>
      <c r="CJ28" s="264">
        <f t="shared" si="87"/>
        <v>0</v>
      </c>
      <c r="CK28" s="264">
        <f t="shared" si="88"/>
        <v>0</v>
      </c>
      <c r="CL28" s="264">
        <f t="shared" si="53"/>
        <v>0</v>
      </c>
      <c r="CM28" s="264">
        <f t="shared" si="54"/>
        <v>0</v>
      </c>
      <c r="CN28" s="264">
        <f t="shared" si="55"/>
        <v>0</v>
      </c>
      <c r="CO28" s="264">
        <f t="shared" si="56"/>
        <v>0</v>
      </c>
      <c r="CP28" s="264">
        <f t="shared" si="89"/>
        <v>0</v>
      </c>
      <c r="CQ28" s="264">
        <f t="shared" si="90"/>
        <v>0</v>
      </c>
      <c r="CR28" s="264">
        <f t="shared" si="91"/>
        <v>0</v>
      </c>
      <c r="CS28" s="264">
        <f t="shared" si="92"/>
        <v>0</v>
      </c>
      <c r="CT28" s="264">
        <f t="shared" si="57"/>
        <v>0</v>
      </c>
      <c r="CU28" s="264">
        <f t="shared" si="58"/>
        <v>0</v>
      </c>
      <c r="CV28" s="264">
        <f t="shared" si="59"/>
        <v>0</v>
      </c>
      <c r="CW28" s="264">
        <f t="shared" si="60"/>
        <v>0</v>
      </c>
      <c r="CX28" s="264">
        <f t="shared" si="93"/>
        <v>0</v>
      </c>
      <c r="CY28" s="264">
        <f t="shared" si="94"/>
        <v>0</v>
      </c>
      <c r="CZ28" s="264">
        <f t="shared" si="95"/>
        <v>0</v>
      </c>
      <c r="DA28" s="264">
        <f t="shared" si="96"/>
        <v>0</v>
      </c>
    </row>
    <row r="29" spans="1:105" s="261" customFormat="1" ht="15" customHeight="1">
      <c r="A29" s="63" t="str">
        <f t="array" ref="A29">IF(C29&lt;&gt;0,SUM(($C$11:C29&lt;&gt;0)*1),"")</f>
        <v/>
      </c>
      <c r="B29" s="262"/>
      <c r="C29" s="262"/>
      <c r="D29" s="262"/>
      <c r="E29" s="344"/>
      <c r="F29" s="311"/>
      <c r="G29" s="313"/>
      <c r="H29" s="313"/>
      <c r="I29" s="63" t="str">
        <f t="shared" si="97"/>
        <v/>
      </c>
      <c r="J29" s="264">
        <f t="shared" si="61"/>
        <v>0</v>
      </c>
      <c r="K29" s="264">
        <f t="shared" si="62"/>
        <v>0</v>
      </c>
      <c r="L29" s="264">
        <f t="shared" si="1"/>
        <v>0</v>
      </c>
      <c r="M29" s="264">
        <f t="shared" si="2"/>
        <v>0</v>
      </c>
      <c r="N29" s="264">
        <f t="shared" si="3"/>
        <v>0</v>
      </c>
      <c r="O29" s="264">
        <f t="shared" si="4"/>
        <v>0</v>
      </c>
      <c r="P29" s="264">
        <f t="shared" si="5"/>
        <v>0</v>
      </c>
      <c r="Q29" s="264">
        <f t="shared" si="6"/>
        <v>0</v>
      </c>
      <c r="R29" s="264">
        <f t="shared" si="7"/>
        <v>0</v>
      </c>
      <c r="S29" s="264">
        <f t="shared" si="8"/>
        <v>0</v>
      </c>
      <c r="T29" s="264">
        <f t="shared" si="9"/>
        <v>0</v>
      </c>
      <c r="U29" s="264">
        <f t="shared" si="10"/>
        <v>0</v>
      </c>
      <c r="V29" s="264">
        <f t="shared" si="11"/>
        <v>0</v>
      </c>
      <c r="W29" s="264">
        <f t="shared" si="12"/>
        <v>0</v>
      </c>
      <c r="X29" s="264">
        <f t="shared" si="13"/>
        <v>0</v>
      </c>
      <c r="Y29" s="264">
        <f t="shared" si="14"/>
        <v>0</v>
      </c>
      <c r="Z29" s="264">
        <f t="shared" si="15"/>
        <v>0</v>
      </c>
      <c r="AA29" s="264">
        <f t="shared" si="16"/>
        <v>0</v>
      </c>
      <c r="AB29" s="264">
        <f t="shared" si="63"/>
        <v>0</v>
      </c>
      <c r="AC29" s="264">
        <f t="shared" si="64"/>
        <v>0</v>
      </c>
      <c r="AD29" s="264">
        <f t="shared" si="17"/>
        <v>0</v>
      </c>
      <c r="AE29" s="264">
        <f t="shared" si="18"/>
        <v>0</v>
      </c>
      <c r="AF29" s="264">
        <f t="shared" si="19"/>
        <v>0</v>
      </c>
      <c r="AG29" s="264">
        <f t="shared" si="20"/>
        <v>0</v>
      </c>
      <c r="AH29" s="264">
        <f t="shared" si="65"/>
        <v>0</v>
      </c>
      <c r="AI29" s="264">
        <f t="shared" si="66"/>
        <v>0</v>
      </c>
      <c r="AJ29" s="264">
        <f t="shared" si="67"/>
        <v>0</v>
      </c>
      <c r="AK29" s="264">
        <f t="shared" si="68"/>
        <v>0</v>
      </c>
      <c r="AL29" s="264">
        <f t="shared" si="69"/>
        <v>0</v>
      </c>
      <c r="AM29" s="264">
        <f t="shared" si="70"/>
        <v>0</v>
      </c>
      <c r="AN29" s="264">
        <f t="shared" si="71"/>
        <v>0</v>
      </c>
      <c r="AO29" s="264">
        <f t="shared" si="72"/>
        <v>0</v>
      </c>
      <c r="AP29" s="264">
        <f t="shared" si="21"/>
        <v>0</v>
      </c>
      <c r="AQ29" s="264">
        <f t="shared" si="22"/>
        <v>0</v>
      </c>
      <c r="AR29" s="264">
        <f t="shared" si="23"/>
        <v>0</v>
      </c>
      <c r="AS29" s="264">
        <f t="shared" si="24"/>
        <v>0</v>
      </c>
      <c r="AT29" s="264">
        <f t="shared" si="73"/>
        <v>0</v>
      </c>
      <c r="AU29" s="264">
        <f t="shared" si="74"/>
        <v>0</v>
      </c>
      <c r="AV29" s="264">
        <f t="shared" si="25"/>
        <v>0</v>
      </c>
      <c r="AW29" s="264">
        <f t="shared" si="26"/>
        <v>0</v>
      </c>
      <c r="AX29" s="264">
        <f t="shared" si="27"/>
        <v>0</v>
      </c>
      <c r="AY29" s="264">
        <f t="shared" si="28"/>
        <v>0</v>
      </c>
      <c r="AZ29" s="264">
        <f t="shared" si="29"/>
        <v>0</v>
      </c>
      <c r="BA29" s="264">
        <f t="shared" si="30"/>
        <v>0</v>
      </c>
      <c r="BB29" s="264">
        <f t="shared" si="31"/>
        <v>0</v>
      </c>
      <c r="BC29" s="264">
        <f t="shared" si="32"/>
        <v>0</v>
      </c>
      <c r="BD29" s="264">
        <f t="shared" si="33"/>
        <v>0</v>
      </c>
      <c r="BE29" s="264">
        <f t="shared" si="34"/>
        <v>0</v>
      </c>
      <c r="BF29" s="264">
        <f t="shared" si="35"/>
        <v>0</v>
      </c>
      <c r="BG29" s="264">
        <f t="shared" si="36"/>
        <v>0</v>
      </c>
      <c r="BH29" s="264">
        <f t="shared" si="75"/>
        <v>0</v>
      </c>
      <c r="BI29" s="264">
        <f t="shared" si="76"/>
        <v>0</v>
      </c>
      <c r="BJ29" s="264">
        <f t="shared" si="37"/>
        <v>0</v>
      </c>
      <c r="BK29" s="264">
        <f t="shared" si="38"/>
        <v>0</v>
      </c>
      <c r="BL29" s="264">
        <f t="shared" si="39"/>
        <v>0</v>
      </c>
      <c r="BM29" s="264">
        <f t="shared" si="40"/>
        <v>0</v>
      </c>
      <c r="BN29" s="264">
        <f t="shared" si="41"/>
        <v>0</v>
      </c>
      <c r="BO29" s="264">
        <f t="shared" si="42"/>
        <v>0</v>
      </c>
      <c r="BP29" s="264">
        <f t="shared" si="77"/>
        <v>0</v>
      </c>
      <c r="BQ29" s="264">
        <f t="shared" si="78"/>
        <v>0</v>
      </c>
      <c r="BR29" s="264">
        <f t="shared" si="43"/>
        <v>0</v>
      </c>
      <c r="BS29" s="264">
        <f t="shared" si="44"/>
        <v>0</v>
      </c>
      <c r="BT29" s="264">
        <f t="shared" si="79"/>
        <v>0</v>
      </c>
      <c r="BU29" s="264">
        <f t="shared" si="80"/>
        <v>0</v>
      </c>
      <c r="BV29" s="264">
        <f t="shared" si="81"/>
        <v>0</v>
      </c>
      <c r="BW29" s="264">
        <f t="shared" si="82"/>
        <v>0</v>
      </c>
      <c r="BX29" s="264">
        <f t="shared" si="45"/>
        <v>0</v>
      </c>
      <c r="BY29" s="264">
        <f t="shared" si="46"/>
        <v>0</v>
      </c>
      <c r="BZ29" s="264">
        <f t="shared" si="47"/>
        <v>0</v>
      </c>
      <c r="CA29" s="264">
        <f t="shared" si="48"/>
        <v>0</v>
      </c>
      <c r="CB29" s="264">
        <f t="shared" si="49"/>
        <v>0</v>
      </c>
      <c r="CC29" s="264">
        <f t="shared" si="50"/>
        <v>0</v>
      </c>
      <c r="CD29" s="264">
        <f t="shared" si="83"/>
        <v>0</v>
      </c>
      <c r="CE29" s="264">
        <f t="shared" si="84"/>
        <v>0</v>
      </c>
      <c r="CF29" s="264">
        <f t="shared" si="85"/>
        <v>0</v>
      </c>
      <c r="CG29" s="264">
        <f t="shared" si="86"/>
        <v>0</v>
      </c>
      <c r="CH29" s="264">
        <f t="shared" si="51"/>
        <v>0</v>
      </c>
      <c r="CI29" s="264">
        <f t="shared" si="52"/>
        <v>0</v>
      </c>
      <c r="CJ29" s="264">
        <f t="shared" si="87"/>
        <v>0</v>
      </c>
      <c r="CK29" s="264">
        <f t="shared" si="88"/>
        <v>0</v>
      </c>
      <c r="CL29" s="264">
        <f t="shared" si="53"/>
        <v>0</v>
      </c>
      <c r="CM29" s="264">
        <f t="shared" si="54"/>
        <v>0</v>
      </c>
      <c r="CN29" s="264">
        <f t="shared" si="55"/>
        <v>0</v>
      </c>
      <c r="CO29" s="264">
        <f t="shared" si="56"/>
        <v>0</v>
      </c>
      <c r="CP29" s="264">
        <f t="shared" si="89"/>
        <v>0</v>
      </c>
      <c r="CQ29" s="264">
        <f t="shared" si="90"/>
        <v>0</v>
      </c>
      <c r="CR29" s="264">
        <f t="shared" si="91"/>
        <v>0</v>
      </c>
      <c r="CS29" s="264">
        <f t="shared" si="92"/>
        <v>0</v>
      </c>
      <c r="CT29" s="264">
        <f t="shared" si="57"/>
        <v>0</v>
      </c>
      <c r="CU29" s="264">
        <f t="shared" si="58"/>
        <v>0</v>
      </c>
      <c r="CV29" s="264">
        <f t="shared" si="59"/>
        <v>0</v>
      </c>
      <c r="CW29" s="264">
        <f t="shared" si="60"/>
        <v>0</v>
      </c>
      <c r="CX29" s="264">
        <f t="shared" si="93"/>
        <v>0</v>
      </c>
      <c r="CY29" s="264">
        <f t="shared" si="94"/>
        <v>0</v>
      </c>
      <c r="CZ29" s="264">
        <f t="shared" si="95"/>
        <v>0</v>
      </c>
      <c r="DA29" s="264">
        <f t="shared" si="96"/>
        <v>0</v>
      </c>
    </row>
    <row r="30" spans="1:105" s="261" customFormat="1" ht="15" customHeight="1">
      <c r="A30" s="63" t="str">
        <f t="array" ref="A30">IF(C30&lt;&gt;0,SUM(($C$11:C30&lt;&gt;0)*1),"")</f>
        <v/>
      </c>
      <c r="B30" s="262"/>
      <c r="C30" s="262"/>
      <c r="D30" s="262"/>
      <c r="E30" s="344"/>
      <c r="F30" s="311"/>
      <c r="G30" s="313"/>
      <c r="H30" s="313"/>
      <c r="I30" s="63" t="str">
        <f t="shared" si="97"/>
        <v/>
      </c>
      <c r="J30" s="264">
        <f t="shared" si="61"/>
        <v>0</v>
      </c>
      <c r="K30" s="264">
        <f t="shared" si="62"/>
        <v>0</v>
      </c>
      <c r="L30" s="264">
        <f t="shared" si="1"/>
        <v>0</v>
      </c>
      <c r="M30" s="264">
        <f t="shared" si="2"/>
        <v>0</v>
      </c>
      <c r="N30" s="264">
        <f t="shared" si="3"/>
        <v>0</v>
      </c>
      <c r="O30" s="264">
        <f t="shared" si="4"/>
        <v>0</v>
      </c>
      <c r="P30" s="264">
        <f t="shared" si="5"/>
        <v>0</v>
      </c>
      <c r="Q30" s="264">
        <f t="shared" si="6"/>
        <v>0</v>
      </c>
      <c r="R30" s="264">
        <f t="shared" si="7"/>
        <v>0</v>
      </c>
      <c r="S30" s="264">
        <f t="shared" si="8"/>
        <v>0</v>
      </c>
      <c r="T30" s="264">
        <f t="shared" si="9"/>
        <v>0</v>
      </c>
      <c r="U30" s="264">
        <f t="shared" si="10"/>
        <v>0</v>
      </c>
      <c r="V30" s="264">
        <f t="shared" si="11"/>
        <v>0</v>
      </c>
      <c r="W30" s="264">
        <f t="shared" si="12"/>
        <v>0</v>
      </c>
      <c r="X30" s="264">
        <f t="shared" si="13"/>
        <v>0</v>
      </c>
      <c r="Y30" s="264">
        <f t="shared" si="14"/>
        <v>0</v>
      </c>
      <c r="Z30" s="264">
        <f t="shared" si="15"/>
        <v>0</v>
      </c>
      <c r="AA30" s="264">
        <f t="shared" si="16"/>
        <v>0</v>
      </c>
      <c r="AB30" s="264">
        <f t="shared" si="63"/>
        <v>0</v>
      </c>
      <c r="AC30" s="264">
        <f t="shared" si="64"/>
        <v>0</v>
      </c>
      <c r="AD30" s="264">
        <f t="shared" si="17"/>
        <v>0</v>
      </c>
      <c r="AE30" s="264">
        <f t="shared" si="18"/>
        <v>0</v>
      </c>
      <c r="AF30" s="264">
        <f t="shared" si="19"/>
        <v>0</v>
      </c>
      <c r="AG30" s="264">
        <f t="shared" si="20"/>
        <v>0</v>
      </c>
      <c r="AH30" s="264">
        <f t="shared" si="65"/>
        <v>0</v>
      </c>
      <c r="AI30" s="264">
        <f t="shared" si="66"/>
        <v>0</v>
      </c>
      <c r="AJ30" s="264">
        <f t="shared" si="67"/>
        <v>0</v>
      </c>
      <c r="AK30" s="264">
        <f t="shared" si="68"/>
        <v>0</v>
      </c>
      <c r="AL30" s="264">
        <f t="shared" si="69"/>
        <v>0</v>
      </c>
      <c r="AM30" s="264">
        <f t="shared" si="70"/>
        <v>0</v>
      </c>
      <c r="AN30" s="264">
        <f t="shared" si="71"/>
        <v>0</v>
      </c>
      <c r="AO30" s="264">
        <f t="shared" si="72"/>
        <v>0</v>
      </c>
      <c r="AP30" s="264">
        <f t="shared" si="21"/>
        <v>0</v>
      </c>
      <c r="AQ30" s="264">
        <f t="shared" si="22"/>
        <v>0</v>
      </c>
      <c r="AR30" s="264">
        <f t="shared" si="23"/>
        <v>0</v>
      </c>
      <c r="AS30" s="264">
        <f t="shared" si="24"/>
        <v>0</v>
      </c>
      <c r="AT30" s="264">
        <f t="shared" si="73"/>
        <v>0</v>
      </c>
      <c r="AU30" s="264">
        <f t="shared" si="74"/>
        <v>0</v>
      </c>
      <c r="AV30" s="264">
        <f t="shared" si="25"/>
        <v>0</v>
      </c>
      <c r="AW30" s="264">
        <f t="shared" si="26"/>
        <v>0</v>
      </c>
      <c r="AX30" s="264">
        <f t="shared" si="27"/>
        <v>0</v>
      </c>
      <c r="AY30" s="264">
        <f t="shared" si="28"/>
        <v>0</v>
      </c>
      <c r="AZ30" s="264">
        <f t="shared" si="29"/>
        <v>0</v>
      </c>
      <c r="BA30" s="264">
        <f t="shared" si="30"/>
        <v>0</v>
      </c>
      <c r="BB30" s="264">
        <f t="shared" si="31"/>
        <v>0</v>
      </c>
      <c r="BC30" s="264">
        <f t="shared" si="32"/>
        <v>0</v>
      </c>
      <c r="BD30" s="264">
        <f t="shared" si="33"/>
        <v>0</v>
      </c>
      <c r="BE30" s="264">
        <f t="shared" si="34"/>
        <v>0</v>
      </c>
      <c r="BF30" s="264">
        <f t="shared" si="35"/>
        <v>0</v>
      </c>
      <c r="BG30" s="264">
        <f t="shared" si="36"/>
        <v>0</v>
      </c>
      <c r="BH30" s="264">
        <f t="shared" si="75"/>
        <v>0</v>
      </c>
      <c r="BI30" s="264">
        <f t="shared" si="76"/>
        <v>0</v>
      </c>
      <c r="BJ30" s="264">
        <f t="shared" si="37"/>
        <v>0</v>
      </c>
      <c r="BK30" s="264">
        <f t="shared" si="38"/>
        <v>0</v>
      </c>
      <c r="BL30" s="264">
        <f t="shared" si="39"/>
        <v>0</v>
      </c>
      <c r="BM30" s="264">
        <f t="shared" si="40"/>
        <v>0</v>
      </c>
      <c r="BN30" s="264">
        <f t="shared" si="41"/>
        <v>0</v>
      </c>
      <c r="BO30" s="264">
        <f t="shared" si="42"/>
        <v>0</v>
      </c>
      <c r="BP30" s="264">
        <f t="shared" si="77"/>
        <v>0</v>
      </c>
      <c r="BQ30" s="264">
        <f t="shared" si="78"/>
        <v>0</v>
      </c>
      <c r="BR30" s="264">
        <f t="shared" si="43"/>
        <v>0</v>
      </c>
      <c r="BS30" s="264">
        <f t="shared" si="44"/>
        <v>0</v>
      </c>
      <c r="BT30" s="264">
        <f t="shared" si="79"/>
        <v>0</v>
      </c>
      <c r="BU30" s="264">
        <f t="shared" si="80"/>
        <v>0</v>
      </c>
      <c r="BV30" s="264">
        <f t="shared" si="81"/>
        <v>0</v>
      </c>
      <c r="BW30" s="264">
        <f t="shared" si="82"/>
        <v>0</v>
      </c>
      <c r="BX30" s="264">
        <f t="shared" si="45"/>
        <v>0</v>
      </c>
      <c r="BY30" s="264">
        <f t="shared" si="46"/>
        <v>0</v>
      </c>
      <c r="BZ30" s="264">
        <f t="shared" si="47"/>
        <v>0</v>
      </c>
      <c r="CA30" s="264">
        <f t="shared" si="48"/>
        <v>0</v>
      </c>
      <c r="CB30" s="264">
        <f t="shared" si="49"/>
        <v>0</v>
      </c>
      <c r="CC30" s="264">
        <f t="shared" si="50"/>
        <v>0</v>
      </c>
      <c r="CD30" s="264">
        <f t="shared" si="83"/>
        <v>0</v>
      </c>
      <c r="CE30" s="264">
        <f t="shared" si="84"/>
        <v>0</v>
      </c>
      <c r="CF30" s="264">
        <f t="shared" si="85"/>
        <v>0</v>
      </c>
      <c r="CG30" s="264">
        <f t="shared" si="86"/>
        <v>0</v>
      </c>
      <c r="CH30" s="264">
        <f t="shared" si="51"/>
        <v>0</v>
      </c>
      <c r="CI30" s="264">
        <f t="shared" si="52"/>
        <v>0</v>
      </c>
      <c r="CJ30" s="264">
        <f t="shared" si="87"/>
        <v>0</v>
      </c>
      <c r="CK30" s="264">
        <f t="shared" si="88"/>
        <v>0</v>
      </c>
      <c r="CL30" s="264">
        <f t="shared" si="53"/>
        <v>0</v>
      </c>
      <c r="CM30" s="264">
        <f t="shared" si="54"/>
        <v>0</v>
      </c>
      <c r="CN30" s="264">
        <f t="shared" si="55"/>
        <v>0</v>
      </c>
      <c r="CO30" s="264">
        <f t="shared" si="56"/>
        <v>0</v>
      </c>
      <c r="CP30" s="264">
        <f t="shared" si="89"/>
        <v>0</v>
      </c>
      <c r="CQ30" s="264">
        <f t="shared" si="90"/>
        <v>0</v>
      </c>
      <c r="CR30" s="264">
        <f t="shared" si="91"/>
        <v>0</v>
      </c>
      <c r="CS30" s="264">
        <f t="shared" si="92"/>
        <v>0</v>
      </c>
      <c r="CT30" s="264">
        <f t="shared" si="57"/>
        <v>0</v>
      </c>
      <c r="CU30" s="264">
        <f t="shared" si="58"/>
        <v>0</v>
      </c>
      <c r="CV30" s="264">
        <f t="shared" si="59"/>
        <v>0</v>
      </c>
      <c r="CW30" s="264">
        <f t="shared" si="60"/>
        <v>0</v>
      </c>
      <c r="CX30" s="264">
        <f t="shared" si="93"/>
        <v>0</v>
      </c>
      <c r="CY30" s="264">
        <f t="shared" si="94"/>
        <v>0</v>
      </c>
      <c r="CZ30" s="264">
        <f t="shared" si="95"/>
        <v>0</v>
      </c>
      <c r="DA30" s="264">
        <f t="shared" si="96"/>
        <v>0</v>
      </c>
    </row>
    <row r="31" spans="1:105" s="261" customFormat="1" ht="15" customHeight="1">
      <c r="A31" s="63" t="str">
        <f t="array" ref="A31">IF(C31&lt;&gt;0,SUM(($C$11:C31&lt;&gt;0)*1),"")</f>
        <v/>
      </c>
      <c r="B31" s="262"/>
      <c r="C31" s="262"/>
      <c r="D31" s="262"/>
      <c r="E31" s="344"/>
      <c r="F31" s="311"/>
      <c r="G31" s="313"/>
      <c r="H31" s="313"/>
      <c r="I31" s="63" t="str">
        <f t="shared" si="97"/>
        <v/>
      </c>
      <c r="J31" s="264">
        <f t="shared" si="61"/>
        <v>0</v>
      </c>
      <c r="K31" s="264">
        <f t="shared" si="62"/>
        <v>0</v>
      </c>
      <c r="L31" s="264">
        <f t="shared" si="1"/>
        <v>0</v>
      </c>
      <c r="M31" s="264">
        <f t="shared" si="2"/>
        <v>0</v>
      </c>
      <c r="N31" s="264">
        <f t="shared" si="3"/>
        <v>0</v>
      </c>
      <c r="O31" s="264">
        <f t="shared" si="4"/>
        <v>0</v>
      </c>
      <c r="P31" s="264">
        <f t="shared" si="5"/>
        <v>0</v>
      </c>
      <c r="Q31" s="264">
        <f t="shared" si="6"/>
        <v>0</v>
      </c>
      <c r="R31" s="264">
        <f t="shared" si="7"/>
        <v>0</v>
      </c>
      <c r="S31" s="264">
        <f t="shared" si="8"/>
        <v>0</v>
      </c>
      <c r="T31" s="264">
        <f t="shared" si="9"/>
        <v>0</v>
      </c>
      <c r="U31" s="264">
        <f t="shared" si="10"/>
        <v>0</v>
      </c>
      <c r="V31" s="264">
        <f t="shared" si="11"/>
        <v>0</v>
      </c>
      <c r="W31" s="264">
        <f t="shared" si="12"/>
        <v>0</v>
      </c>
      <c r="X31" s="264">
        <f t="shared" si="13"/>
        <v>0</v>
      </c>
      <c r="Y31" s="264">
        <f t="shared" si="14"/>
        <v>0</v>
      </c>
      <c r="Z31" s="264">
        <f t="shared" si="15"/>
        <v>0</v>
      </c>
      <c r="AA31" s="264">
        <f t="shared" si="16"/>
        <v>0</v>
      </c>
      <c r="AB31" s="264">
        <f t="shared" si="63"/>
        <v>0</v>
      </c>
      <c r="AC31" s="264">
        <f t="shared" si="64"/>
        <v>0</v>
      </c>
      <c r="AD31" s="264">
        <f t="shared" si="17"/>
        <v>0</v>
      </c>
      <c r="AE31" s="264">
        <f t="shared" si="18"/>
        <v>0</v>
      </c>
      <c r="AF31" s="264">
        <f t="shared" si="19"/>
        <v>0</v>
      </c>
      <c r="AG31" s="264">
        <f t="shared" si="20"/>
        <v>0</v>
      </c>
      <c r="AH31" s="264">
        <f t="shared" si="65"/>
        <v>0</v>
      </c>
      <c r="AI31" s="264">
        <f t="shared" si="66"/>
        <v>0</v>
      </c>
      <c r="AJ31" s="264">
        <f t="shared" si="67"/>
        <v>0</v>
      </c>
      <c r="AK31" s="264">
        <f t="shared" si="68"/>
        <v>0</v>
      </c>
      <c r="AL31" s="264">
        <f t="shared" si="69"/>
        <v>0</v>
      </c>
      <c r="AM31" s="264">
        <f t="shared" si="70"/>
        <v>0</v>
      </c>
      <c r="AN31" s="264">
        <f t="shared" si="71"/>
        <v>0</v>
      </c>
      <c r="AO31" s="264">
        <f t="shared" si="72"/>
        <v>0</v>
      </c>
      <c r="AP31" s="264">
        <f t="shared" si="21"/>
        <v>0</v>
      </c>
      <c r="AQ31" s="264">
        <f t="shared" si="22"/>
        <v>0</v>
      </c>
      <c r="AR31" s="264">
        <f t="shared" si="23"/>
        <v>0</v>
      </c>
      <c r="AS31" s="264">
        <f t="shared" si="24"/>
        <v>0</v>
      </c>
      <c r="AT31" s="264">
        <f t="shared" si="73"/>
        <v>0</v>
      </c>
      <c r="AU31" s="264">
        <f t="shared" si="74"/>
        <v>0</v>
      </c>
      <c r="AV31" s="264">
        <f t="shared" si="25"/>
        <v>0</v>
      </c>
      <c r="AW31" s="264">
        <f t="shared" si="26"/>
        <v>0</v>
      </c>
      <c r="AX31" s="264">
        <f t="shared" si="27"/>
        <v>0</v>
      </c>
      <c r="AY31" s="264">
        <f t="shared" si="28"/>
        <v>0</v>
      </c>
      <c r="AZ31" s="264">
        <f t="shared" si="29"/>
        <v>0</v>
      </c>
      <c r="BA31" s="264">
        <f t="shared" si="30"/>
        <v>0</v>
      </c>
      <c r="BB31" s="264">
        <f t="shared" si="31"/>
        <v>0</v>
      </c>
      <c r="BC31" s="264">
        <f t="shared" si="32"/>
        <v>0</v>
      </c>
      <c r="BD31" s="264">
        <f t="shared" si="33"/>
        <v>0</v>
      </c>
      <c r="BE31" s="264">
        <f t="shared" si="34"/>
        <v>0</v>
      </c>
      <c r="BF31" s="264">
        <f t="shared" si="35"/>
        <v>0</v>
      </c>
      <c r="BG31" s="264">
        <f t="shared" si="36"/>
        <v>0</v>
      </c>
      <c r="BH31" s="264">
        <f t="shared" si="75"/>
        <v>0</v>
      </c>
      <c r="BI31" s="264">
        <f t="shared" si="76"/>
        <v>0</v>
      </c>
      <c r="BJ31" s="264">
        <f t="shared" si="37"/>
        <v>0</v>
      </c>
      <c r="BK31" s="264">
        <f t="shared" si="38"/>
        <v>0</v>
      </c>
      <c r="BL31" s="264">
        <f t="shared" si="39"/>
        <v>0</v>
      </c>
      <c r="BM31" s="264">
        <f t="shared" si="40"/>
        <v>0</v>
      </c>
      <c r="BN31" s="264">
        <f t="shared" si="41"/>
        <v>0</v>
      </c>
      <c r="BO31" s="264">
        <f t="shared" si="42"/>
        <v>0</v>
      </c>
      <c r="BP31" s="264">
        <f t="shared" si="77"/>
        <v>0</v>
      </c>
      <c r="BQ31" s="264">
        <f t="shared" si="78"/>
        <v>0</v>
      </c>
      <c r="BR31" s="264">
        <f t="shared" si="43"/>
        <v>0</v>
      </c>
      <c r="BS31" s="264">
        <f t="shared" si="44"/>
        <v>0</v>
      </c>
      <c r="BT31" s="264">
        <f t="shared" si="79"/>
        <v>0</v>
      </c>
      <c r="BU31" s="264">
        <f t="shared" si="80"/>
        <v>0</v>
      </c>
      <c r="BV31" s="264">
        <f t="shared" si="81"/>
        <v>0</v>
      </c>
      <c r="BW31" s="264">
        <f t="shared" si="82"/>
        <v>0</v>
      </c>
      <c r="BX31" s="264">
        <f t="shared" si="45"/>
        <v>0</v>
      </c>
      <c r="BY31" s="264">
        <f t="shared" si="46"/>
        <v>0</v>
      </c>
      <c r="BZ31" s="264">
        <f t="shared" si="47"/>
        <v>0</v>
      </c>
      <c r="CA31" s="264">
        <f t="shared" si="48"/>
        <v>0</v>
      </c>
      <c r="CB31" s="264">
        <f t="shared" si="49"/>
        <v>0</v>
      </c>
      <c r="CC31" s="264">
        <f t="shared" si="50"/>
        <v>0</v>
      </c>
      <c r="CD31" s="264">
        <f t="shared" si="83"/>
        <v>0</v>
      </c>
      <c r="CE31" s="264">
        <f t="shared" si="84"/>
        <v>0</v>
      </c>
      <c r="CF31" s="264">
        <f t="shared" si="85"/>
        <v>0</v>
      </c>
      <c r="CG31" s="264">
        <f t="shared" si="86"/>
        <v>0</v>
      </c>
      <c r="CH31" s="264">
        <f t="shared" si="51"/>
        <v>0</v>
      </c>
      <c r="CI31" s="264">
        <f t="shared" si="52"/>
        <v>0</v>
      </c>
      <c r="CJ31" s="264">
        <f t="shared" si="87"/>
        <v>0</v>
      </c>
      <c r="CK31" s="264">
        <f t="shared" si="88"/>
        <v>0</v>
      </c>
      <c r="CL31" s="264">
        <f t="shared" si="53"/>
        <v>0</v>
      </c>
      <c r="CM31" s="264">
        <f t="shared" si="54"/>
        <v>0</v>
      </c>
      <c r="CN31" s="264">
        <f t="shared" si="55"/>
        <v>0</v>
      </c>
      <c r="CO31" s="264">
        <f t="shared" si="56"/>
        <v>0</v>
      </c>
      <c r="CP31" s="264">
        <f t="shared" si="89"/>
        <v>0</v>
      </c>
      <c r="CQ31" s="264">
        <f t="shared" si="90"/>
        <v>0</v>
      </c>
      <c r="CR31" s="264">
        <f t="shared" si="91"/>
        <v>0</v>
      </c>
      <c r="CS31" s="264">
        <f t="shared" si="92"/>
        <v>0</v>
      </c>
      <c r="CT31" s="264">
        <f t="shared" si="57"/>
        <v>0</v>
      </c>
      <c r="CU31" s="264">
        <f t="shared" si="58"/>
        <v>0</v>
      </c>
      <c r="CV31" s="264">
        <f t="shared" si="59"/>
        <v>0</v>
      </c>
      <c r="CW31" s="264">
        <f t="shared" si="60"/>
        <v>0</v>
      </c>
      <c r="CX31" s="264">
        <f t="shared" si="93"/>
        <v>0</v>
      </c>
      <c r="CY31" s="264">
        <f t="shared" si="94"/>
        <v>0</v>
      </c>
      <c r="CZ31" s="264">
        <f t="shared" si="95"/>
        <v>0</v>
      </c>
      <c r="DA31" s="264">
        <f t="shared" si="96"/>
        <v>0</v>
      </c>
    </row>
    <row r="32" spans="1:105" s="261" customFormat="1" ht="15" customHeight="1">
      <c r="A32" s="63" t="str">
        <f t="array" ref="A32">IF(C32&lt;&gt;0,SUM(($C$11:C32&lt;&gt;0)*1),"")</f>
        <v/>
      </c>
      <c r="B32" s="262"/>
      <c r="C32" s="262"/>
      <c r="D32" s="262"/>
      <c r="E32" s="344"/>
      <c r="F32" s="311"/>
      <c r="G32" s="313"/>
      <c r="H32" s="313"/>
      <c r="I32" s="63" t="str">
        <f t="shared" si="97"/>
        <v/>
      </c>
      <c r="J32" s="264">
        <f t="shared" si="61"/>
        <v>0</v>
      </c>
      <c r="K32" s="264">
        <f t="shared" si="62"/>
        <v>0</v>
      </c>
      <c r="L32" s="264">
        <f t="shared" si="1"/>
        <v>0</v>
      </c>
      <c r="M32" s="264">
        <f t="shared" si="2"/>
        <v>0</v>
      </c>
      <c r="N32" s="264">
        <f t="shared" si="3"/>
        <v>0</v>
      </c>
      <c r="O32" s="264">
        <f t="shared" si="4"/>
        <v>0</v>
      </c>
      <c r="P32" s="264">
        <f t="shared" si="5"/>
        <v>0</v>
      </c>
      <c r="Q32" s="264">
        <f t="shared" si="6"/>
        <v>0</v>
      </c>
      <c r="R32" s="264">
        <f t="shared" si="7"/>
        <v>0</v>
      </c>
      <c r="S32" s="264">
        <f t="shared" si="8"/>
        <v>0</v>
      </c>
      <c r="T32" s="264">
        <f t="shared" si="9"/>
        <v>0</v>
      </c>
      <c r="U32" s="264">
        <f t="shared" si="10"/>
        <v>0</v>
      </c>
      <c r="V32" s="264">
        <f t="shared" si="11"/>
        <v>0</v>
      </c>
      <c r="W32" s="264">
        <f t="shared" si="12"/>
        <v>0</v>
      </c>
      <c r="X32" s="264">
        <f t="shared" si="13"/>
        <v>0</v>
      </c>
      <c r="Y32" s="264">
        <f t="shared" si="14"/>
        <v>0</v>
      </c>
      <c r="Z32" s="264">
        <f t="shared" si="15"/>
        <v>0</v>
      </c>
      <c r="AA32" s="264">
        <f t="shared" si="16"/>
        <v>0</v>
      </c>
      <c r="AB32" s="264">
        <f t="shared" si="63"/>
        <v>0</v>
      </c>
      <c r="AC32" s="264">
        <f t="shared" si="64"/>
        <v>0</v>
      </c>
      <c r="AD32" s="264">
        <f t="shared" si="17"/>
        <v>0</v>
      </c>
      <c r="AE32" s="264">
        <f t="shared" si="18"/>
        <v>0</v>
      </c>
      <c r="AF32" s="264">
        <f t="shared" si="19"/>
        <v>0</v>
      </c>
      <c r="AG32" s="264">
        <f t="shared" si="20"/>
        <v>0</v>
      </c>
      <c r="AH32" s="264">
        <f t="shared" si="65"/>
        <v>0</v>
      </c>
      <c r="AI32" s="264">
        <f t="shared" si="66"/>
        <v>0</v>
      </c>
      <c r="AJ32" s="264">
        <f t="shared" si="67"/>
        <v>0</v>
      </c>
      <c r="AK32" s="264">
        <f t="shared" si="68"/>
        <v>0</v>
      </c>
      <c r="AL32" s="264">
        <f t="shared" si="69"/>
        <v>0</v>
      </c>
      <c r="AM32" s="264">
        <f t="shared" si="70"/>
        <v>0</v>
      </c>
      <c r="AN32" s="264">
        <f t="shared" si="71"/>
        <v>0</v>
      </c>
      <c r="AO32" s="264">
        <f t="shared" si="72"/>
        <v>0</v>
      </c>
      <c r="AP32" s="264">
        <f t="shared" si="21"/>
        <v>0</v>
      </c>
      <c r="AQ32" s="264">
        <f t="shared" si="22"/>
        <v>0</v>
      </c>
      <c r="AR32" s="264">
        <f t="shared" si="23"/>
        <v>0</v>
      </c>
      <c r="AS32" s="264">
        <f t="shared" si="24"/>
        <v>0</v>
      </c>
      <c r="AT32" s="264">
        <f t="shared" si="73"/>
        <v>0</v>
      </c>
      <c r="AU32" s="264">
        <f t="shared" si="74"/>
        <v>0</v>
      </c>
      <c r="AV32" s="264">
        <f t="shared" si="25"/>
        <v>0</v>
      </c>
      <c r="AW32" s="264">
        <f t="shared" si="26"/>
        <v>0</v>
      </c>
      <c r="AX32" s="264">
        <f t="shared" si="27"/>
        <v>0</v>
      </c>
      <c r="AY32" s="264">
        <f t="shared" si="28"/>
        <v>0</v>
      </c>
      <c r="AZ32" s="264">
        <f t="shared" si="29"/>
        <v>0</v>
      </c>
      <c r="BA32" s="264">
        <f t="shared" si="30"/>
        <v>0</v>
      </c>
      <c r="BB32" s="264">
        <f t="shared" si="31"/>
        <v>0</v>
      </c>
      <c r="BC32" s="264">
        <f t="shared" si="32"/>
        <v>0</v>
      </c>
      <c r="BD32" s="264">
        <f t="shared" si="33"/>
        <v>0</v>
      </c>
      <c r="BE32" s="264">
        <f t="shared" si="34"/>
        <v>0</v>
      </c>
      <c r="BF32" s="264">
        <f t="shared" si="35"/>
        <v>0</v>
      </c>
      <c r="BG32" s="264">
        <f t="shared" si="36"/>
        <v>0</v>
      </c>
      <c r="BH32" s="264">
        <f t="shared" si="75"/>
        <v>0</v>
      </c>
      <c r="BI32" s="264">
        <f t="shared" si="76"/>
        <v>0</v>
      </c>
      <c r="BJ32" s="264">
        <f t="shared" si="37"/>
        <v>0</v>
      </c>
      <c r="BK32" s="264">
        <f t="shared" si="38"/>
        <v>0</v>
      </c>
      <c r="BL32" s="264">
        <f t="shared" si="39"/>
        <v>0</v>
      </c>
      <c r="BM32" s="264">
        <f t="shared" si="40"/>
        <v>0</v>
      </c>
      <c r="BN32" s="264">
        <f t="shared" si="41"/>
        <v>0</v>
      </c>
      <c r="BO32" s="264">
        <f t="shared" si="42"/>
        <v>0</v>
      </c>
      <c r="BP32" s="264">
        <f t="shared" si="77"/>
        <v>0</v>
      </c>
      <c r="BQ32" s="264">
        <f t="shared" si="78"/>
        <v>0</v>
      </c>
      <c r="BR32" s="264">
        <f t="shared" si="43"/>
        <v>0</v>
      </c>
      <c r="BS32" s="264">
        <f t="shared" si="44"/>
        <v>0</v>
      </c>
      <c r="BT32" s="264">
        <f t="shared" si="79"/>
        <v>0</v>
      </c>
      <c r="BU32" s="264">
        <f t="shared" si="80"/>
        <v>0</v>
      </c>
      <c r="BV32" s="264">
        <f t="shared" si="81"/>
        <v>0</v>
      </c>
      <c r="BW32" s="264">
        <f t="shared" si="82"/>
        <v>0</v>
      </c>
      <c r="BX32" s="264">
        <f t="shared" si="45"/>
        <v>0</v>
      </c>
      <c r="BY32" s="264">
        <f t="shared" si="46"/>
        <v>0</v>
      </c>
      <c r="BZ32" s="264">
        <f t="shared" si="47"/>
        <v>0</v>
      </c>
      <c r="CA32" s="264">
        <f t="shared" si="48"/>
        <v>0</v>
      </c>
      <c r="CB32" s="264">
        <f t="shared" si="49"/>
        <v>0</v>
      </c>
      <c r="CC32" s="264">
        <f t="shared" si="50"/>
        <v>0</v>
      </c>
      <c r="CD32" s="264">
        <f t="shared" si="83"/>
        <v>0</v>
      </c>
      <c r="CE32" s="264">
        <f t="shared" si="84"/>
        <v>0</v>
      </c>
      <c r="CF32" s="264">
        <f t="shared" si="85"/>
        <v>0</v>
      </c>
      <c r="CG32" s="264">
        <f t="shared" si="86"/>
        <v>0</v>
      </c>
      <c r="CH32" s="264">
        <f t="shared" si="51"/>
        <v>0</v>
      </c>
      <c r="CI32" s="264">
        <f t="shared" si="52"/>
        <v>0</v>
      </c>
      <c r="CJ32" s="264">
        <f t="shared" si="87"/>
        <v>0</v>
      </c>
      <c r="CK32" s="264">
        <f t="shared" si="88"/>
        <v>0</v>
      </c>
      <c r="CL32" s="264">
        <f t="shared" si="53"/>
        <v>0</v>
      </c>
      <c r="CM32" s="264">
        <f t="shared" si="54"/>
        <v>0</v>
      </c>
      <c r="CN32" s="264">
        <f t="shared" si="55"/>
        <v>0</v>
      </c>
      <c r="CO32" s="264">
        <f t="shared" si="56"/>
        <v>0</v>
      </c>
      <c r="CP32" s="264">
        <f t="shared" si="89"/>
        <v>0</v>
      </c>
      <c r="CQ32" s="264">
        <f t="shared" si="90"/>
        <v>0</v>
      </c>
      <c r="CR32" s="264">
        <f t="shared" si="91"/>
        <v>0</v>
      </c>
      <c r="CS32" s="264">
        <f t="shared" si="92"/>
        <v>0</v>
      </c>
      <c r="CT32" s="264">
        <f t="shared" si="57"/>
        <v>0</v>
      </c>
      <c r="CU32" s="264">
        <f t="shared" si="58"/>
        <v>0</v>
      </c>
      <c r="CV32" s="264">
        <f t="shared" si="59"/>
        <v>0</v>
      </c>
      <c r="CW32" s="264">
        <f t="shared" si="60"/>
        <v>0</v>
      </c>
      <c r="CX32" s="264">
        <f t="shared" si="93"/>
        <v>0</v>
      </c>
      <c r="CY32" s="264">
        <f t="shared" si="94"/>
        <v>0</v>
      </c>
      <c r="CZ32" s="264">
        <f t="shared" si="95"/>
        <v>0</v>
      </c>
      <c r="DA32" s="264">
        <f t="shared" si="96"/>
        <v>0</v>
      </c>
    </row>
    <row r="33" spans="1:105" s="261" customFormat="1" ht="15" customHeight="1">
      <c r="A33" s="63" t="str">
        <f t="array" ref="A33">IF(C33&lt;&gt;0,SUM(($C$11:C33&lt;&gt;0)*1),"")</f>
        <v/>
      </c>
      <c r="B33" s="262"/>
      <c r="C33" s="262"/>
      <c r="D33" s="262"/>
      <c r="E33" s="344"/>
      <c r="F33" s="311"/>
      <c r="G33" s="313"/>
      <c r="H33" s="313"/>
      <c r="I33" s="63" t="str">
        <f t="shared" si="97"/>
        <v/>
      </c>
      <c r="J33" s="264">
        <f t="shared" si="61"/>
        <v>0</v>
      </c>
      <c r="K33" s="264">
        <f t="shared" si="62"/>
        <v>0</v>
      </c>
      <c r="L33" s="264">
        <f t="shared" si="1"/>
        <v>0</v>
      </c>
      <c r="M33" s="264">
        <f t="shared" si="2"/>
        <v>0</v>
      </c>
      <c r="N33" s="264">
        <f t="shared" si="3"/>
        <v>0</v>
      </c>
      <c r="O33" s="264">
        <f t="shared" si="4"/>
        <v>0</v>
      </c>
      <c r="P33" s="264">
        <f t="shared" si="5"/>
        <v>0</v>
      </c>
      <c r="Q33" s="264">
        <f t="shared" si="6"/>
        <v>0</v>
      </c>
      <c r="R33" s="264">
        <f t="shared" si="7"/>
        <v>0</v>
      </c>
      <c r="S33" s="264">
        <f t="shared" si="8"/>
        <v>0</v>
      </c>
      <c r="T33" s="264">
        <f t="shared" si="9"/>
        <v>0</v>
      </c>
      <c r="U33" s="264">
        <f t="shared" si="10"/>
        <v>0</v>
      </c>
      <c r="V33" s="264">
        <f t="shared" si="11"/>
        <v>0</v>
      </c>
      <c r="W33" s="264">
        <f t="shared" si="12"/>
        <v>0</v>
      </c>
      <c r="X33" s="264">
        <f t="shared" si="13"/>
        <v>0</v>
      </c>
      <c r="Y33" s="264">
        <f t="shared" si="14"/>
        <v>0</v>
      </c>
      <c r="Z33" s="264">
        <f t="shared" si="15"/>
        <v>0</v>
      </c>
      <c r="AA33" s="264">
        <f t="shared" si="16"/>
        <v>0</v>
      </c>
      <c r="AB33" s="264">
        <f t="shared" si="63"/>
        <v>0</v>
      </c>
      <c r="AC33" s="264">
        <f t="shared" si="64"/>
        <v>0</v>
      </c>
      <c r="AD33" s="264">
        <f t="shared" si="17"/>
        <v>0</v>
      </c>
      <c r="AE33" s="264">
        <f t="shared" si="18"/>
        <v>0</v>
      </c>
      <c r="AF33" s="264">
        <f t="shared" si="19"/>
        <v>0</v>
      </c>
      <c r="AG33" s="264">
        <f t="shared" si="20"/>
        <v>0</v>
      </c>
      <c r="AH33" s="264">
        <f t="shared" si="65"/>
        <v>0</v>
      </c>
      <c r="AI33" s="264">
        <f t="shared" si="66"/>
        <v>0</v>
      </c>
      <c r="AJ33" s="264">
        <f t="shared" si="67"/>
        <v>0</v>
      </c>
      <c r="AK33" s="264">
        <f t="shared" si="68"/>
        <v>0</v>
      </c>
      <c r="AL33" s="264">
        <f t="shared" si="69"/>
        <v>0</v>
      </c>
      <c r="AM33" s="264">
        <f t="shared" si="70"/>
        <v>0</v>
      </c>
      <c r="AN33" s="264">
        <f t="shared" si="71"/>
        <v>0</v>
      </c>
      <c r="AO33" s="264">
        <f t="shared" si="72"/>
        <v>0</v>
      </c>
      <c r="AP33" s="264">
        <f t="shared" si="21"/>
        <v>0</v>
      </c>
      <c r="AQ33" s="264">
        <f t="shared" si="22"/>
        <v>0</v>
      </c>
      <c r="AR33" s="264">
        <f t="shared" si="23"/>
        <v>0</v>
      </c>
      <c r="AS33" s="264">
        <f t="shared" si="24"/>
        <v>0</v>
      </c>
      <c r="AT33" s="264">
        <f t="shared" si="73"/>
        <v>0</v>
      </c>
      <c r="AU33" s="264">
        <f t="shared" si="74"/>
        <v>0</v>
      </c>
      <c r="AV33" s="264">
        <f t="shared" si="25"/>
        <v>0</v>
      </c>
      <c r="AW33" s="264">
        <f t="shared" si="26"/>
        <v>0</v>
      </c>
      <c r="AX33" s="264">
        <f t="shared" si="27"/>
        <v>0</v>
      </c>
      <c r="AY33" s="264">
        <f t="shared" si="28"/>
        <v>0</v>
      </c>
      <c r="AZ33" s="264">
        <f t="shared" si="29"/>
        <v>0</v>
      </c>
      <c r="BA33" s="264">
        <f t="shared" si="30"/>
        <v>0</v>
      </c>
      <c r="BB33" s="264">
        <f t="shared" si="31"/>
        <v>0</v>
      </c>
      <c r="BC33" s="264">
        <f t="shared" si="32"/>
        <v>0</v>
      </c>
      <c r="BD33" s="264">
        <f t="shared" si="33"/>
        <v>0</v>
      </c>
      <c r="BE33" s="264">
        <f t="shared" si="34"/>
        <v>0</v>
      </c>
      <c r="BF33" s="264">
        <f t="shared" si="35"/>
        <v>0</v>
      </c>
      <c r="BG33" s="264">
        <f t="shared" si="36"/>
        <v>0</v>
      </c>
      <c r="BH33" s="264">
        <f t="shared" si="75"/>
        <v>0</v>
      </c>
      <c r="BI33" s="264">
        <f t="shared" si="76"/>
        <v>0</v>
      </c>
      <c r="BJ33" s="264">
        <f t="shared" si="37"/>
        <v>0</v>
      </c>
      <c r="BK33" s="264">
        <f t="shared" si="38"/>
        <v>0</v>
      </c>
      <c r="BL33" s="264">
        <f t="shared" si="39"/>
        <v>0</v>
      </c>
      <c r="BM33" s="264">
        <f t="shared" si="40"/>
        <v>0</v>
      </c>
      <c r="BN33" s="264">
        <f t="shared" si="41"/>
        <v>0</v>
      </c>
      <c r="BO33" s="264">
        <f t="shared" si="42"/>
        <v>0</v>
      </c>
      <c r="BP33" s="264">
        <f t="shared" si="77"/>
        <v>0</v>
      </c>
      <c r="BQ33" s="264">
        <f t="shared" si="78"/>
        <v>0</v>
      </c>
      <c r="BR33" s="264">
        <f t="shared" si="43"/>
        <v>0</v>
      </c>
      <c r="BS33" s="264">
        <f t="shared" si="44"/>
        <v>0</v>
      </c>
      <c r="BT33" s="264">
        <f t="shared" si="79"/>
        <v>0</v>
      </c>
      <c r="BU33" s="264">
        <f t="shared" si="80"/>
        <v>0</v>
      </c>
      <c r="BV33" s="264">
        <f t="shared" si="81"/>
        <v>0</v>
      </c>
      <c r="BW33" s="264">
        <f t="shared" si="82"/>
        <v>0</v>
      </c>
      <c r="BX33" s="264">
        <f t="shared" si="45"/>
        <v>0</v>
      </c>
      <c r="BY33" s="264">
        <f t="shared" si="46"/>
        <v>0</v>
      </c>
      <c r="BZ33" s="264">
        <f t="shared" si="47"/>
        <v>0</v>
      </c>
      <c r="CA33" s="264">
        <f t="shared" si="48"/>
        <v>0</v>
      </c>
      <c r="CB33" s="264">
        <f t="shared" si="49"/>
        <v>0</v>
      </c>
      <c r="CC33" s="264">
        <f t="shared" si="50"/>
        <v>0</v>
      </c>
      <c r="CD33" s="264">
        <f t="shared" si="83"/>
        <v>0</v>
      </c>
      <c r="CE33" s="264">
        <f t="shared" si="84"/>
        <v>0</v>
      </c>
      <c r="CF33" s="264">
        <f t="shared" si="85"/>
        <v>0</v>
      </c>
      <c r="CG33" s="264">
        <f t="shared" si="86"/>
        <v>0</v>
      </c>
      <c r="CH33" s="264">
        <f t="shared" si="51"/>
        <v>0</v>
      </c>
      <c r="CI33" s="264">
        <f t="shared" si="52"/>
        <v>0</v>
      </c>
      <c r="CJ33" s="264">
        <f t="shared" si="87"/>
        <v>0</v>
      </c>
      <c r="CK33" s="264">
        <f t="shared" si="88"/>
        <v>0</v>
      </c>
      <c r="CL33" s="264">
        <f t="shared" si="53"/>
        <v>0</v>
      </c>
      <c r="CM33" s="264">
        <f t="shared" si="54"/>
        <v>0</v>
      </c>
      <c r="CN33" s="264">
        <f t="shared" si="55"/>
        <v>0</v>
      </c>
      <c r="CO33" s="264">
        <f t="shared" si="56"/>
        <v>0</v>
      </c>
      <c r="CP33" s="264">
        <f t="shared" si="89"/>
        <v>0</v>
      </c>
      <c r="CQ33" s="264">
        <f t="shared" si="90"/>
        <v>0</v>
      </c>
      <c r="CR33" s="264">
        <f t="shared" si="91"/>
        <v>0</v>
      </c>
      <c r="CS33" s="264">
        <f t="shared" si="92"/>
        <v>0</v>
      </c>
      <c r="CT33" s="264">
        <f t="shared" si="57"/>
        <v>0</v>
      </c>
      <c r="CU33" s="264">
        <f t="shared" si="58"/>
        <v>0</v>
      </c>
      <c r="CV33" s="264">
        <f t="shared" si="59"/>
        <v>0</v>
      </c>
      <c r="CW33" s="264">
        <f t="shared" si="60"/>
        <v>0</v>
      </c>
      <c r="CX33" s="264">
        <f t="shared" si="93"/>
        <v>0</v>
      </c>
      <c r="CY33" s="264">
        <f t="shared" si="94"/>
        <v>0</v>
      </c>
      <c r="CZ33" s="264">
        <f t="shared" si="95"/>
        <v>0</v>
      </c>
      <c r="DA33" s="264">
        <f t="shared" si="96"/>
        <v>0</v>
      </c>
    </row>
    <row r="34" spans="1:105" s="261" customFormat="1" ht="15" customHeight="1">
      <c r="A34" s="63" t="str">
        <f t="array" ref="A34">IF(C34&lt;&gt;0,SUM(($C$11:C34&lt;&gt;0)*1),"")</f>
        <v/>
      </c>
      <c r="B34" s="262"/>
      <c r="C34" s="262"/>
      <c r="D34" s="262"/>
      <c r="E34" s="344"/>
      <c r="F34" s="311"/>
      <c r="G34" s="313"/>
      <c r="H34" s="313"/>
      <c r="I34" s="63" t="str">
        <f t="shared" si="97"/>
        <v/>
      </c>
      <c r="J34" s="264">
        <f t="shared" si="61"/>
        <v>0</v>
      </c>
      <c r="K34" s="264">
        <f t="shared" si="62"/>
        <v>0</v>
      </c>
      <c r="L34" s="264">
        <f t="shared" si="1"/>
        <v>0</v>
      </c>
      <c r="M34" s="264">
        <f t="shared" si="2"/>
        <v>0</v>
      </c>
      <c r="N34" s="264">
        <f t="shared" si="3"/>
        <v>0</v>
      </c>
      <c r="O34" s="264">
        <f t="shared" si="4"/>
        <v>0</v>
      </c>
      <c r="P34" s="264">
        <f t="shared" si="5"/>
        <v>0</v>
      </c>
      <c r="Q34" s="264">
        <f t="shared" si="6"/>
        <v>0</v>
      </c>
      <c r="R34" s="264">
        <f t="shared" si="7"/>
        <v>0</v>
      </c>
      <c r="S34" s="264">
        <f t="shared" si="8"/>
        <v>0</v>
      </c>
      <c r="T34" s="264">
        <f t="shared" si="9"/>
        <v>0</v>
      </c>
      <c r="U34" s="264">
        <f t="shared" si="10"/>
        <v>0</v>
      </c>
      <c r="V34" s="264">
        <f t="shared" si="11"/>
        <v>0</v>
      </c>
      <c r="W34" s="264">
        <f t="shared" si="12"/>
        <v>0</v>
      </c>
      <c r="X34" s="264">
        <f t="shared" si="13"/>
        <v>0</v>
      </c>
      <c r="Y34" s="264">
        <f t="shared" si="14"/>
        <v>0</v>
      </c>
      <c r="Z34" s="264">
        <f t="shared" si="15"/>
        <v>0</v>
      </c>
      <c r="AA34" s="264">
        <f t="shared" si="16"/>
        <v>0</v>
      </c>
      <c r="AB34" s="264">
        <f t="shared" si="63"/>
        <v>0</v>
      </c>
      <c r="AC34" s="264">
        <f t="shared" si="64"/>
        <v>0</v>
      </c>
      <c r="AD34" s="264">
        <f t="shared" si="17"/>
        <v>0</v>
      </c>
      <c r="AE34" s="264">
        <f t="shared" si="18"/>
        <v>0</v>
      </c>
      <c r="AF34" s="264">
        <f t="shared" si="19"/>
        <v>0</v>
      </c>
      <c r="AG34" s="264">
        <f t="shared" si="20"/>
        <v>0</v>
      </c>
      <c r="AH34" s="264">
        <f t="shared" si="65"/>
        <v>0</v>
      </c>
      <c r="AI34" s="264">
        <f t="shared" si="66"/>
        <v>0</v>
      </c>
      <c r="AJ34" s="264">
        <f t="shared" si="67"/>
        <v>0</v>
      </c>
      <c r="AK34" s="264">
        <f t="shared" si="68"/>
        <v>0</v>
      </c>
      <c r="AL34" s="264">
        <f t="shared" si="69"/>
        <v>0</v>
      </c>
      <c r="AM34" s="264">
        <f t="shared" si="70"/>
        <v>0</v>
      </c>
      <c r="AN34" s="264">
        <f t="shared" si="71"/>
        <v>0</v>
      </c>
      <c r="AO34" s="264">
        <f t="shared" si="72"/>
        <v>0</v>
      </c>
      <c r="AP34" s="264">
        <f t="shared" si="21"/>
        <v>0</v>
      </c>
      <c r="AQ34" s="264">
        <f t="shared" si="22"/>
        <v>0</v>
      </c>
      <c r="AR34" s="264">
        <f t="shared" si="23"/>
        <v>0</v>
      </c>
      <c r="AS34" s="264">
        <f t="shared" si="24"/>
        <v>0</v>
      </c>
      <c r="AT34" s="264">
        <f t="shared" si="73"/>
        <v>0</v>
      </c>
      <c r="AU34" s="264">
        <f t="shared" si="74"/>
        <v>0</v>
      </c>
      <c r="AV34" s="264">
        <f t="shared" si="25"/>
        <v>0</v>
      </c>
      <c r="AW34" s="264">
        <f t="shared" si="26"/>
        <v>0</v>
      </c>
      <c r="AX34" s="264">
        <f t="shared" si="27"/>
        <v>0</v>
      </c>
      <c r="AY34" s="264">
        <f t="shared" si="28"/>
        <v>0</v>
      </c>
      <c r="AZ34" s="264">
        <f t="shared" si="29"/>
        <v>0</v>
      </c>
      <c r="BA34" s="264">
        <f t="shared" si="30"/>
        <v>0</v>
      </c>
      <c r="BB34" s="264">
        <f t="shared" si="31"/>
        <v>0</v>
      </c>
      <c r="BC34" s="264">
        <f t="shared" si="32"/>
        <v>0</v>
      </c>
      <c r="BD34" s="264">
        <f t="shared" si="33"/>
        <v>0</v>
      </c>
      <c r="BE34" s="264">
        <f t="shared" si="34"/>
        <v>0</v>
      </c>
      <c r="BF34" s="264">
        <f t="shared" si="35"/>
        <v>0</v>
      </c>
      <c r="BG34" s="264">
        <f t="shared" si="36"/>
        <v>0</v>
      </c>
      <c r="BH34" s="264">
        <f t="shared" si="75"/>
        <v>0</v>
      </c>
      <c r="BI34" s="264">
        <f t="shared" si="76"/>
        <v>0</v>
      </c>
      <c r="BJ34" s="264">
        <f t="shared" si="37"/>
        <v>0</v>
      </c>
      <c r="BK34" s="264">
        <f t="shared" si="38"/>
        <v>0</v>
      </c>
      <c r="BL34" s="264">
        <f t="shared" si="39"/>
        <v>0</v>
      </c>
      <c r="BM34" s="264">
        <f t="shared" si="40"/>
        <v>0</v>
      </c>
      <c r="BN34" s="264">
        <f t="shared" si="41"/>
        <v>0</v>
      </c>
      <c r="BO34" s="264">
        <f t="shared" si="42"/>
        <v>0</v>
      </c>
      <c r="BP34" s="264">
        <f t="shared" si="77"/>
        <v>0</v>
      </c>
      <c r="BQ34" s="264">
        <f t="shared" si="78"/>
        <v>0</v>
      </c>
      <c r="BR34" s="264">
        <f t="shared" si="43"/>
        <v>0</v>
      </c>
      <c r="BS34" s="264">
        <f t="shared" si="44"/>
        <v>0</v>
      </c>
      <c r="BT34" s="264">
        <f t="shared" si="79"/>
        <v>0</v>
      </c>
      <c r="BU34" s="264">
        <f t="shared" si="80"/>
        <v>0</v>
      </c>
      <c r="BV34" s="264">
        <f t="shared" si="81"/>
        <v>0</v>
      </c>
      <c r="BW34" s="264">
        <f t="shared" si="82"/>
        <v>0</v>
      </c>
      <c r="BX34" s="264">
        <f t="shared" si="45"/>
        <v>0</v>
      </c>
      <c r="BY34" s="264">
        <f t="shared" si="46"/>
        <v>0</v>
      </c>
      <c r="BZ34" s="264">
        <f t="shared" si="47"/>
        <v>0</v>
      </c>
      <c r="CA34" s="264">
        <f t="shared" si="48"/>
        <v>0</v>
      </c>
      <c r="CB34" s="264">
        <f t="shared" si="49"/>
        <v>0</v>
      </c>
      <c r="CC34" s="264">
        <f t="shared" si="50"/>
        <v>0</v>
      </c>
      <c r="CD34" s="264">
        <f t="shared" si="83"/>
        <v>0</v>
      </c>
      <c r="CE34" s="264">
        <f t="shared" si="84"/>
        <v>0</v>
      </c>
      <c r="CF34" s="264">
        <f t="shared" si="85"/>
        <v>0</v>
      </c>
      <c r="CG34" s="264">
        <f t="shared" si="86"/>
        <v>0</v>
      </c>
      <c r="CH34" s="264">
        <f t="shared" si="51"/>
        <v>0</v>
      </c>
      <c r="CI34" s="264">
        <f t="shared" si="52"/>
        <v>0</v>
      </c>
      <c r="CJ34" s="264">
        <f t="shared" si="87"/>
        <v>0</v>
      </c>
      <c r="CK34" s="264">
        <f t="shared" si="88"/>
        <v>0</v>
      </c>
      <c r="CL34" s="264">
        <f t="shared" si="53"/>
        <v>0</v>
      </c>
      <c r="CM34" s="264">
        <f t="shared" si="54"/>
        <v>0</v>
      </c>
      <c r="CN34" s="264">
        <f t="shared" si="55"/>
        <v>0</v>
      </c>
      <c r="CO34" s="264">
        <f t="shared" si="56"/>
        <v>0</v>
      </c>
      <c r="CP34" s="264">
        <f t="shared" si="89"/>
        <v>0</v>
      </c>
      <c r="CQ34" s="264">
        <f t="shared" si="90"/>
        <v>0</v>
      </c>
      <c r="CR34" s="264">
        <f t="shared" si="91"/>
        <v>0</v>
      </c>
      <c r="CS34" s="264">
        <f t="shared" si="92"/>
        <v>0</v>
      </c>
      <c r="CT34" s="264">
        <f t="shared" si="57"/>
        <v>0</v>
      </c>
      <c r="CU34" s="264">
        <f t="shared" si="58"/>
        <v>0</v>
      </c>
      <c r="CV34" s="264">
        <f t="shared" si="59"/>
        <v>0</v>
      </c>
      <c r="CW34" s="264">
        <f t="shared" si="60"/>
        <v>0</v>
      </c>
      <c r="CX34" s="264">
        <f t="shared" si="93"/>
        <v>0</v>
      </c>
      <c r="CY34" s="264">
        <f t="shared" si="94"/>
        <v>0</v>
      </c>
      <c r="CZ34" s="264">
        <f t="shared" si="95"/>
        <v>0</v>
      </c>
      <c r="DA34" s="264">
        <f t="shared" si="96"/>
        <v>0</v>
      </c>
    </row>
    <row r="35" spans="1:105" s="261" customFormat="1" ht="15" customHeight="1">
      <c r="A35" s="63" t="str">
        <f t="array" ref="A35">IF(C35&lt;&gt;0,SUM(($C$11:C35&lt;&gt;0)*1),"")</f>
        <v/>
      </c>
      <c r="B35" s="262"/>
      <c r="C35" s="262"/>
      <c r="D35" s="262"/>
      <c r="E35" s="344"/>
      <c r="F35" s="311"/>
      <c r="G35" s="313"/>
      <c r="H35" s="313"/>
      <c r="I35" s="63" t="str">
        <f t="shared" si="97"/>
        <v/>
      </c>
      <c r="J35" s="264">
        <f t="shared" si="61"/>
        <v>0</v>
      </c>
      <c r="K35" s="264">
        <f t="shared" si="62"/>
        <v>0</v>
      </c>
      <c r="L35" s="264">
        <f t="shared" si="1"/>
        <v>0</v>
      </c>
      <c r="M35" s="264">
        <f t="shared" si="2"/>
        <v>0</v>
      </c>
      <c r="N35" s="264">
        <f t="shared" si="3"/>
        <v>0</v>
      </c>
      <c r="O35" s="264">
        <f t="shared" si="4"/>
        <v>0</v>
      </c>
      <c r="P35" s="264">
        <f t="shared" si="5"/>
        <v>0</v>
      </c>
      <c r="Q35" s="264">
        <f t="shared" si="6"/>
        <v>0</v>
      </c>
      <c r="R35" s="264">
        <f t="shared" si="7"/>
        <v>0</v>
      </c>
      <c r="S35" s="264">
        <f t="shared" si="8"/>
        <v>0</v>
      </c>
      <c r="T35" s="264">
        <f t="shared" si="9"/>
        <v>0</v>
      </c>
      <c r="U35" s="264">
        <f t="shared" si="10"/>
        <v>0</v>
      </c>
      <c r="V35" s="264">
        <f t="shared" si="11"/>
        <v>0</v>
      </c>
      <c r="W35" s="264">
        <f t="shared" si="12"/>
        <v>0</v>
      </c>
      <c r="X35" s="264">
        <f t="shared" si="13"/>
        <v>0</v>
      </c>
      <c r="Y35" s="264">
        <f t="shared" si="14"/>
        <v>0</v>
      </c>
      <c r="Z35" s="264">
        <f t="shared" si="15"/>
        <v>0</v>
      </c>
      <c r="AA35" s="264">
        <f t="shared" si="16"/>
        <v>0</v>
      </c>
      <c r="AB35" s="264">
        <f t="shared" si="63"/>
        <v>0</v>
      </c>
      <c r="AC35" s="264">
        <f t="shared" si="64"/>
        <v>0</v>
      </c>
      <c r="AD35" s="264">
        <f t="shared" si="17"/>
        <v>0</v>
      </c>
      <c r="AE35" s="264">
        <f t="shared" si="18"/>
        <v>0</v>
      </c>
      <c r="AF35" s="264">
        <f t="shared" si="19"/>
        <v>0</v>
      </c>
      <c r="AG35" s="264">
        <f t="shared" si="20"/>
        <v>0</v>
      </c>
      <c r="AH35" s="264">
        <f t="shared" si="65"/>
        <v>0</v>
      </c>
      <c r="AI35" s="264">
        <f t="shared" si="66"/>
        <v>0</v>
      </c>
      <c r="AJ35" s="264">
        <f t="shared" si="67"/>
        <v>0</v>
      </c>
      <c r="AK35" s="264">
        <f t="shared" si="68"/>
        <v>0</v>
      </c>
      <c r="AL35" s="264">
        <f t="shared" si="69"/>
        <v>0</v>
      </c>
      <c r="AM35" s="264">
        <f t="shared" si="70"/>
        <v>0</v>
      </c>
      <c r="AN35" s="264">
        <f t="shared" si="71"/>
        <v>0</v>
      </c>
      <c r="AO35" s="264">
        <f t="shared" si="72"/>
        <v>0</v>
      </c>
      <c r="AP35" s="264">
        <f t="shared" si="21"/>
        <v>0</v>
      </c>
      <c r="AQ35" s="264">
        <f t="shared" si="22"/>
        <v>0</v>
      </c>
      <c r="AR35" s="264">
        <f t="shared" si="23"/>
        <v>0</v>
      </c>
      <c r="AS35" s="264">
        <f t="shared" si="24"/>
        <v>0</v>
      </c>
      <c r="AT35" s="264">
        <f t="shared" si="73"/>
        <v>0</v>
      </c>
      <c r="AU35" s="264">
        <f t="shared" si="74"/>
        <v>0</v>
      </c>
      <c r="AV35" s="264">
        <f t="shared" si="25"/>
        <v>0</v>
      </c>
      <c r="AW35" s="264">
        <f t="shared" si="26"/>
        <v>0</v>
      </c>
      <c r="AX35" s="264">
        <f t="shared" si="27"/>
        <v>0</v>
      </c>
      <c r="AY35" s="264">
        <f t="shared" si="28"/>
        <v>0</v>
      </c>
      <c r="AZ35" s="264">
        <f t="shared" si="29"/>
        <v>0</v>
      </c>
      <c r="BA35" s="264">
        <f t="shared" si="30"/>
        <v>0</v>
      </c>
      <c r="BB35" s="264">
        <f t="shared" si="31"/>
        <v>0</v>
      </c>
      <c r="BC35" s="264">
        <f t="shared" si="32"/>
        <v>0</v>
      </c>
      <c r="BD35" s="264">
        <f t="shared" si="33"/>
        <v>0</v>
      </c>
      <c r="BE35" s="264">
        <f t="shared" si="34"/>
        <v>0</v>
      </c>
      <c r="BF35" s="264">
        <f t="shared" si="35"/>
        <v>0</v>
      </c>
      <c r="BG35" s="264">
        <f t="shared" si="36"/>
        <v>0</v>
      </c>
      <c r="BH35" s="264">
        <f t="shared" si="75"/>
        <v>0</v>
      </c>
      <c r="BI35" s="264">
        <f t="shared" si="76"/>
        <v>0</v>
      </c>
      <c r="BJ35" s="264">
        <f t="shared" si="37"/>
        <v>0</v>
      </c>
      <c r="BK35" s="264">
        <f t="shared" si="38"/>
        <v>0</v>
      </c>
      <c r="BL35" s="264">
        <f t="shared" si="39"/>
        <v>0</v>
      </c>
      <c r="BM35" s="264">
        <f t="shared" si="40"/>
        <v>0</v>
      </c>
      <c r="BN35" s="264">
        <f t="shared" si="41"/>
        <v>0</v>
      </c>
      <c r="BO35" s="264">
        <f t="shared" si="42"/>
        <v>0</v>
      </c>
      <c r="BP35" s="264">
        <f t="shared" si="77"/>
        <v>0</v>
      </c>
      <c r="BQ35" s="264">
        <f t="shared" si="78"/>
        <v>0</v>
      </c>
      <c r="BR35" s="264">
        <f t="shared" si="43"/>
        <v>0</v>
      </c>
      <c r="BS35" s="264">
        <f t="shared" si="44"/>
        <v>0</v>
      </c>
      <c r="BT35" s="264">
        <f t="shared" si="79"/>
        <v>0</v>
      </c>
      <c r="BU35" s="264">
        <f t="shared" si="80"/>
        <v>0</v>
      </c>
      <c r="BV35" s="264">
        <f t="shared" si="81"/>
        <v>0</v>
      </c>
      <c r="BW35" s="264">
        <f t="shared" si="82"/>
        <v>0</v>
      </c>
      <c r="BX35" s="264">
        <f t="shared" si="45"/>
        <v>0</v>
      </c>
      <c r="BY35" s="264">
        <f t="shared" si="46"/>
        <v>0</v>
      </c>
      <c r="BZ35" s="264">
        <f t="shared" si="47"/>
        <v>0</v>
      </c>
      <c r="CA35" s="264">
        <f t="shared" si="48"/>
        <v>0</v>
      </c>
      <c r="CB35" s="264">
        <f t="shared" si="49"/>
        <v>0</v>
      </c>
      <c r="CC35" s="264">
        <f t="shared" si="50"/>
        <v>0</v>
      </c>
      <c r="CD35" s="264">
        <f t="shared" si="83"/>
        <v>0</v>
      </c>
      <c r="CE35" s="264">
        <f t="shared" si="84"/>
        <v>0</v>
      </c>
      <c r="CF35" s="264">
        <f t="shared" si="85"/>
        <v>0</v>
      </c>
      <c r="CG35" s="264">
        <f t="shared" si="86"/>
        <v>0</v>
      </c>
      <c r="CH35" s="264">
        <f t="shared" si="51"/>
        <v>0</v>
      </c>
      <c r="CI35" s="264">
        <f t="shared" si="52"/>
        <v>0</v>
      </c>
      <c r="CJ35" s="264">
        <f t="shared" si="87"/>
        <v>0</v>
      </c>
      <c r="CK35" s="264">
        <f t="shared" si="88"/>
        <v>0</v>
      </c>
      <c r="CL35" s="264">
        <f t="shared" si="53"/>
        <v>0</v>
      </c>
      <c r="CM35" s="264">
        <f t="shared" si="54"/>
        <v>0</v>
      </c>
      <c r="CN35" s="264">
        <f t="shared" si="55"/>
        <v>0</v>
      </c>
      <c r="CO35" s="264">
        <f t="shared" si="56"/>
        <v>0</v>
      </c>
      <c r="CP35" s="264">
        <f t="shared" si="89"/>
        <v>0</v>
      </c>
      <c r="CQ35" s="264">
        <f t="shared" si="90"/>
        <v>0</v>
      </c>
      <c r="CR35" s="264">
        <f t="shared" si="91"/>
        <v>0</v>
      </c>
      <c r="CS35" s="264">
        <f t="shared" si="92"/>
        <v>0</v>
      </c>
      <c r="CT35" s="264">
        <f t="shared" si="57"/>
        <v>0</v>
      </c>
      <c r="CU35" s="264">
        <f t="shared" si="58"/>
        <v>0</v>
      </c>
      <c r="CV35" s="264">
        <f t="shared" si="59"/>
        <v>0</v>
      </c>
      <c r="CW35" s="264">
        <f t="shared" si="60"/>
        <v>0</v>
      </c>
      <c r="CX35" s="264">
        <f t="shared" si="93"/>
        <v>0</v>
      </c>
      <c r="CY35" s="264">
        <f t="shared" si="94"/>
        <v>0</v>
      </c>
      <c r="CZ35" s="264">
        <f t="shared" si="95"/>
        <v>0</v>
      </c>
      <c r="DA35" s="264">
        <f t="shared" si="96"/>
        <v>0</v>
      </c>
    </row>
    <row r="36" spans="1:105" s="261" customFormat="1" ht="15" customHeight="1">
      <c r="A36" s="63" t="str">
        <f t="array" ref="A36">IF(C36&lt;&gt;0,SUM(($C$11:C36&lt;&gt;0)*1),"")</f>
        <v/>
      </c>
      <c r="B36" s="262"/>
      <c r="C36" s="262"/>
      <c r="D36" s="262"/>
      <c r="E36" s="344"/>
      <c r="F36" s="311"/>
      <c r="G36" s="313"/>
      <c r="H36" s="313"/>
      <c r="I36" s="63" t="str">
        <f t="shared" si="97"/>
        <v/>
      </c>
      <c r="J36" s="264">
        <f t="shared" si="61"/>
        <v>0</v>
      </c>
      <c r="K36" s="264">
        <f t="shared" si="62"/>
        <v>0</v>
      </c>
      <c r="L36" s="264">
        <f t="shared" si="1"/>
        <v>0</v>
      </c>
      <c r="M36" s="264">
        <f t="shared" si="2"/>
        <v>0</v>
      </c>
      <c r="N36" s="264">
        <f t="shared" si="3"/>
        <v>0</v>
      </c>
      <c r="O36" s="264">
        <f t="shared" si="4"/>
        <v>0</v>
      </c>
      <c r="P36" s="264">
        <f t="shared" si="5"/>
        <v>0</v>
      </c>
      <c r="Q36" s="264">
        <f t="shared" si="6"/>
        <v>0</v>
      </c>
      <c r="R36" s="264">
        <f t="shared" si="7"/>
        <v>0</v>
      </c>
      <c r="S36" s="264">
        <f t="shared" si="8"/>
        <v>0</v>
      </c>
      <c r="T36" s="264">
        <f t="shared" si="9"/>
        <v>0</v>
      </c>
      <c r="U36" s="264">
        <f t="shared" si="10"/>
        <v>0</v>
      </c>
      <c r="V36" s="264">
        <f t="shared" si="11"/>
        <v>0</v>
      </c>
      <c r="W36" s="264">
        <f t="shared" si="12"/>
        <v>0</v>
      </c>
      <c r="X36" s="264">
        <f t="shared" si="13"/>
        <v>0</v>
      </c>
      <c r="Y36" s="264">
        <f t="shared" si="14"/>
        <v>0</v>
      </c>
      <c r="Z36" s="264">
        <f t="shared" si="15"/>
        <v>0</v>
      </c>
      <c r="AA36" s="264">
        <f t="shared" si="16"/>
        <v>0</v>
      </c>
      <c r="AB36" s="264">
        <f t="shared" si="63"/>
        <v>0</v>
      </c>
      <c r="AC36" s="264">
        <f t="shared" si="64"/>
        <v>0</v>
      </c>
      <c r="AD36" s="264">
        <f t="shared" si="17"/>
        <v>0</v>
      </c>
      <c r="AE36" s="264">
        <f t="shared" si="18"/>
        <v>0</v>
      </c>
      <c r="AF36" s="264">
        <f t="shared" si="19"/>
        <v>0</v>
      </c>
      <c r="AG36" s="264">
        <f t="shared" si="20"/>
        <v>0</v>
      </c>
      <c r="AH36" s="264">
        <f t="shared" si="65"/>
        <v>0</v>
      </c>
      <c r="AI36" s="264">
        <f t="shared" si="66"/>
        <v>0</v>
      </c>
      <c r="AJ36" s="264">
        <f t="shared" si="67"/>
        <v>0</v>
      </c>
      <c r="AK36" s="264">
        <f t="shared" si="68"/>
        <v>0</v>
      </c>
      <c r="AL36" s="264">
        <f t="shared" si="69"/>
        <v>0</v>
      </c>
      <c r="AM36" s="264">
        <f t="shared" si="70"/>
        <v>0</v>
      </c>
      <c r="AN36" s="264">
        <f t="shared" si="71"/>
        <v>0</v>
      </c>
      <c r="AO36" s="264">
        <f t="shared" si="72"/>
        <v>0</v>
      </c>
      <c r="AP36" s="264">
        <f t="shared" si="21"/>
        <v>0</v>
      </c>
      <c r="AQ36" s="264">
        <f t="shared" si="22"/>
        <v>0</v>
      </c>
      <c r="AR36" s="264">
        <f t="shared" si="23"/>
        <v>0</v>
      </c>
      <c r="AS36" s="264">
        <f t="shared" si="24"/>
        <v>0</v>
      </c>
      <c r="AT36" s="264">
        <f t="shared" si="73"/>
        <v>0</v>
      </c>
      <c r="AU36" s="264">
        <f t="shared" si="74"/>
        <v>0</v>
      </c>
      <c r="AV36" s="264">
        <f t="shared" si="25"/>
        <v>0</v>
      </c>
      <c r="AW36" s="264">
        <f t="shared" si="26"/>
        <v>0</v>
      </c>
      <c r="AX36" s="264">
        <f t="shared" si="27"/>
        <v>0</v>
      </c>
      <c r="AY36" s="264">
        <f t="shared" si="28"/>
        <v>0</v>
      </c>
      <c r="AZ36" s="264">
        <f t="shared" si="29"/>
        <v>0</v>
      </c>
      <c r="BA36" s="264">
        <f t="shared" si="30"/>
        <v>0</v>
      </c>
      <c r="BB36" s="264">
        <f t="shared" si="31"/>
        <v>0</v>
      </c>
      <c r="BC36" s="264">
        <f t="shared" si="32"/>
        <v>0</v>
      </c>
      <c r="BD36" s="264">
        <f t="shared" si="33"/>
        <v>0</v>
      </c>
      <c r="BE36" s="264">
        <f t="shared" si="34"/>
        <v>0</v>
      </c>
      <c r="BF36" s="264">
        <f t="shared" si="35"/>
        <v>0</v>
      </c>
      <c r="BG36" s="264">
        <f t="shared" si="36"/>
        <v>0</v>
      </c>
      <c r="BH36" s="264">
        <f t="shared" si="75"/>
        <v>0</v>
      </c>
      <c r="BI36" s="264">
        <f t="shared" si="76"/>
        <v>0</v>
      </c>
      <c r="BJ36" s="264">
        <f t="shared" si="37"/>
        <v>0</v>
      </c>
      <c r="BK36" s="264">
        <f t="shared" si="38"/>
        <v>0</v>
      </c>
      <c r="BL36" s="264">
        <f t="shared" si="39"/>
        <v>0</v>
      </c>
      <c r="BM36" s="264">
        <f t="shared" si="40"/>
        <v>0</v>
      </c>
      <c r="BN36" s="264">
        <f t="shared" si="41"/>
        <v>0</v>
      </c>
      <c r="BO36" s="264">
        <f t="shared" si="42"/>
        <v>0</v>
      </c>
      <c r="BP36" s="264">
        <f t="shared" si="77"/>
        <v>0</v>
      </c>
      <c r="BQ36" s="264">
        <f t="shared" si="78"/>
        <v>0</v>
      </c>
      <c r="BR36" s="264">
        <f t="shared" si="43"/>
        <v>0</v>
      </c>
      <c r="BS36" s="264">
        <f t="shared" si="44"/>
        <v>0</v>
      </c>
      <c r="BT36" s="264">
        <f t="shared" si="79"/>
        <v>0</v>
      </c>
      <c r="BU36" s="264">
        <f t="shared" si="80"/>
        <v>0</v>
      </c>
      <c r="BV36" s="264">
        <f t="shared" si="81"/>
        <v>0</v>
      </c>
      <c r="BW36" s="264">
        <f t="shared" si="82"/>
        <v>0</v>
      </c>
      <c r="BX36" s="264">
        <f t="shared" si="45"/>
        <v>0</v>
      </c>
      <c r="BY36" s="264">
        <f t="shared" si="46"/>
        <v>0</v>
      </c>
      <c r="BZ36" s="264">
        <f t="shared" si="47"/>
        <v>0</v>
      </c>
      <c r="CA36" s="264">
        <f t="shared" si="48"/>
        <v>0</v>
      </c>
      <c r="CB36" s="264">
        <f t="shared" si="49"/>
        <v>0</v>
      </c>
      <c r="CC36" s="264">
        <f t="shared" si="50"/>
        <v>0</v>
      </c>
      <c r="CD36" s="264">
        <f t="shared" si="83"/>
        <v>0</v>
      </c>
      <c r="CE36" s="264">
        <f t="shared" si="84"/>
        <v>0</v>
      </c>
      <c r="CF36" s="264">
        <f t="shared" si="85"/>
        <v>0</v>
      </c>
      <c r="CG36" s="264">
        <f t="shared" si="86"/>
        <v>0</v>
      </c>
      <c r="CH36" s="264">
        <f t="shared" si="51"/>
        <v>0</v>
      </c>
      <c r="CI36" s="264">
        <f t="shared" si="52"/>
        <v>0</v>
      </c>
      <c r="CJ36" s="264">
        <f t="shared" si="87"/>
        <v>0</v>
      </c>
      <c r="CK36" s="264">
        <f t="shared" si="88"/>
        <v>0</v>
      </c>
      <c r="CL36" s="264">
        <f t="shared" si="53"/>
        <v>0</v>
      </c>
      <c r="CM36" s="264">
        <f t="shared" si="54"/>
        <v>0</v>
      </c>
      <c r="CN36" s="264">
        <f t="shared" si="55"/>
        <v>0</v>
      </c>
      <c r="CO36" s="264">
        <f t="shared" si="56"/>
        <v>0</v>
      </c>
      <c r="CP36" s="264">
        <f t="shared" si="89"/>
        <v>0</v>
      </c>
      <c r="CQ36" s="264">
        <f t="shared" si="90"/>
        <v>0</v>
      </c>
      <c r="CR36" s="264">
        <f t="shared" si="91"/>
        <v>0</v>
      </c>
      <c r="CS36" s="264">
        <f t="shared" si="92"/>
        <v>0</v>
      </c>
      <c r="CT36" s="264">
        <f t="shared" si="57"/>
        <v>0</v>
      </c>
      <c r="CU36" s="264">
        <f t="shared" si="58"/>
        <v>0</v>
      </c>
      <c r="CV36" s="264">
        <f t="shared" si="59"/>
        <v>0</v>
      </c>
      <c r="CW36" s="264">
        <f t="shared" si="60"/>
        <v>0</v>
      </c>
      <c r="CX36" s="264">
        <f t="shared" si="93"/>
        <v>0</v>
      </c>
      <c r="CY36" s="264">
        <f t="shared" si="94"/>
        <v>0</v>
      </c>
      <c r="CZ36" s="264">
        <f t="shared" si="95"/>
        <v>0</v>
      </c>
      <c r="DA36" s="264">
        <f t="shared" si="96"/>
        <v>0</v>
      </c>
    </row>
    <row r="37" spans="1:105" s="261" customFormat="1" ht="15" customHeight="1">
      <c r="A37" s="63" t="str">
        <f t="array" ref="A37">IF(C37&lt;&gt;0,SUM(($C$11:C37&lt;&gt;0)*1),"")</f>
        <v/>
      </c>
      <c r="B37" s="262"/>
      <c r="C37" s="262"/>
      <c r="D37" s="262"/>
      <c r="E37" s="344"/>
      <c r="F37" s="311"/>
      <c r="G37" s="313"/>
      <c r="H37" s="313"/>
      <c r="I37" s="63" t="str">
        <f t="shared" si="97"/>
        <v/>
      </c>
      <c r="J37" s="264">
        <f t="shared" si="61"/>
        <v>0</v>
      </c>
      <c r="K37" s="264">
        <f t="shared" si="62"/>
        <v>0</v>
      </c>
      <c r="L37" s="264">
        <f t="shared" si="1"/>
        <v>0</v>
      </c>
      <c r="M37" s="264">
        <f t="shared" si="2"/>
        <v>0</v>
      </c>
      <c r="N37" s="264">
        <f t="shared" si="3"/>
        <v>0</v>
      </c>
      <c r="O37" s="264">
        <f t="shared" si="4"/>
        <v>0</v>
      </c>
      <c r="P37" s="264">
        <f t="shared" si="5"/>
        <v>0</v>
      </c>
      <c r="Q37" s="264">
        <f t="shared" si="6"/>
        <v>0</v>
      </c>
      <c r="R37" s="264">
        <f t="shared" si="7"/>
        <v>0</v>
      </c>
      <c r="S37" s="264">
        <f t="shared" si="8"/>
        <v>0</v>
      </c>
      <c r="T37" s="264">
        <f t="shared" si="9"/>
        <v>0</v>
      </c>
      <c r="U37" s="264">
        <f t="shared" si="10"/>
        <v>0</v>
      </c>
      <c r="V37" s="264">
        <f t="shared" si="11"/>
        <v>0</v>
      </c>
      <c r="W37" s="264">
        <f t="shared" si="12"/>
        <v>0</v>
      </c>
      <c r="X37" s="264">
        <f t="shared" si="13"/>
        <v>0</v>
      </c>
      <c r="Y37" s="264">
        <f t="shared" si="14"/>
        <v>0</v>
      </c>
      <c r="Z37" s="264">
        <f t="shared" si="15"/>
        <v>0</v>
      </c>
      <c r="AA37" s="264">
        <f t="shared" si="16"/>
        <v>0</v>
      </c>
      <c r="AB37" s="264">
        <f t="shared" si="63"/>
        <v>0</v>
      </c>
      <c r="AC37" s="264">
        <f t="shared" si="64"/>
        <v>0</v>
      </c>
      <c r="AD37" s="264">
        <f t="shared" si="17"/>
        <v>0</v>
      </c>
      <c r="AE37" s="264">
        <f t="shared" si="18"/>
        <v>0</v>
      </c>
      <c r="AF37" s="264">
        <f t="shared" si="19"/>
        <v>0</v>
      </c>
      <c r="AG37" s="264">
        <f t="shared" si="20"/>
        <v>0</v>
      </c>
      <c r="AH37" s="264">
        <f t="shared" si="65"/>
        <v>0</v>
      </c>
      <c r="AI37" s="264">
        <f t="shared" si="66"/>
        <v>0</v>
      </c>
      <c r="AJ37" s="264">
        <f t="shared" si="67"/>
        <v>0</v>
      </c>
      <c r="AK37" s="264">
        <f t="shared" si="68"/>
        <v>0</v>
      </c>
      <c r="AL37" s="264">
        <f t="shared" si="69"/>
        <v>0</v>
      </c>
      <c r="AM37" s="264">
        <f t="shared" si="70"/>
        <v>0</v>
      </c>
      <c r="AN37" s="264">
        <f t="shared" si="71"/>
        <v>0</v>
      </c>
      <c r="AO37" s="264">
        <f t="shared" si="72"/>
        <v>0</v>
      </c>
      <c r="AP37" s="264">
        <f t="shared" si="21"/>
        <v>0</v>
      </c>
      <c r="AQ37" s="264">
        <f t="shared" si="22"/>
        <v>0</v>
      </c>
      <c r="AR37" s="264">
        <f t="shared" si="23"/>
        <v>0</v>
      </c>
      <c r="AS37" s="264">
        <f t="shared" si="24"/>
        <v>0</v>
      </c>
      <c r="AT37" s="264">
        <f t="shared" si="73"/>
        <v>0</v>
      </c>
      <c r="AU37" s="264">
        <f t="shared" si="74"/>
        <v>0</v>
      </c>
      <c r="AV37" s="264">
        <f t="shared" si="25"/>
        <v>0</v>
      </c>
      <c r="AW37" s="264">
        <f t="shared" si="26"/>
        <v>0</v>
      </c>
      <c r="AX37" s="264">
        <f t="shared" si="27"/>
        <v>0</v>
      </c>
      <c r="AY37" s="264">
        <f t="shared" si="28"/>
        <v>0</v>
      </c>
      <c r="AZ37" s="264">
        <f t="shared" si="29"/>
        <v>0</v>
      </c>
      <c r="BA37" s="264">
        <f t="shared" si="30"/>
        <v>0</v>
      </c>
      <c r="BB37" s="264">
        <f t="shared" si="31"/>
        <v>0</v>
      </c>
      <c r="BC37" s="264">
        <f t="shared" si="32"/>
        <v>0</v>
      </c>
      <c r="BD37" s="264">
        <f t="shared" si="33"/>
        <v>0</v>
      </c>
      <c r="BE37" s="264">
        <f t="shared" si="34"/>
        <v>0</v>
      </c>
      <c r="BF37" s="264">
        <f t="shared" si="35"/>
        <v>0</v>
      </c>
      <c r="BG37" s="264">
        <f t="shared" si="36"/>
        <v>0</v>
      </c>
      <c r="BH37" s="264">
        <f t="shared" si="75"/>
        <v>0</v>
      </c>
      <c r="BI37" s="264">
        <f t="shared" si="76"/>
        <v>0</v>
      </c>
      <c r="BJ37" s="264">
        <f t="shared" si="37"/>
        <v>0</v>
      </c>
      <c r="BK37" s="264">
        <f t="shared" si="38"/>
        <v>0</v>
      </c>
      <c r="BL37" s="264">
        <f t="shared" si="39"/>
        <v>0</v>
      </c>
      <c r="BM37" s="264">
        <f t="shared" si="40"/>
        <v>0</v>
      </c>
      <c r="BN37" s="264">
        <f t="shared" si="41"/>
        <v>0</v>
      </c>
      <c r="BO37" s="264">
        <f t="shared" si="42"/>
        <v>0</v>
      </c>
      <c r="BP37" s="264">
        <f t="shared" si="77"/>
        <v>0</v>
      </c>
      <c r="BQ37" s="264">
        <f t="shared" si="78"/>
        <v>0</v>
      </c>
      <c r="BR37" s="264">
        <f t="shared" si="43"/>
        <v>0</v>
      </c>
      <c r="BS37" s="264">
        <f t="shared" si="44"/>
        <v>0</v>
      </c>
      <c r="BT37" s="264">
        <f t="shared" si="79"/>
        <v>0</v>
      </c>
      <c r="BU37" s="264">
        <f t="shared" si="80"/>
        <v>0</v>
      </c>
      <c r="BV37" s="264">
        <f t="shared" si="81"/>
        <v>0</v>
      </c>
      <c r="BW37" s="264">
        <f t="shared" si="82"/>
        <v>0</v>
      </c>
      <c r="BX37" s="264">
        <f t="shared" si="45"/>
        <v>0</v>
      </c>
      <c r="BY37" s="264">
        <f t="shared" si="46"/>
        <v>0</v>
      </c>
      <c r="BZ37" s="264">
        <f t="shared" si="47"/>
        <v>0</v>
      </c>
      <c r="CA37" s="264">
        <f t="shared" si="48"/>
        <v>0</v>
      </c>
      <c r="CB37" s="264">
        <f t="shared" si="49"/>
        <v>0</v>
      </c>
      <c r="CC37" s="264">
        <f t="shared" si="50"/>
        <v>0</v>
      </c>
      <c r="CD37" s="264">
        <f t="shared" si="83"/>
        <v>0</v>
      </c>
      <c r="CE37" s="264">
        <f t="shared" si="84"/>
        <v>0</v>
      </c>
      <c r="CF37" s="264">
        <f t="shared" si="85"/>
        <v>0</v>
      </c>
      <c r="CG37" s="264">
        <f t="shared" si="86"/>
        <v>0</v>
      </c>
      <c r="CH37" s="264">
        <f t="shared" si="51"/>
        <v>0</v>
      </c>
      <c r="CI37" s="264">
        <f t="shared" si="52"/>
        <v>0</v>
      </c>
      <c r="CJ37" s="264">
        <f t="shared" si="87"/>
        <v>0</v>
      </c>
      <c r="CK37" s="264">
        <f t="shared" si="88"/>
        <v>0</v>
      </c>
      <c r="CL37" s="264">
        <f t="shared" si="53"/>
        <v>0</v>
      </c>
      <c r="CM37" s="264">
        <f t="shared" si="54"/>
        <v>0</v>
      </c>
      <c r="CN37" s="264">
        <f t="shared" si="55"/>
        <v>0</v>
      </c>
      <c r="CO37" s="264">
        <f t="shared" si="56"/>
        <v>0</v>
      </c>
      <c r="CP37" s="264">
        <f t="shared" si="89"/>
        <v>0</v>
      </c>
      <c r="CQ37" s="264">
        <f t="shared" si="90"/>
        <v>0</v>
      </c>
      <c r="CR37" s="264">
        <f t="shared" si="91"/>
        <v>0</v>
      </c>
      <c r="CS37" s="264">
        <f t="shared" si="92"/>
        <v>0</v>
      </c>
      <c r="CT37" s="264">
        <f t="shared" si="57"/>
        <v>0</v>
      </c>
      <c r="CU37" s="264">
        <f t="shared" si="58"/>
        <v>0</v>
      </c>
      <c r="CV37" s="264">
        <f t="shared" si="59"/>
        <v>0</v>
      </c>
      <c r="CW37" s="264">
        <f t="shared" si="60"/>
        <v>0</v>
      </c>
      <c r="CX37" s="264">
        <f t="shared" si="93"/>
        <v>0</v>
      </c>
      <c r="CY37" s="264">
        <f t="shared" si="94"/>
        <v>0</v>
      </c>
      <c r="CZ37" s="264">
        <f t="shared" si="95"/>
        <v>0</v>
      </c>
      <c r="DA37" s="264">
        <f t="shared" si="96"/>
        <v>0</v>
      </c>
    </row>
    <row r="38" spans="1:105" s="261" customFormat="1" ht="15" customHeight="1">
      <c r="A38" s="63" t="str">
        <f t="array" ref="A38">IF(C38&lt;&gt;0,SUM(($C$11:C38&lt;&gt;0)*1),"")</f>
        <v/>
      </c>
      <c r="B38" s="262"/>
      <c r="C38" s="262"/>
      <c r="D38" s="262"/>
      <c r="E38" s="344"/>
      <c r="F38" s="311"/>
      <c r="G38" s="313"/>
      <c r="H38" s="313"/>
      <c r="I38" s="63" t="str">
        <f t="shared" si="97"/>
        <v/>
      </c>
      <c r="J38" s="264">
        <f t="shared" si="61"/>
        <v>0</v>
      </c>
      <c r="K38" s="264">
        <f t="shared" si="62"/>
        <v>0</v>
      </c>
      <c r="L38" s="264">
        <f t="shared" si="1"/>
        <v>0</v>
      </c>
      <c r="M38" s="264">
        <f t="shared" si="2"/>
        <v>0</v>
      </c>
      <c r="N38" s="264">
        <f t="shared" si="3"/>
        <v>0</v>
      </c>
      <c r="O38" s="264">
        <f t="shared" si="4"/>
        <v>0</v>
      </c>
      <c r="P38" s="264">
        <f t="shared" si="5"/>
        <v>0</v>
      </c>
      <c r="Q38" s="264">
        <f t="shared" si="6"/>
        <v>0</v>
      </c>
      <c r="R38" s="264">
        <f t="shared" si="7"/>
        <v>0</v>
      </c>
      <c r="S38" s="264">
        <f t="shared" si="8"/>
        <v>0</v>
      </c>
      <c r="T38" s="264">
        <f t="shared" si="9"/>
        <v>0</v>
      </c>
      <c r="U38" s="264">
        <f t="shared" si="10"/>
        <v>0</v>
      </c>
      <c r="V38" s="264">
        <f t="shared" si="11"/>
        <v>0</v>
      </c>
      <c r="W38" s="264">
        <f t="shared" si="12"/>
        <v>0</v>
      </c>
      <c r="X38" s="264">
        <f t="shared" si="13"/>
        <v>0</v>
      </c>
      <c r="Y38" s="264">
        <f t="shared" si="14"/>
        <v>0</v>
      </c>
      <c r="Z38" s="264">
        <f t="shared" si="15"/>
        <v>0</v>
      </c>
      <c r="AA38" s="264">
        <f t="shared" si="16"/>
        <v>0</v>
      </c>
      <c r="AB38" s="264">
        <f t="shared" si="63"/>
        <v>0</v>
      </c>
      <c r="AC38" s="264">
        <f t="shared" si="64"/>
        <v>0</v>
      </c>
      <c r="AD38" s="264">
        <f t="shared" si="17"/>
        <v>0</v>
      </c>
      <c r="AE38" s="264">
        <f t="shared" si="18"/>
        <v>0</v>
      </c>
      <c r="AF38" s="264">
        <f t="shared" si="19"/>
        <v>0</v>
      </c>
      <c r="AG38" s="264">
        <f t="shared" si="20"/>
        <v>0</v>
      </c>
      <c r="AH38" s="264">
        <f t="shared" si="65"/>
        <v>0</v>
      </c>
      <c r="AI38" s="264">
        <f t="shared" si="66"/>
        <v>0</v>
      </c>
      <c r="AJ38" s="264">
        <f t="shared" si="67"/>
        <v>0</v>
      </c>
      <c r="AK38" s="264">
        <f t="shared" si="68"/>
        <v>0</v>
      </c>
      <c r="AL38" s="264">
        <f t="shared" si="69"/>
        <v>0</v>
      </c>
      <c r="AM38" s="264">
        <f t="shared" si="70"/>
        <v>0</v>
      </c>
      <c r="AN38" s="264">
        <f t="shared" si="71"/>
        <v>0</v>
      </c>
      <c r="AO38" s="264">
        <f t="shared" si="72"/>
        <v>0</v>
      </c>
      <c r="AP38" s="264">
        <f t="shared" si="21"/>
        <v>0</v>
      </c>
      <c r="AQ38" s="264">
        <f t="shared" si="22"/>
        <v>0</v>
      </c>
      <c r="AR38" s="264">
        <f t="shared" si="23"/>
        <v>0</v>
      </c>
      <c r="AS38" s="264">
        <f t="shared" si="24"/>
        <v>0</v>
      </c>
      <c r="AT38" s="264">
        <f t="shared" si="73"/>
        <v>0</v>
      </c>
      <c r="AU38" s="264">
        <f t="shared" si="74"/>
        <v>0</v>
      </c>
      <c r="AV38" s="264">
        <f t="shared" si="25"/>
        <v>0</v>
      </c>
      <c r="AW38" s="264">
        <f t="shared" si="26"/>
        <v>0</v>
      </c>
      <c r="AX38" s="264">
        <f t="shared" si="27"/>
        <v>0</v>
      </c>
      <c r="AY38" s="264">
        <f t="shared" si="28"/>
        <v>0</v>
      </c>
      <c r="AZ38" s="264">
        <f t="shared" si="29"/>
        <v>0</v>
      </c>
      <c r="BA38" s="264">
        <f t="shared" si="30"/>
        <v>0</v>
      </c>
      <c r="BB38" s="264">
        <f t="shared" si="31"/>
        <v>0</v>
      </c>
      <c r="BC38" s="264">
        <f t="shared" si="32"/>
        <v>0</v>
      </c>
      <c r="BD38" s="264">
        <f t="shared" si="33"/>
        <v>0</v>
      </c>
      <c r="BE38" s="264">
        <f t="shared" si="34"/>
        <v>0</v>
      </c>
      <c r="BF38" s="264">
        <f t="shared" si="35"/>
        <v>0</v>
      </c>
      <c r="BG38" s="264">
        <f t="shared" si="36"/>
        <v>0</v>
      </c>
      <c r="BH38" s="264">
        <f t="shared" si="75"/>
        <v>0</v>
      </c>
      <c r="BI38" s="264">
        <f t="shared" si="76"/>
        <v>0</v>
      </c>
      <c r="BJ38" s="264">
        <f t="shared" si="37"/>
        <v>0</v>
      </c>
      <c r="BK38" s="264">
        <f t="shared" si="38"/>
        <v>0</v>
      </c>
      <c r="BL38" s="264">
        <f t="shared" si="39"/>
        <v>0</v>
      </c>
      <c r="BM38" s="264">
        <f t="shared" si="40"/>
        <v>0</v>
      </c>
      <c r="BN38" s="264">
        <f t="shared" si="41"/>
        <v>0</v>
      </c>
      <c r="BO38" s="264">
        <f t="shared" si="42"/>
        <v>0</v>
      </c>
      <c r="BP38" s="264">
        <f t="shared" si="77"/>
        <v>0</v>
      </c>
      <c r="BQ38" s="264">
        <f t="shared" si="78"/>
        <v>0</v>
      </c>
      <c r="BR38" s="264">
        <f t="shared" si="43"/>
        <v>0</v>
      </c>
      <c r="BS38" s="264">
        <f t="shared" si="44"/>
        <v>0</v>
      </c>
      <c r="BT38" s="264">
        <f t="shared" si="79"/>
        <v>0</v>
      </c>
      <c r="BU38" s="264">
        <f t="shared" si="80"/>
        <v>0</v>
      </c>
      <c r="BV38" s="264">
        <f t="shared" si="81"/>
        <v>0</v>
      </c>
      <c r="BW38" s="264">
        <f t="shared" si="82"/>
        <v>0</v>
      </c>
      <c r="BX38" s="264">
        <f t="shared" si="45"/>
        <v>0</v>
      </c>
      <c r="BY38" s="264">
        <f t="shared" si="46"/>
        <v>0</v>
      </c>
      <c r="BZ38" s="264">
        <f t="shared" si="47"/>
        <v>0</v>
      </c>
      <c r="CA38" s="264">
        <f t="shared" si="48"/>
        <v>0</v>
      </c>
      <c r="CB38" s="264">
        <f t="shared" si="49"/>
        <v>0</v>
      </c>
      <c r="CC38" s="264">
        <f t="shared" si="50"/>
        <v>0</v>
      </c>
      <c r="CD38" s="264">
        <f t="shared" si="83"/>
        <v>0</v>
      </c>
      <c r="CE38" s="264">
        <f t="shared" si="84"/>
        <v>0</v>
      </c>
      <c r="CF38" s="264">
        <f t="shared" si="85"/>
        <v>0</v>
      </c>
      <c r="CG38" s="264">
        <f t="shared" si="86"/>
        <v>0</v>
      </c>
      <c r="CH38" s="264">
        <f t="shared" si="51"/>
        <v>0</v>
      </c>
      <c r="CI38" s="264">
        <f t="shared" si="52"/>
        <v>0</v>
      </c>
      <c r="CJ38" s="264">
        <f t="shared" si="87"/>
        <v>0</v>
      </c>
      <c r="CK38" s="264">
        <f t="shared" si="88"/>
        <v>0</v>
      </c>
      <c r="CL38" s="264">
        <f t="shared" si="53"/>
        <v>0</v>
      </c>
      <c r="CM38" s="264">
        <f t="shared" si="54"/>
        <v>0</v>
      </c>
      <c r="CN38" s="264">
        <f t="shared" si="55"/>
        <v>0</v>
      </c>
      <c r="CO38" s="264">
        <f t="shared" si="56"/>
        <v>0</v>
      </c>
      <c r="CP38" s="264">
        <f t="shared" si="89"/>
        <v>0</v>
      </c>
      <c r="CQ38" s="264">
        <f t="shared" si="90"/>
        <v>0</v>
      </c>
      <c r="CR38" s="264">
        <f t="shared" si="91"/>
        <v>0</v>
      </c>
      <c r="CS38" s="264">
        <f t="shared" si="92"/>
        <v>0</v>
      </c>
      <c r="CT38" s="264">
        <f t="shared" si="57"/>
        <v>0</v>
      </c>
      <c r="CU38" s="264">
        <f t="shared" si="58"/>
        <v>0</v>
      </c>
      <c r="CV38" s="264">
        <f t="shared" si="59"/>
        <v>0</v>
      </c>
      <c r="CW38" s="264">
        <f t="shared" si="60"/>
        <v>0</v>
      </c>
      <c r="CX38" s="264">
        <f t="shared" si="93"/>
        <v>0</v>
      </c>
      <c r="CY38" s="264">
        <f t="shared" si="94"/>
        <v>0</v>
      </c>
      <c r="CZ38" s="264">
        <f t="shared" si="95"/>
        <v>0</v>
      </c>
      <c r="DA38" s="264">
        <f t="shared" si="96"/>
        <v>0</v>
      </c>
    </row>
    <row r="39" spans="1:105" s="261" customFormat="1" ht="15" customHeight="1">
      <c r="A39" s="63" t="str">
        <f t="array" ref="A39">IF(C39&lt;&gt;0,SUM(($C$11:C39&lt;&gt;0)*1),"")</f>
        <v/>
      </c>
      <c r="B39" s="262"/>
      <c r="C39" s="262"/>
      <c r="D39" s="262"/>
      <c r="E39" s="344"/>
      <c r="F39" s="311"/>
      <c r="G39" s="313"/>
      <c r="H39" s="313"/>
      <c r="I39" s="63" t="str">
        <f t="shared" si="97"/>
        <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si="73"/>
        <v>0</v>
      </c>
      <c r="AU39" s="264">
        <f t="shared" si="74"/>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si="81"/>
        <v>0</v>
      </c>
      <c r="BW39" s="264">
        <f t="shared" si="82"/>
        <v>0</v>
      </c>
      <c r="BX39" s="264">
        <f t="shared" si="45"/>
        <v>0</v>
      </c>
      <c r="BY39" s="264">
        <f t="shared" si="46"/>
        <v>0</v>
      </c>
      <c r="BZ39" s="264">
        <f t="shared" si="47"/>
        <v>0</v>
      </c>
      <c r="CA39" s="264">
        <f t="shared" si="48"/>
        <v>0</v>
      </c>
      <c r="CB39" s="264">
        <f t="shared" si="49"/>
        <v>0</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5" customHeight="1">
      <c r="A40" s="63">
        <f t="array" aca="1" ref="A40" ca="1">IF(C40&lt;&gt;0,SUM(($C$11:C40&lt;&gt;0)*1),"")</f>
        <v>2</v>
      </c>
      <c r="B40" s="262">
        <v>42551</v>
      </c>
      <c r="C40" s="265" t="s">
        <v>115</v>
      </c>
      <c r="D40" s="265">
        <f t="shared" ref="D40:D50" si="98">B40</f>
        <v>42551</v>
      </c>
      <c r="E40" s="915" t="s">
        <v>668</v>
      </c>
      <c r="F40" s="916">
        <f ca="1">AY52</f>
        <v>0</v>
      </c>
      <c r="G40" s="917" t="s">
        <v>673</v>
      </c>
      <c r="H40" s="917" t="s">
        <v>9</v>
      </c>
      <c r="I40" s="63">
        <f t="shared" ca="1" si="97"/>
        <v>2</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73"/>
        <v>0</v>
      </c>
      <c r="AU40" s="264">
        <f t="shared" si="74"/>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81"/>
        <v>0</v>
      </c>
      <c r="BW40" s="264">
        <f t="shared" si="8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5" customHeight="1">
      <c r="A41" s="63">
        <f t="array" aca="1" ref="A41" ca="1">IF(C41&lt;&gt;0,SUM(($C$11:C41&lt;&gt;0)*1),"")</f>
        <v>3</v>
      </c>
      <c r="B41" s="262">
        <v>42551</v>
      </c>
      <c r="C41" s="265" t="s">
        <v>115</v>
      </c>
      <c r="D41" s="265">
        <f t="shared" si="98"/>
        <v>42551</v>
      </c>
      <c r="E41" s="915" t="s">
        <v>669</v>
      </c>
      <c r="F41" s="916">
        <f ca="1">CL52</f>
        <v>0</v>
      </c>
      <c r="G41" s="917" t="s">
        <v>109</v>
      </c>
      <c r="H41" s="917" t="s">
        <v>295</v>
      </c>
      <c r="I41" s="63">
        <f t="shared" ca="1" si="97"/>
        <v>3</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73"/>
        <v>0</v>
      </c>
      <c r="AU41" s="264">
        <f t="shared" si="74"/>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81"/>
        <v>0</v>
      </c>
      <c r="BW41" s="264">
        <f t="shared" si="8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5" customHeight="1">
      <c r="A42" s="63">
        <f t="array" aca="1" ref="A42" ca="1">IF(C42&lt;&gt;0,SUM(($C$11:C42&lt;&gt;0)*1),"")</f>
        <v>4</v>
      </c>
      <c r="B42" s="262">
        <v>42551</v>
      </c>
      <c r="C42" s="265" t="s">
        <v>115</v>
      </c>
      <c r="D42" s="265">
        <f t="shared" si="98"/>
        <v>42551</v>
      </c>
      <c r="E42" s="915" t="s">
        <v>116</v>
      </c>
      <c r="F42" s="916">
        <f ca="1">CN52</f>
        <v>0</v>
      </c>
      <c r="G42" s="917" t="s">
        <v>109</v>
      </c>
      <c r="H42" s="917" t="s">
        <v>99</v>
      </c>
      <c r="I42" s="63">
        <f t="shared" ca="1" si="97"/>
        <v>4</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73"/>
        <v>0</v>
      </c>
      <c r="AU42" s="264">
        <f t="shared" si="74"/>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81"/>
        <v>0</v>
      </c>
      <c r="BW42" s="264">
        <f t="shared" si="8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5" customHeight="1">
      <c r="A43" s="63">
        <f t="array" aca="1" ref="A43" ca="1">IF(C43&lt;&gt;0,SUM(($C$11:C43&lt;&gt;0)*1),"")</f>
        <v>5</v>
      </c>
      <c r="B43" s="262">
        <v>42551</v>
      </c>
      <c r="C43" s="265" t="s">
        <v>115</v>
      </c>
      <c r="D43" s="265">
        <f t="shared" si="98"/>
        <v>42551</v>
      </c>
      <c r="E43" s="915" t="s">
        <v>670</v>
      </c>
      <c r="F43" s="916">
        <f ca="1">CP52</f>
        <v>0</v>
      </c>
      <c r="G43" s="917" t="s">
        <v>109</v>
      </c>
      <c r="H43" s="917" t="s">
        <v>584</v>
      </c>
      <c r="I43" s="63">
        <f t="shared" ca="1" si="97"/>
        <v>5</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73"/>
        <v>0</v>
      </c>
      <c r="AU43" s="264">
        <f t="shared" si="74"/>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81"/>
        <v>0</v>
      </c>
      <c r="BW43" s="264">
        <f t="shared" si="8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5" customHeight="1">
      <c r="A44" s="63">
        <f t="array" aca="1" ref="A44" ca="1">IF(C44&lt;&gt;0,SUM(($C$11:C44&lt;&gt;0)*1),"")</f>
        <v>6</v>
      </c>
      <c r="B44" s="262">
        <v>42551</v>
      </c>
      <c r="C44" s="265" t="s">
        <v>115</v>
      </c>
      <c r="D44" s="265">
        <f t="shared" si="98"/>
        <v>42551</v>
      </c>
      <c r="E44" s="915" t="s">
        <v>117</v>
      </c>
      <c r="F44" s="916">
        <f ca="1">CR52</f>
        <v>0</v>
      </c>
      <c r="G44" s="917" t="s">
        <v>109</v>
      </c>
      <c r="H44" s="917" t="s">
        <v>101</v>
      </c>
      <c r="I44" s="63">
        <f t="shared" ca="1" si="97"/>
        <v>6</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73"/>
        <v>0</v>
      </c>
      <c r="AU44" s="264">
        <f t="shared" si="74"/>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81"/>
        <v>0</v>
      </c>
      <c r="BW44" s="264">
        <f t="shared" si="8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5" customHeight="1">
      <c r="A45" s="63">
        <f t="array" aca="1" ref="A45" ca="1">IF(C45&lt;&gt;0,SUM(($C$11:C45&lt;&gt;0)*1),"")</f>
        <v>7</v>
      </c>
      <c r="B45" s="262">
        <v>42551</v>
      </c>
      <c r="C45" s="265" t="s">
        <v>115</v>
      </c>
      <c r="D45" s="265">
        <f t="shared" si="98"/>
        <v>42551</v>
      </c>
      <c r="E45" s="915" t="s">
        <v>215</v>
      </c>
      <c r="F45" s="916"/>
      <c r="G45" s="917" t="s">
        <v>109</v>
      </c>
      <c r="H45" s="917" t="s">
        <v>94</v>
      </c>
      <c r="I45" s="63">
        <f t="shared" ca="1" si="97"/>
        <v>7</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73"/>
        <v>0</v>
      </c>
      <c r="AU45" s="264">
        <f t="shared" si="74"/>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81"/>
        <v>0</v>
      </c>
      <c r="BW45" s="264">
        <f t="shared" si="8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5" customHeight="1">
      <c r="A46" s="63">
        <f t="array" aca="1" ref="A46" ca="1">IF(C46&lt;&gt;0,SUM(($C$11:C46&lt;&gt;0)*1),"")</f>
        <v>8</v>
      </c>
      <c r="B46" s="262">
        <v>42551</v>
      </c>
      <c r="C46" s="265" t="s">
        <v>115</v>
      </c>
      <c r="D46" s="265">
        <f t="shared" si="98"/>
        <v>42551</v>
      </c>
      <c r="E46" s="915" t="s">
        <v>118</v>
      </c>
      <c r="F46" s="916">
        <f ca="1">CI52</f>
        <v>0</v>
      </c>
      <c r="G46" s="917" t="s">
        <v>43</v>
      </c>
      <c r="H46" s="917" t="s">
        <v>109</v>
      </c>
      <c r="I46" s="63">
        <f t="shared" ca="1" si="97"/>
        <v>8</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73"/>
        <v>0</v>
      </c>
      <c r="AU46" s="264">
        <f t="shared" si="74"/>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81"/>
        <v>0</v>
      </c>
      <c r="BW46" s="264">
        <f t="shared" si="8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5" customHeight="1">
      <c r="A47" s="63">
        <f t="array" aca="1" ref="A47" ca="1">IF(C47&lt;&gt;0,SUM(($C$11:C47&lt;&gt;0)*1),"")</f>
        <v>9</v>
      </c>
      <c r="B47" s="262">
        <v>42551</v>
      </c>
      <c r="C47" s="265" t="s">
        <v>115</v>
      </c>
      <c r="D47" s="265">
        <f t="shared" si="98"/>
        <v>42551</v>
      </c>
      <c r="E47" s="915" t="s">
        <v>671</v>
      </c>
      <c r="F47" s="916">
        <f ca="1">CE52</f>
        <v>0</v>
      </c>
      <c r="G47" s="917" t="s">
        <v>297</v>
      </c>
      <c r="H47" s="917" t="s">
        <v>109</v>
      </c>
      <c r="I47" s="63">
        <f t="shared" ca="1" si="97"/>
        <v>9</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73"/>
        <v>0</v>
      </c>
      <c r="AU47" s="264">
        <f t="shared" si="74"/>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81"/>
        <v>0</v>
      </c>
      <c r="BW47" s="264">
        <f t="shared" si="8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5" customHeight="1">
      <c r="A48" s="63">
        <f t="array" aca="1" ref="A48" ca="1">IF(C48&lt;&gt;0,SUM(($C$11:C48&lt;&gt;0)*1),"")</f>
        <v>10</v>
      </c>
      <c r="B48" s="262">
        <v>42551</v>
      </c>
      <c r="C48" s="265" t="s">
        <v>115</v>
      </c>
      <c r="D48" s="265">
        <f t="shared" si="98"/>
        <v>42551</v>
      </c>
      <c r="E48" s="915" t="s">
        <v>672</v>
      </c>
      <c r="F48" s="916">
        <f ca="1">CG52</f>
        <v>0</v>
      </c>
      <c r="G48" s="917" t="s">
        <v>299</v>
      </c>
      <c r="H48" s="917" t="s">
        <v>109</v>
      </c>
      <c r="I48" s="63">
        <f t="shared" ca="1" si="97"/>
        <v>10</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73"/>
        <v>0</v>
      </c>
      <c r="AU48" s="264">
        <f t="shared" si="74"/>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81"/>
        <v>0</v>
      </c>
      <c r="BW48" s="264">
        <f t="shared" si="8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5" customHeight="1">
      <c r="A49" s="63">
        <f t="array" aca="1" ref="A49" ca="1">IF(C49&lt;&gt;0,SUM(($C$11:C49&lt;&gt;0)*1),"")</f>
        <v>11</v>
      </c>
      <c r="B49" s="262">
        <v>42551</v>
      </c>
      <c r="C49" s="265" t="s">
        <v>115</v>
      </c>
      <c r="D49" s="265">
        <f t="shared" si="98"/>
        <v>42551</v>
      </c>
      <c r="E49" s="915" t="s">
        <v>119</v>
      </c>
      <c r="F49" s="916">
        <f ca="1">CU52</f>
        <v>0</v>
      </c>
      <c r="G49" s="917" t="s">
        <v>103</v>
      </c>
      <c r="H49" s="917" t="s">
        <v>109</v>
      </c>
      <c r="I49" s="63">
        <f t="shared" ca="1" si="97"/>
        <v>11</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73"/>
        <v>0</v>
      </c>
      <c r="AU49" s="264">
        <f t="shared" si="74"/>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81"/>
        <v>0</v>
      </c>
      <c r="BW49" s="264">
        <f t="shared" si="8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5" customHeight="1">
      <c r="A50" s="63">
        <f t="array" aca="1" ref="A50" ca="1">IF(C50&lt;&gt;0,SUM(($C$11:C50&lt;&gt;0)*1),"")</f>
        <v>12</v>
      </c>
      <c r="B50" s="262">
        <v>42551</v>
      </c>
      <c r="C50" s="265" t="s">
        <v>115</v>
      </c>
      <c r="D50" s="265">
        <f t="shared" si="98"/>
        <v>42551</v>
      </c>
      <c r="E50" s="915" t="s">
        <v>120</v>
      </c>
      <c r="F50" s="916">
        <f ca="1">CV52</f>
        <v>0</v>
      </c>
      <c r="G50" s="917" t="s">
        <v>109</v>
      </c>
      <c r="H50" s="917" t="s">
        <v>105</v>
      </c>
      <c r="I50" s="63">
        <f t="shared" ca="1" si="97"/>
        <v>12</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73"/>
        <v>0</v>
      </c>
      <c r="AU50" s="264">
        <f t="shared" si="74"/>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81"/>
        <v>0</v>
      </c>
      <c r="BW50" s="264">
        <f t="shared" si="8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5" customHeight="1">
      <c r="A51" s="63" t="str">
        <f t="array" ref="A51">IF(C51&lt;&gt;0,SUM(($C$11:C51&lt;&gt;0)*1),"")</f>
        <v/>
      </c>
      <c r="B51" s="228"/>
      <c r="C51" s="266"/>
      <c r="D51" s="228"/>
      <c r="E51" s="263"/>
      <c r="F51" s="65"/>
      <c r="G51" s="267"/>
      <c r="H51" s="267"/>
      <c r="I51" s="63" t="str">
        <f>A51</f>
        <v/>
      </c>
      <c r="J51" s="264">
        <f>IF($G51="1111",$F51,0)</f>
        <v>0</v>
      </c>
      <c r="K51" s="264">
        <f>IF($H51="1111",$F51,0)</f>
        <v>0</v>
      </c>
      <c r="L51" s="264">
        <f>IF($G51="1121",$F51,0)</f>
        <v>0</v>
      </c>
      <c r="M51" s="264">
        <f>IF($H51="1121",$F51,0)</f>
        <v>0</v>
      </c>
      <c r="N51" s="264">
        <f>IF($G51="1122",$F51,0)</f>
        <v>0</v>
      </c>
      <c r="O51" s="264">
        <f>IF($H51="1122",$F51,0)</f>
        <v>0</v>
      </c>
      <c r="P51" s="264">
        <f>IF($G51="131",$F51,0)</f>
        <v>0</v>
      </c>
      <c r="Q51" s="264">
        <f>IF($H51="131",$F51,0)</f>
        <v>0</v>
      </c>
      <c r="R51" s="264">
        <f>IF($G51="1331",$F51,0)</f>
        <v>0</v>
      </c>
      <c r="S51" s="264">
        <f>IF($H51="1331",$F51,0)</f>
        <v>0</v>
      </c>
      <c r="T51" s="264">
        <f>IF($G51="1388",$F51,0)</f>
        <v>0</v>
      </c>
      <c r="U51" s="264">
        <f>IF($H51="1388",$F51,0)</f>
        <v>0</v>
      </c>
      <c r="V51" s="264">
        <f>IF($G51="141",$F51,0)</f>
        <v>0</v>
      </c>
      <c r="W51" s="264">
        <f>IF($H51="141",$F51,0)</f>
        <v>0</v>
      </c>
      <c r="X51" s="264">
        <f>IF($G51="1521",$F51,0)</f>
        <v>0</v>
      </c>
      <c r="Y51" s="264">
        <f>IF($H51="1521",$F51,0)</f>
        <v>0</v>
      </c>
      <c r="Z51" s="264">
        <f>IF($G51="1522",$F51,0)</f>
        <v>0</v>
      </c>
      <c r="AA51" s="264">
        <f>IF($H51="1522",$F51,0)</f>
        <v>0</v>
      </c>
      <c r="AB51" s="264">
        <f>IF($G51="153",$F51,0)</f>
        <v>0</v>
      </c>
      <c r="AC51" s="264">
        <f>IF($H51="153",$F51,0)</f>
        <v>0</v>
      </c>
      <c r="AD51" s="264">
        <f>IF($G51="154",$F51,0)</f>
        <v>0</v>
      </c>
      <c r="AE51" s="264">
        <f>IF($H51="154",$F51,0)</f>
        <v>0</v>
      </c>
      <c r="AF51" s="264">
        <f>IF($G51="155",$F51,0)</f>
        <v>0</v>
      </c>
      <c r="AG51" s="264">
        <f>IF($H51="155",$F51,0)</f>
        <v>0</v>
      </c>
      <c r="AH51" s="264">
        <f>IF($G51="2111",$F51,0)</f>
        <v>0</v>
      </c>
      <c r="AI51" s="264">
        <f>IF($H51="2111",$F51,0)</f>
        <v>0</v>
      </c>
      <c r="AJ51" s="264">
        <f>IF($G51="2112",$F51,0)</f>
        <v>0</v>
      </c>
      <c r="AK51" s="264">
        <f>IF($H51="2112",$F51,0)</f>
        <v>0</v>
      </c>
      <c r="AL51" s="264">
        <f>IF($G51="2113",$F51,0)</f>
        <v>0</v>
      </c>
      <c r="AM51" s="264">
        <f>IF($H51="2113",$F51,0)</f>
        <v>0</v>
      </c>
      <c r="AN51" s="264">
        <f>IF($G51="2131",$F51,0)</f>
        <v>0</v>
      </c>
      <c r="AO51" s="264">
        <f>IF($H51="2131",$F51,0)</f>
        <v>0</v>
      </c>
      <c r="AP51" s="264">
        <f>IF($G51="2141",$F51,0)</f>
        <v>0</v>
      </c>
      <c r="AQ51" s="264">
        <f>IF($H51="2141",$F51,0)</f>
        <v>0</v>
      </c>
      <c r="AR51" s="264">
        <f>IF($G51="2143",$F51,0)</f>
        <v>0</v>
      </c>
      <c r="AS51" s="264">
        <f>IF($H51="2143",$F51,0)</f>
        <v>0</v>
      </c>
      <c r="AT51" s="264">
        <f>IF($G51="2412",$F51,0)</f>
        <v>0</v>
      </c>
      <c r="AU51" s="264">
        <f>IF($H51="2412",$F51,0)</f>
        <v>0</v>
      </c>
      <c r="AV51" s="264">
        <f>IF($G51="331",$F51,0)</f>
        <v>0</v>
      </c>
      <c r="AW51" s="264">
        <f>IF($H51="331",$F51,0)</f>
        <v>0</v>
      </c>
      <c r="AX51" s="264">
        <f>IF($G51="33311",$F51,0)</f>
        <v>0</v>
      </c>
      <c r="AY51" s="264">
        <f>IF($H51="33311",$F51,0)</f>
        <v>0</v>
      </c>
      <c r="AZ51" s="264">
        <f>IF($G51="33312",$F51,0)</f>
        <v>0</v>
      </c>
      <c r="BA51" s="264">
        <f>IF($H51="33312",$F51,0)</f>
        <v>0</v>
      </c>
      <c r="BB51" s="264">
        <f>IF($G51="3333",$F51,0)</f>
        <v>0</v>
      </c>
      <c r="BC51" s="264">
        <f>IF($H51="3333",$F51,0)</f>
        <v>0</v>
      </c>
      <c r="BD51" s="264">
        <f>IF($G51="3334",$F51,0)</f>
        <v>0</v>
      </c>
      <c r="BE51" s="264">
        <f>IF($H51="3334",$F51,0)</f>
        <v>0</v>
      </c>
      <c r="BF51" s="264">
        <f>IF($G51="3335",$F51,0)</f>
        <v>0</v>
      </c>
      <c r="BG51" s="264">
        <f>IF($H51="3335",$F51,0)</f>
        <v>0</v>
      </c>
      <c r="BH51" s="264">
        <f>IF($G51="33382",$F51,0)</f>
        <v>0</v>
      </c>
      <c r="BI51" s="264">
        <f>IF($H51="33382",$F51,0)</f>
        <v>0</v>
      </c>
      <c r="BJ51" s="264">
        <f>IF($G51="3341",$F51,0)</f>
        <v>0</v>
      </c>
      <c r="BK51" s="264">
        <f>IF($H51="3341",$F51,0)</f>
        <v>0</v>
      </c>
      <c r="BL51" s="264">
        <f>IF($G51="3383",$F51,0)</f>
        <v>0</v>
      </c>
      <c r="BM51" s="264">
        <f>IF($H51="3383",$F51,0)</f>
        <v>0</v>
      </c>
      <c r="BN51" s="264">
        <f>IF($G51="3384",$F51,0)</f>
        <v>0</v>
      </c>
      <c r="BO51" s="264">
        <f>IF($H51="3384",$F51,0)</f>
        <v>0</v>
      </c>
      <c r="BP51" s="264">
        <f>IF($G51="3386",$F51,0)</f>
        <v>0</v>
      </c>
      <c r="BQ51" s="264">
        <f>IF($H51="3386",$F51,0)</f>
        <v>0</v>
      </c>
      <c r="BR51" s="264">
        <f>IF($G51="3388",$F51,0)</f>
        <v>0</v>
      </c>
      <c r="BS51" s="264">
        <f>IF($H51="3388",$F51,0)</f>
        <v>0</v>
      </c>
      <c r="BT51" s="264">
        <f>IF($G51="3411",$F51,0)</f>
        <v>0</v>
      </c>
      <c r="BU51" s="264">
        <f>IF($H51="3411",$F51,0)</f>
        <v>0</v>
      </c>
      <c r="BV51" s="264">
        <f>IF($G51="3412",$F51,0)</f>
        <v>0</v>
      </c>
      <c r="BW51" s="264">
        <f>IF($H51="3412",$F51,0)</f>
        <v>0</v>
      </c>
      <c r="BX51" s="264">
        <f>IF($G51="4111",$F51,0)</f>
        <v>0</v>
      </c>
      <c r="BY51" s="264">
        <f>IF($H51="4111",$F51,0)</f>
        <v>0</v>
      </c>
      <c r="BZ51" s="264">
        <f>IF($G51="4211",$F51,0)</f>
        <v>0</v>
      </c>
      <c r="CA51" s="264">
        <f>IF($H51="4211",$F51,0)</f>
        <v>0</v>
      </c>
      <c r="CB51" s="264">
        <f>IF($G51="4212",$F51,0)</f>
        <v>0</v>
      </c>
      <c r="CC51" s="264">
        <f>IF($H51="4212",$F51,0)</f>
        <v>0</v>
      </c>
      <c r="CD51" s="264">
        <f>IF($G51="5112N",$F51,0)</f>
        <v>0</v>
      </c>
      <c r="CE51" s="264">
        <f>IF($H51="5112N",$F51,0)</f>
        <v>0</v>
      </c>
      <c r="CF51" s="264">
        <f>IF($G51="5112X",$F51,0)</f>
        <v>0</v>
      </c>
      <c r="CG51" s="264">
        <f>IF($H51="5112X",$F51,0)</f>
        <v>0</v>
      </c>
      <c r="CH51" s="264">
        <f>IF($G51="515",$F51,0)</f>
        <v>0</v>
      </c>
      <c r="CI51" s="264">
        <f>IF($H51="515",$F51,0)</f>
        <v>0</v>
      </c>
      <c r="CJ51" s="264">
        <f>IF($G51="5213",$F51,0)</f>
        <v>0</v>
      </c>
      <c r="CK51" s="264">
        <f>IF($H51="5213",$F51,0)</f>
        <v>0</v>
      </c>
      <c r="CL51" s="264">
        <f>IF($G51="632",$F51,0)</f>
        <v>0</v>
      </c>
      <c r="CM51" s="264">
        <f>IF($H51="632",$F51,0)</f>
        <v>0</v>
      </c>
      <c r="CN51" s="264">
        <f>IF($G51="635",$F51,0)</f>
        <v>0</v>
      </c>
      <c r="CO51" s="264">
        <f>IF($H51="635",$F51,0)</f>
        <v>0</v>
      </c>
      <c r="CP51" s="264">
        <f>IF($G51="641",$F51,0)</f>
        <v>0</v>
      </c>
      <c r="CQ51" s="264">
        <f>IF($H51="641",$F51,0)</f>
        <v>0</v>
      </c>
      <c r="CR51" s="264">
        <f>IF($G51="642",$F51,0)</f>
        <v>0</v>
      </c>
      <c r="CS51" s="264">
        <f>IF($H51="642",$F51,0)</f>
        <v>0</v>
      </c>
      <c r="CT51" s="264">
        <f>IF($G51="711",$F51,0)</f>
        <v>0</v>
      </c>
      <c r="CU51" s="264">
        <f>IF($H51="711",$F51,0)</f>
        <v>0</v>
      </c>
      <c r="CV51" s="264">
        <f>IF($G51="811",$F51,0)</f>
        <v>0</v>
      </c>
      <c r="CW51" s="264">
        <f>IF($H51="811",$F51,0)</f>
        <v>0</v>
      </c>
      <c r="CX51" s="264">
        <f>IF($G51="821",$F51,0)</f>
        <v>0</v>
      </c>
      <c r="CY51" s="264">
        <f>IF($H51="821",$F51,0)</f>
        <v>0</v>
      </c>
      <c r="CZ51" s="264">
        <f>IF($G51="911",$F51,0)</f>
        <v>0</v>
      </c>
      <c r="DA51" s="264">
        <f>IF($H51="911",$F51,0)</f>
        <v>0</v>
      </c>
    </row>
    <row r="52" spans="1:105" s="261" customFormat="1" ht="15" customHeight="1">
      <c r="A52" s="268"/>
      <c r="B52" s="268"/>
      <c r="C52" s="268"/>
      <c r="D52" s="268"/>
      <c r="E52" s="263" t="s">
        <v>175</v>
      </c>
      <c r="F52" s="268"/>
      <c r="G52" s="267"/>
      <c r="H52" s="267"/>
      <c r="I52" s="268"/>
      <c r="J52" s="268">
        <f t="shared" ref="J52:AO52" ca="1" si="99">SUM(J11:J51)</f>
        <v>0</v>
      </c>
      <c r="K52" s="268">
        <f t="shared" ca="1" si="99"/>
        <v>0</v>
      </c>
      <c r="L52" s="268">
        <f t="shared" ca="1" si="99"/>
        <v>0</v>
      </c>
      <c r="M52" s="268">
        <f t="shared" ca="1" si="99"/>
        <v>0</v>
      </c>
      <c r="N52" s="268">
        <f t="shared" ca="1" si="99"/>
        <v>0</v>
      </c>
      <c r="O52" s="268">
        <f t="shared" ca="1" si="99"/>
        <v>0</v>
      </c>
      <c r="P52" s="268">
        <f t="shared" ca="1" si="99"/>
        <v>0</v>
      </c>
      <c r="Q52" s="268">
        <f t="shared" ca="1" si="99"/>
        <v>0</v>
      </c>
      <c r="R52" s="268">
        <f t="shared" ca="1" si="99"/>
        <v>0</v>
      </c>
      <c r="S52" s="268">
        <f t="shared" ca="1" si="99"/>
        <v>0</v>
      </c>
      <c r="T52" s="268">
        <f t="shared" ca="1" si="99"/>
        <v>0</v>
      </c>
      <c r="U52" s="268">
        <f t="shared" ca="1" si="99"/>
        <v>0</v>
      </c>
      <c r="V52" s="268">
        <f t="shared" ca="1" si="99"/>
        <v>0</v>
      </c>
      <c r="W52" s="268">
        <f t="shared" ca="1" si="99"/>
        <v>0</v>
      </c>
      <c r="X52" s="268">
        <f t="shared" ca="1" si="99"/>
        <v>0</v>
      </c>
      <c r="Y52" s="268">
        <f t="shared" ca="1" si="99"/>
        <v>0</v>
      </c>
      <c r="Z52" s="268">
        <f t="shared" ca="1" si="99"/>
        <v>0</v>
      </c>
      <c r="AA52" s="268">
        <f t="shared" ca="1" si="99"/>
        <v>0</v>
      </c>
      <c r="AB52" s="268">
        <f t="shared" ca="1" si="99"/>
        <v>0</v>
      </c>
      <c r="AC52" s="268">
        <f t="shared" ca="1" si="99"/>
        <v>0</v>
      </c>
      <c r="AD52" s="268">
        <f t="shared" ca="1" si="99"/>
        <v>0</v>
      </c>
      <c r="AE52" s="268">
        <f t="shared" ca="1" si="99"/>
        <v>0</v>
      </c>
      <c r="AF52" s="268">
        <f t="shared" ca="1" si="99"/>
        <v>0</v>
      </c>
      <c r="AG52" s="268">
        <f t="shared" ca="1" si="99"/>
        <v>0</v>
      </c>
      <c r="AH52" s="268">
        <f t="shared" ca="1" si="99"/>
        <v>0</v>
      </c>
      <c r="AI52" s="268">
        <f t="shared" ca="1" si="99"/>
        <v>0</v>
      </c>
      <c r="AJ52" s="268">
        <f t="shared" ca="1" si="99"/>
        <v>0</v>
      </c>
      <c r="AK52" s="268">
        <f t="shared" ca="1" si="99"/>
        <v>0</v>
      </c>
      <c r="AL52" s="268">
        <f t="shared" ca="1" si="99"/>
        <v>0</v>
      </c>
      <c r="AM52" s="268">
        <f t="shared" ca="1" si="99"/>
        <v>0</v>
      </c>
      <c r="AN52" s="268">
        <f t="shared" ca="1" si="99"/>
        <v>0</v>
      </c>
      <c r="AO52" s="268">
        <f t="shared" ca="1" si="99"/>
        <v>0</v>
      </c>
      <c r="AP52" s="268">
        <f t="shared" ref="AP52:BU52" ca="1" si="100">SUM(AP11:AP51)</f>
        <v>0</v>
      </c>
      <c r="AQ52" s="268">
        <f t="shared" ca="1" si="100"/>
        <v>0</v>
      </c>
      <c r="AR52" s="268">
        <f t="shared" ca="1" si="100"/>
        <v>0</v>
      </c>
      <c r="AS52" s="268">
        <f t="shared" ca="1" si="100"/>
        <v>0</v>
      </c>
      <c r="AT52" s="268">
        <f t="shared" ca="1" si="100"/>
        <v>0</v>
      </c>
      <c r="AU52" s="268">
        <f t="shared" ca="1" si="100"/>
        <v>0</v>
      </c>
      <c r="AV52" s="268">
        <f t="shared" ca="1" si="100"/>
        <v>0</v>
      </c>
      <c r="AW52" s="268">
        <f t="shared" ca="1" si="100"/>
        <v>0</v>
      </c>
      <c r="AX52" s="268">
        <f t="shared" ca="1" si="100"/>
        <v>0</v>
      </c>
      <c r="AY52" s="268">
        <f t="shared" ca="1" si="100"/>
        <v>0</v>
      </c>
      <c r="AZ52" s="268">
        <f t="shared" ca="1" si="100"/>
        <v>0</v>
      </c>
      <c r="BA52" s="268">
        <f t="shared" ca="1" si="100"/>
        <v>0</v>
      </c>
      <c r="BB52" s="268">
        <f t="shared" ca="1" si="100"/>
        <v>0</v>
      </c>
      <c r="BC52" s="268">
        <f t="shared" ca="1" si="100"/>
        <v>0</v>
      </c>
      <c r="BD52" s="268">
        <f t="shared" ca="1" si="100"/>
        <v>0</v>
      </c>
      <c r="BE52" s="268">
        <f t="shared" ca="1" si="100"/>
        <v>0</v>
      </c>
      <c r="BF52" s="268">
        <f t="shared" ca="1" si="100"/>
        <v>0</v>
      </c>
      <c r="BG52" s="268">
        <f t="shared" ca="1" si="100"/>
        <v>0</v>
      </c>
      <c r="BH52" s="268">
        <f t="shared" ca="1" si="100"/>
        <v>0</v>
      </c>
      <c r="BI52" s="268">
        <f t="shared" ca="1" si="100"/>
        <v>0</v>
      </c>
      <c r="BJ52" s="268">
        <f t="shared" ca="1" si="100"/>
        <v>0</v>
      </c>
      <c r="BK52" s="268">
        <f t="shared" ca="1" si="100"/>
        <v>0</v>
      </c>
      <c r="BL52" s="268">
        <f t="shared" ca="1" si="100"/>
        <v>0</v>
      </c>
      <c r="BM52" s="268">
        <f t="shared" ca="1" si="100"/>
        <v>0</v>
      </c>
      <c r="BN52" s="268">
        <f t="shared" ca="1" si="100"/>
        <v>0</v>
      </c>
      <c r="BO52" s="268">
        <f t="shared" ca="1" si="100"/>
        <v>0</v>
      </c>
      <c r="BP52" s="268">
        <f t="shared" ca="1" si="100"/>
        <v>0</v>
      </c>
      <c r="BQ52" s="268">
        <f t="shared" ca="1" si="100"/>
        <v>0</v>
      </c>
      <c r="BR52" s="268">
        <f t="shared" ca="1" si="100"/>
        <v>0</v>
      </c>
      <c r="BS52" s="268">
        <f t="shared" ca="1" si="100"/>
        <v>0</v>
      </c>
      <c r="BT52" s="268">
        <f t="shared" ca="1" si="100"/>
        <v>0</v>
      </c>
      <c r="BU52" s="268">
        <f t="shared" ca="1" si="100"/>
        <v>0</v>
      </c>
      <c r="BV52" s="268">
        <f t="shared" ref="BV52:DA52" ca="1" si="101">SUM(BV11:BV51)</f>
        <v>0</v>
      </c>
      <c r="BW52" s="268">
        <f t="shared" ca="1" si="101"/>
        <v>0</v>
      </c>
      <c r="BX52" s="268">
        <f t="shared" ca="1" si="101"/>
        <v>0</v>
      </c>
      <c r="BY52" s="268">
        <f t="shared" ca="1" si="101"/>
        <v>0</v>
      </c>
      <c r="BZ52" s="268">
        <f t="shared" ca="1" si="101"/>
        <v>0</v>
      </c>
      <c r="CA52" s="268">
        <f t="shared" ca="1" si="101"/>
        <v>0</v>
      </c>
      <c r="CB52" s="268">
        <f t="shared" ca="1" si="101"/>
        <v>0</v>
      </c>
      <c r="CC52" s="268">
        <f t="shared" ca="1" si="101"/>
        <v>0</v>
      </c>
      <c r="CD52" s="268">
        <f t="shared" ca="1" si="101"/>
        <v>0</v>
      </c>
      <c r="CE52" s="268">
        <f t="shared" ca="1" si="101"/>
        <v>0</v>
      </c>
      <c r="CF52" s="268">
        <f t="shared" ca="1" si="101"/>
        <v>0</v>
      </c>
      <c r="CG52" s="268">
        <f t="shared" ca="1" si="101"/>
        <v>0</v>
      </c>
      <c r="CH52" s="268">
        <f t="shared" ca="1" si="101"/>
        <v>0</v>
      </c>
      <c r="CI52" s="268">
        <f t="shared" ca="1" si="101"/>
        <v>0</v>
      </c>
      <c r="CJ52" s="268">
        <f t="shared" ca="1" si="101"/>
        <v>0</v>
      </c>
      <c r="CK52" s="268">
        <f t="shared" ca="1" si="101"/>
        <v>0</v>
      </c>
      <c r="CL52" s="268">
        <f t="shared" ca="1" si="101"/>
        <v>0</v>
      </c>
      <c r="CM52" s="268">
        <f t="shared" ca="1" si="101"/>
        <v>0</v>
      </c>
      <c r="CN52" s="268">
        <f t="shared" ca="1" si="101"/>
        <v>0</v>
      </c>
      <c r="CO52" s="268">
        <f t="shared" ca="1" si="101"/>
        <v>0</v>
      </c>
      <c r="CP52" s="268">
        <f t="shared" ca="1" si="101"/>
        <v>0</v>
      </c>
      <c r="CQ52" s="268">
        <f t="shared" ca="1" si="101"/>
        <v>0</v>
      </c>
      <c r="CR52" s="268">
        <f t="shared" ca="1" si="101"/>
        <v>0</v>
      </c>
      <c r="CS52" s="268">
        <f t="shared" ca="1" si="101"/>
        <v>0</v>
      </c>
      <c r="CT52" s="268">
        <f t="shared" ca="1" si="101"/>
        <v>0</v>
      </c>
      <c r="CU52" s="268">
        <f t="shared" ca="1" si="101"/>
        <v>0</v>
      </c>
      <c r="CV52" s="268">
        <f t="shared" ca="1" si="101"/>
        <v>0</v>
      </c>
      <c r="CW52" s="268">
        <f t="shared" ca="1" si="101"/>
        <v>0</v>
      </c>
      <c r="CX52" s="268">
        <f t="shared" ca="1" si="101"/>
        <v>0</v>
      </c>
      <c r="CY52" s="268">
        <f t="shared" ca="1" si="101"/>
        <v>0</v>
      </c>
      <c r="CZ52" s="268">
        <f t="shared" ca="1" si="101"/>
        <v>0</v>
      </c>
      <c r="DA52" s="268">
        <f t="shared" ca="1" si="101"/>
        <v>0</v>
      </c>
    </row>
    <row r="53" spans="1:105" s="261" customFormat="1" ht="15" customHeight="1">
      <c r="A53" s="269"/>
      <c r="B53" s="269"/>
      <c r="C53" s="269"/>
      <c r="D53" s="269"/>
      <c r="E53" s="270" t="s">
        <v>216</v>
      </c>
      <c r="F53" s="269"/>
      <c r="G53" s="271"/>
      <c r="H53" s="271"/>
      <c r="I53" s="269"/>
      <c r="J53" s="291">
        <f ca="1">MAX(J10+J52-K10-K52,0)</f>
        <v>3705039095</v>
      </c>
      <c r="K53" s="291">
        <f ca="1">MAX(K10+K52-J10-J52,0)</f>
        <v>0</v>
      </c>
      <c r="L53" s="291">
        <f ca="1">MAX(L10+L52-M10-M52,0)</f>
        <v>19829295</v>
      </c>
      <c r="M53" s="291">
        <f ca="1">MAX(M10+M52-L10-L52,0)</f>
        <v>0</v>
      </c>
      <c r="N53" s="291">
        <f ca="1">MAX(N10+N52-O10-O52,0)</f>
        <v>2236796790</v>
      </c>
      <c r="O53" s="291">
        <f ca="1">MAX(O10+O52-N10-N52,0)</f>
        <v>0</v>
      </c>
      <c r="P53" s="291">
        <f ca="1">MAX(P10+P52-Q10-Q52,0)</f>
        <v>3343381600</v>
      </c>
      <c r="Q53" s="291">
        <f ca="1">MAX(Q10+Q52-P10-P52,0)</f>
        <v>0</v>
      </c>
      <c r="R53" s="291">
        <f ca="1">MAX(R10+R52-S10-S52,0)</f>
        <v>162420936</v>
      </c>
      <c r="S53" s="291">
        <f ca="1">MAX(S10+S52-R10-R52,0)</f>
        <v>0</v>
      </c>
      <c r="T53" s="291">
        <f ca="1">MAX(T10+T52-U10-U52,0)</f>
        <v>1500000000</v>
      </c>
      <c r="U53" s="291">
        <f ca="1">MAX(U10+U52-T10-T52,0)</f>
        <v>0</v>
      </c>
      <c r="V53" s="291">
        <f ca="1">MAX(V10+V52-W10-W52,0)</f>
        <v>0</v>
      </c>
      <c r="W53" s="291">
        <f ca="1">MAX(W10+W52-V10-V52,0)</f>
        <v>0</v>
      </c>
      <c r="X53" s="291">
        <f ca="1">MAX(X10+X52-Y10-Y52,0)</f>
        <v>2772400000</v>
      </c>
      <c r="Y53" s="291">
        <f ca="1">MAX(Y10+Y52-X10-X52,0)</f>
        <v>0</v>
      </c>
      <c r="Z53" s="291">
        <f ca="1">MAX(Z10+Z52-AA10-AA52,0)</f>
        <v>526519887</v>
      </c>
      <c r="AA53" s="291">
        <f ca="1">MAX(AA10+AA52-Z10-Z52,0)</f>
        <v>0</v>
      </c>
      <c r="AB53" s="291">
        <f ca="1">MAX(AB10+AB52-AC10-AC52,0)</f>
        <v>0</v>
      </c>
      <c r="AC53" s="291">
        <f ca="1">MAX(AC10+AC52-AB10-AB52,0)</f>
        <v>0</v>
      </c>
      <c r="AD53" s="291">
        <f ca="1">MAX(AD10+AD52-AE10-AE52,0)</f>
        <v>0</v>
      </c>
      <c r="AE53" s="291">
        <f ca="1">MAX(AE10+AE52-AD10-AD52,0)</f>
        <v>0</v>
      </c>
      <c r="AF53" s="291">
        <f ca="1">MAX(AF10+AF52-AG10-AG52,0)</f>
        <v>9386323824</v>
      </c>
      <c r="AG53" s="291">
        <f ca="1">MAX(AG10+AG52-AF10-AF52,0)</f>
        <v>0</v>
      </c>
      <c r="AH53" s="291">
        <f ca="1">MAX(AH10+AH52-AI10-AI52,0)</f>
        <v>7490743648</v>
      </c>
      <c r="AI53" s="291">
        <f ca="1">MAX(AI10+AI52-AH10-AH52,0)</f>
        <v>0</v>
      </c>
      <c r="AJ53" s="291">
        <f ca="1">MAX(AJ10+AJ52-AK10-AK52,0)</f>
        <v>3807898863</v>
      </c>
      <c r="AK53" s="291">
        <f ca="1">MAX(AK10+AK52-AJ10-AJ52,0)</f>
        <v>0</v>
      </c>
      <c r="AL53" s="291">
        <f ca="1">MAX(AL10+AL52-AM10-AM52,0)</f>
        <v>3790918485</v>
      </c>
      <c r="AM53" s="291">
        <f ca="1">MAX(AM10+AM52-AL10-AL52,0)</f>
        <v>0</v>
      </c>
      <c r="AN53" s="291">
        <f ca="1">MAX(AN10+AN52-AO10-AO52,0)</f>
        <v>5405781300</v>
      </c>
      <c r="AO53" s="291">
        <f ca="1">MAX(AO10+AO52-AN10-AN52,0)</f>
        <v>0</v>
      </c>
      <c r="AP53" s="291">
        <f ca="1">MAX(AP10+AP52-AQ10-AQ52,0)</f>
        <v>0</v>
      </c>
      <c r="AQ53" s="291">
        <f ca="1">MAX(AQ10+AQ52-AP10-AP52,0)</f>
        <v>9132359256</v>
      </c>
      <c r="AR53" s="291">
        <f ca="1">MAX(AR10+AR52-AS10-AS52,0)</f>
        <v>0</v>
      </c>
      <c r="AS53" s="291">
        <f ca="1">MAX(AS10+AS52-AR10-AR52,0)</f>
        <v>600642360</v>
      </c>
      <c r="AT53" s="291">
        <f ca="1">MAX(AT10+AT52-AU10-AU52,0)</f>
        <v>0</v>
      </c>
      <c r="AU53" s="291">
        <f ca="1">MAX(AU10+AU52-AT10-AT52,0)</f>
        <v>0</v>
      </c>
      <c r="AV53" s="291">
        <f ca="1">MAX(AV10+AV52-AW10-AW52,0)</f>
        <v>0</v>
      </c>
      <c r="AW53" s="291">
        <f ca="1">MAX(AW10+AW52-AV10-AV52,0)</f>
        <v>476953252</v>
      </c>
      <c r="AX53" s="291">
        <f ca="1">MAX(AX10+AX52-AY10-AY52,0)</f>
        <v>0</v>
      </c>
      <c r="AY53" s="291">
        <f ca="1">MAX(AY10+AY52-AX10-AX52,0)</f>
        <v>0</v>
      </c>
      <c r="AZ53" s="291">
        <f ca="1">MAX(AZ10+AZ52-BA10-BA52,0)</f>
        <v>0</v>
      </c>
      <c r="BA53" s="291">
        <f ca="1">MAX(BA10+BA52-AZ10-AZ52,0)</f>
        <v>0</v>
      </c>
      <c r="BB53" s="291">
        <f ca="1">MAX(BB10+BB52-BC10-BC52,0)</f>
        <v>0</v>
      </c>
      <c r="BC53" s="291">
        <f ca="1">MAX(BC10+BC52-BB10-BB52,0)</f>
        <v>0</v>
      </c>
      <c r="BD53" s="291">
        <f ca="1">MAX(BD10+BD52-BE10-BE52,0)</f>
        <v>0</v>
      </c>
      <c r="BE53" s="291">
        <f ca="1">MAX(BE10+BE52-BD10-BD52,0)</f>
        <v>3313435</v>
      </c>
      <c r="BF53" s="291">
        <f ca="1">MAX(BF10+BF52-BG10-BG52,0)</f>
        <v>3389804</v>
      </c>
      <c r="BG53" s="291">
        <f ca="1">MAX(BG10+BG52-BF10-BF52,0)</f>
        <v>0</v>
      </c>
      <c r="BH53" s="291">
        <f ca="1">MAX(BH10+BH52-BI10-BI52,0)</f>
        <v>0</v>
      </c>
      <c r="BI53" s="291">
        <f ca="1">MAX(BI10+BI52-BH10-BH52,0)</f>
        <v>0</v>
      </c>
      <c r="BJ53" s="291">
        <f ca="1">MAX(BJ10+BJ52-BK10-BK52,0)</f>
        <v>0</v>
      </c>
      <c r="BK53" s="291">
        <f ca="1">MAX(BK10+BK52-BJ10-BJ52,0)</f>
        <v>0</v>
      </c>
      <c r="BL53" s="291">
        <f ca="1">MAX(BL10+BL52-BM10-BM52,0)</f>
        <v>0</v>
      </c>
      <c r="BM53" s="291">
        <f ca="1">MAX(BM10+BM52-BL10-BL52,0)</f>
        <v>40272309</v>
      </c>
      <c r="BN53" s="291">
        <f ca="1">MAX(BN10+BN52-BO10-BO52,0)</f>
        <v>0</v>
      </c>
      <c r="BO53" s="291">
        <f ca="1">MAX(BO10+BO52-BN10-BN52,0)</f>
        <v>6403142</v>
      </c>
      <c r="BP53" s="291">
        <f ca="1">MAX(BP10+BP52-BQ10-BQ52,0)</f>
        <v>0</v>
      </c>
      <c r="BQ53" s="291">
        <f ca="1">MAX(BQ10+BQ52-BP10-BP52,0)</f>
        <v>2761373</v>
      </c>
      <c r="BR53" s="291">
        <f ca="1">MAX(BR10+BR52-BS10-BS52,0)</f>
        <v>0</v>
      </c>
      <c r="BS53" s="291">
        <f ca="1">MAX(BS10+BS52-BR10-BR52,0)</f>
        <v>0</v>
      </c>
      <c r="BT53" s="291">
        <f ca="1">MAX(BT10+BT52-BU10-BU52,0)</f>
        <v>0</v>
      </c>
      <c r="BU53" s="291">
        <f ca="1">MAX(BU10+BU52-BT10-BT52,0)</f>
        <v>2169121879</v>
      </c>
      <c r="BV53" s="291">
        <f ca="1">MAX(BV10+BV52-BW10-BW52,0)</f>
        <v>0</v>
      </c>
      <c r="BW53" s="291">
        <f ca="1">MAX(BW10+BW52-BV10-BV52,0)</f>
        <v>21202920500</v>
      </c>
      <c r="BX53" s="291">
        <f ca="1">MAX(BX10+BX52-BY10-BY52,0)</f>
        <v>0</v>
      </c>
      <c r="BY53" s="291">
        <f ca="1">MAX(BY10+BY52-BX10-BX52,0)</f>
        <v>10000000000</v>
      </c>
      <c r="BZ53" s="291">
        <f ca="1">MAX(BZ10+BZ52-CA10-CA52,0)</f>
        <v>0</v>
      </c>
      <c r="CA53" s="291">
        <f ca="1">MAX(CA10+CA52-BZ10-BZ52,0)</f>
        <v>594397022.00000048</v>
      </c>
      <c r="CB53" s="291">
        <f ca="1">MAX(CB10+CB52-CC10-CC52,0)</f>
        <v>77701001</v>
      </c>
      <c r="CC53" s="291">
        <f ca="1">MAX(CC10+CC52-CB10-CB52,0)</f>
        <v>0</v>
      </c>
      <c r="CD53" s="291">
        <f ca="1">MAX(CD10+CD52-CE10-CE52,0)</f>
        <v>0</v>
      </c>
      <c r="CE53" s="291">
        <f ca="1">MAX(CE10+CE52-CD10-CD52,0)</f>
        <v>0</v>
      </c>
      <c r="CF53" s="291">
        <f ca="1">MAX(CF10+CF52-CG10-CG52,0)</f>
        <v>0</v>
      </c>
      <c r="CG53" s="291">
        <f ca="1">MAX(CG10+CG52-CF10-CF52,0)</f>
        <v>0</v>
      </c>
      <c r="CH53" s="291">
        <f ca="1">MAX(CH10+CH52-CI10-CI52,0)</f>
        <v>0</v>
      </c>
      <c r="CI53" s="291">
        <f ca="1">MAX(CI10+CI52-CH10-CH52,0)</f>
        <v>0</v>
      </c>
      <c r="CJ53" s="291">
        <f ca="1">MAX(CJ10+CJ52-CK10-CK52,0)</f>
        <v>0</v>
      </c>
      <c r="CK53" s="291">
        <f ca="1">MAX(CK10+CK52-CJ10-CJ52,0)</f>
        <v>0</v>
      </c>
      <c r="CL53" s="291">
        <f ca="1">MAX(CL10+CL52-CM10-CM52,0)</f>
        <v>0</v>
      </c>
      <c r="CM53" s="291">
        <f ca="1">MAX(CM10+CM52-CL10-CL52,0)</f>
        <v>0</v>
      </c>
      <c r="CN53" s="291">
        <f ca="1">MAX(CN10+CN52-CO10-CO52,0)</f>
        <v>0</v>
      </c>
      <c r="CO53" s="291">
        <f ca="1">MAX(CO10+CO52-CN10-CN52,0)</f>
        <v>0</v>
      </c>
      <c r="CP53" s="291">
        <f ca="1">MAX(CP10+CP52-CQ10-CQ52,0)</f>
        <v>0</v>
      </c>
      <c r="CQ53" s="291">
        <f ca="1">MAX(CQ10+CQ52-CP10-CP52,0)</f>
        <v>0</v>
      </c>
      <c r="CR53" s="291">
        <f ca="1">MAX(CR10+CR52-CS10-CS52,0)</f>
        <v>0</v>
      </c>
      <c r="CS53" s="291">
        <f ca="1">MAX(CS10+CS52-CR10-CR52,0)</f>
        <v>0</v>
      </c>
      <c r="CT53" s="291">
        <f ca="1">MAX(CT10+CT52-CU10-CU52,0)</f>
        <v>0</v>
      </c>
      <c r="CU53" s="291">
        <f ca="1">MAX(CU10+CU52-CT10-CT52,0)</f>
        <v>0</v>
      </c>
      <c r="CV53" s="291">
        <f ca="1">MAX(CV10+CV52-CW10-CW52,0)</f>
        <v>0</v>
      </c>
      <c r="CW53" s="291">
        <f ca="1">MAX(CW10+CW52-CV10-CV52,0)</f>
        <v>0</v>
      </c>
      <c r="CX53" s="291">
        <f ca="1">MAX(CX10+CX52-CY10-CY52,0)</f>
        <v>0</v>
      </c>
      <c r="CY53" s="291">
        <f ca="1">MAX(CY10+CY52-CX10-CX52,0)</f>
        <v>0</v>
      </c>
      <c r="CZ53" s="291">
        <f ca="1">MAX(CZ10+CZ52-DA10-DA52,0)</f>
        <v>0</v>
      </c>
      <c r="DA53" s="291">
        <f ca="1">MAX(DA10+DA52-CZ10-CZ52,0)</f>
        <v>0</v>
      </c>
    </row>
    <row r="54" spans="1:105" s="261" customFormat="1" ht="15" customHeight="1">
      <c r="A54" s="273"/>
      <c r="B54" s="273"/>
      <c r="C54" s="274"/>
      <c r="D54" s="273"/>
      <c r="E54" s="275" t="s">
        <v>217</v>
      </c>
      <c r="F54" s="273"/>
      <c r="G54" s="276"/>
      <c r="H54" s="276"/>
      <c r="I54" s="273"/>
      <c r="J54" s="273">
        <f ca="1">J52+'SC-I'!J54</f>
        <v>0</v>
      </c>
      <c r="K54" s="273">
        <f ca="1">K52+'SC-I'!K54</f>
        <v>0</v>
      </c>
      <c r="L54" s="273">
        <f ca="1">L52+'SC-I'!L54</f>
        <v>0</v>
      </c>
      <c r="M54" s="273">
        <f ca="1">M52+'SC-I'!M54</f>
        <v>0</v>
      </c>
      <c r="N54" s="273">
        <f ca="1">N52+'SC-I'!N54</f>
        <v>0</v>
      </c>
      <c r="O54" s="273">
        <f ca="1">O52+'SC-I'!O54</f>
        <v>0</v>
      </c>
      <c r="P54" s="273">
        <f ca="1">P52+'SC-I'!P54</f>
        <v>0</v>
      </c>
      <c r="Q54" s="273">
        <f ca="1">Q52+'SC-I'!Q54</f>
        <v>0</v>
      </c>
      <c r="R54" s="273">
        <f ca="1">R52+'SC-I'!R54</f>
        <v>0</v>
      </c>
      <c r="S54" s="273">
        <f ca="1">S52+'SC-I'!S54</f>
        <v>0</v>
      </c>
      <c r="T54" s="273">
        <f ca="1">T52+'SC-I'!T54</f>
        <v>0</v>
      </c>
      <c r="U54" s="273">
        <f ca="1">U52+'SC-I'!U54</f>
        <v>0</v>
      </c>
      <c r="V54" s="273">
        <f ca="1">V52+'SC-I'!V54</f>
        <v>0</v>
      </c>
      <c r="W54" s="273">
        <f ca="1">W52+'SC-I'!W54</f>
        <v>0</v>
      </c>
      <c r="X54" s="273">
        <f ca="1">X52+'SC-I'!X54</f>
        <v>0</v>
      </c>
      <c r="Y54" s="273">
        <f ca="1">Y52+'SC-I'!Y54</f>
        <v>0</v>
      </c>
      <c r="Z54" s="273">
        <f ca="1">Z52+'SC-I'!Z54</f>
        <v>0</v>
      </c>
      <c r="AA54" s="273">
        <f ca="1">AA52+'SC-I'!AA54</f>
        <v>0</v>
      </c>
      <c r="AB54" s="273">
        <f ca="1">AB52+'SC-I'!AB54</f>
        <v>0</v>
      </c>
      <c r="AC54" s="273">
        <f ca="1">AC52+'SC-I'!AC54</f>
        <v>0</v>
      </c>
      <c r="AD54" s="273">
        <f ca="1">AD52+'SC-I'!AD54</f>
        <v>0</v>
      </c>
      <c r="AE54" s="273">
        <f ca="1">AE52+'SC-I'!AE54</f>
        <v>0</v>
      </c>
      <c r="AF54" s="273">
        <f ca="1">AF52+'SC-I'!AF54</f>
        <v>0</v>
      </c>
      <c r="AG54" s="273">
        <f ca="1">AG52+'SC-I'!AG54</f>
        <v>0</v>
      </c>
      <c r="AH54" s="273">
        <f ca="1">AH52+'SC-I'!AH54</f>
        <v>0</v>
      </c>
      <c r="AI54" s="273">
        <f ca="1">AI52+'SC-I'!AI54</f>
        <v>0</v>
      </c>
      <c r="AJ54" s="273">
        <f ca="1">AJ52+'SC-I'!AJ54</f>
        <v>0</v>
      </c>
      <c r="AK54" s="273">
        <f ca="1">AK52+'SC-I'!AK54</f>
        <v>0</v>
      </c>
      <c r="AL54" s="273">
        <f ca="1">AL52+'SC-I'!AL54</f>
        <v>0</v>
      </c>
      <c r="AM54" s="273">
        <f ca="1">AM52+'SC-I'!AM54</f>
        <v>0</v>
      </c>
      <c r="AN54" s="273">
        <f ca="1">AN52+'SC-I'!AN54</f>
        <v>0</v>
      </c>
      <c r="AO54" s="273">
        <f ca="1">AO52+'SC-I'!AO54</f>
        <v>0</v>
      </c>
      <c r="AP54" s="273">
        <f ca="1">AP52+'SC-I'!AP54</f>
        <v>0</v>
      </c>
      <c r="AQ54" s="273">
        <f ca="1">AQ52+'SC-I'!AQ54</f>
        <v>0</v>
      </c>
      <c r="AR54" s="273">
        <f ca="1">AR52+'SC-I'!AR54</f>
        <v>0</v>
      </c>
      <c r="AS54" s="273">
        <f ca="1">AS52+'SC-I'!AS54</f>
        <v>0</v>
      </c>
      <c r="AT54" s="273">
        <f ca="1">AT52+'SC-I'!AT54</f>
        <v>0</v>
      </c>
      <c r="AU54" s="273">
        <f ca="1">AU52+'SC-I'!AU54</f>
        <v>0</v>
      </c>
      <c r="AV54" s="273">
        <f ca="1">AV52+'SC-I'!AV54</f>
        <v>0</v>
      </c>
      <c r="AW54" s="273">
        <f ca="1">AW52+'SC-I'!AW54</f>
        <v>0</v>
      </c>
      <c r="AX54" s="273">
        <f ca="1">AX52+'SC-I'!AX54</f>
        <v>0</v>
      </c>
      <c r="AY54" s="273">
        <f ca="1">AY52+'SC-I'!AY54</f>
        <v>0</v>
      </c>
      <c r="AZ54" s="273">
        <f ca="1">AZ52+'SC-I'!AZ54</f>
        <v>0</v>
      </c>
      <c r="BA54" s="273">
        <f ca="1">BA52+'SC-I'!BA54</f>
        <v>0</v>
      </c>
      <c r="BB54" s="273">
        <f ca="1">BB52+'SC-I'!BB54</f>
        <v>0</v>
      </c>
      <c r="BC54" s="273">
        <f ca="1">BC52+'SC-I'!BC54</f>
        <v>0</v>
      </c>
      <c r="BD54" s="273">
        <f ca="1">BD52+'SC-I'!BD54</f>
        <v>0</v>
      </c>
      <c r="BE54" s="273">
        <f ca="1">BE52+'SC-I'!BE54</f>
        <v>0</v>
      </c>
      <c r="BF54" s="273">
        <f ca="1">BF52+'SC-I'!BF54</f>
        <v>0</v>
      </c>
      <c r="BG54" s="273">
        <f ca="1">BG52+'SC-I'!BG54</f>
        <v>0</v>
      </c>
      <c r="BH54" s="273">
        <f ca="1">BH52+'SC-I'!BH54</f>
        <v>0</v>
      </c>
      <c r="BI54" s="273">
        <f ca="1">BI52+'SC-I'!BI54</f>
        <v>0</v>
      </c>
      <c r="BJ54" s="273">
        <f ca="1">BJ52+'SC-I'!BJ54</f>
        <v>0</v>
      </c>
      <c r="BK54" s="273">
        <f ca="1">BK52+'SC-I'!BK54</f>
        <v>0</v>
      </c>
      <c r="BL54" s="273">
        <f ca="1">BL52+'SC-I'!BL54</f>
        <v>0</v>
      </c>
      <c r="BM54" s="273">
        <f ca="1">BM52+'SC-I'!BM54</f>
        <v>0</v>
      </c>
      <c r="BN54" s="273">
        <f ca="1">BN52+'SC-I'!BN54</f>
        <v>0</v>
      </c>
      <c r="BO54" s="273">
        <f ca="1">BO52+'SC-I'!BO54</f>
        <v>0</v>
      </c>
      <c r="BP54" s="273">
        <f ca="1">BP52+'SC-I'!BP54</f>
        <v>0</v>
      </c>
      <c r="BQ54" s="273">
        <f ca="1">BQ52+'SC-I'!BQ54</f>
        <v>0</v>
      </c>
      <c r="BR54" s="273">
        <f ca="1">BR52+'SC-I'!BR54</f>
        <v>0</v>
      </c>
      <c r="BS54" s="273">
        <f ca="1">BS52+'SC-I'!BS54</f>
        <v>0</v>
      </c>
      <c r="BT54" s="273">
        <f ca="1">BT52+'SC-I'!BT54</f>
        <v>0</v>
      </c>
      <c r="BU54" s="273">
        <f ca="1">BU52+'SC-I'!BU54</f>
        <v>0</v>
      </c>
      <c r="BV54" s="273">
        <f ca="1">BV52+'SC-I'!BV54</f>
        <v>0</v>
      </c>
      <c r="BW54" s="273">
        <f ca="1">BW52+'SC-I'!BW54</f>
        <v>0</v>
      </c>
      <c r="BX54" s="273">
        <f ca="1">BX52+'SC-I'!BX54</f>
        <v>0</v>
      </c>
      <c r="BY54" s="273">
        <f ca="1">BY52+'SC-I'!BY54</f>
        <v>0</v>
      </c>
      <c r="BZ54" s="273">
        <f ca="1">BZ52+'SC-I'!BZ54</f>
        <v>0</v>
      </c>
      <c r="CA54" s="273">
        <f ca="1">CA52+'SC-I'!CA54</f>
        <v>107861885.00000048</v>
      </c>
      <c r="CB54" s="273">
        <f ca="1">CB52+'SC-I'!CB54</f>
        <v>107861885.00000048</v>
      </c>
      <c r="CC54" s="273">
        <f ca="1">CC52+'SC-I'!CC54</f>
        <v>0</v>
      </c>
      <c r="CD54" s="273">
        <f ca="1">CD52+'SC-I'!CD54</f>
        <v>0</v>
      </c>
      <c r="CE54" s="273">
        <f ca="1">CE52+'SC-I'!CE54</f>
        <v>0</v>
      </c>
      <c r="CF54" s="273">
        <f ca="1">CF52+'SC-I'!CF54</f>
        <v>0</v>
      </c>
      <c r="CG54" s="273">
        <f ca="1">CG52+'SC-I'!CG54</f>
        <v>0</v>
      </c>
      <c r="CH54" s="273">
        <f ca="1">CH52+'SC-I'!CH54</f>
        <v>0</v>
      </c>
      <c r="CI54" s="273">
        <f ca="1">CI52+'SC-I'!CI54</f>
        <v>0</v>
      </c>
      <c r="CJ54" s="273">
        <f ca="1">CJ52+'SC-I'!CJ54</f>
        <v>0</v>
      </c>
      <c r="CK54" s="273">
        <f ca="1">CK52+'SC-I'!CK54</f>
        <v>0</v>
      </c>
      <c r="CL54" s="273">
        <f ca="1">CL52+'SC-I'!CL54</f>
        <v>0</v>
      </c>
      <c r="CM54" s="273">
        <f ca="1">CM52+'SC-I'!CM54</f>
        <v>0</v>
      </c>
      <c r="CN54" s="273">
        <f ca="1">CN52+'SC-I'!CN54</f>
        <v>0</v>
      </c>
      <c r="CO54" s="273">
        <f ca="1">CO52+'SC-I'!CO54</f>
        <v>0</v>
      </c>
      <c r="CP54" s="273">
        <f ca="1">CP52+'SC-I'!CP54</f>
        <v>0</v>
      </c>
      <c r="CQ54" s="273">
        <f ca="1">CQ52+'SC-I'!CQ54</f>
        <v>0</v>
      </c>
      <c r="CR54" s="273">
        <f ca="1">CR52+'SC-I'!CR54</f>
        <v>0</v>
      </c>
      <c r="CS54" s="273">
        <f ca="1">CS52+'SC-I'!CS54</f>
        <v>0</v>
      </c>
      <c r="CT54" s="273">
        <f ca="1">CT52+'SC-I'!CT54</f>
        <v>0</v>
      </c>
      <c r="CU54" s="273">
        <f ca="1">CU52+'SC-I'!CU54</f>
        <v>0</v>
      </c>
      <c r="CV54" s="273">
        <f ca="1">CV52+'SC-I'!CV54</f>
        <v>0</v>
      </c>
      <c r="CW54" s="273">
        <f ca="1">CW52+'SC-I'!CW54</f>
        <v>0</v>
      </c>
      <c r="CX54" s="273">
        <f ca="1">CX52+'SC-I'!CX54</f>
        <v>0</v>
      </c>
      <c r="CY54" s="273">
        <f ca="1">CY52+'SC-I'!CY54</f>
        <v>0</v>
      </c>
      <c r="CZ54" s="273">
        <f ca="1">CZ52+'SC-I'!CZ54</f>
        <v>0</v>
      </c>
      <c r="DA54" s="273">
        <f ca="1">DA52+'SC-I'!DA54</f>
        <v>0</v>
      </c>
    </row>
    <row r="55" spans="1:105" ht="12" customHeight="1">
      <c r="B55" s="278"/>
      <c r="C55" s="279"/>
      <c r="D55" s="279"/>
      <c r="E55" s="279"/>
      <c r="F55" s="279"/>
      <c r="G55" s="280"/>
      <c r="H55" s="280"/>
      <c r="I55" s="279"/>
      <c r="J55" s="279"/>
      <c r="K55" s="279"/>
    </row>
    <row r="56" spans="1:105">
      <c r="M56" s="281"/>
      <c r="O56" s="281"/>
      <c r="Q56" s="281"/>
      <c r="R56" s="281"/>
      <c r="S56" s="281"/>
      <c r="T56" s="281"/>
      <c r="U56" s="281"/>
      <c r="V56" s="281"/>
      <c r="AM56" s="283"/>
      <c r="AN56" s="282" t="s">
        <v>231</v>
      </c>
      <c r="AO56" s="283"/>
      <c r="AP56" s="283"/>
      <c r="AQ56" s="283"/>
      <c r="AR56" s="284"/>
      <c r="AS56" s="284"/>
      <c r="AT56" s="283"/>
    </row>
    <row r="57" spans="1:105">
      <c r="M57" s="281"/>
      <c r="O57" s="281"/>
      <c r="Q57" s="281"/>
      <c r="R57" s="281"/>
      <c r="S57" s="281"/>
      <c r="T57" s="281"/>
      <c r="U57" s="281"/>
      <c r="V57" s="281"/>
      <c r="AM57" s="283"/>
      <c r="AN57" s="285" t="s">
        <v>221</v>
      </c>
      <c r="AO57" s="283"/>
      <c r="AP57" s="283"/>
      <c r="AQ57" s="283"/>
      <c r="AR57" s="284"/>
      <c r="AS57" s="284"/>
      <c r="AT57" s="283"/>
    </row>
    <row r="58" spans="1:105">
      <c r="M58" s="281"/>
      <c r="O58" s="281"/>
      <c r="Q58" s="281"/>
      <c r="R58" s="281"/>
      <c r="S58" s="281"/>
      <c r="T58" s="281"/>
      <c r="U58" s="281"/>
      <c r="V58" s="281"/>
      <c r="AL58" s="283"/>
      <c r="AM58" s="283"/>
      <c r="AN58" s="283"/>
      <c r="AO58" s="283"/>
      <c r="AP58" s="283"/>
      <c r="AQ58" s="283"/>
      <c r="AR58" s="283"/>
      <c r="AS58" s="283"/>
      <c r="AT58" s="284"/>
    </row>
    <row r="59" spans="1:105">
      <c r="M59" s="281"/>
      <c r="O59" s="281"/>
      <c r="Q59" s="281"/>
      <c r="R59" s="281"/>
      <c r="S59" s="281"/>
      <c r="T59" s="281"/>
      <c r="U59" s="281"/>
      <c r="V59" s="281"/>
      <c r="AL59" s="283"/>
      <c r="AM59" s="283"/>
      <c r="AN59" s="283"/>
      <c r="AO59" s="287" t="s">
        <v>11</v>
      </c>
      <c r="AQ59" s="283"/>
      <c r="AR59" s="283"/>
      <c r="AS59" s="283"/>
      <c r="AT59" s="284"/>
      <c r="AZ59" s="286" t="str">
        <f>"Ngày 30 tháng 06 năm 2015 "</f>
        <v xml:space="preserve">Ngày 30 tháng 06 năm 2015 </v>
      </c>
    </row>
    <row r="60" spans="1:105">
      <c r="M60" s="281"/>
      <c r="O60" s="281"/>
      <c r="Q60" s="281"/>
      <c r="R60" s="281"/>
      <c r="S60" s="281"/>
      <c r="T60" s="281"/>
      <c r="U60" s="281"/>
      <c r="V60" s="281"/>
      <c r="AL60" s="283"/>
      <c r="AN60" s="283"/>
      <c r="AO60" s="289" t="s">
        <v>13</v>
      </c>
      <c r="AQ60" s="283"/>
      <c r="AR60" s="283"/>
      <c r="AS60" s="288" t="s">
        <v>12</v>
      </c>
      <c r="AT60" s="284"/>
      <c r="AZ60" s="287" t="s">
        <v>131</v>
      </c>
    </row>
    <row r="61" spans="1:105">
      <c r="M61" s="281"/>
      <c r="O61" s="281"/>
      <c r="Q61" s="281"/>
      <c r="R61" s="281"/>
      <c r="S61" s="281"/>
      <c r="T61" s="281"/>
      <c r="U61" s="281"/>
      <c r="V61" s="281"/>
      <c r="AL61" s="283"/>
      <c r="AN61" s="283"/>
      <c r="AO61" s="283"/>
      <c r="AQ61" s="283"/>
      <c r="AR61" s="283"/>
      <c r="AS61" s="290" t="s">
        <v>13</v>
      </c>
      <c r="AT61" s="284"/>
      <c r="AZ61" s="289" t="s">
        <v>161</v>
      </c>
    </row>
    <row r="62" spans="1:105">
      <c r="M62" s="281"/>
      <c r="O62" s="281"/>
      <c r="Q62" s="281"/>
      <c r="R62" s="281"/>
      <c r="S62" s="281"/>
      <c r="T62" s="281"/>
      <c r="U62" s="281"/>
      <c r="V62" s="281"/>
      <c r="AL62" s="283"/>
      <c r="AN62" s="283"/>
      <c r="AO62" s="283"/>
      <c r="AP62" s="283"/>
      <c r="AQ62" s="283"/>
      <c r="AR62" s="283"/>
      <c r="AS62" s="283"/>
      <c r="AT62" s="284"/>
      <c r="AZ62" s="283"/>
    </row>
    <row r="63" spans="1:105">
      <c r="M63" s="281"/>
      <c r="O63" s="281"/>
      <c r="Q63" s="281"/>
      <c r="R63" s="281"/>
      <c r="S63" s="281"/>
      <c r="T63" s="281"/>
      <c r="U63" s="281"/>
      <c r="V63" s="281"/>
      <c r="AZ63" s="283"/>
    </row>
    <row r="64" spans="1:105">
      <c r="M64" s="281"/>
      <c r="O64" s="281"/>
      <c r="Q64" s="281"/>
      <c r="R64" s="281"/>
      <c r="S64" s="281"/>
      <c r="T64" s="281"/>
      <c r="U64" s="281"/>
      <c r="V64" s="281"/>
    </row>
    <row r="65" spans="13:22">
      <c r="M65" s="281"/>
      <c r="O65" s="281"/>
      <c r="Q65" s="281"/>
      <c r="R65" s="281"/>
      <c r="S65" s="281"/>
      <c r="T65" s="281"/>
      <c r="U65" s="281"/>
      <c r="V65" s="281"/>
    </row>
    <row r="66" spans="13:22">
      <c r="M66" s="281"/>
      <c r="O66" s="281"/>
      <c r="Q66" s="281"/>
      <c r="R66" s="281"/>
      <c r="S66" s="281"/>
      <c r="T66" s="281"/>
      <c r="U66" s="281"/>
      <c r="V66" s="281"/>
    </row>
    <row r="67" spans="13:22">
      <c r="M67" s="281"/>
      <c r="O67" s="281"/>
      <c r="Q67" s="281"/>
      <c r="R67" s="281"/>
      <c r="S67" s="281"/>
      <c r="T67" s="281"/>
      <c r="U67" s="281"/>
      <c r="V67" s="281"/>
    </row>
    <row r="68" spans="13:22">
      <c r="M68" s="281"/>
      <c r="O68" s="281"/>
      <c r="Q68" s="281"/>
      <c r="R68" s="281"/>
      <c r="S68" s="281"/>
      <c r="T68" s="281"/>
      <c r="U68" s="281"/>
      <c r="V68" s="281"/>
    </row>
    <row r="69" spans="13:22">
      <c r="M69" s="281"/>
      <c r="O69" s="281"/>
      <c r="Q69" s="281"/>
      <c r="R69" s="281"/>
      <c r="S69" s="281"/>
      <c r="T69" s="281"/>
      <c r="U69" s="281"/>
      <c r="V69" s="281"/>
    </row>
    <row r="70" spans="13:22">
      <c r="M70" s="281"/>
      <c r="O70" s="281"/>
      <c r="Q70" s="281"/>
      <c r="R70" s="281"/>
      <c r="S70" s="281"/>
      <c r="T70" s="281"/>
      <c r="U70" s="281"/>
      <c r="V70" s="281"/>
    </row>
    <row r="71" spans="13:22">
      <c r="M71" s="281"/>
      <c r="O71" s="281"/>
      <c r="Q71" s="281"/>
      <c r="R71" s="281"/>
      <c r="S71" s="281"/>
      <c r="T71" s="281"/>
      <c r="U71" s="281"/>
      <c r="V71" s="281"/>
    </row>
    <row r="72" spans="13:22">
      <c r="M72" s="281"/>
      <c r="O72" s="281"/>
      <c r="Q72" s="281"/>
      <c r="R72" s="281"/>
      <c r="S72" s="281"/>
      <c r="T72" s="281"/>
      <c r="U72" s="281"/>
      <c r="V72" s="281"/>
    </row>
    <row r="73" spans="13:22">
      <c r="M73" s="281"/>
      <c r="O73" s="281"/>
      <c r="Q73" s="281"/>
      <c r="R73" s="281"/>
      <c r="S73" s="281"/>
      <c r="T73" s="281"/>
      <c r="U73" s="281"/>
      <c r="V73" s="281"/>
    </row>
    <row r="74" spans="13:22">
      <c r="M74" s="281"/>
      <c r="O74" s="281"/>
      <c r="Q74" s="281"/>
      <c r="R74" s="281"/>
      <c r="S74" s="281"/>
      <c r="T74" s="281"/>
      <c r="U74" s="281"/>
      <c r="V74" s="281"/>
    </row>
    <row r="75" spans="13:22">
      <c r="M75" s="281"/>
      <c r="O75" s="281"/>
      <c r="Q75" s="281"/>
      <c r="R75" s="281"/>
      <c r="S75" s="281"/>
      <c r="T75" s="281"/>
      <c r="U75" s="281"/>
      <c r="V75" s="281"/>
    </row>
    <row r="76" spans="13:22">
      <c r="M76" s="281"/>
      <c r="O76" s="281"/>
      <c r="Q76" s="281"/>
      <c r="R76" s="281"/>
      <c r="S76" s="281"/>
      <c r="T76" s="281"/>
      <c r="U76" s="281"/>
      <c r="V76" s="281"/>
    </row>
    <row r="77" spans="13:22">
      <c r="M77" s="281"/>
      <c r="O77" s="281"/>
      <c r="Q77" s="281"/>
      <c r="R77" s="281"/>
      <c r="S77" s="281"/>
      <c r="T77" s="281"/>
      <c r="U77" s="281"/>
      <c r="V77" s="281"/>
    </row>
    <row r="78" spans="13:22">
      <c r="M78" s="281"/>
      <c r="O78" s="281"/>
      <c r="Q78" s="281"/>
      <c r="R78" s="281"/>
      <c r="S78" s="281"/>
      <c r="T78" s="281"/>
      <c r="U78" s="281"/>
      <c r="V78" s="281"/>
    </row>
    <row r="79" spans="13:22">
      <c r="M79" s="281"/>
      <c r="O79" s="281"/>
      <c r="Q79" s="281"/>
      <c r="R79" s="281"/>
      <c r="S79" s="281"/>
      <c r="T79" s="281"/>
      <c r="U79" s="281"/>
      <c r="V79" s="281"/>
    </row>
    <row r="80" spans="13:22">
      <c r="M80" s="281"/>
      <c r="O80" s="281"/>
      <c r="Q80" s="281"/>
      <c r="R80" s="281"/>
      <c r="S80" s="281"/>
      <c r="T80" s="281"/>
      <c r="U80" s="281"/>
      <c r="V80" s="281"/>
    </row>
    <row r="81" spans="13:22">
      <c r="M81" s="281"/>
      <c r="O81" s="281"/>
      <c r="Q81" s="281"/>
      <c r="R81" s="281"/>
      <c r="S81" s="281"/>
      <c r="T81" s="281"/>
      <c r="U81" s="281"/>
      <c r="V81" s="281"/>
    </row>
    <row r="82" spans="13:22">
      <c r="M82" s="281"/>
      <c r="O82" s="281"/>
      <c r="Q82" s="281"/>
      <c r="R82" s="281"/>
      <c r="S82" s="281"/>
      <c r="T82" s="281"/>
      <c r="U82" s="281"/>
      <c r="V82" s="281"/>
    </row>
    <row r="83" spans="13:22">
      <c r="M83" s="281"/>
      <c r="O83" s="281"/>
      <c r="Q83" s="281"/>
      <c r="R83" s="281"/>
      <c r="S83" s="281"/>
      <c r="T83" s="281"/>
      <c r="U83" s="281"/>
      <c r="V83" s="281"/>
    </row>
    <row r="84" spans="13:22">
      <c r="M84" s="281"/>
      <c r="O84" s="281"/>
      <c r="Q84" s="281"/>
      <c r="R84" s="281"/>
      <c r="S84" s="281"/>
      <c r="T84" s="281"/>
      <c r="U84" s="281"/>
      <c r="V84" s="281"/>
    </row>
    <row r="85" spans="13:22">
      <c r="M85" s="281"/>
      <c r="O85" s="281"/>
      <c r="Q85" s="281"/>
      <c r="R85" s="281"/>
      <c r="S85" s="281"/>
      <c r="T85" s="281"/>
      <c r="U85" s="281"/>
      <c r="V85" s="281"/>
    </row>
    <row r="86" spans="13:22">
      <c r="M86" s="281"/>
      <c r="O86" s="281"/>
      <c r="Q86" s="281"/>
      <c r="R86" s="281"/>
      <c r="S86" s="281"/>
      <c r="T86" s="281"/>
      <c r="U86" s="281"/>
      <c r="V86" s="281"/>
    </row>
    <row r="87" spans="13:22">
      <c r="M87" s="281"/>
      <c r="O87" s="281"/>
      <c r="Q87" s="281"/>
      <c r="R87" s="281"/>
      <c r="S87" s="281"/>
      <c r="T87" s="281"/>
      <c r="U87" s="281"/>
      <c r="V87" s="281"/>
    </row>
    <row r="88" spans="13:22">
      <c r="M88" s="281"/>
      <c r="O88" s="281"/>
      <c r="Q88" s="281"/>
      <c r="R88" s="281"/>
      <c r="S88" s="281"/>
      <c r="T88" s="281"/>
      <c r="U88" s="281"/>
      <c r="V88" s="281"/>
    </row>
    <row r="89" spans="13:22">
      <c r="M89" s="281"/>
      <c r="O89" s="281"/>
      <c r="Q89" s="281"/>
      <c r="R89" s="281"/>
      <c r="S89" s="281"/>
      <c r="T89" s="281"/>
      <c r="U89" s="281"/>
      <c r="V89" s="281"/>
    </row>
    <row r="90" spans="13:22">
      <c r="M90" s="281"/>
      <c r="O90" s="281"/>
      <c r="Q90" s="281"/>
      <c r="R90" s="281"/>
      <c r="S90" s="281"/>
      <c r="T90" s="281"/>
      <c r="U90" s="281"/>
      <c r="V90" s="281"/>
    </row>
    <row r="91" spans="13:22">
      <c r="M91" s="281"/>
      <c r="O91" s="281"/>
      <c r="Q91" s="281"/>
      <c r="R91" s="281"/>
      <c r="S91" s="281"/>
      <c r="T91" s="281"/>
      <c r="U91" s="281"/>
      <c r="V91" s="281"/>
    </row>
    <row r="92" spans="13:22">
      <c r="M92" s="281"/>
      <c r="O92" s="281"/>
      <c r="Q92" s="281"/>
      <c r="R92" s="281"/>
      <c r="S92" s="281"/>
      <c r="T92" s="281"/>
      <c r="U92" s="281"/>
      <c r="V92" s="281"/>
    </row>
    <row r="93" spans="13:22">
      <c r="M93" s="281"/>
      <c r="O93" s="281"/>
      <c r="Q93" s="281"/>
      <c r="R93" s="281"/>
      <c r="S93" s="281"/>
      <c r="T93" s="281"/>
      <c r="U93" s="281"/>
      <c r="V93" s="281"/>
    </row>
    <row r="94" spans="13:22">
      <c r="M94" s="281"/>
      <c r="O94" s="281"/>
      <c r="Q94" s="281"/>
      <c r="R94" s="281"/>
      <c r="S94" s="281"/>
      <c r="T94" s="281"/>
      <c r="U94" s="281"/>
      <c r="V94" s="281"/>
    </row>
    <row r="95" spans="13:22">
      <c r="M95" s="281"/>
      <c r="O95" s="281"/>
      <c r="Q95" s="281"/>
      <c r="R95" s="281"/>
      <c r="S95" s="281"/>
      <c r="T95" s="281"/>
      <c r="U95" s="281"/>
      <c r="V95" s="281"/>
    </row>
    <row r="96" spans="13:22">
      <c r="M96" s="281"/>
      <c r="O96" s="281"/>
      <c r="Q96" s="281"/>
      <c r="R96" s="281"/>
      <c r="S96" s="281"/>
      <c r="T96" s="281"/>
      <c r="U96" s="281"/>
      <c r="V96" s="281"/>
    </row>
    <row r="97" spans="13:22">
      <c r="M97" s="281"/>
      <c r="O97" s="281"/>
      <c r="Q97" s="281"/>
      <c r="R97" s="281"/>
      <c r="S97" s="281"/>
      <c r="T97" s="281"/>
      <c r="U97" s="281"/>
      <c r="V97" s="281"/>
    </row>
    <row r="98" spans="13:22">
      <c r="M98" s="281"/>
      <c r="O98" s="281"/>
      <c r="Q98" s="281"/>
      <c r="R98" s="281"/>
      <c r="S98" s="281"/>
      <c r="T98" s="281"/>
      <c r="U98" s="281"/>
      <c r="V98" s="281"/>
    </row>
    <row r="99" spans="13:22">
      <c r="M99" s="281"/>
      <c r="O99" s="281"/>
      <c r="Q99" s="281"/>
      <c r="R99" s="281"/>
      <c r="S99" s="281"/>
      <c r="T99" s="281"/>
      <c r="U99" s="281"/>
      <c r="V99" s="281"/>
    </row>
    <row r="100" spans="13:22">
      <c r="M100" s="281"/>
      <c r="O100" s="281"/>
      <c r="Q100" s="281"/>
      <c r="R100" s="281"/>
      <c r="S100" s="281"/>
      <c r="T100" s="281"/>
      <c r="U100" s="281"/>
      <c r="V100" s="281"/>
    </row>
    <row r="101" spans="13:22">
      <c r="M101" s="281"/>
      <c r="O101" s="281"/>
      <c r="Q101" s="281"/>
      <c r="R101" s="281"/>
      <c r="S101" s="281"/>
      <c r="T101" s="281"/>
      <c r="U101" s="281"/>
      <c r="V101" s="281"/>
    </row>
    <row r="102" spans="13:22">
      <c r="M102" s="281"/>
      <c r="O102" s="281"/>
      <c r="Q102" s="281"/>
      <c r="R102" s="281"/>
      <c r="S102" s="281"/>
      <c r="T102" s="281"/>
      <c r="U102" s="281"/>
      <c r="V102" s="281"/>
    </row>
    <row r="103" spans="13:22">
      <c r="M103" s="281"/>
      <c r="O103" s="281"/>
      <c r="Q103" s="281"/>
      <c r="R103" s="281"/>
      <c r="S103" s="281"/>
      <c r="T103" s="281"/>
      <c r="U103" s="281"/>
      <c r="V103" s="281"/>
    </row>
    <row r="104" spans="13:22">
      <c r="M104" s="281"/>
      <c r="O104" s="281"/>
      <c r="Q104" s="281"/>
      <c r="R104" s="281"/>
      <c r="S104" s="281"/>
      <c r="T104" s="281"/>
      <c r="U104" s="281"/>
      <c r="V104" s="281"/>
    </row>
    <row r="105" spans="13:22">
      <c r="M105" s="281"/>
      <c r="O105" s="281"/>
      <c r="Q105" s="281"/>
      <c r="R105" s="281"/>
      <c r="S105" s="281"/>
      <c r="T105" s="281"/>
      <c r="U105" s="281"/>
      <c r="V105" s="281"/>
    </row>
    <row r="106" spans="13:22">
      <c r="M106" s="281"/>
      <c r="O106" s="281"/>
      <c r="Q106" s="281"/>
      <c r="R106" s="281"/>
      <c r="S106" s="281"/>
      <c r="T106" s="281"/>
      <c r="U106" s="281"/>
      <c r="V106" s="281"/>
    </row>
    <row r="107" spans="13:22">
      <c r="M107" s="281"/>
      <c r="O107" s="281"/>
      <c r="Q107" s="281"/>
      <c r="R107" s="281"/>
      <c r="S107" s="281"/>
      <c r="T107" s="281"/>
      <c r="U107" s="281"/>
      <c r="V107" s="281"/>
    </row>
    <row r="108" spans="13:22">
      <c r="M108" s="281"/>
      <c r="O108" s="281"/>
      <c r="Q108" s="281"/>
      <c r="R108" s="281"/>
      <c r="S108" s="281"/>
      <c r="T108" s="281"/>
      <c r="U108" s="281"/>
      <c r="V108" s="281"/>
    </row>
    <row r="109" spans="13:22">
      <c r="M109" s="281"/>
      <c r="O109" s="281"/>
      <c r="Q109" s="281"/>
      <c r="R109" s="281"/>
      <c r="S109" s="281"/>
      <c r="T109" s="281"/>
      <c r="U109" s="281"/>
      <c r="V109" s="281"/>
    </row>
    <row r="110" spans="13:22">
      <c r="M110" s="281"/>
      <c r="O110" s="281"/>
      <c r="Q110" s="281"/>
      <c r="R110" s="281"/>
      <c r="S110" s="281"/>
      <c r="T110" s="281"/>
      <c r="U110" s="281"/>
      <c r="V110" s="281"/>
    </row>
    <row r="111" spans="13:22">
      <c r="M111" s="281"/>
      <c r="O111" s="281"/>
      <c r="Q111" s="281"/>
      <c r="R111" s="281"/>
      <c r="S111" s="281"/>
      <c r="T111" s="281"/>
      <c r="U111" s="281"/>
      <c r="V111" s="281"/>
    </row>
    <row r="112" spans="13:22">
      <c r="M112" s="281"/>
      <c r="O112" s="281"/>
      <c r="Q112" s="281"/>
      <c r="R112" s="281"/>
      <c r="S112" s="281"/>
      <c r="T112" s="281"/>
      <c r="U112" s="281"/>
      <c r="V112" s="281"/>
    </row>
    <row r="113" spans="13:22">
      <c r="M113" s="281"/>
      <c r="O113" s="281"/>
      <c r="Q113" s="281"/>
      <c r="R113" s="281"/>
      <c r="S113" s="281"/>
      <c r="T113" s="281"/>
      <c r="U113" s="281"/>
      <c r="V113" s="281"/>
    </row>
    <row r="114" spans="13:22">
      <c r="M114" s="281"/>
      <c r="O114" s="281"/>
      <c r="Q114" s="281"/>
      <c r="R114" s="281"/>
      <c r="S114" s="281"/>
      <c r="T114" s="281"/>
      <c r="U114" s="281"/>
      <c r="V114" s="281"/>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42" customWidth="1"/>
    <col min="2" max="2" width="8.28515625" style="242" customWidth="1"/>
    <col min="3" max="3" width="7.85546875" style="242" customWidth="1"/>
    <col min="4" max="4" width="8.28515625" style="242" customWidth="1"/>
    <col min="5" max="5" width="44.7109375" style="242" customWidth="1"/>
    <col min="6" max="6" width="15.140625" style="292" customWidth="1"/>
    <col min="7" max="8" width="5.85546875" style="243" customWidth="1"/>
    <col min="9" max="9" width="4.85546875" style="242" customWidth="1"/>
    <col min="10" max="10" width="13.28515625" style="242" customWidth="1"/>
    <col min="11" max="11" width="12.85546875" style="242" customWidth="1"/>
    <col min="12" max="15" width="13.42578125" style="242" customWidth="1"/>
    <col min="16" max="16" width="13.5703125" style="242" customWidth="1"/>
    <col min="17" max="17" width="13.28515625" style="242" customWidth="1"/>
    <col min="18" max="18" width="13.5703125" style="242" customWidth="1"/>
    <col min="19" max="19" width="11.42578125" style="242" customWidth="1"/>
    <col min="20" max="20" width="13.7109375" style="242" customWidth="1"/>
    <col min="21" max="21" width="4.42578125" style="242" customWidth="1"/>
    <col min="22" max="22" width="14.140625" style="242" customWidth="1"/>
    <col min="23" max="23" width="13.85546875" style="242" customWidth="1"/>
    <col min="24" max="24" width="5.42578125" style="242" customWidth="1"/>
    <col min="25" max="25" width="6.140625" style="242" customWidth="1"/>
    <col min="26" max="26" width="9.5703125" style="242" customWidth="1"/>
    <col min="27" max="27" width="9.7109375" style="242" customWidth="1"/>
    <col min="28" max="28" width="13" style="242" customWidth="1"/>
    <col min="29" max="29" width="12.85546875" style="242" customWidth="1"/>
    <col min="30" max="30" width="4.5703125" style="242" customWidth="1"/>
    <col min="31" max="31" width="13.85546875" style="242" customWidth="1"/>
    <col min="32" max="32" width="4.5703125" style="242" customWidth="1"/>
    <col min="33" max="33" width="13.85546875" style="242" customWidth="1"/>
    <col min="34" max="34" width="4.7109375" style="242" customWidth="1"/>
    <col min="35" max="35" width="12.5703125" style="242" customWidth="1"/>
    <col min="36" max="36" width="11.7109375" style="242" customWidth="1"/>
    <col min="37" max="37" width="5.28515625" style="242" customWidth="1"/>
    <col min="38" max="38" width="11.140625" style="242" customWidth="1"/>
    <col min="39" max="39" width="10.28515625" style="242" customWidth="1"/>
    <col min="40" max="40" width="9.5703125" style="242" customWidth="1"/>
    <col min="41" max="41" width="9.140625" style="242" customWidth="1"/>
    <col min="42" max="42" width="12.7109375" style="242" customWidth="1"/>
    <col min="43" max="43" width="12.5703125" style="242" customWidth="1"/>
    <col min="44" max="44" width="15.140625" style="242" customWidth="1"/>
    <col min="45" max="45" width="15.5703125" style="242" customWidth="1"/>
    <col min="46" max="47" width="10.85546875" style="242" customWidth="1"/>
    <col min="48" max="48" width="7" style="242" customWidth="1"/>
    <col min="49" max="49" width="7.7109375" style="242" customWidth="1"/>
    <col min="50" max="50" width="7.140625" style="242" customWidth="1"/>
    <col min="51" max="51" width="6.7109375" style="242" customWidth="1"/>
    <col min="52" max="52" width="14.7109375" style="242" customWidth="1"/>
    <col min="53" max="53" width="15.140625" style="242" customWidth="1"/>
    <col min="54" max="16384" width="9.140625" style="242"/>
  </cols>
  <sheetData>
    <row r="1" spans="1:105" ht="12.75" customHeight="1">
      <c r="A1" s="238"/>
      <c r="B1" s="239" t="s">
        <v>121</v>
      </c>
      <c r="C1" s="240"/>
      <c r="D1" s="240"/>
      <c r="E1" s="241"/>
      <c r="I1" s="240"/>
      <c r="K1" s="1127" t="s">
        <v>191</v>
      </c>
      <c r="L1" s="1127"/>
      <c r="M1" s="1127"/>
      <c r="N1" s="1127"/>
      <c r="O1" s="1127"/>
      <c r="P1" s="1127"/>
      <c r="Q1" s="1127"/>
      <c r="R1" s="241"/>
      <c r="T1" s="240"/>
      <c r="U1" s="240"/>
      <c r="V1" s="240"/>
      <c r="W1" s="240"/>
      <c r="X1" s="240"/>
      <c r="Y1" s="240"/>
      <c r="Z1" s="240"/>
      <c r="AA1" s="240"/>
      <c r="AB1" s="240"/>
      <c r="AC1" s="240"/>
      <c r="AD1" s="240"/>
      <c r="AE1" s="240"/>
      <c r="AF1" s="404"/>
      <c r="AG1" s="404"/>
      <c r="AH1" s="240"/>
      <c r="AI1" s="240"/>
      <c r="AJ1" s="240"/>
      <c r="AK1" s="240"/>
      <c r="AL1" s="240"/>
      <c r="AM1" s="240"/>
      <c r="AN1" s="240"/>
      <c r="AO1" s="240"/>
      <c r="AP1" s="241"/>
      <c r="AQ1" s="241"/>
      <c r="AR1" s="240"/>
      <c r="AS1" s="240"/>
      <c r="AT1" s="240"/>
      <c r="AU1" s="240"/>
      <c r="AV1" s="240"/>
      <c r="AW1" s="240"/>
      <c r="AX1" s="240"/>
      <c r="AY1" s="240"/>
      <c r="AZ1" s="240"/>
      <c r="BA1" s="240"/>
    </row>
    <row r="2" spans="1:105" ht="12.75" customHeight="1">
      <c r="A2" s="238"/>
      <c r="B2" s="239" t="s">
        <v>180</v>
      </c>
      <c r="C2" s="240"/>
      <c r="D2" s="240"/>
      <c r="E2" s="240"/>
      <c r="I2" s="244"/>
      <c r="K2" s="1128" t="s">
        <v>144</v>
      </c>
      <c r="L2" s="1128"/>
      <c r="M2" s="1128"/>
      <c r="N2" s="1128"/>
      <c r="O2" s="1128"/>
      <c r="P2" s="1128"/>
      <c r="Q2" s="1128"/>
      <c r="R2" s="245"/>
      <c r="T2" s="244"/>
      <c r="U2" s="244"/>
      <c r="V2" s="244"/>
      <c r="W2" s="244"/>
      <c r="X2" s="244"/>
      <c r="Y2" s="244"/>
      <c r="Z2" s="244"/>
      <c r="AA2" s="244"/>
      <c r="AB2" s="244"/>
      <c r="AC2" s="244"/>
      <c r="AD2" s="244"/>
      <c r="AE2" s="244"/>
      <c r="AF2" s="405"/>
      <c r="AG2" s="405"/>
      <c r="AH2" s="244"/>
      <c r="AI2" s="244"/>
      <c r="AJ2" s="244"/>
      <c r="AK2" s="244"/>
      <c r="AL2" s="244"/>
      <c r="AM2" s="244"/>
      <c r="AN2" s="244"/>
      <c r="AO2" s="244"/>
      <c r="AP2" s="245"/>
      <c r="AQ2" s="245"/>
      <c r="AR2" s="244"/>
      <c r="AS2" s="244"/>
      <c r="AT2" s="244"/>
      <c r="AU2" s="244"/>
      <c r="AV2" s="244"/>
      <c r="AW2" s="244"/>
      <c r="AX2" s="244"/>
      <c r="AY2" s="244"/>
      <c r="AZ2" s="244"/>
      <c r="BA2" s="244"/>
    </row>
    <row r="3" spans="1:105" ht="10.5" customHeight="1">
      <c r="A3" s="240"/>
      <c r="B3" s="240"/>
      <c r="C3" s="240"/>
      <c r="D3" s="240"/>
      <c r="E3" s="240"/>
      <c r="F3" s="293"/>
      <c r="G3" s="246"/>
      <c r="H3" s="246"/>
      <c r="I3" s="244"/>
      <c r="K3" s="1128"/>
      <c r="L3" s="1128"/>
      <c r="M3" s="1128"/>
      <c r="N3" s="1128"/>
      <c r="O3" s="1128"/>
      <c r="P3" s="1128"/>
      <c r="Q3" s="1128"/>
      <c r="R3" s="245"/>
      <c r="T3" s="244"/>
      <c r="U3" s="244"/>
      <c r="V3" s="244"/>
      <c r="W3" s="244"/>
      <c r="X3" s="244"/>
      <c r="Y3" s="244"/>
      <c r="Z3" s="244"/>
      <c r="AA3" s="244"/>
      <c r="AB3" s="244"/>
      <c r="AC3" s="244"/>
      <c r="AD3" s="244"/>
      <c r="AE3" s="244"/>
      <c r="AF3" s="405"/>
      <c r="AG3" s="405"/>
      <c r="AH3" s="244"/>
      <c r="AI3" s="244"/>
      <c r="AJ3" s="244"/>
      <c r="AK3" s="244"/>
      <c r="AL3" s="244"/>
      <c r="AM3" s="244"/>
      <c r="AN3" s="244"/>
      <c r="AO3" s="244"/>
      <c r="AP3" s="245"/>
      <c r="AQ3" s="245"/>
      <c r="AR3" s="244"/>
      <c r="AS3" s="244"/>
      <c r="AT3" s="244"/>
      <c r="AU3" s="244"/>
      <c r="AV3" s="244"/>
      <c r="AW3" s="244"/>
      <c r="AX3" s="244"/>
      <c r="AY3" s="244"/>
      <c r="AZ3" s="244"/>
      <c r="BA3" s="244"/>
    </row>
    <row r="4" spans="1:105" ht="19.5" customHeight="1">
      <c r="B4" s="1129" t="s">
        <v>112</v>
      </c>
      <c r="C4" s="1129"/>
      <c r="D4" s="1129"/>
      <c r="E4" s="1129"/>
      <c r="F4" s="1129"/>
      <c r="G4" s="1129"/>
      <c r="H4" s="1129"/>
      <c r="I4" s="1129"/>
      <c r="J4" s="1129"/>
      <c r="K4" s="1129"/>
      <c r="L4" s="1129"/>
      <c r="M4" s="1129"/>
      <c r="N4" s="1129"/>
      <c r="O4" s="1129"/>
      <c r="P4" s="1129"/>
      <c r="Q4" s="1129"/>
      <c r="R4" s="1129"/>
      <c r="S4" s="247"/>
      <c r="T4" s="249"/>
      <c r="U4" s="249"/>
      <c r="V4" s="249"/>
      <c r="W4" s="249"/>
      <c r="X4" s="249"/>
      <c r="Y4" s="249"/>
      <c r="Z4" s="249"/>
      <c r="AA4" s="249"/>
      <c r="AB4" s="249"/>
      <c r="AC4" s="249"/>
      <c r="AD4" s="249"/>
      <c r="AE4" s="249"/>
      <c r="AF4" s="249"/>
      <c r="AG4" s="249"/>
      <c r="AH4" s="249"/>
      <c r="AI4" s="249"/>
      <c r="AJ4" s="249"/>
      <c r="AK4" s="249"/>
      <c r="AL4" s="249"/>
      <c r="AM4" s="249"/>
      <c r="AN4" s="249"/>
      <c r="AO4" s="249"/>
      <c r="AP4" s="294"/>
      <c r="AQ4" s="294"/>
      <c r="AR4" s="249"/>
      <c r="AS4" s="249"/>
      <c r="AT4" s="249"/>
      <c r="AU4" s="249"/>
      <c r="AV4" s="249"/>
      <c r="AW4" s="249"/>
      <c r="AX4" s="249"/>
      <c r="AY4" s="249"/>
      <c r="AZ4" s="249"/>
      <c r="BA4" s="249"/>
    </row>
    <row r="5" spans="1:105" ht="15">
      <c r="B5" s="1130" t="s">
        <v>222</v>
      </c>
      <c r="C5" s="1130"/>
      <c r="D5" s="1130"/>
      <c r="E5" s="1130"/>
      <c r="F5" s="1130"/>
      <c r="G5" s="1130"/>
      <c r="H5" s="1130"/>
      <c r="I5" s="1130"/>
      <c r="J5" s="1130"/>
      <c r="K5" s="1130"/>
      <c r="L5" s="1130"/>
      <c r="M5" s="1130"/>
      <c r="N5" s="1130"/>
      <c r="O5" s="1130"/>
      <c r="P5" s="1130"/>
      <c r="Q5" s="1130"/>
      <c r="R5" s="1130"/>
      <c r="S5" s="250"/>
      <c r="AP5" s="250"/>
      <c r="AQ5" s="250"/>
    </row>
    <row r="7" spans="1:105" ht="13.5" customHeight="1">
      <c r="A7" s="1131" t="s">
        <v>37</v>
      </c>
      <c r="B7" s="1126" t="s">
        <v>22</v>
      </c>
      <c r="C7" s="1133" t="s">
        <v>1</v>
      </c>
      <c r="D7" s="1134"/>
      <c r="E7" s="1126" t="s">
        <v>0</v>
      </c>
      <c r="F7" s="1126" t="s">
        <v>113</v>
      </c>
      <c r="G7" s="1135" t="s">
        <v>114</v>
      </c>
      <c r="H7" s="1135"/>
      <c r="I7" s="1136" t="s">
        <v>37</v>
      </c>
      <c r="J7" s="1126" t="s">
        <v>193</v>
      </c>
      <c r="K7" s="1126"/>
      <c r="L7" s="1126" t="s">
        <v>194</v>
      </c>
      <c r="M7" s="1126"/>
      <c r="N7" s="1126" t="s">
        <v>269</v>
      </c>
      <c r="O7" s="1126"/>
      <c r="P7" s="1126" t="s">
        <v>675</v>
      </c>
      <c r="Q7" s="1126"/>
      <c r="R7" s="1126" t="s">
        <v>195</v>
      </c>
      <c r="S7" s="1126"/>
      <c r="T7" s="1126" t="s">
        <v>196</v>
      </c>
      <c r="U7" s="1126"/>
      <c r="V7" s="1126" t="s">
        <v>676</v>
      </c>
      <c r="W7" s="1126"/>
      <c r="X7" s="1126" t="s">
        <v>677</v>
      </c>
      <c r="Y7" s="1126"/>
      <c r="Z7" s="1126" t="s">
        <v>678</v>
      </c>
      <c r="AA7" s="1126"/>
      <c r="AB7" s="1126" t="s">
        <v>679</v>
      </c>
      <c r="AC7" s="1126"/>
      <c r="AD7" s="1126" t="s">
        <v>680</v>
      </c>
      <c r="AE7" s="1126"/>
      <c r="AF7" s="1126" t="s">
        <v>681</v>
      </c>
      <c r="AG7" s="1126"/>
      <c r="AH7" s="1126" t="s">
        <v>682</v>
      </c>
      <c r="AI7" s="1126"/>
      <c r="AJ7" s="1126" t="s">
        <v>683</v>
      </c>
      <c r="AK7" s="1126"/>
      <c r="AL7" s="1126" t="s">
        <v>684</v>
      </c>
      <c r="AM7" s="1126"/>
      <c r="AN7" s="1126" t="s">
        <v>685</v>
      </c>
      <c r="AO7" s="1126"/>
      <c r="AP7" s="1126" t="s">
        <v>686</v>
      </c>
      <c r="AQ7" s="1126"/>
      <c r="AR7" s="1126" t="s">
        <v>687</v>
      </c>
      <c r="AS7" s="1126"/>
      <c r="AT7" s="1126" t="s">
        <v>197</v>
      </c>
      <c r="AU7" s="1126"/>
      <c r="AV7" s="1126" t="s">
        <v>198</v>
      </c>
      <c r="AW7" s="1126"/>
      <c r="AX7" s="1126" t="s">
        <v>688</v>
      </c>
      <c r="AY7" s="1126"/>
      <c r="AZ7" s="1126" t="s">
        <v>689</v>
      </c>
      <c r="BA7" s="1126"/>
      <c r="BB7" s="1126" t="s">
        <v>690</v>
      </c>
      <c r="BC7" s="1126"/>
      <c r="BD7" s="1126" t="s">
        <v>199</v>
      </c>
      <c r="BE7" s="1126"/>
      <c r="BF7" s="1126" t="s">
        <v>691</v>
      </c>
      <c r="BG7" s="1126"/>
      <c r="BH7" s="1126" t="s">
        <v>200</v>
      </c>
      <c r="BI7" s="1126"/>
      <c r="BJ7" s="1126" t="s">
        <v>692</v>
      </c>
      <c r="BK7" s="1126"/>
      <c r="BL7" s="1126" t="s">
        <v>693</v>
      </c>
      <c r="BM7" s="1126"/>
      <c r="BN7" s="1126" t="s">
        <v>694</v>
      </c>
      <c r="BO7" s="1126"/>
      <c r="BP7" s="1126" t="s">
        <v>695</v>
      </c>
      <c r="BQ7" s="1126"/>
      <c r="BR7" s="1126" t="s">
        <v>201</v>
      </c>
      <c r="BS7" s="1126"/>
      <c r="BT7" s="1126" t="s">
        <v>202</v>
      </c>
      <c r="BU7" s="1126"/>
      <c r="BV7" s="1126" t="s">
        <v>264</v>
      </c>
      <c r="BW7" s="1126"/>
      <c r="BX7" s="1126" t="s">
        <v>203</v>
      </c>
      <c r="BY7" s="1126"/>
      <c r="BZ7" s="1126" t="s">
        <v>204</v>
      </c>
      <c r="CA7" s="1126"/>
      <c r="CB7" s="1126" t="s">
        <v>205</v>
      </c>
      <c r="CC7" s="1126"/>
      <c r="CD7" s="1126" t="s">
        <v>696</v>
      </c>
      <c r="CE7" s="1126"/>
      <c r="CF7" s="1126" t="s">
        <v>697</v>
      </c>
      <c r="CG7" s="1126"/>
      <c r="CH7" s="1126" t="s">
        <v>206</v>
      </c>
      <c r="CI7" s="1126"/>
      <c r="CJ7" s="1126" t="s">
        <v>698</v>
      </c>
      <c r="CK7" s="1126"/>
      <c r="CL7" s="1126" t="s">
        <v>699</v>
      </c>
      <c r="CM7" s="1126"/>
      <c r="CN7" s="1126" t="s">
        <v>207</v>
      </c>
      <c r="CO7" s="1126"/>
      <c r="CP7" s="1126" t="s">
        <v>700</v>
      </c>
      <c r="CQ7" s="1126"/>
      <c r="CR7" s="1126" t="s">
        <v>208</v>
      </c>
      <c r="CS7" s="1126"/>
      <c r="CT7" s="1126" t="s">
        <v>209</v>
      </c>
      <c r="CU7" s="1126"/>
      <c r="CV7" s="1126" t="s">
        <v>210</v>
      </c>
      <c r="CW7" s="1126"/>
      <c r="CX7" s="1126" t="s">
        <v>211</v>
      </c>
      <c r="CY7" s="1126"/>
      <c r="CZ7" s="1126" t="s">
        <v>212</v>
      </c>
      <c r="DA7" s="1126"/>
    </row>
    <row r="8" spans="1:105" ht="22.5" customHeight="1">
      <c r="A8" s="1132"/>
      <c r="B8" s="1126"/>
      <c r="C8" s="923" t="s">
        <v>17</v>
      </c>
      <c r="D8" s="922" t="s">
        <v>34</v>
      </c>
      <c r="E8" s="1126"/>
      <c r="F8" s="1126"/>
      <c r="G8" s="924" t="s">
        <v>24</v>
      </c>
      <c r="H8" s="924" t="s">
        <v>25</v>
      </c>
      <c r="I8" s="1136"/>
      <c r="J8" s="922" t="s">
        <v>24</v>
      </c>
      <c r="K8" s="922" t="s">
        <v>25</v>
      </c>
      <c r="L8" s="922" t="s">
        <v>24</v>
      </c>
      <c r="M8" s="922" t="s">
        <v>25</v>
      </c>
      <c r="N8" s="922" t="s">
        <v>24</v>
      </c>
      <c r="O8" s="922" t="s">
        <v>25</v>
      </c>
      <c r="P8" s="922" t="s">
        <v>24</v>
      </c>
      <c r="Q8" s="922" t="s">
        <v>25</v>
      </c>
      <c r="R8" s="922" t="s">
        <v>24</v>
      </c>
      <c r="S8" s="922" t="s">
        <v>25</v>
      </c>
      <c r="T8" s="922" t="s">
        <v>24</v>
      </c>
      <c r="U8" s="922" t="s">
        <v>25</v>
      </c>
      <c r="V8" s="922" t="s">
        <v>24</v>
      </c>
      <c r="W8" s="922" t="s">
        <v>25</v>
      </c>
      <c r="X8" s="922" t="s">
        <v>24</v>
      </c>
      <c r="Y8" s="922" t="s">
        <v>25</v>
      </c>
      <c r="Z8" s="922" t="s">
        <v>24</v>
      </c>
      <c r="AA8" s="922" t="s">
        <v>25</v>
      </c>
      <c r="AB8" s="922" t="s">
        <v>24</v>
      </c>
      <c r="AC8" s="922" t="s">
        <v>25</v>
      </c>
      <c r="AD8" s="922" t="s">
        <v>24</v>
      </c>
      <c r="AE8" s="922" t="s">
        <v>25</v>
      </c>
      <c r="AF8" s="922" t="s">
        <v>24</v>
      </c>
      <c r="AG8" s="922" t="s">
        <v>25</v>
      </c>
      <c r="AH8" s="922" t="s">
        <v>24</v>
      </c>
      <c r="AI8" s="922" t="s">
        <v>25</v>
      </c>
      <c r="AJ8" s="922" t="s">
        <v>24</v>
      </c>
      <c r="AK8" s="922" t="s">
        <v>25</v>
      </c>
      <c r="AL8" s="922" t="s">
        <v>24</v>
      </c>
      <c r="AM8" s="922" t="s">
        <v>25</v>
      </c>
      <c r="AN8" s="922" t="s">
        <v>24</v>
      </c>
      <c r="AO8" s="922" t="s">
        <v>25</v>
      </c>
      <c r="AP8" s="922" t="s">
        <v>24</v>
      </c>
      <c r="AQ8" s="922" t="s">
        <v>25</v>
      </c>
      <c r="AR8" s="922" t="s">
        <v>24</v>
      </c>
      <c r="AS8" s="922" t="s">
        <v>25</v>
      </c>
      <c r="AT8" s="922" t="s">
        <v>24</v>
      </c>
      <c r="AU8" s="922" t="s">
        <v>25</v>
      </c>
      <c r="AV8" s="922" t="s">
        <v>24</v>
      </c>
      <c r="AW8" s="922" t="s">
        <v>25</v>
      </c>
      <c r="AX8" s="922" t="s">
        <v>24</v>
      </c>
      <c r="AY8" s="922" t="s">
        <v>25</v>
      </c>
      <c r="AZ8" s="922" t="s">
        <v>24</v>
      </c>
      <c r="BA8" s="922" t="s">
        <v>25</v>
      </c>
      <c r="BB8" s="922" t="s">
        <v>24</v>
      </c>
      <c r="BC8" s="922" t="s">
        <v>25</v>
      </c>
      <c r="BD8" s="922" t="s">
        <v>24</v>
      </c>
      <c r="BE8" s="922" t="s">
        <v>25</v>
      </c>
      <c r="BF8" s="922" t="s">
        <v>24</v>
      </c>
      <c r="BG8" s="922" t="s">
        <v>25</v>
      </c>
      <c r="BH8" s="922" t="s">
        <v>24</v>
      </c>
      <c r="BI8" s="922" t="s">
        <v>25</v>
      </c>
      <c r="BJ8" s="922" t="s">
        <v>24</v>
      </c>
      <c r="BK8" s="922" t="s">
        <v>25</v>
      </c>
      <c r="BL8" s="922" t="s">
        <v>24</v>
      </c>
      <c r="BM8" s="922" t="s">
        <v>25</v>
      </c>
      <c r="BN8" s="922" t="s">
        <v>24</v>
      </c>
      <c r="BO8" s="922" t="s">
        <v>25</v>
      </c>
      <c r="BP8" s="922" t="s">
        <v>24</v>
      </c>
      <c r="BQ8" s="922" t="s">
        <v>25</v>
      </c>
      <c r="BR8" s="922" t="s">
        <v>24</v>
      </c>
      <c r="BS8" s="922" t="s">
        <v>25</v>
      </c>
      <c r="BT8" s="922" t="s">
        <v>24</v>
      </c>
      <c r="BU8" s="922" t="s">
        <v>25</v>
      </c>
      <c r="BV8" s="922" t="s">
        <v>24</v>
      </c>
      <c r="BW8" s="922" t="s">
        <v>25</v>
      </c>
      <c r="BX8" s="922" t="s">
        <v>24</v>
      </c>
      <c r="BY8" s="922" t="s">
        <v>25</v>
      </c>
      <c r="BZ8" s="922" t="s">
        <v>24</v>
      </c>
      <c r="CA8" s="922" t="s">
        <v>25</v>
      </c>
      <c r="CB8" s="922" t="s">
        <v>24</v>
      </c>
      <c r="CC8" s="922" t="s">
        <v>25</v>
      </c>
      <c r="CD8" s="922" t="s">
        <v>24</v>
      </c>
      <c r="CE8" s="922" t="s">
        <v>25</v>
      </c>
      <c r="CF8" s="922" t="s">
        <v>24</v>
      </c>
      <c r="CG8" s="922" t="s">
        <v>25</v>
      </c>
      <c r="CH8" s="922" t="s">
        <v>24</v>
      </c>
      <c r="CI8" s="922" t="s">
        <v>25</v>
      </c>
      <c r="CJ8" s="922" t="s">
        <v>24</v>
      </c>
      <c r="CK8" s="922" t="s">
        <v>25</v>
      </c>
      <c r="CL8" s="922" t="s">
        <v>24</v>
      </c>
      <c r="CM8" s="922" t="s">
        <v>25</v>
      </c>
      <c r="CN8" s="922" t="s">
        <v>24</v>
      </c>
      <c r="CO8" s="922" t="s">
        <v>25</v>
      </c>
      <c r="CP8" s="922" t="s">
        <v>24</v>
      </c>
      <c r="CQ8" s="922" t="s">
        <v>25</v>
      </c>
      <c r="CR8" s="922" t="s">
        <v>24</v>
      </c>
      <c r="CS8" s="922" t="s">
        <v>25</v>
      </c>
      <c r="CT8" s="922" t="s">
        <v>24</v>
      </c>
      <c r="CU8" s="922" t="s">
        <v>25</v>
      </c>
      <c r="CV8" s="922" t="s">
        <v>24</v>
      </c>
      <c r="CW8" s="922" t="s">
        <v>25</v>
      </c>
      <c r="CX8" s="922" t="s">
        <v>24</v>
      </c>
      <c r="CY8" s="922" t="s">
        <v>25</v>
      </c>
      <c r="CZ8" s="922" t="s">
        <v>24</v>
      </c>
      <c r="DA8" s="922"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 ca="1">'SC-II'!J53</f>
        <v>3705039095</v>
      </c>
      <c r="K10" s="260">
        <f ca="1">'SC-II'!K53</f>
        <v>0</v>
      </c>
      <c r="L10" s="260">
        <f ca="1">'SC-II'!L53</f>
        <v>19829295</v>
      </c>
      <c r="M10" s="260">
        <f ca="1">'SC-II'!M53</f>
        <v>0</v>
      </c>
      <c r="N10" s="260">
        <f ca="1">'SC-II'!N53</f>
        <v>2236796790</v>
      </c>
      <c r="O10" s="260">
        <f ca="1">'SC-II'!O53</f>
        <v>0</v>
      </c>
      <c r="P10" s="260">
        <f ca="1">'SC-II'!P53</f>
        <v>3343381600</v>
      </c>
      <c r="Q10" s="260">
        <f ca="1">'SC-II'!Q53</f>
        <v>0</v>
      </c>
      <c r="R10" s="260">
        <f ca="1">'SC-II'!R53</f>
        <v>162420936</v>
      </c>
      <c r="S10" s="260">
        <f ca="1">'SC-II'!S53</f>
        <v>0</v>
      </c>
      <c r="T10" s="260">
        <f ca="1">'SC-II'!T53</f>
        <v>1500000000</v>
      </c>
      <c r="U10" s="260">
        <f ca="1">'SC-II'!U53</f>
        <v>0</v>
      </c>
      <c r="V10" s="260">
        <f ca="1">'SC-II'!V53</f>
        <v>0</v>
      </c>
      <c r="W10" s="260">
        <f ca="1">'SC-II'!W53</f>
        <v>0</v>
      </c>
      <c r="X10" s="260">
        <f ca="1">'SC-II'!X53</f>
        <v>2772400000</v>
      </c>
      <c r="Y10" s="260">
        <f ca="1">'SC-II'!Y53</f>
        <v>0</v>
      </c>
      <c r="Z10" s="260">
        <f ca="1">'SC-II'!Z53</f>
        <v>526519887</v>
      </c>
      <c r="AA10" s="260">
        <f ca="1">'SC-II'!AA53</f>
        <v>0</v>
      </c>
      <c r="AB10" s="260">
        <f ca="1">'SC-II'!AB53</f>
        <v>0</v>
      </c>
      <c r="AC10" s="260">
        <f ca="1">'SC-II'!AC53</f>
        <v>0</v>
      </c>
      <c r="AD10" s="260">
        <f ca="1">'SC-II'!AD53</f>
        <v>0</v>
      </c>
      <c r="AE10" s="260">
        <f ca="1">'SC-II'!AE53</f>
        <v>0</v>
      </c>
      <c r="AF10" s="260">
        <f ca="1">'SC-II'!AF53</f>
        <v>9386323824</v>
      </c>
      <c r="AG10" s="260">
        <f ca="1">'SC-II'!AG53</f>
        <v>0</v>
      </c>
      <c r="AH10" s="260">
        <f ca="1">'SC-II'!AH53</f>
        <v>7490743648</v>
      </c>
      <c r="AI10" s="260">
        <f ca="1">'SC-II'!AI53</f>
        <v>0</v>
      </c>
      <c r="AJ10" s="260">
        <f ca="1">'SC-II'!AJ53</f>
        <v>3807898863</v>
      </c>
      <c r="AK10" s="260">
        <f ca="1">'SC-II'!AK53</f>
        <v>0</v>
      </c>
      <c r="AL10" s="260">
        <f ca="1">'SC-II'!AL53</f>
        <v>3790918485</v>
      </c>
      <c r="AM10" s="260">
        <f ca="1">'SC-II'!AM53</f>
        <v>0</v>
      </c>
      <c r="AN10" s="260">
        <f ca="1">'SC-II'!AN53</f>
        <v>5405781300</v>
      </c>
      <c r="AO10" s="260">
        <f ca="1">'SC-II'!AO53</f>
        <v>0</v>
      </c>
      <c r="AP10" s="260">
        <f ca="1">'SC-II'!AP53</f>
        <v>0</v>
      </c>
      <c r="AQ10" s="260">
        <f ca="1">'SC-II'!AQ53</f>
        <v>9132359256</v>
      </c>
      <c r="AR10" s="260">
        <f ca="1">'SC-II'!AR53</f>
        <v>0</v>
      </c>
      <c r="AS10" s="260">
        <f ca="1">'SC-II'!AS53</f>
        <v>600642360</v>
      </c>
      <c r="AT10" s="260">
        <f ca="1">'SC-II'!AT53</f>
        <v>0</v>
      </c>
      <c r="AU10" s="260">
        <f ca="1">'SC-II'!AU53</f>
        <v>0</v>
      </c>
      <c r="AV10" s="260">
        <f ca="1">'SC-II'!AV53</f>
        <v>0</v>
      </c>
      <c r="AW10" s="260">
        <f ca="1">'SC-II'!AW53</f>
        <v>476953252</v>
      </c>
      <c r="AX10" s="260">
        <f ca="1">'SC-II'!AX53</f>
        <v>0</v>
      </c>
      <c r="AY10" s="260">
        <f ca="1">'SC-II'!AY53</f>
        <v>0</v>
      </c>
      <c r="AZ10" s="260">
        <f ca="1">'SC-II'!AZ53</f>
        <v>0</v>
      </c>
      <c r="BA10" s="260">
        <f ca="1">'SC-II'!BA53</f>
        <v>0</v>
      </c>
      <c r="BB10" s="260">
        <f ca="1">'SC-II'!BB53</f>
        <v>0</v>
      </c>
      <c r="BC10" s="260">
        <f ca="1">'SC-II'!BC53</f>
        <v>0</v>
      </c>
      <c r="BD10" s="260">
        <f ca="1">'SC-II'!BD53</f>
        <v>0</v>
      </c>
      <c r="BE10" s="260">
        <f ca="1">'SC-II'!BE53</f>
        <v>3313435</v>
      </c>
      <c r="BF10" s="260">
        <f ca="1">'SC-II'!BF53</f>
        <v>3389804</v>
      </c>
      <c r="BG10" s="260">
        <f ca="1">'SC-II'!BG53</f>
        <v>0</v>
      </c>
      <c r="BH10" s="260">
        <f ca="1">'SC-II'!BH53</f>
        <v>0</v>
      </c>
      <c r="BI10" s="260">
        <f ca="1">'SC-II'!BI53</f>
        <v>0</v>
      </c>
      <c r="BJ10" s="260">
        <f ca="1">'SC-II'!BJ53</f>
        <v>0</v>
      </c>
      <c r="BK10" s="260">
        <f ca="1">'SC-II'!BK53</f>
        <v>0</v>
      </c>
      <c r="BL10" s="260">
        <f ca="1">'SC-II'!BL53</f>
        <v>0</v>
      </c>
      <c r="BM10" s="260">
        <f ca="1">'SC-II'!BM53</f>
        <v>40272309</v>
      </c>
      <c r="BN10" s="260">
        <f ca="1">'SC-II'!BN53</f>
        <v>0</v>
      </c>
      <c r="BO10" s="260">
        <f ca="1">'SC-II'!BO53</f>
        <v>6403142</v>
      </c>
      <c r="BP10" s="260">
        <f ca="1">'SC-II'!BP53</f>
        <v>0</v>
      </c>
      <c r="BQ10" s="260">
        <f ca="1">'SC-II'!BQ53</f>
        <v>2761373</v>
      </c>
      <c r="BR10" s="260">
        <f ca="1">'SC-II'!BR53</f>
        <v>0</v>
      </c>
      <c r="BS10" s="260">
        <f ca="1">'SC-II'!BS53</f>
        <v>0</v>
      </c>
      <c r="BT10" s="260">
        <f ca="1">'SC-II'!BT53</f>
        <v>0</v>
      </c>
      <c r="BU10" s="260">
        <f ca="1">'SC-II'!BU53</f>
        <v>2169121879</v>
      </c>
      <c r="BV10" s="260">
        <f ca="1">'SC-II'!BV53</f>
        <v>0</v>
      </c>
      <c r="BW10" s="260">
        <f ca="1">'SC-II'!BW53</f>
        <v>21202920500</v>
      </c>
      <c r="BX10" s="260">
        <f ca="1">'SC-II'!BX53</f>
        <v>0</v>
      </c>
      <c r="BY10" s="260">
        <f ca="1">'SC-II'!BY53</f>
        <v>10000000000</v>
      </c>
      <c r="BZ10" s="260">
        <f ca="1">'SC-II'!BZ53</f>
        <v>0</v>
      </c>
      <c r="CA10" s="260">
        <f ca="1">'SC-II'!CA53</f>
        <v>594397022.00000048</v>
      </c>
      <c r="CB10" s="260">
        <f ca="1">'SC-II'!CB53</f>
        <v>77701001</v>
      </c>
      <c r="CC10" s="260">
        <f ca="1">'SC-II'!CC53</f>
        <v>0</v>
      </c>
      <c r="CD10" s="260">
        <f ca="1">'SC-II'!CD53</f>
        <v>0</v>
      </c>
      <c r="CE10" s="260">
        <f ca="1">'SC-II'!CE53</f>
        <v>0</v>
      </c>
      <c r="CF10" s="260">
        <f ca="1">'SC-II'!CF53</f>
        <v>0</v>
      </c>
      <c r="CG10" s="260">
        <f ca="1">'SC-II'!CG53</f>
        <v>0</v>
      </c>
      <c r="CH10" s="260">
        <f ca="1">'SC-II'!CH53</f>
        <v>0</v>
      </c>
      <c r="CI10" s="260">
        <f ca="1">'SC-II'!CI53</f>
        <v>0</v>
      </c>
      <c r="CJ10" s="260">
        <f ca="1">'SC-II'!CJ53</f>
        <v>0</v>
      </c>
      <c r="CK10" s="260">
        <f ca="1">'SC-II'!CK53</f>
        <v>0</v>
      </c>
      <c r="CL10" s="260">
        <f ca="1">'SC-II'!CL53</f>
        <v>0</v>
      </c>
      <c r="CM10" s="260">
        <f ca="1">'SC-II'!CM53</f>
        <v>0</v>
      </c>
      <c r="CN10" s="260">
        <f ca="1">'SC-II'!CN53</f>
        <v>0</v>
      </c>
      <c r="CO10" s="260">
        <f ca="1">'SC-II'!CO53</f>
        <v>0</v>
      </c>
      <c r="CP10" s="260">
        <f ca="1">'SC-II'!CP53</f>
        <v>0</v>
      </c>
      <c r="CQ10" s="260">
        <f ca="1">'SC-II'!CQ53</f>
        <v>0</v>
      </c>
      <c r="CR10" s="260">
        <f ca="1">'SC-II'!CR53</f>
        <v>0</v>
      </c>
      <c r="CS10" s="260">
        <f ca="1">'SC-II'!CS53</f>
        <v>0</v>
      </c>
      <c r="CT10" s="260">
        <f ca="1">'SC-II'!CT53</f>
        <v>0</v>
      </c>
      <c r="CU10" s="260">
        <f ca="1">'SC-II'!CU53</f>
        <v>0</v>
      </c>
      <c r="CV10" s="260">
        <f ca="1">'SC-II'!CV53</f>
        <v>0</v>
      </c>
      <c r="CW10" s="260">
        <f ca="1">'SC-II'!CW53</f>
        <v>0</v>
      </c>
      <c r="CX10" s="260">
        <f ca="1">'SC-II'!CX53</f>
        <v>0</v>
      </c>
      <c r="CY10" s="260">
        <f ca="1">'SC-II'!CY53</f>
        <v>0</v>
      </c>
      <c r="CZ10" s="260">
        <f ca="1">'SC-II'!CZ53</f>
        <v>0</v>
      </c>
      <c r="DA10" s="260">
        <f ca="1">'SC-II'!DA53</f>
        <v>0</v>
      </c>
    </row>
    <row r="11" spans="1:105" s="261" customFormat="1" ht="15.75" customHeight="1">
      <c r="A11" s="63">
        <f t="array" aca="1" ref="A11" ca="1">IF(C11&lt;&gt;0,SUM(($C$11:C11&lt;&gt;0)*1),"")</f>
        <v>1</v>
      </c>
      <c r="B11" s="262" t="str">
        <f ca="1">IF(ROWS($1:1)&gt;COUNT(Dong8),"",OFFSET(TH!C$1,SMALL(Dong8,ROWS($1:1)),))</f>
        <v/>
      </c>
      <c r="C11" s="262" t="str">
        <f ca="1">IF(ROWS($1:1)&gt;COUNT(Dong8),"",OFFSET(TH!D$1,SMALL(Dong8,ROWS($1:1)),))</f>
        <v/>
      </c>
      <c r="D11" s="262" t="str">
        <f ca="1">IF(ROWS($1:1)&gt;COUNT(Dong8),"",OFFSET(TH!E$1,SMALL(Dong8,ROWS($1:1)),))</f>
        <v/>
      </c>
      <c r="E11" s="344" t="str">
        <f ca="1">IF(ROWS($1:1)&gt;COUNT(Dong8),"",OFFSET(TH!F$1,SMALL(Dong8,ROWS($1:1)),))</f>
        <v/>
      </c>
      <c r="F11" s="311" t="str">
        <f ca="1">IF(ROWS($1:1)&gt;COUNT(Dong8),"",OFFSET(TH!M$1,SMALL(Dong8,ROWS($1:1)),))</f>
        <v/>
      </c>
      <c r="G11" s="313" t="str">
        <f ca="1">IF(ROWS($1:1)&gt;COUNT(Dong8),"",OFFSET(TH!N$1,SMALL(Dong8,ROWS($1:1)),))</f>
        <v/>
      </c>
      <c r="H11" s="313" t="str">
        <f ca="1">IF(ROWS($1:1)&gt;COUNT(Dong8),"",OFFSET(TH!O$1,SMALL(Dong8,ROWS($1:1)),))</f>
        <v/>
      </c>
      <c r="I11" s="63">
        <f t="shared" ref="I11:I26" ca="1" si="0">A11</f>
        <v>1</v>
      </c>
      <c r="J11" s="264">
        <f ca="1">IF($G11="1111",$F11,0)</f>
        <v>0</v>
      </c>
      <c r="K11" s="264">
        <f ca="1">IF($H11="1111",$F11,0)</f>
        <v>0</v>
      </c>
      <c r="L11" s="264">
        <f t="shared" ref="L11:L50" ca="1" si="1">IF($G11="1121",$F11,0)</f>
        <v>0</v>
      </c>
      <c r="M11" s="264">
        <f t="shared" ref="M11:M50" ca="1" si="2">IF($H11="1121",$F11,0)</f>
        <v>0</v>
      </c>
      <c r="N11" s="264">
        <f t="shared" ref="N11:N50" ca="1" si="3">IF($G11="1122",$F11,0)</f>
        <v>0</v>
      </c>
      <c r="O11" s="264">
        <f t="shared" ref="O11:O50" ca="1" si="4">IF($H11="1122",$F11,0)</f>
        <v>0</v>
      </c>
      <c r="P11" s="264">
        <f t="shared" ref="P11:P50" ca="1" si="5">IF($G11="131",$F11,0)</f>
        <v>0</v>
      </c>
      <c r="Q11" s="264">
        <f t="shared" ref="Q11:Q50" ca="1" si="6">IF($H11="131",$F11,0)</f>
        <v>0</v>
      </c>
      <c r="R11" s="264">
        <f t="shared" ref="R11:R50" ca="1" si="7">IF($G11="1331",$F11,0)</f>
        <v>0</v>
      </c>
      <c r="S11" s="264">
        <f t="shared" ref="S11:S50" ca="1" si="8">IF($H11="1331",$F11,0)</f>
        <v>0</v>
      </c>
      <c r="T11" s="264">
        <f t="shared" ref="T11:T50" ca="1" si="9">IF($G11="1388",$F11,0)</f>
        <v>0</v>
      </c>
      <c r="U11" s="264">
        <f t="shared" ref="U11:U50" ca="1" si="10">IF($H11="1388",$F11,0)</f>
        <v>0</v>
      </c>
      <c r="V11" s="264">
        <f t="shared" ref="V11:V50" ca="1" si="11">IF($G11="141",$F11,0)</f>
        <v>0</v>
      </c>
      <c r="W11" s="264">
        <f t="shared" ref="W11:W50" ca="1" si="12">IF($H11="141",$F11,0)</f>
        <v>0</v>
      </c>
      <c r="X11" s="264">
        <f t="shared" ref="X11:X50" ca="1" si="13">IF($G11="1521",$F11,0)</f>
        <v>0</v>
      </c>
      <c r="Y11" s="264">
        <f t="shared" ref="Y11:Y50" ca="1" si="14">IF($H11="1521",$F11,0)</f>
        <v>0</v>
      </c>
      <c r="Z11" s="264">
        <f t="shared" ref="Z11:Z50" ca="1" si="15">IF($G11="1522",$F11,0)</f>
        <v>0</v>
      </c>
      <c r="AA11" s="264">
        <f t="shared" ref="AA11:AA50" ca="1" si="16">IF($H11="1522",$F11,0)</f>
        <v>0</v>
      </c>
      <c r="AB11" s="264">
        <f ca="1">IF($G11="153",$F11,0)</f>
        <v>0</v>
      </c>
      <c r="AC11" s="264">
        <f ca="1">IF($H11="153",$F11,0)</f>
        <v>0</v>
      </c>
      <c r="AD11" s="264">
        <f t="shared" ref="AD11:AD50" ca="1" si="17">IF($G11="154",$F11,0)</f>
        <v>0</v>
      </c>
      <c r="AE11" s="264">
        <f t="shared" ref="AE11:AE50" ca="1" si="18">IF($H11="154",$F11,0)</f>
        <v>0</v>
      </c>
      <c r="AF11" s="264">
        <f t="shared" ref="AF11:AF50" ca="1" si="19">IF($G11="155",$F11,0)</f>
        <v>0</v>
      </c>
      <c r="AG11" s="264">
        <f t="shared" ref="AG11:AG50"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0" ca="1" si="21">IF($G11="2141",$F11,0)</f>
        <v>0</v>
      </c>
      <c r="AQ11" s="264">
        <f t="shared" ref="AQ11:AQ50" ca="1" si="22">IF($H11="2141",$F11,0)</f>
        <v>0</v>
      </c>
      <c r="AR11" s="264">
        <f t="shared" ref="AR11:AR50" ca="1" si="23">IF($G11="2143",$F11,0)</f>
        <v>0</v>
      </c>
      <c r="AS11" s="264">
        <f t="shared" ref="AS11:AS50" ca="1" si="24">IF($H11="2143",$F11,0)</f>
        <v>0</v>
      </c>
      <c r="AT11" s="264">
        <f ca="1">IF($G11="2412",$F11,0)</f>
        <v>0</v>
      </c>
      <c r="AU11" s="264">
        <f ca="1">IF($H11="2412",$F11,0)</f>
        <v>0</v>
      </c>
      <c r="AV11" s="264">
        <f t="shared" ref="AV11:AV50" ca="1" si="25">IF($G11="331",$F11,0)</f>
        <v>0</v>
      </c>
      <c r="AW11" s="264">
        <f t="shared" ref="AW11:AW50" ca="1" si="26">IF($H11="331",$F11,0)</f>
        <v>0</v>
      </c>
      <c r="AX11" s="264">
        <f t="shared" ref="AX11:AX50" ca="1" si="27">IF($G11="33311",$F11,0)</f>
        <v>0</v>
      </c>
      <c r="AY11" s="264">
        <f t="shared" ref="AY11:AY50" ca="1" si="28">IF($H11="33311",$F11,0)</f>
        <v>0</v>
      </c>
      <c r="AZ11" s="264">
        <f t="shared" ref="AZ11:AZ50" ca="1" si="29">IF($G11="33312",$F11,0)</f>
        <v>0</v>
      </c>
      <c r="BA11" s="264">
        <f t="shared" ref="BA11:BA50" ca="1" si="30">IF($H11="33312",$F11,0)</f>
        <v>0</v>
      </c>
      <c r="BB11" s="264">
        <f t="shared" ref="BB11:BB50" ca="1" si="31">IF($G11="3333",$F11,0)</f>
        <v>0</v>
      </c>
      <c r="BC11" s="264">
        <f t="shared" ref="BC11:BC50" ca="1" si="32">IF($H11="3333",$F11,0)</f>
        <v>0</v>
      </c>
      <c r="BD11" s="264">
        <f t="shared" ref="BD11:BD50" ca="1" si="33">IF($G11="3334",$F11,0)</f>
        <v>0</v>
      </c>
      <c r="BE11" s="264">
        <f t="shared" ref="BE11:BE50" ca="1" si="34">IF($H11="3334",$F11,0)</f>
        <v>0</v>
      </c>
      <c r="BF11" s="264">
        <f t="shared" ref="BF11:BF50" ca="1" si="35">IF($G11="3335",$F11,0)</f>
        <v>0</v>
      </c>
      <c r="BG11" s="264">
        <f t="shared" ref="BG11:BG50" ca="1" si="36">IF($H11="3335",$F11,0)</f>
        <v>0</v>
      </c>
      <c r="BH11" s="264">
        <f ca="1">IF($G11="33382",$F11,0)</f>
        <v>0</v>
      </c>
      <c r="BI11" s="264">
        <f ca="1">IF($H11="33382",$F11,0)</f>
        <v>0</v>
      </c>
      <c r="BJ11" s="264">
        <f t="shared" ref="BJ11:BJ50" ca="1" si="37">IF($G11="3341",$F11,0)</f>
        <v>0</v>
      </c>
      <c r="BK11" s="264">
        <f t="shared" ref="BK11:BK50" ca="1" si="38">IF($H11="3341",$F11,0)</f>
        <v>0</v>
      </c>
      <c r="BL11" s="264">
        <f t="shared" ref="BL11:BL50" ca="1" si="39">IF($G11="3383",$F11,0)</f>
        <v>0</v>
      </c>
      <c r="BM11" s="264">
        <f t="shared" ref="BM11:BM50" ca="1" si="40">IF($H11="3383",$F11,0)</f>
        <v>0</v>
      </c>
      <c r="BN11" s="264">
        <f t="shared" ref="BN11:BN50" ca="1" si="41">IF($G11="3384",$F11,0)</f>
        <v>0</v>
      </c>
      <c r="BO11" s="264">
        <f t="shared" ref="BO11:BO50" ca="1" si="42">IF($H11="3384",$F11,0)</f>
        <v>0</v>
      </c>
      <c r="BP11" s="264">
        <f ca="1">IF($G11="3386",$F11,0)</f>
        <v>0</v>
      </c>
      <c r="BQ11" s="264">
        <f ca="1">IF($H11="3386",$F11,0)</f>
        <v>0</v>
      </c>
      <c r="BR11" s="264">
        <f t="shared" ref="BR11:BR50" ca="1" si="43">IF($G11="3388",$F11,0)</f>
        <v>0</v>
      </c>
      <c r="BS11" s="264">
        <f t="shared" ref="BS11:BS50" ca="1" si="44">IF($H11="3388",$F11,0)</f>
        <v>0</v>
      </c>
      <c r="BT11" s="264">
        <f ca="1">IF($G11="3411",$F11,0)</f>
        <v>0</v>
      </c>
      <c r="BU11" s="264">
        <f ca="1">IF($H11="3411",$F11,0)</f>
        <v>0</v>
      </c>
      <c r="BV11" s="264">
        <f ca="1">IF($G11="3412",$F11,0)</f>
        <v>0</v>
      </c>
      <c r="BW11" s="264">
        <f ca="1">IF($H11="3412",$F11,0)</f>
        <v>0</v>
      </c>
      <c r="BX11" s="264">
        <f t="shared" ref="BX11:BX50" ca="1" si="45">IF($G11="4111",$F11,0)</f>
        <v>0</v>
      </c>
      <c r="BY11" s="264">
        <f t="shared" ref="BY11:BY50" ca="1" si="46">IF($H11="4111",$F11,0)</f>
        <v>0</v>
      </c>
      <c r="BZ11" s="264">
        <f t="shared" ref="BZ11:BZ50" ca="1" si="47">IF($G11="4211",$F11,0)</f>
        <v>0</v>
      </c>
      <c r="CA11" s="264">
        <f t="shared" ref="CA11:CA50" ca="1" si="48">IF($H11="4211",$F11,0)</f>
        <v>0</v>
      </c>
      <c r="CB11" s="264">
        <f t="shared" ref="CB11:CB50" ca="1" si="49">IF($G11="4212",$F11,0)</f>
        <v>0</v>
      </c>
      <c r="CC11" s="264">
        <f t="shared" ref="CC11:CC50" ca="1" si="50">IF($H11="4212",$F11,0)</f>
        <v>0</v>
      </c>
      <c r="CD11" s="264">
        <f ca="1">IF($G11="5112N",$F11,0)</f>
        <v>0</v>
      </c>
      <c r="CE11" s="264">
        <f ca="1">IF($H11="5112N",$F11,0)</f>
        <v>0</v>
      </c>
      <c r="CF11" s="264">
        <f ca="1">IF($G11="5112X",$F11,0)</f>
        <v>0</v>
      </c>
      <c r="CG11" s="264">
        <f ca="1">IF($H11="5112X",$F11,0)</f>
        <v>0</v>
      </c>
      <c r="CH11" s="264">
        <f t="shared" ref="CH11:CH50" ca="1" si="51">IF($G11="515",$F11,0)</f>
        <v>0</v>
      </c>
      <c r="CI11" s="264">
        <f t="shared" ref="CI11:CI50" ca="1" si="52">IF($H11="515",$F11,0)</f>
        <v>0</v>
      </c>
      <c r="CJ11" s="264">
        <f ca="1">IF($G11="5213",$F11,0)</f>
        <v>0</v>
      </c>
      <c r="CK11" s="264">
        <f ca="1">IF($H11="5213",$F11,0)</f>
        <v>0</v>
      </c>
      <c r="CL11" s="264">
        <f t="shared" ref="CL11:CL50" ca="1" si="53">IF($G11="632",$F11,0)</f>
        <v>0</v>
      </c>
      <c r="CM11" s="264">
        <f t="shared" ref="CM11:CM50" ca="1" si="54">IF($H11="632",$F11,0)</f>
        <v>0</v>
      </c>
      <c r="CN11" s="264">
        <f t="shared" ref="CN11:CN50" ca="1" si="55">IF($G11="635",$F11,0)</f>
        <v>0</v>
      </c>
      <c r="CO11" s="264">
        <f t="shared" ref="CO11:CO50" ca="1" si="56">IF($H11="635",$F11,0)</f>
        <v>0</v>
      </c>
      <c r="CP11" s="264">
        <f ca="1">IF($G11="641",$F11,0)</f>
        <v>0</v>
      </c>
      <c r="CQ11" s="264">
        <f ca="1">IF($H11="641",$F11,0)</f>
        <v>0</v>
      </c>
      <c r="CR11" s="264">
        <f ca="1">IF($G11="642",$F11,0)</f>
        <v>0</v>
      </c>
      <c r="CS11" s="264">
        <f ca="1">IF($H11="642",$F11,0)</f>
        <v>0</v>
      </c>
      <c r="CT11" s="264">
        <f t="shared" ref="CT11:CT50" ca="1" si="57">IF($G11="711",$F11,0)</f>
        <v>0</v>
      </c>
      <c r="CU11" s="264">
        <f t="shared" ref="CU11:CU50" ca="1" si="58">IF($H11="711",$F11,0)</f>
        <v>0</v>
      </c>
      <c r="CV11" s="264">
        <f t="shared" ref="CV11:CV50" ca="1" si="59">IF($G11="811",$F11,0)</f>
        <v>0</v>
      </c>
      <c r="CW11" s="264">
        <f t="shared" ref="CW11:CW50" ca="1" si="60">IF($H11="811",$F11,0)</f>
        <v>0</v>
      </c>
      <c r="CX11" s="264">
        <f ca="1">IF($G11="821",$F11,0)</f>
        <v>0</v>
      </c>
      <c r="CY11" s="264">
        <f ca="1">IF($H11="821",$F11,0)</f>
        <v>0</v>
      </c>
      <c r="CZ11" s="264">
        <f ca="1">IF($G11="911",$F11,0)</f>
        <v>0</v>
      </c>
      <c r="DA11" s="264">
        <f ca="1">IF($H11="911",$F11,0)</f>
        <v>0</v>
      </c>
    </row>
    <row r="12" spans="1:105" s="261" customFormat="1" ht="15.75" customHeight="1">
      <c r="A12" s="63" t="str">
        <f t="array" ref="A12">IF(C12&lt;&gt;0,SUM(($C$11:C12&lt;&gt;0)*1),"")</f>
        <v/>
      </c>
      <c r="B12" s="262"/>
      <c r="C12" s="262"/>
      <c r="D12" s="262"/>
      <c r="E12" s="344"/>
      <c r="F12" s="311"/>
      <c r="G12" s="313"/>
      <c r="H12" s="313"/>
      <c r="I12" s="63" t="str">
        <f t="shared" si="0"/>
        <v/>
      </c>
      <c r="J12" s="264">
        <f t="shared" ref="J12:J50" si="61">IF($G12="1111",$F12,0)</f>
        <v>0</v>
      </c>
      <c r="K12" s="264">
        <f t="shared" ref="K12:K50" si="62">IF($H12="1111",$F12,0)</f>
        <v>0</v>
      </c>
      <c r="L12" s="264">
        <f t="shared" si="1"/>
        <v>0</v>
      </c>
      <c r="M12" s="264">
        <f t="shared" si="2"/>
        <v>0</v>
      </c>
      <c r="N12" s="264">
        <f t="shared" si="3"/>
        <v>0</v>
      </c>
      <c r="O12" s="264">
        <f t="shared" si="4"/>
        <v>0</v>
      </c>
      <c r="P12" s="264">
        <f t="shared" si="5"/>
        <v>0</v>
      </c>
      <c r="Q12" s="264">
        <f t="shared" si="6"/>
        <v>0</v>
      </c>
      <c r="R12" s="264">
        <f t="shared" si="7"/>
        <v>0</v>
      </c>
      <c r="S12" s="264">
        <f t="shared" si="8"/>
        <v>0</v>
      </c>
      <c r="T12" s="264">
        <f t="shared" si="9"/>
        <v>0</v>
      </c>
      <c r="U12" s="264">
        <f t="shared" si="10"/>
        <v>0</v>
      </c>
      <c r="V12" s="264">
        <f t="shared" si="11"/>
        <v>0</v>
      </c>
      <c r="W12" s="264">
        <f t="shared" si="12"/>
        <v>0</v>
      </c>
      <c r="X12" s="264">
        <f t="shared" si="13"/>
        <v>0</v>
      </c>
      <c r="Y12" s="264">
        <f t="shared" si="14"/>
        <v>0</v>
      </c>
      <c r="Z12" s="264">
        <f t="shared" si="15"/>
        <v>0</v>
      </c>
      <c r="AA12" s="264">
        <f t="shared" si="16"/>
        <v>0</v>
      </c>
      <c r="AB12" s="264">
        <f t="shared" ref="AB12:AB50" si="63">IF($G12="153",$F12,0)</f>
        <v>0</v>
      </c>
      <c r="AC12" s="264">
        <f t="shared" ref="AC12:AC50" si="64">IF($H12="153",$F12,0)</f>
        <v>0</v>
      </c>
      <c r="AD12" s="264">
        <f t="shared" si="17"/>
        <v>0</v>
      </c>
      <c r="AE12" s="264">
        <f t="shared" si="18"/>
        <v>0</v>
      </c>
      <c r="AF12" s="264">
        <f t="shared" si="19"/>
        <v>0</v>
      </c>
      <c r="AG12" s="264">
        <f t="shared" si="20"/>
        <v>0</v>
      </c>
      <c r="AH12" s="264">
        <f t="shared" ref="AH12:AH50" si="65">IF($G12="2111",$F12,0)</f>
        <v>0</v>
      </c>
      <c r="AI12" s="264">
        <f t="shared" ref="AI12:AI50" si="66">IF($H12="2111",$F12,0)</f>
        <v>0</v>
      </c>
      <c r="AJ12" s="264">
        <f t="shared" ref="AJ12:AJ50" si="67">IF($G12="2112",$F12,0)</f>
        <v>0</v>
      </c>
      <c r="AK12" s="264">
        <f t="shared" ref="AK12:AK50" si="68">IF($H12="2112",$F12,0)</f>
        <v>0</v>
      </c>
      <c r="AL12" s="264">
        <f t="shared" ref="AL12:AL50" si="69">IF($G12="2113",$F12,0)</f>
        <v>0</v>
      </c>
      <c r="AM12" s="264">
        <f t="shared" ref="AM12:AM50" si="70">IF($H12="2113",$F12,0)</f>
        <v>0</v>
      </c>
      <c r="AN12" s="264">
        <f t="shared" ref="AN12:AN50" si="71">IF($G12="2131",$F12,0)</f>
        <v>0</v>
      </c>
      <c r="AO12" s="264">
        <f t="shared" ref="AO12:AO50" si="72">IF($H12="2131",$F12,0)</f>
        <v>0</v>
      </c>
      <c r="AP12" s="264">
        <f t="shared" si="21"/>
        <v>0</v>
      </c>
      <c r="AQ12" s="264">
        <f t="shared" si="22"/>
        <v>0</v>
      </c>
      <c r="AR12" s="264">
        <f t="shared" si="23"/>
        <v>0</v>
      </c>
      <c r="AS12" s="264">
        <f t="shared" si="24"/>
        <v>0</v>
      </c>
      <c r="AT12" s="264">
        <f t="shared" ref="AT12:AT50" si="73">IF($G12="2412",$F12,0)</f>
        <v>0</v>
      </c>
      <c r="AU12" s="264">
        <f t="shared" ref="AU12:AU50" si="74">IF($H12="2412",$F12,0)</f>
        <v>0</v>
      </c>
      <c r="AV12" s="264">
        <f t="shared" si="25"/>
        <v>0</v>
      </c>
      <c r="AW12" s="264">
        <f t="shared" si="26"/>
        <v>0</v>
      </c>
      <c r="AX12" s="264">
        <f t="shared" si="27"/>
        <v>0</v>
      </c>
      <c r="AY12" s="264">
        <f t="shared" si="28"/>
        <v>0</v>
      </c>
      <c r="AZ12" s="264">
        <f t="shared" si="29"/>
        <v>0</v>
      </c>
      <c r="BA12" s="264">
        <f t="shared" si="30"/>
        <v>0</v>
      </c>
      <c r="BB12" s="264">
        <f t="shared" si="31"/>
        <v>0</v>
      </c>
      <c r="BC12" s="264">
        <f t="shared" si="32"/>
        <v>0</v>
      </c>
      <c r="BD12" s="264">
        <f t="shared" si="33"/>
        <v>0</v>
      </c>
      <c r="BE12" s="264">
        <f t="shared" si="34"/>
        <v>0</v>
      </c>
      <c r="BF12" s="264">
        <f t="shared" si="35"/>
        <v>0</v>
      </c>
      <c r="BG12" s="264">
        <f t="shared" si="36"/>
        <v>0</v>
      </c>
      <c r="BH12" s="264">
        <f t="shared" ref="BH12:BH50" si="75">IF($G12="33382",$F12,0)</f>
        <v>0</v>
      </c>
      <c r="BI12" s="264">
        <f t="shared" ref="BI12:BI50" si="76">IF($H12="33382",$F12,0)</f>
        <v>0</v>
      </c>
      <c r="BJ12" s="264">
        <f t="shared" si="37"/>
        <v>0</v>
      </c>
      <c r="BK12" s="264">
        <f t="shared" si="38"/>
        <v>0</v>
      </c>
      <c r="BL12" s="264">
        <f t="shared" si="39"/>
        <v>0</v>
      </c>
      <c r="BM12" s="264">
        <f t="shared" si="40"/>
        <v>0</v>
      </c>
      <c r="BN12" s="264">
        <f t="shared" si="41"/>
        <v>0</v>
      </c>
      <c r="BO12" s="264">
        <f t="shared" si="42"/>
        <v>0</v>
      </c>
      <c r="BP12" s="264">
        <f t="shared" ref="BP12:BP50" si="77">IF($G12="3386",$F12,0)</f>
        <v>0</v>
      </c>
      <c r="BQ12" s="264">
        <f t="shared" ref="BQ12:BQ50" si="78">IF($H12="3386",$F12,0)</f>
        <v>0</v>
      </c>
      <c r="BR12" s="264">
        <f t="shared" si="43"/>
        <v>0</v>
      </c>
      <c r="BS12" s="264">
        <f t="shared" si="44"/>
        <v>0</v>
      </c>
      <c r="BT12" s="264">
        <f t="shared" ref="BT12:BT50" si="79">IF($G12="3411",$F12,0)</f>
        <v>0</v>
      </c>
      <c r="BU12" s="264">
        <f t="shared" ref="BU12:BU50" si="80">IF($H12="3411",$F12,0)</f>
        <v>0</v>
      </c>
      <c r="BV12" s="264">
        <f t="shared" ref="BV12:BV50" si="81">IF($G12="3412",$F12,0)</f>
        <v>0</v>
      </c>
      <c r="BW12" s="264">
        <f t="shared" ref="BW12:BW50" si="82">IF($H12="3412",$F12,0)</f>
        <v>0</v>
      </c>
      <c r="BX12" s="264">
        <f t="shared" si="45"/>
        <v>0</v>
      </c>
      <c r="BY12" s="264">
        <f t="shared" si="46"/>
        <v>0</v>
      </c>
      <c r="BZ12" s="264">
        <f t="shared" si="47"/>
        <v>0</v>
      </c>
      <c r="CA12" s="264">
        <f t="shared" si="48"/>
        <v>0</v>
      </c>
      <c r="CB12" s="264">
        <f t="shared" si="49"/>
        <v>0</v>
      </c>
      <c r="CC12" s="264">
        <f t="shared" si="50"/>
        <v>0</v>
      </c>
      <c r="CD12" s="264">
        <f t="shared" ref="CD12:CD50" si="83">IF($G12="5112N",$F12,0)</f>
        <v>0</v>
      </c>
      <c r="CE12" s="264">
        <f t="shared" ref="CE12:CE50" si="84">IF($H12="5112N",$F12,0)</f>
        <v>0</v>
      </c>
      <c r="CF12" s="264">
        <f t="shared" ref="CF12:CF50" si="85">IF($G12="5112X",$F12,0)</f>
        <v>0</v>
      </c>
      <c r="CG12" s="264">
        <f t="shared" ref="CG12:CG50" si="86">IF($H12="5112X",$F12,0)</f>
        <v>0</v>
      </c>
      <c r="CH12" s="264">
        <f t="shared" si="51"/>
        <v>0</v>
      </c>
      <c r="CI12" s="264">
        <f t="shared" si="52"/>
        <v>0</v>
      </c>
      <c r="CJ12" s="264">
        <f t="shared" ref="CJ12:CJ50" si="87">IF($G12="5213",$F12,0)</f>
        <v>0</v>
      </c>
      <c r="CK12" s="264">
        <f t="shared" ref="CK12:CK50" si="88">IF($H12="5213",$F12,0)</f>
        <v>0</v>
      </c>
      <c r="CL12" s="264">
        <f t="shared" si="53"/>
        <v>0</v>
      </c>
      <c r="CM12" s="264">
        <f t="shared" si="54"/>
        <v>0</v>
      </c>
      <c r="CN12" s="264">
        <f t="shared" si="55"/>
        <v>0</v>
      </c>
      <c r="CO12" s="264">
        <f t="shared" si="56"/>
        <v>0</v>
      </c>
      <c r="CP12" s="264">
        <f t="shared" ref="CP12:CP50" si="89">IF($G12="641",$F12,0)</f>
        <v>0</v>
      </c>
      <c r="CQ12" s="264">
        <f t="shared" ref="CQ12:CQ50" si="90">IF($H12="641",$F12,0)</f>
        <v>0</v>
      </c>
      <c r="CR12" s="264">
        <f t="shared" ref="CR12:CR50" si="91">IF($G12="642",$F12,0)</f>
        <v>0</v>
      </c>
      <c r="CS12" s="264">
        <f t="shared" ref="CS12:CS50" si="92">IF($H12="642",$F12,0)</f>
        <v>0</v>
      </c>
      <c r="CT12" s="264">
        <f t="shared" si="57"/>
        <v>0</v>
      </c>
      <c r="CU12" s="264">
        <f t="shared" si="58"/>
        <v>0</v>
      </c>
      <c r="CV12" s="264">
        <f t="shared" si="59"/>
        <v>0</v>
      </c>
      <c r="CW12" s="264">
        <f t="shared" si="60"/>
        <v>0</v>
      </c>
      <c r="CX12" s="264">
        <f t="shared" ref="CX12:CX50" si="93">IF($G12="821",$F12,0)</f>
        <v>0</v>
      </c>
      <c r="CY12" s="264">
        <f t="shared" ref="CY12:CY50" si="94">IF($H12="821",$F12,0)</f>
        <v>0</v>
      </c>
      <c r="CZ12" s="264">
        <f t="shared" ref="CZ12:CZ50" si="95">IF($G12="911",$F12,0)</f>
        <v>0</v>
      </c>
      <c r="DA12" s="264">
        <f t="shared" ref="DA12:DA50" si="96">IF($H12="911",$F12,0)</f>
        <v>0</v>
      </c>
    </row>
    <row r="13" spans="1:105" s="261" customFormat="1" ht="15.75" customHeight="1">
      <c r="A13" s="63" t="str">
        <f t="array" ref="A13">IF(C13&lt;&gt;0,SUM(($C$11:C13&lt;&gt;0)*1),"")</f>
        <v/>
      </c>
      <c r="B13" s="262"/>
      <c r="C13" s="262"/>
      <c r="D13" s="262"/>
      <c r="E13" s="344"/>
      <c r="F13" s="311"/>
      <c r="G13" s="313"/>
      <c r="H13" s="313"/>
      <c r="I13" s="63" t="str">
        <f t="shared" si="0"/>
        <v/>
      </c>
      <c r="J13" s="264">
        <f t="shared" si="61"/>
        <v>0</v>
      </c>
      <c r="K13" s="264">
        <f t="shared" si="62"/>
        <v>0</v>
      </c>
      <c r="L13" s="264">
        <f t="shared" si="1"/>
        <v>0</v>
      </c>
      <c r="M13" s="264">
        <f t="shared" si="2"/>
        <v>0</v>
      </c>
      <c r="N13" s="264">
        <f t="shared" si="3"/>
        <v>0</v>
      </c>
      <c r="O13" s="264">
        <f t="shared" si="4"/>
        <v>0</v>
      </c>
      <c r="P13" s="264">
        <f t="shared" si="5"/>
        <v>0</v>
      </c>
      <c r="Q13" s="264">
        <f t="shared" si="6"/>
        <v>0</v>
      </c>
      <c r="R13" s="264">
        <f t="shared" si="7"/>
        <v>0</v>
      </c>
      <c r="S13" s="264">
        <f t="shared" si="8"/>
        <v>0</v>
      </c>
      <c r="T13" s="264">
        <f t="shared" si="9"/>
        <v>0</v>
      </c>
      <c r="U13" s="264">
        <f t="shared" si="10"/>
        <v>0</v>
      </c>
      <c r="V13" s="264">
        <f t="shared" si="11"/>
        <v>0</v>
      </c>
      <c r="W13" s="264">
        <f t="shared" si="12"/>
        <v>0</v>
      </c>
      <c r="X13" s="264">
        <f t="shared" si="13"/>
        <v>0</v>
      </c>
      <c r="Y13" s="264">
        <f t="shared" si="14"/>
        <v>0</v>
      </c>
      <c r="Z13" s="264">
        <f t="shared" si="15"/>
        <v>0</v>
      </c>
      <c r="AA13" s="264">
        <f t="shared" si="16"/>
        <v>0</v>
      </c>
      <c r="AB13" s="264">
        <f t="shared" si="63"/>
        <v>0</v>
      </c>
      <c r="AC13" s="264">
        <f t="shared" si="64"/>
        <v>0</v>
      </c>
      <c r="AD13" s="264">
        <f t="shared" si="17"/>
        <v>0</v>
      </c>
      <c r="AE13" s="264">
        <f t="shared" si="18"/>
        <v>0</v>
      </c>
      <c r="AF13" s="264">
        <f t="shared" si="19"/>
        <v>0</v>
      </c>
      <c r="AG13" s="264">
        <f t="shared" si="20"/>
        <v>0</v>
      </c>
      <c r="AH13" s="264">
        <f t="shared" si="65"/>
        <v>0</v>
      </c>
      <c r="AI13" s="264">
        <f t="shared" si="66"/>
        <v>0</v>
      </c>
      <c r="AJ13" s="264">
        <f t="shared" si="67"/>
        <v>0</v>
      </c>
      <c r="AK13" s="264">
        <f t="shared" si="68"/>
        <v>0</v>
      </c>
      <c r="AL13" s="264">
        <f t="shared" si="69"/>
        <v>0</v>
      </c>
      <c r="AM13" s="264">
        <f t="shared" si="70"/>
        <v>0</v>
      </c>
      <c r="AN13" s="264">
        <f t="shared" si="71"/>
        <v>0</v>
      </c>
      <c r="AO13" s="264">
        <f t="shared" si="72"/>
        <v>0</v>
      </c>
      <c r="AP13" s="264">
        <f t="shared" si="21"/>
        <v>0</v>
      </c>
      <c r="AQ13" s="264">
        <f t="shared" si="22"/>
        <v>0</v>
      </c>
      <c r="AR13" s="264">
        <f t="shared" si="23"/>
        <v>0</v>
      </c>
      <c r="AS13" s="264">
        <f t="shared" si="24"/>
        <v>0</v>
      </c>
      <c r="AT13" s="264">
        <f t="shared" si="73"/>
        <v>0</v>
      </c>
      <c r="AU13" s="264">
        <f t="shared" si="74"/>
        <v>0</v>
      </c>
      <c r="AV13" s="264">
        <f t="shared" si="25"/>
        <v>0</v>
      </c>
      <c r="AW13" s="264">
        <f t="shared" si="26"/>
        <v>0</v>
      </c>
      <c r="AX13" s="264">
        <f t="shared" si="27"/>
        <v>0</v>
      </c>
      <c r="AY13" s="264">
        <f t="shared" si="28"/>
        <v>0</v>
      </c>
      <c r="AZ13" s="264">
        <f t="shared" si="29"/>
        <v>0</v>
      </c>
      <c r="BA13" s="264">
        <f t="shared" si="30"/>
        <v>0</v>
      </c>
      <c r="BB13" s="264">
        <f t="shared" si="31"/>
        <v>0</v>
      </c>
      <c r="BC13" s="264">
        <f t="shared" si="32"/>
        <v>0</v>
      </c>
      <c r="BD13" s="264">
        <f t="shared" si="33"/>
        <v>0</v>
      </c>
      <c r="BE13" s="264">
        <f t="shared" si="34"/>
        <v>0</v>
      </c>
      <c r="BF13" s="264">
        <f t="shared" si="35"/>
        <v>0</v>
      </c>
      <c r="BG13" s="264">
        <f t="shared" si="36"/>
        <v>0</v>
      </c>
      <c r="BH13" s="264">
        <f t="shared" si="75"/>
        <v>0</v>
      </c>
      <c r="BI13" s="264">
        <f t="shared" si="76"/>
        <v>0</v>
      </c>
      <c r="BJ13" s="264">
        <f t="shared" si="37"/>
        <v>0</v>
      </c>
      <c r="BK13" s="264">
        <f t="shared" si="38"/>
        <v>0</v>
      </c>
      <c r="BL13" s="264">
        <f t="shared" si="39"/>
        <v>0</v>
      </c>
      <c r="BM13" s="264">
        <f t="shared" si="40"/>
        <v>0</v>
      </c>
      <c r="BN13" s="264">
        <f t="shared" si="41"/>
        <v>0</v>
      </c>
      <c r="BO13" s="264">
        <f t="shared" si="42"/>
        <v>0</v>
      </c>
      <c r="BP13" s="264">
        <f t="shared" si="77"/>
        <v>0</v>
      </c>
      <c r="BQ13" s="264">
        <f t="shared" si="78"/>
        <v>0</v>
      </c>
      <c r="BR13" s="264">
        <f t="shared" si="43"/>
        <v>0</v>
      </c>
      <c r="BS13" s="264">
        <f t="shared" si="44"/>
        <v>0</v>
      </c>
      <c r="BT13" s="264">
        <f t="shared" si="79"/>
        <v>0</v>
      </c>
      <c r="BU13" s="264">
        <f t="shared" si="80"/>
        <v>0</v>
      </c>
      <c r="BV13" s="264">
        <f t="shared" si="81"/>
        <v>0</v>
      </c>
      <c r="BW13" s="264">
        <f t="shared" si="82"/>
        <v>0</v>
      </c>
      <c r="BX13" s="264">
        <f t="shared" si="45"/>
        <v>0</v>
      </c>
      <c r="BY13" s="264">
        <f t="shared" si="46"/>
        <v>0</v>
      </c>
      <c r="BZ13" s="264">
        <f t="shared" si="47"/>
        <v>0</v>
      </c>
      <c r="CA13" s="264">
        <f t="shared" si="48"/>
        <v>0</v>
      </c>
      <c r="CB13" s="264">
        <f t="shared" si="49"/>
        <v>0</v>
      </c>
      <c r="CC13" s="264">
        <f t="shared" si="50"/>
        <v>0</v>
      </c>
      <c r="CD13" s="264">
        <f t="shared" si="83"/>
        <v>0</v>
      </c>
      <c r="CE13" s="264">
        <f t="shared" si="84"/>
        <v>0</v>
      </c>
      <c r="CF13" s="264">
        <f t="shared" si="85"/>
        <v>0</v>
      </c>
      <c r="CG13" s="264">
        <f t="shared" si="86"/>
        <v>0</v>
      </c>
      <c r="CH13" s="264">
        <f t="shared" si="51"/>
        <v>0</v>
      </c>
      <c r="CI13" s="264">
        <f t="shared" si="52"/>
        <v>0</v>
      </c>
      <c r="CJ13" s="264">
        <f t="shared" si="87"/>
        <v>0</v>
      </c>
      <c r="CK13" s="264">
        <f t="shared" si="88"/>
        <v>0</v>
      </c>
      <c r="CL13" s="264">
        <f t="shared" si="53"/>
        <v>0</v>
      </c>
      <c r="CM13" s="264">
        <f t="shared" si="54"/>
        <v>0</v>
      </c>
      <c r="CN13" s="264">
        <f t="shared" si="55"/>
        <v>0</v>
      </c>
      <c r="CO13" s="264">
        <f t="shared" si="56"/>
        <v>0</v>
      </c>
      <c r="CP13" s="264">
        <f t="shared" si="89"/>
        <v>0</v>
      </c>
      <c r="CQ13" s="264">
        <f t="shared" si="90"/>
        <v>0</v>
      </c>
      <c r="CR13" s="264">
        <f t="shared" si="91"/>
        <v>0</v>
      </c>
      <c r="CS13" s="264">
        <f t="shared" si="92"/>
        <v>0</v>
      </c>
      <c r="CT13" s="264">
        <f t="shared" si="57"/>
        <v>0</v>
      </c>
      <c r="CU13" s="264">
        <f t="shared" si="58"/>
        <v>0</v>
      </c>
      <c r="CV13" s="264">
        <f t="shared" si="59"/>
        <v>0</v>
      </c>
      <c r="CW13" s="264">
        <f t="shared" si="60"/>
        <v>0</v>
      </c>
      <c r="CX13" s="264">
        <f t="shared" si="93"/>
        <v>0</v>
      </c>
      <c r="CY13" s="264">
        <f t="shared" si="94"/>
        <v>0</v>
      </c>
      <c r="CZ13" s="264">
        <f t="shared" si="95"/>
        <v>0</v>
      </c>
      <c r="DA13" s="264">
        <f t="shared" si="96"/>
        <v>0</v>
      </c>
    </row>
    <row r="14" spans="1:105" s="261" customFormat="1" ht="15.75" customHeight="1">
      <c r="A14" s="63" t="str">
        <f t="array" ref="A14">IF(C14&lt;&gt;0,SUM(($C$11:C14&lt;&gt;0)*1),"")</f>
        <v/>
      </c>
      <c r="B14" s="262"/>
      <c r="C14" s="262"/>
      <c r="D14" s="262"/>
      <c r="E14" s="344"/>
      <c r="F14" s="311"/>
      <c r="G14" s="313"/>
      <c r="H14" s="313"/>
      <c r="I14" s="63" t="str">
        <f t="shared" si="0"/>
        <v/>
      </c>
      <c r="J14" s="264">
        <f t="shared" si="61"/>
        <v>0</v>
      </c>
      <c r="K14" s="264">
        <f t="shared" si="62"/>
        <v>0</v>
      </c>
      <c r="L14" s="264">
        <f t="shared" si="1"/>
        <v>0</v>
      </c>
      <c r="M14" s="264">
        <f t="shared" si="2"/>
        <v>0</v>
      </c>
      <c r="N14" s="264">
        <f t="shared" si="3"/>
        <v>0</v>
      </c>
      <c r="O14" s="264">
        <f t="shared" si="4"/>
        <v>0</v>
      </c>
      <c r="P14" s="264">
        <f t="shared" si="5"/>
        <v>0</v>
      </c>
      <c r="Q14" s="264">
        <f t="shared" si="6"/>
        <v>0</v>
      </c>
      <c r="R14" s="264">
        <f t="shared" si="7"/>
        <v>0</v>
      </c>
      <c r="S14" s="264">
        <f t="shared" si="8"/>
        <v>0</v>
      </c>
      <c r="T14" s="264">
        <f t="shared" si="9"/>
        <v>0</v>
      </c>
      <c r="U14" s="264">
        <f t="shared" si="10"/>
        <v>0</v>
      </c>
      <c r="V14" s="264">
        <f t="shared" si="11"/>
        <v>0</v>
      </c>
      <c r="W14" s="264">
        <f t="shared" si="12"/>
        <v>0</v>
      </c>
      <c r="X14" s="264">
        <f t="shared" si="13"/>
        <v>0</v>
      </c>
      <c r="Y14" s="264">
        <f t="shared" si="14"/>
        <v>0</v>
      </c>
      <c r="Z14" s="264">
        <f t="shared" si="15"/>
        <v>0</v>
      </c>
      <c r="AA14" s="264">
        <f t="shared" si="16"/>
        <v>0</v>
      </c>
      <c r="AB14" s="264">
        <f t="shared" si="63"/>
        <v>0</v>
      </c>
      <c r="AC14" s="264">
        <f t="shared" si="64"/>
        <v>0</v>
      </c>
      <c r="AD14" s="264">
        <f t="shared" si="17"/>
        <v>0</v>
      </c>
      <c r="AE14" s="264">
        <f t="shared" si="18"/>
        <v>0</v>
      </c>
      <c r="AF14" s="264">
        <f t="shared" si="19"/>
        <v>0</v>
      </c>
      <c r="AG14" s="264">
        <f t="shared" si="20"/>
        <v>0</v>
      </c>
      <c r="AH14" s="264">
        <f t="shared" si="65"/>
        <v>0</v>
      </c>
      <c r="AI14" s="264">
        <f t="shared" si="66"/>
        <v>0</v>
      </c>
      <c r="AJ14" s="264">
        <f t="shared" si="67"/>
        <v>0</v>
      </c>
      <c r="AK14" s="264">
        <f t="shared" si="68"/>
        <v>0</v>
      </c>
      <c r="AL14" s="264">
        <f t="shared" si="69"/>
        <v>0</v>
      </c>
      <c r="AM14" s="264">
        <f t="shared" si="70"/>
        <v>0</v>
      </c>
      <c r="AN14" s="264">
        <f t="shared" si="71"/>
        <v>0</v>
      </c>
      <c r="AO14" s="264">
        <f t="shared" si="72"/>
        <v>0</v>
      </c>
      <c r="AP14" s="264">
        <f t="shared" si="21"/>
        <v>0</v>
      </c>
      <c r="AQ14" s="264">
        <f t="shared" si="22"/>
        <v>0</v>
      </c>
      <c r="AR14" s="264">
        <f t="shared" si="23"/>
        <v>0</v>
      </c>
      <c r="AS14" s="264">
        <f t="shared" si="24"/>
        <v>0</v>
      </c>
      <c r="AT14" s="264">
        <f t="shared" si="73"/>
        <v>0</v>
      </c>
      <c r="AU14" s="264">
        <f t="shared" si="74"/>
        <v>0</v>
      </c>
      <c r="AV14" s="264">
        <f t="shared" si="25"/>
        <v>0</v>
      </c>
      <c r="AW14" s="264">
        <f t="shared" si="26"/>
        <v>0</v>
      </c>
      <c r="AX14" s="264">
        <f t="shared" si="27"/>
        <v>0</v>
      </c>
      <c r="AY14" s="264">
        <f t="shared" si="28"/>
        <v>0</v>
      </c>
      <c r="AZ14" s="264">
        <f t="shared" si="29"/>
        <v>0</v>
      </c>
      <c r="BA14" s="264">
        <f t="shared" si="30"/>
        <v>0</v>
      </c>
      <c r="BB14" s="264">
        <f t="shared" si="31"/>
        <v>0</v>
      </c>
      <c r="BC14" s="264">
        <f t="shared" si="32"/>
        <v>0</v>
      </c>
      <c r="BD14" s="264">
        <f t="shared" si="33"/>
        <v>0</v>
      </c>
      <c r="BE14" s="264">
        <f t="shared" si="34"/>
        <v>0</v>
      </c>
      <c r="BF14" s="264">
        <f t="shared" si="35"/>
        <v>0</v>
      </c>
      <c r="BG14" s="264">
        <f t="shared" si="36"/>
        <v>0</v>
      </c>
      <c r="BH14" s="264">
        <f t="shared" si="75"/>
        <v>0</v>
      </c>
      <c r="BI14" s="264">
        <f t="shared" si="76"/>
        <v>0</v>
      </c>
      <c r="BJ14" s="264">
        <f t="shared" si="37"/>
        <v>0</v>
      </c>
      <c r="BK14" s="264">
        <f t="shared" si="38"/>
        <v>0</v>
      </c>
      <c r="BL14" s="264">
        <f t="shared" si="39"/>
        <v>0</v>
      </c>
      <c r="BM14" s="264">
        <f t="shared" si="40"/>
        <v>0</v>
      </c>
      <c r="BN14" s="264">
        <f t="shared" si="41"/>
        <v>0</v>
      </c>
      <c r="BO14" s="264">
        <f t="shared" si="42"/>
        <v>0</v>
      </c>
      <c r="BP14" s="264">
        <f t="shared" si="77"/>
        <v>0</v>
      </c>
      <c r="BQ14" s="264">
        <f t="shared" si="78"/>
        <v>0</v>
      </c>
      <c r="BR14" s="264">
        <f t="shared" si="43"/>
        <v>0</v>
      </c>
      <c r="BS14" s="264">
        <f t="shared" si="44"/>
        <v>0</v>
      </c>
      <c r="BT14" s="264">
        <f t="shared" si="79"/>
        <v>0</v>
      </c>
      <c r="BU14" s="264">
        <f t="shared" si="80"/>
        <v>0</v>
      </c>
      <c r="BV14" s="264">
        <f t="shared" si="81"/>
        <v>0</v>
      </c>
      <c r="BW14" s="264">
        <f t="shared" si="82"/>
        <v>0</v>
      </c>
      <c r="BX14" s="264">
        <f t="shared" si="45"/>
        <v>0</v>
      </c>
      <c r="BY14" s="264">
        <f t="shared" si="46"/>
        <v>0</v>
      </c>
      <c r="BZ14" s="264">
        <f t="shared" si="47"/>
        <v>0</v>
      </c>
      <c r="CA14" s="264">
        <f t="shared" si="48"/>
        <v>0</v>
      </c>
      <c r="CB14" s="264">
        <f t="shared" si="49"/>
        <v>0</v>
      </c>
      <c r="CC14" s="264">
        <f t="shared" si="50"/>
        <v>0</v>
      </c>
      <c r="CD14" s="264">
        <f t="shared" si="83"/>
        <v>0</v>
      </c>
      <c r="CE14" s="264">
        <f t="shared" si="84"/>
        <v>0</v>
      </c>
      <c r="CF14" s="264">
        <f t="shared" si="85"/>
        <v>0</v>
      </c>
      <c r="CG14" s="264">
        <f t="shared" si="86"/>
        <v>0</v>
      </c>
      <c r="CH14" s="264">
        <f t="shared" si="51"/>
        <v>0</v>
      </c>
      <c r="CI14" s="264">
        <f t="shared" si="52"/>
        <v>0</v>
      </c>
      <c r="CJ14" s="264">
        <f t="shared" si="87"/>
        <v>0</v>
      </c>
      <c r="CK14" s="264">
        <f t="shared" si="88"/>
        <v>0</v>
      </c>
      <c r="CL14" s="264">
        <f t="shared" si="53"/>
        <v>0</v>
      </c>
      <c r="CM14" s="264">
        <f t="shared" si="54"/>
        <v>0</v>
      </c>
      <c r="CN14" s="264">
        <f t="shared" si="55"/>
        <v>0</v>
      </c>
      <c r="CO14" s="264">
        <f t="shared" si="56"/>
        <v>0</v>
      </c>
      <c r="CP14" s="264">
        <f t="shared" si="89"/>
        <v>0</v>
      </c>
      <c r="CQ14" s="264">
        <f t="shared" si="90"/>
        <v>0</v>
      </c>
      <c r="CR14" s="264">
        <f t="shared" si="91"/>
        <v>0</v>
      </c>
      <c r="CS14" s="264">
        <f t="shared" si="92"/>
        <v>0</v>
      </c>
      <c r="CT14" s="264">
        <f t="shared" si="57"/>
        <v>0</v>
      </c>
      <c r="CU14" s="264">
        <f t="shared" si="58"/>
        <v>0</v>
      </c>
      <c r="CV14" s="264">
        <f t="shared" si="59"/>
        <v>0</v>
      </c>
      <c r="CW14" s="264">
        <f t="shared" si="60"/>
        <v>0</v>
      </c>
      <c r="CX14" s="264">
        <f t="shared" si="93"/>
        <v>0</v>
      </c>
      <c r="CY14" s="264">
        <f t="shared" si="94"/>
        <v>0</v>
      </c>
      <c r="CZ14" s="264">
        <f t="shared" si="95"/>
        <v>0</v>
      </c>
      <c r="DA14" s="264">
        <f t="shared" si="96"/>
        <v>0</v>
      </c>
    </row>
    <row r="15" spans="1:105" s="261" customFormat="1" ht="15.75" customHeight="1">
      <c r="A15" s="63" t="str">
        <f t="array" ref="A15">IF(C15&lt;&gt;0,SUM(($C$11:C15&lt;&gt;0)*1),"")</f>
        <v/>
      </c>
      <c r="B15" s="262"/>
      <c r="C15" s="262"/>
      <c r="D15" s="262"/>
      <c r="E15" s="344"/>
      <c r="F15" s="311"/>
      <c r="G15" s="313"/>
      <c r="H15" s="313"/>
      <c r="I15" s="63" t="str">
        <f t="shared" si="0"/>
        <v/>
      </c>
      <c r="J15" s="264">
        <f t="shared" si="61"/>
        <v>0</v>
      </c>
      <c r="K15" s="264">
        <f t="shared" si="62"/>
        <v>0</v>
      </c>
      <c r="L15" s="264">
        <f t="shared" si="1"/>
        <v>0</v>
      </c>
      <c r="M15" s="264">
        <f t="shared" si="2"/>
        <v>0</v>
      </c>
      <c r="N15" s="264">
        <f t="shared" si="3"/>
        <v>0</v>
      </c>
      <c r="O15" s="264">
        <f t="shared" si="4"/>
        <v>0</v>
      </c>
      <c r="P15" s="264">
        <f t="shared" si="5"/>
        <v>0</v>
      </c>
      <c r="Q15" s="264">
        <f t="shared" si="6"/>
        <v>0</v>
      </c>
      <c r="R15" s="264">
        <f t="shared" si="7"/>
        <v>0</v>
      </c>
      <c r="S15" s="264">
        <f t="shared" si="8"/>
        <v>0</v>
      </c>
      <c r="T15" s="264">
        <f t="shared" si="9"/>
        <v>0</v>
      </c>
      <c r="U15" s="264">
        <f t="shared" si="10"/>
        <v>0</v>
      </c>
      <c r="V15" s="264">
        <f t="shared" si="11"/>
        <v>0</v>
      </c>
      <c r="W15" s="264">
        <f t="shared" si="12"/>
        <v>0</v>
      </c>
      <c r="X15" s="264">
        <f t="shared" si="13"/>
        <v>0</v>
      </c>
      <c r="Y15" s="264">
        <f t="shared" si="14"/>
        <v>0</v>
      </c>
      <c r="Z15" s="264">
        <f t="shared" si="15"/>
        <v>0</v>
      </c>
      <c r="AA15" s="264">
        <f t="shared" si="16"/>
        <v>0</v>
      </c>
      <c r="AB15" s="264">
        <f t="shared" si="63"/>
        <v>0</v>
      </c>
      <c r="AC15" s="264">
        <f t="shared" si="64"/>
        <v>0</v>
      </c>
      <c r="AD15" s="264">
        <f t="shared" si="17"/>
        <v>0</v>
      </c>
      <c r="AE15" s="264">
        <f t="shared" si="18"/>
        <v>0</v>
      </c>
      <c r="AF15" s="264">
        <f t="shared" si="19"/>
        <v>0</v>
      </c>
      <c r="AG15" s="264">
        <f t="shared" si="20"/>
        <v>0</v>
      </c>
      <c r="AH15" s="264">
        <f t="shared" si="65"/>
        <v>0</v>
      </c>
      <c r="AI15" s="264">
        <f t="shared" si="66"/>
        <v>0</v>
      </c>
      <c r="AJ15" s="264">
        <f t="shared" si="67"/>
        <v>0</v>
      </c>
      <c r="AK15" s="264">
        <f t="shared" si="68"/>
        <v>0</v>
      </c>
      <c r="AL15" s="264">
        <f t="shared" si="69"/>
        <v>0</v>
      </c>
      <c r="AM15" s="264">
        <f t="shared" si="70"/>
        <v>0</v>
      </c>
      <c r="AN15" s="264">
        <f t="shared" si="71"/>
        <v>0</v>
      </c>
      <c r="AO15" s="264">
        <f t="shared" si="72"/>
        <v>0</v>
      </c>
      <c r="AP15" s="264">
        <f t="shared" si="21"/>
        <v>0</v>
      </c>
      <c r="AQ15" s="264">
        <f t="shared" si="22"/>
        <v>0</v>
      </c>
      <c r="AR15" s="264">
        <f t="shared" si="23"/>
        <v>0</v>
      </c>
      <c r="AS15" s="264">
        <f t="shared" si="24"/>
        <v>0</v>
      </c>
      <c r="AT15" s="264">
        <f t="shared" si="73"/>
        <v>0</v>
      </c>
      <c r="AU15" s="264">
        <f t="shared" si="74"/>
        <v>0</v>
      </c>
      <c r="AV15" s="264">
        <f t="shared" si="25"/>
        <v>0</v>
      </c>
      <c r="AW15" s="264">
        <f t="shared" si="26"/>
        <v>0</v>
      </c>
      <c r="AX15" s="264">
        <f t="shared" si="27"/>
        <v>0</v>
      </c>
      <c r="AY15" s="264">
        <f t="shared" si="28"/>
        <v>0</v>
      </c>
      <c r="AZ15" s="264">
        <f t="shared" si="29"/>
        <v>0</v>
      </c>
      <c r="BA15" s="264">
        <f t="shared" si="30"/>
        <v>0</v>
      </c>
      <c r="BB15" s="264">
        <f t="shared" si="31"/>
        <v>0</v>
      </c>
      <c r="BC15" s="264">
        <f t="shared" si="32"/>
        <v>0</v>
      </c>
      <c r="BD15" s="264">
        <f t="shared" si="33"/>
        <v>0</v>
      </c>
      <c r="BE15" s="264">
        <f t="shared" si="34"/>
        <v>0</v>
      </c>
      <c r="BF15" s="264">
        <f t="shared" si="35"/>
        <v>0</v>
      </c>
      <c r="BG15" s="264">
        <f t="shared" si="36"/>
        <v>0</v>
      </c>
      <c r="BH15" s="264">
        <f t="shared" si="75"/>
        <v>0</v>
      </c>
      <c r="BI15" s="264">
        <f t="shared" si="76"/>
        <v>0</v>
      </c>
      <c r="BJ15" s="264">
        <f t="shared" si="37"/>
        <v>0</v>
      </c>
      <c r="BK15" s="264">
        <f t="shared" si="38"/>
        <v>0</v>
      </c>
      <c r="BL15" s="264">
        <f t="shared" si="39"/>
        <v>0</v>
      </c>
      <c r="BM15" s="264">
        <f t="shared" si="40"/>
        <v>0</v>
      </c>
      <c r="BN15" s="264">
        <f t="shared" si="41"/>
        <v>0</v>
      </c>
      <c r="BO15" s="264">
        <f t="shared" si="42"/>
        <v>0</v>
      </c>
      <c r="BP15" s="264">
        <f t="shared" si="77"/>
        <v>0</v>
      </c>
      <c r="BQ15" s="264">
        <f t="shared" si="78"/>
        <v>0</v>
      </c>
      <c r="BR15" s="264">
        <f t="shared" si="43"/>
        <v>0</v>
      </c>
      <c r="BS15" s="264">
        <f t="shared" si="44"/>
        <v>0</v>
      </c>
      <c r="BT15" s="264">
        <f t="shared" si="79"/>
        <v>0</v>
      </c>
      <c r="BU15" s="264">
        <f t="shared" si="80"/>
        <v>0</v>
      </c>
      <c r="BV15" s="264">
        <f t="shared" si="81"/>
        <v>0</v>
      </c>
      <c r="BW15" s="264">
        <f t="shared" si="82"/>
        <v>0</v>
      </c>
      <c r="BX15" s="264">
        <f t="shared" si="45"/>
        <v>0</v>
      </c>
      <c r="BY15" s="264">
        <f t="shared" si="46"/>
        <v>0</v>
      </c>
      <c r="BZ15" s="264">
        <f t="shared" si="47"/>
        <v>0</v>
      </c>
      <c r="CA15" s="264">
        <f t="shared" si="48"/>
        <v>0</v>
      </c>
      <c r="CB15" s="264">
        <f t="shared" si="49"/>
        <v>0</v>
      </c>
      <c r="CC15" s="264">
        <f t="shared" si="50"/>
        <v>0</v>
      </c>
      <c r="CD15" s="264">
        <f t="shared" si="83"/>
        <v>0</v>
      </c>
      <c r="CE15" s="264">
        <f t="shared" si="84"/>
        <v>0</v>
      </c>
      <c r="CF15" s="264">
        <f t="shared" si="85"/>
        <v>0</v>
      </c>
      <c r="CG15" s="264">
        <f t="shared" si="86"/>
        <v>0</v>
      </c>
      <c r="CH15" s="264">
        <f t="shared" si="51"/>
        <v>0</v>
      </c>
      <c r="CI15" s="264">
        <f t="shared" si="52"/>
        <v>0</v>
      </c>
      <c r="CJ15" s="264">
        <f t="shared" si="87"/>
        <v>0</v>
      </c>
      <c r="CK15" s="264">
        <f t="shared" si="88"/>
        <v>0</v>
      </c>
      <c r="CL15" s="264">
        <f t="shared" si="53"/>
        <v>0</v>
      </c>
      <c r="CM15" s="264">
        <f t="shared" si="54"/>
        <v>0</v>
      </c>
      <c r="CN15" s="264">
        <f t="shared" si="55"/>
        <v>0</v>
      </c>
      <c r="CO15" s="264">
        <f t="shared" si="56"/>
        <v>0</v>
      </c>
      <c r="CP15" s="264">
        <f t="shared" si="89"/>
        <v>0</v>
      </c>
      <c r="CQ15" s="264">
        <f t="shared" si="90"/>
        <v>0</v>
      </c>
      <c r="CR15" s="264">
        <f t="shared" si="91"/>
        <v>0</v>
      </c>
      <c r="CS15" s="264">
        <f t="shared" si="92"/>
        <v>0</v>
      </c>
      <c r="CT15" s="264">
        <f t="shared" si="57"/>
        <v>0</v>
      </c>
      <c r="CU15" s="264">
        <f t="shared" si="58"/>
        <v>0</v>
      </c>
      <c r="CV15" s="264">
        <f t="shared" si="59"/>
        <v>0</v>
      </c>
      <c r="CW15" s="264">
        <f t="shared" si="60"/>
        <v>0</v>
      </c>
      <c r="CX15" s="264">
        <f t="shared" si="93"/>
        <v>0</v>
      </c>
      <c r="CY15" s="264">
        <f t="shared" si="94"/>
        <v>0</v>
      </c>
      <c r="CZ15" s="264">
        <f t="shared" si="95"/>
        <v>0</v>
      </c>
      <c r="DA15" s="264">
        <f t="shared" si="96"/>
        <v>0</v>
      </c>
    </row>
    <row r="16" spans="1:105" s="261" customFormat="1" ht="15.75" customHeight="1">
      <c r="A16" s="63" t="str">
        <f t="array" ref="A16">IF(C16&lt;&gt;0,SUM(($C$11:C16&lt;&gt;0)*1),"")</f>
        <v/>
      </c>
      <c r="B16" s="262"/>
      <c r="C16" s="262"/>
      <c r="D16" s="262"/>
      <c r="E16" s="344"/>
      <c r="F16" s="311"/>
      <c r="G16" s="313"/>
      <c r="H16" s="313"/>
      <c r="I16" s="63" t="str">
        <f t="shared" si="0"/>
        <v/>
      </c>
      <c r="J16" s="264">
        <f t="shared" si="61"/>
        <v>0</v>
      </c>
      <c r="K16" s="264">
        <f t="shared" si="62"/>
        <v>0</v>
      </c>
      <c r="L16" s="264">
        <f t="shared" si="1"/>
        <v>0</v>
      </c>
      <c r="M16" s="264">
        <f t="shared" si="2"/>
        <v>0</v>
      </c>
      <c r="N16" s="264">
        <f t="shared" si="3"/>
        <v>0</v>
      </c>
      <c r="O16" s="264">
        <f t="shared" si="4"/>
        <v>0</v>
      </c>
      <c r="P16" s="264">
        <f t="shared" si="5"/>
        <v>0</v>
      </c>
      <c r="Q16" s="264">
        <f t="shared" si="6"/>
        <v>0</v>
      </c>
      <c r="R16" s="264">
        <f t="shared" si="7"/>
        <v>0</v>
      </c>
      <c r="S16" s="264">
        <f t="shared" si="8"/>
        <v>0</v>
      </c>
      <c r="T16" s="264">
        <f t="shared" si="9"/>
        <v>0</v>
      </c>
      <c r="U16" s="264">
        <f t="shared" si="10"/>
        <v>0</v>
      </c>
      <c r="V16" s="264">
        <f t="shared" si="11"/>
        <v>0</v>
      </c>
      <c r="W16" s="264">
        <f t="shared" si="12"/>
        <v>0</v>
      </c>
      <c r="X16" s="264">
        <f t="shared" si="13"/>
        <v>0</v>
      </c>
      <c r="Y16" s="264">
        <f t="shared" si="14"/>
        <v>0</v>
      </c>
      <c r="Z16" s="264">
        <f t="shared" si="15"/>
        <v>0</v>
      </c>
      <c r="AA16" s="264">
        <f t="shared" si="16"/>
        <v>0</v>
      </c>
      <c r="AB16" s="264">
        <f t="shared" si="63"/>
        <v>0</v>
      </c>
      <c r="AC16" s="264">
        <f t="shared" si="64"/>
        <v>0</v>
      </c>
      <c r="AD16" s="264">
        <f t="shared" si="17"/>
        <v>0</v>
      </c>
      <c r="AE16" s="264">
        <f t="shared" si="18"/>
        <v>0</v>
      </c>
      <c r="AF16" s="264">
        <f t="shared" si="19"/>
        <v>0</v>
      </c>
      <c r="AG16" s="264">
        <f t="shared" si="20"/>
        <v>0</v>
      </c>
      <c r="AH16" s="264">
        <f t="shared" si="65"/>
        <v>0</v>
      </c>
      <c r="AI16" s="264">
        <f t="shared" si="66"/>
        <v>0</v>
      </c>
      <c r="AJ16" s="264">
        <f t="shared" si="67"/>
        <v>0</v>
      </c>
      <c r="AK16" s="264">
        <f t="shared" si="68"/>
        <v>0</v>
      </c>
      <c r="AL16" s="264">
        <f t="shared" si="69"/>
        <v>0</v>
      </c>
      <c r="AM16" s="264">
        <f t="shared" si="70"/>
        <v>0</v>
      </c>
      <c r="AN16" s="264">
        <f t="shared" si="71"/>
        <v>0</v>
      </c>
      <c r="AO16" s="264">
        <f t="shared" si="72"/>
        <v>0</v>
      </c>
      <c r="AP16" s="264">
        <f t="shared" si="21"/>
        <v>0</v>
      </c>
      <c r="AQ16" s="264">
        <f t="shared" si="22"/>
        <v>0</v>
      </c>
      <c r="AR16" s="264">
        <f t="shared" si="23"/>
        <v>0</v>
      </c>
      <c r="AS16" s="264">
        <f t="shared" si="24"/>
        <v>0</v>
      </c>
      <c r="AT16" s="264">
        <f t="shared" si="73"/>
        <v>0</v>
      </c>
      <c r="AU16" s="264">
        <f t="shared" si="74"/>
        <v>0</v>
      </c>
      <c r="AV16" s="264">
        <f t="shared" si="25"/>
        <v>0</v>
      </c>
      <c r="AW16" s="264">
        <f t="shared" si="26"/>
        <v>0</v>
      </c>
      <c r="AX16" s="264">
        <f t="shared" si="27"/>
        <v>0</v>
      </c>
      <c r="AY16" s="264">
        <f t="shared" si="28"/>
        <v>0</v>
      </c>
      <c r="AZ16" s="264">
        <f t="shared" si="29"/>
        <v>0</v>
      </c>
      <c r="BA16" s="264">
        <f t="shared" si="30"/>
        <v>0</v>
      </c>
      <c r="BB16" s="264">
        <f t="shared" si="31"/>
        <v>0</v>
      </c>
      <c r="BC16" s="264">
        <f t="shared" si="32"/>
        <v>0</v>
      </c>
      <c r="BD16" s="264">
        <f t="shared" si="33"/>
        <v>0</v>
      </c>
      <c r="BE16" s="264">
        <f t="shared" si="34"/>
        <v>0</v>
      </c>
      <c r="BF16" s="264">
        <f t="shared" si="35"/>
        <v>0</v>
      </c>
      <c r="BG16" s="264">
        <f t="shared" si="36"/>
        <v>0</v>
      </c>
      <c r="BH16" s="264">
        <f t="shared" si="75"/>
        <v>0</v>
      </c>
      <c r="BI16" s="264">
        <f t="shared" si="76"/>
        <v>0</v>
      </c>
      <c r="BJ16" s="264">
        <f t="shared" si="37"/>
        <v>0</v>
      </c>
      <c r="BK16" s="264">
        <f t="shared" si="38"/>
        <v>0</v>
      </c>
      <c r="BL16" s="264">
        <f t="shared" si="39"/>
        <v>0</v>
      </c>
      <c r="BM16" s="264">
        <f t="shared" si="40"/>
        <v>0</v>
      </c>
      <c r="BN16" s="264">
        <f t="shared" si="41"/>
        <v>0</v>
      </c>
      <c r="BO16" s="264">
        <f t="shared" si="42"/>
        <v>0</v>
      </c>
      <c r="BP16" s="264">
        <f t="shared" si="77"/>
        <v>0</v>
      </c>
      <c r="BQ16" s="264">
        <f t="shared" si="78"/>
        <v>0</v>
      </c>
      <c r="BR16" s="264">
        <f t="shared" si="43"/>
        <v>0</v>
      </c>
      <c r="BS16" s="264">
        <f t="shared" si="44"/>
        <v>0</v>
      </c>
      <c r="BT16" s="264">
        <f t="shared" si="79"/>
        <v>0</v>
      </c>
      <c r="BU16" s="264">
        <f t="shared" si="80"/>
        <v>0</v>
      </c>
      <c r="BV16" s="264">
        <f t="shared" si="81"/>
        <v>0</v>
      </c>
      <c r="BW16" s="264">
        <f t="shared" si="82"/>
        <v>0</v>
      </c>
      <c r="BX16" s="264">
        <f t="shared" si="45"/>
        <v>0</v>
      </c>
      <c r="BY16" s="264">
        <f t="shared" si="46"/>
        <v>0</v>
      </c>
      <c r="BZ16" s="264">
        <f t="shared" si="47"/>
        <v>0</v>
      </c>
      <c r="CA16" s="264">
        <f t="shared" si="48"/>
        <v>0</v>
      </c>
      <c r="CB16" s="264">
        <f t="shared" si="49"/>
        <v>0</v>
      </c>
      <c r="CC16" s="264">
        <f t="shared" si="50"/>
        <v>0</v>
      </c>
      <c r="CD16" s="264">
        <f t="shared" si="83"/>
        <v>0</v>
      </c>
      <c r="CE16" s="264">
        <f t="shared" si="84"/>
        <v>0</v>
      </c>
      <c r="CF16" s="264">
        <f t="shared" si="85"/>
        <v>0</v>
      </c>
      <c r="CG16" s="264">
        <f t="shared" si="86"/>
        <v>0</v>
      </c>
      <c r="CH16" s="264">
        <f t="shared" si="51"/>
        <v>0</v>
      </c>
      <c r="CI16" s="264">
        <f t="shared" si="52"/>
        <v>0</v>
      </c>
      <c r="CJ16" s="264">
        <f t="shared" si="87"/>
        <v>0</v>
      </c>
      <c r="CK16" s="264">
        <f t="shared" si="88"/>
        <v>0</v>
      </c>
      <c r="CL16" s="264">
        <f t="shared" si="53"/>
        <v>0</v>
      </c>
      <c r="CM16" s="264">
        <f t="shared" si="54"/>
        <v>0</v>
      </c>
      <c r="CN16" s="264">
        <f t="shared" si="55"/>
        <v>0</v>
      </c>
      <c r="CO16" s="264">
        <f t="shared" si="56"/>
        <v>0</v>
      </c>
      <c r="CP16" s="264">
        <f t="shared" si="89"/>
        <v>0</v>
      </c>
      <c r="CQ16" s="264">
        <f t="shared" si="90"/>
        <v>0</v>
      </c>
      <c r="CR16" s="264">
        <f t="shared" si="91"/>
        <v>0</v>
      </c>
      <c r="CS16" s="264">
        <f t="shared" si="92"/>
        <v>0</v>
      </c>
      <c r="CT16" s="264">
        <f t="shared" si="57"/>
        <v>0</v>
      </c>
      <c r="CU16" s="264">
        <f t="shared" si="58"/>
        <v>0</v>
      </c>
      <c r="CV16" s="264">
        <f t="shared" si="59"/>
        <v>0</v>
      </c>
      <c r="CW16" s="264">
        <f t="shared" si="60"/>
        <v>0</v>
      </c>
      <c r="CX16" s="264">
        <f t="shared" si="93"/>
        <v>0</v>
      </c>
      <c r="CY16" s="264">
        <f t="shared" si="94"/>
        <v>0</v>
      </c>
      <c r="CZ16" s="264">
        <f t="shared" si="95"/>
        <v>0</v>
      </c>
      <c r="DA16" s="264">
        <f t="shared" si="96"/>
        <v>0</v>
      </c>
    </row>
    <row r="17" spans="1:105" s="261" customFormat="1" ht="15.75" customHeight="1">
      <c r="A17" s="63" t="str">
        <f t="array" ref="A17">IF(C17&lt;&gt;0,SUM(($C$11:C17&lt;&gt;0)*1),"")</f>
        <v/>
      </c>
      <c r="B17" s="262"/>
      <c r="C17" s="262"/>
      <c r="D17" s="262"/>
      <c r="E17" s="344"/>
      <c r="F17" s="311"/>
      <c r="G17" s="313"/>
      <c r="H17" s="313"/>
      <c r="I17" s="63" t="str">
        <f t="shared" si="0"/>
        <v/>
      </c>
      <c r="J17" s="264">
        <f t="shared" si="61"/>
        <v>0</v>
      </c>
      <c r="K17" s="264">
        <f t="shared" si="62"/>
        <v>0</v>
      </c>
      <c r="L17" s="264">
        <f t="shared" si="1"/>
        <v>0</v>
      </c>
      <c r="M17" s="264">
        <f t="shared" si="2"/>
        <v>0</v>
      </c>
      <c r="N17" s="264">
        <f t="shared" si="3"/>
        <v>0</v>
      </c>
      <c r="O17" s="264">
        <f t="shared" si="4"/>
        <v>0</v>
      </c>
      <c r="P17" s="264">
        <f t="shared" si="5"/>
        <v>0</v>
      </c>
      <c r="Q17" s="264">
        <f t="shared" si="6"/>
        <v>0</v>
      </c>
      <c r="R17" s="264">
        <f t="shared" si="7"/>
        <v>0</v>
      </c>
      <c r="S17" s="264">
        <f t="shared" si="8"/>
        <v>0</v>
      </c>
      <c r="T17" s="264">
        <f t="shared" si="9"/>
        <v>0</v>
      </c>
      <c r="U17" s="264">
        <f t="shared" si="10"/>
        <v>0</v>
      </c>
      <c r="V17" s="264">
        <f t="shared" si="11"/>
        <v>0</v>
      </c>
      <c r="W17" s="264">
        <f t="shared" si="12"/>
        <v>0</v>
      </c>
      <c r="X17" s="264">
        <f t="shared" si="13"/>
        <v>0</v>
      </c>
      <c r="Y17" s="264">
        <f t="shared" si="14"/>
        <v>0</v>
      </c>
      <c r="Z17" s="264">
        <f t="shared" si="15"/>
        <v>0</v>
      </c>
      <c r="AA17" s="264">
        <f t="shared" si="16"/>
        <v>0</v>
      </c>
      <c r="AB17" s="264">
        <f t="shared" si="63"/>
        <v>0</v>
      </c>
      <c r="AC17" s="264">
        <f t="shared" si="64"/>
        <v>0</v>
      </c>
      <c r="AD17" s="264">
        <f t="shared" si="17"/>
        <v>0</v>
      </c>
      <c r="AE17" s="264">
        <f t="shared" si="18"/>
        <v>0</v>
      </c>
      <c r="AF17" s="264">
        <f t="shared" si="19"/>
        <v>0</v>
      </c>
      <c r="AG17" s="264">
        <f t="shared" si="20"/>
        <v>0</v>
      </c>
      <c r="AH17" s="264">
        <f t="shared" si="65"/>
        <v>0</v>
      </c>
      <c r="AI17" s="264">
        <f t="shared" si="66"/>
        <v>0</v>
      </c>
      <c r="AJ17" s="264">
        <f t="shared" si="67"/>
        <v>0</v>
      </c>
      <c r="AK17" s="264">
        <f t="shared" si="68"/>
        <v>0</v>
      </c>
      <c r="AL17" s="264">
        <f t="shared" si="69"/>
        <v>0</v>
      </c>
      <c r="AM17" s="264">
        <f t="shared" si="70"/>
        <v>0</v>
      </c>
      <c r="AN17" s="264">
        <f t="shared" si="71"/>
        <v>0</v>
      </c>
      <c r="AO17" s="264">
        <f t="shared" si="72"/>
        <v>0</v>
      </c>
      <c r="AP17" s="264">
        <f t="shared" si="21"/>
        <v>0</v>
      </c>
      <c r="AQ17" s="264">
        <f t="shared" si="22"/>
        <v>0</v>
      </c>
      <c r="AR17" s="264">
        <f t="shared" si="23"/>
        <v>0</v>
      </c>
      <c r="AS17" s="264">
        <f t="shared" si="24"/>
        <v>0</v>
      </c>
      <c r="AT17" s="264">
        <f t="shared" si="73"/>
        <v>0</v>
      </c>
      <c r="AU17" s="264">
        <f t="shared" si="74"/>
        <v>0</v>
      </c>
      <c r="AV17" s="264">
        <f t="shared" si="25"/>
        <v>0</v>
      </c>
      <c r="AW17" s="264">
        <f t="shared" si="26"/>
        <v>0</v>
      </c>
      <c r="AX17" s="264">
        <f t="shared" si="27"/>
        <v>0</v>
      </c>
      <c r="AY17" s="264">
        <f t="shared" si="28"/>
        <v>0</v>
      </c>
      <c r="AZ17" s="264">
        <f t="shared" si="29"/>
        <v>0</v>
      </c>
      <c r="BA17" s="264">
        <f t="shared" si="30"/>
        <v>0</v>
      </c>
      <c r="BB17" s="264">
        <f t="shared" si="31"/>
        <v>0</v>
      </c>
      <c r="BC17" s="264">
        <f t="shared" si="32"/>
        <v>0</v>
      </c>
      <c r="BD17" s="264">
        <f t="shared" si="33"/>
        <v>0</v>
      </c>
      <c r="BE17" s="264">
        <f t="shared" si="34"/>
        <v>0</v>
      </c>
      <c r="BF17" s="264">
        <f t="shared" si="35"/>
        <v>0</v>
      </c>
      <c r="BG17" s="264">
        <f t="shared" si="36"/>
        <v>0</v>
      </c>
      <c r="BH17" s="264">
        <f t="shared" si="75"/>
        <v>0</v>
      </c>
      <c r="BI17" s="264">
        <f t="shared" si="76"/>
        <v>0</v>
      </c>
      <c r="BJ17" s="264">
        <f t="shared" si="37"/>
        <v>0</v>
      </c>
      <c r="BK17" s="264">
        <f t="shared" si="38"/>
        <v>0</v>
      </c>
      <c r="BL17" s="264">
        <f t="shared" si="39"/>
        <v>0</v>
      </c>
      <c r="BM17" s="264">
        <f t="shared" si="40"/>
        <v>0</v>
      </c>
      <c r="BN17" s="264">
        <f t="shared" si="41"/>
        <v>0</v>
      </c>
      <c r="BO17" s="264">
        <f t="shared" si="42"/>
        <v>0</v>
      </c>
      <c r="BP17" s="264">
        <f t="shared" si="77"/>
        <v>0</v>
      </c>
      <c r="BQ17" s="264">
        <f t="shared" si="78"/>
        <v>0</v>
      </c>
      <c r="BR17" s="264">
        <f t="shared" si="43"/>
        <v>0</v>
      </c>
      <c r="BS17" s="264">
        <f t="shared" si="44"/>
        <v>0</v>
      </c>
      <c r="BT17" s="264">
        <f t="shared" si="79"/>
        <v>0</v>
      </c>
      <c r="BU17" s="264">
        <f t="shared" si="80"/>
        <v>0</v>
      </c>
      <c r="BV17" s="264">
        <f t="shared" si="81"/>
        <v>0</v>
      </c>
      <c r="BW17" s="264">
        <f t="shared" si="82"/>
        <v>0</v>
      </c>
      <c r="BX17" s="264">
        <f t="shared" si="45"/>
        <v>0</v>
      </c>
      <c r="BY17" s="264">
        <f t="shared" si="46"/>
        <v>0</v>
      </c>
      <c r="BZ17" s="264">
        <f t="shared" si="47"/>
        <v>0</v>
      </c>
      <c r="CA17" s="264">
        <f t="shared" si="48"/>
        <v>0</v>
      </c>
      <c r="CB17" s="264">
        <f t="shared" si="49"/>
        <v>0</v>
      </c>
      <c r="CC17" s="264">
        <f t="shared" si="50"/>
        <v>0</v>
      </c>
      <c r="CD17" s="264">
        <f t="shared" si="83"/>
        <v>0</v>
      </c>
      <c r="CE17" s="264">
        <f t="shared" si="84"/>
        <v>0</v>
      </c>
      <c r="CF17" s="264">
        <f t="shared" si="85"/>
        <v>0</v>
      </c>
      <c r="CG17" s="264">
        <f t="shared" si="86"/>
        <v>0</v>
      </c>
      <c r="CH17" s="264">
        <f t="shared" si="51"/>
        <v>0</v>
      </c>
      <c r="CI17" s="264">
        <f t="shared" si="52"/>
        <v>0</v>
      </c>
      <c r="CJ17" s="264">
        <f t="shared" si="87"/>
        <v>0</v>
      </c>
      <c r="CK17" s="264">
        <f t="shared" si="88"/>
        <v>0</v>
      </c>
      <c r="CL17" s="264">
        <f t="shared" si="53"/>
        <v>0</v>
      </c>
      <c r="CM17" s="264">
        <f t="shared" si="54"/>
        <v>0</v>
      </c>
      <c r="CN17" s="264">
        <f t="shared" si="55"/>
        <v>0</v>
      </c>
      <c r="CO17" s="264">
        <f t="shared" si="56"/>
        <v>0</v>
      </c>
      <c r="CP17" s="264">
        <f t="shared" si="89"/>
        <v>0</v>
      </c>
      <c r="CQ17" s="264">
        <f t="shared" si="90"/>
        <v>0</v>
      </c>
      <c r="CR17" s="264">
        <f t="shared" si="91"/>
        <v>0</v>
      </c>
      <c r="CS17" s="264">
        <f t="shared" si="92"/>
        <v>0</v>
      </c>
      <c r="CT17" s="264">
        <f t="shared" si="57"/>
        <v>0</v>
      </c>
      <c r="CU17" s="264">
        <f t="shared" si="58"/>
        <v>0</v>
      </c>
      <c r="CV17" s="264">
        <f t="shared" si="59"/>
        <v>0</v>
      </c>
      <c r="CW17" s="264">
        <f t="shared" si="60"/>
        <v>0</v>
      </c>
      <c r="CX17" s="264">
        <f t="shared" si="93"/>
        <v>0</v>
      </c>
      <c r="CY17" s="264">
        <f t="shared" si="94"/>
        <v>0</v>
      </c>
      <c r="CZ17" s="264">
        <f t="shared" si="95"/>
        <v>0</v>
      </c>
      <c r="DA17" s="264">
        <f t="shared" si="96"/>
        <v>0</v>
      </c>
    </row>
    <row r="18" spans="1:105" s="261" customFormat="1" ht="15.75" customHeight="1">
      <c r="A18" s="63" t="str">
        <f t="array" ref="A18">IF(C18&lt;&gt;0,SUM(($C$11:C18&lt;&gt;0)*1),"")</f>
        <v/>
      </c>
      <c r="B18" s="262"/>
      <c r="C18" s="262"/>
      <c r="D18" s="262"/>
      <c r="E18" s="344"/>
      <c r="F18" s="311"/>
      <c r="G18" s="313"/>
      <c r="H18" s="313"/>
      <c r="I18" s="63" t="str">
        <f t="shared" si="0"/>
        <v/>
      </c>
      <c r="J18" s="264">
        <f t="shared" si="61"/>
        <v>0</v>
      </c>
      <c r="K18" s="264">
        <f t="shared" si="62"/>
        <v>0</v>
      </c>
      <c r="L18" s="264">
        <f t="shared" si="1"/>
        <v>0</v>
      </c>
      <c r="M18" s="264">
        <f t="shared" si="2"/>
        <v>0</v>
      </c>
      <c r="N18" s="264">
        <f t="shared" si="3"/>
        <v>0</v>
      </c>
      <c r="O18" s="264">
        <f t="shared" si="4"/>
        <v>0</v>
      </c>
      <c r="P18" s="264">
        <f t="shared" si="5"/>
        <v>0</v>
      </c>
      <c r="Q18" s="264">
        <f t="shared" si="6"/>
        <v>0</v>
      </c>
      <c r="R18" s="264">
        <f t="shared" si="7"/>
        <v>0</v>
      </c>
      <c r="S18" s="264">
        <f t="shared" si="8"/>
        <v>0</v>
      </c>
      <c r="T18" s="264">
        <f t="shared" si="9"/>
        <v>0</v>
      </c>
      <c r="U18" s="264">
        <f t="shared" si="10"/>
        <v>0</v>
      </c>
      <c r="V18" s="264">
        <f t="shared" si="11"/>
        <v>0</v>
      </c>
      <c r="W18" s="264">
        <f t="shared" si="12"/>
        <v>0</v>
      </c>
      <c r="X18" s="264">
        <f t="shared" si="13"/>
        <v>0</v>
      </c>
      <c r="Y18" s="264">
        <f t="shared" si="14"/>
        <v>0</v>
      </c>
      <c r="Z18" s="264">
        <f t="shared" si="15"/>
        <v>0</v>
      </c>
      <c r="AA18" s="264">
        <f t="shared" si="16"/>
        <v>0</v>
      </c>
      <c r="AB18" s="264">
        <f t="shared" si="63"/>
        <v>0</v>
      </c>
      <c r="AC18" s="264">
        <f t="shared" si="64"/>
        <v>0</v>
      </c>
      <c r="AD18" s="264">
        <f t="shared" si="17"/>
        <v>0</v>
      </c>
      <c r="AE18" s="264">
        <f t="shared" si="18"/>
        <v>0</v>
      </c>
      <c r="AF18" s="264">
        <f t="shared" si="19"/>
        <v>0</v>
      </c>
      <c r="AG18" s="264">
        <f t="shared" si="20"/>
        <v>0</v>
      </c>
      <c r="AH18" s="264">
        <f t="shared" si="65"/>
        <v>0</v>
      </c>
      <c r="AI18" s="264">
        <f t="shared" si="66"/>
        <v>0</v>
      </c>
      <c r="AJ18" s="264">
        <f t="shared" si="67"/>
        <v>0</v>
      </c>
      <c r="AK18" s="264">
        <f t="shared" si="68"/>
        <v>0</v>
      </c>
      <c r="AL18" s="264">
        <f t="shared" si="69"/>
        <v>0</v>
      </c>
      <c r="AM18" s="264">
        <f t="shared" si="70"/>
        <v>0</v>
      </c>
      <c r="AN18" s="264">
        <f t="shared" si="71"/>
        <v>0</v>
      </c>
      <c r="AO18" s="264">
        <f t="shared" si="72"/>
        <v>0</v>
      </c>
      <c r="AP18" s="264">
        <f t="shared" si="21"/>
        <v>0</v>
      </c>
      <c r="AQ18" s="264">
        <f t="shared" si="22"/>
        <v>0</v>
      </c>
      <c r="AR18" s="264">
        <f t="shared" si="23"/>
        <v>0</v>
      </c>
      <c r="AS18" s="264">
        <f t="shared" si="24"/>
        <v>0</v>
      </c>
      <c r="AT18" s="264">
        <f t="shared" si="73"/>
        <v>0</v>
      </c>
      <c r="AU18" s="264">
        <f t="shared" si="74"/>
        <v>0</v>
      </c>
      <c r="AV18" s="264">
        <f t="shared" si="25"/>
        <v>0</v>
      </c>
      <c r="AW18" s="264">
        <f t="shared" si="26"/>
        <v>0</v>
      </c>
      <c r="AX18" s="264">
        <f t="shared" si="27"/>
        <v>0</v>
      </c>
      <c r="AY18" s="264">
        <f t="shared" si="28"/>
        <v>0</v>
      </c>
      <c r="AZ18" s="264">
        <f t="shared" si="29"/>
        <v>0</v>
      </c>
      <c r="BA18" s="264">
        <f t="shared" si="30"/>
        <v>0</v>
      </c>
      <c r="BB18" s="264">
        <f t="shared" si="31"/>
        <v>0</v>
      </c>
      <c r="BC18" s="264">
        <f t="shared" si="32"/>
        <v>0</v>
      </c>
      <c r="BD18" s="264">
        <f t="shared" si="33"/>
        <v>0</v>
      </c>
      <c r="BE18" s="264">
        <f t="shared" si="34"/>
        <v>0</v>
      </c>
      <c r="BF18" s="264">
        <f t="shared" si="35"/>
        <v>0</v>
      </c>
      <c r="BG18" s="264">
        <f t="shared" si="36"/>
        <v>0</v>
      </c>
      <c r="BH18" s="264">
        <f t="shared" si="75"/>
        <v>0</v>
      </c>
      <c r="BI18" s="264">
        <f t="shared" si="76"/>
        <v>0</v>
      </c>
      <c r="BJ18" s="264">
        <f t="shared" si="37"/>
        <v>0</v>
      </c>
      <c r="BK18" s="264">
        <f t="shared" si="38"/>
        <v>0</v>
      </c>
      <c r="BL18" s="264">
        <f t="shared" si="39"/>
        <v>0</v>
      </c>
      <c r="BM18" s="264">
        <f t="shared" si="40"/>
        <v>0</v>
      </c>
      <c r="BN18" s="264">
        <f t="shared" si="41"/>
        <v>0</v>
      </c>
      <c r="BO18" s="264">
        <f t="shared" si="42"/>
        <v>0</v>
      </c>
      <c r="BP18" s="264">
        <f t="shared" si="77"/>
        <v>0</v>
      </c>
      <c r="BQ18" s="264">
        <f t="shared" si="78"/>
        <v>0</v>
      </c>
      <c r="BR18" s="264">
        <f t="shared" si="43"/>
        <v>0</v>
      </c>
      <c r="BS18" s="264">
        <f t="shared" si="44"/>
        <v>0</v>
      </c>
      <c r="BT18" s="264">
        <f t="shared" si="79"/>
        <v>0</v>
      </c>
      <c r="BU18" s="264">
        <f t="shared" si="80"/>
        <v>0</v>
      </c>
      <c r="BV18" s="264">
        <f t="shared" si="81"/>
        <v>0</v>
      </c>
      <c r="BW18" s="264">
        <f t="shared" si="82"/>
        <v>0</v>
      </c>
      <c r="BX18" s="264">
        <f t="shared" si="45"/>
        <v>0</v>
      </c>
      <c r="BY18" s="264">
        <f t="shared" si="46"/>
        <v>0</v>
      </c>
      <c r="BZ18" s="264">
        <f t="shared" si="47"/>
        <v>0</v>
      </c>
      <c r="CA18" s="264">
        <f t="shared" si="48"/>
        <v>0</v>
      </c>
      <c r="CB18" s="264">
        <f t="shared" si="49"/>
        <v>0</v>
      </c>
      <c r="CC18" s="264">
        <f t="shared" si="50"/>
        <v>0</v>
      </c>
      <c r="CD18" s="264">
        <f t="shared" si="83"/>
        <v>0</v>
      </c>
      <c r="CE18" s="264">
        <f t="shared" si="84"/>
        <v>0</v>
      </c>
      <c r="CF18" s="264">
        <f t="shared" si="85"/>
        <v>0</v>
      </c>
      <c r="CG18" s="264">
        <f t="shared" si="86"/>
        <v>0</v>
      </c>
      <c r="CH18" s="264">
        <f t="shared" si="51"/>
        <v>0</v>
      </c>
      <c r="CI18" s="264">
        <f t="shared" si="52"/>
        <v>0</v>
      </c>
      <c r="CJ18" s="264">
        <f t="shared" si="87"/>
        <v>0</v>
      </c>
      <c r="CK18" s="264">
        <f t="shared" si="88"/>
        <v>0</v>
      </c>
      <c r="CL18" s="264">
        <f t="shared" si="53"/>
        <v>0</v>
      </c>
      <c r="CM18" s="264">
        <f t="shared" si="54"/>
        <v>0</v>
      </c>
      <c r="CN18" s="264">
        <f t="shared" si="55"/>
        <v>0</v>
      </c>
      <c r="CO18" s="264">
        <f t="shared" si="56"/>
        <v>0</v>
      </c>
      <c r="CP18" s="264">
        <f t="shared" si="89"/>
        <v>0</v>
      </c>
      <c r="CQ18" s="264">
        <f t="shared" si="90"/>
        <v>0</v>
      </c>
      <c r="CR18" s="264">
        <f t="shared" si="91"/>
        <v>0</v>
      </c>
      <c r="CS18" s="264">
        <f t="shared" si="92"/>
        <v>0</v>
      </c>
      <c r="CT18" s="264">
        <f t="shared" si="57"/>
        <v>0</v>
      </c>
      <c r="CU18" s="264">
        <f t="shared" si="58"/>
        <v>0</v>
      </c>
      <c r="CV18" s="264">
        <f t="shared" si="59"/>
        <v>0</v>
      </c>
      <c r="CW18" s="264">
        <f t="shared" si="60"/>
        <v>0</v>
      </c>
      <c r="CX18" s="264">
        <f t="shared" si="93"/>
        <v>0</v>
      </c>
      <c r="CY18" s="264">
        <f t="shared" si="94"/>
        <v>0</v>
      </c>
      <c r="CZ18" s="264">
        <f t="shared" si="95"/>
        <v>0</v>
      </c>
      <c r="DA18" s="264">
        <f t="shared" si="96"/>
        <v>0</v>
      </c>
    </row>
    <row r="19" spans="1:105" s="261" customFormat="1" ht="15.75" customHeight="1">
      <c r="A19" s="63" t="str">
        <f t="array" ref="A19">IF(C19&lt;&gt;0,SUM(($C$11:C19&lt;&gt;0)*1),"")</f>
        <v/>
      </c>
      <c r="B19" s="262"/>
      <c r="C19" s="262"/>
      <c r="D19" s="262"/>
      <c r="E19" s="344"/>
      <c r="F19" s="311"/>
      <c r="G19" s="313"/>
      <c r="H19" s="313"/>
      <c r="I19" s="63" t="str">
        <f t="shared" si="0"/>
        <v/>
      </c>
      <c r="J19" s="264">
        <f t="shared" si="61"/>
        <v>0</v>
      </c>
      <c r="K19" s="264">
        <f t="shared" si="62"/>
        <v>0</v>
      </c>
      <c r="L19" s="264">
        <f t="shared" si="1"/>
        <v>0</v>
      </c>
      <c r="M19" s="264">
        <f t="shared" si="2"/>
        <v>0</v>
      </c>
      <c r="N19" s="264">
        <f t="shared" si="3"/>
        <v>0</v>
      </c>
      <c r="O19" s="264">
        <f t="shared" si="4"/>
        <v>0</v>
      </c>
      <c r="P19" s="264">
        <f t="shared" si="5"/>
        <v>0</v>
      </c>
      <c r="Q19" s="264">
        <f t="shared" si="6"/>
        <v>0</v>
      </c>
      <c r="R19" s="264">
        <f t="shared" si="7"/>
        <v>0</v>
      </c>
      <c r="S19" s="264">
        <f t="shared" si="8"/>
        <v>0</v>
      </c>
      <c r="T19" s="264">
        <f t="shared" si="9"/>
        <v>0</v>
      </c>
      <c r="U19" s="264">
        <f t="shared" si="10"/>
        <v>0</v>
      </c>
      <c r="V19" s="264">
        <f t="shared" si="11"/>
        <v>0</v>
      </c>
      <c r="W19" s="264">
        <f t="shared" si="12"/>
        <v>0</v>
      </c>
      <c r="X19" s="264">
        <f t="shared" si="13"/>
        <v>0</v>
      </c>
      <c r="Y19" s="264">
        <f t="shared" si="14"/>
        <v>0</v>
      </c>
      <c r="Z19" s="264">
        <f t="shared" si="15"/>
        <v>0</v>
      </c>
      <c r="AA19" s="264">
        <f t="shared" si="16"/>
        <v>0</v>
      </c>
      <c r="AB19" s="264">
        <f t="shared" si="63"/>
        <v>0</v>
      </c>
      <c r="AC19" s="264">
        <f t="shared" si="64"/>
        <v>0</v>
      </c>
      <c r="AD19" s="264">
        <f t="shared" si="17"/>
        <v>0</v>
      </c>
      <c r="AE19" s="264">
        <f t="shared" si="18"/>
        <v>0</v>
      </c>
      <c r="AF19" s="264">
        <f t="shared" si="19"/>
        <v>0</v>
      </c>
      <c r="AG19" s="264">
        <f t="shared" si="20"/>
        <v>0</v>
      </c>
      <c r="AH19" s="264">
        <f t="shared" si="65"/>
        <v>0</v>
      </c>
      <c r="AI19" s="264">
        <f t="shared" si="66"/>
        <v>0</v>
      </c>
      <c r="AJ19" s="264">
        <f t="shared" si="67"/>
        <v>0</v>
      </c>
      <c r="AK19" s="264">
        <f t="shared" si="68"/>
        <v>0</v>
      </c>
      <c r="AL19" s="264">
        <f t="shared" si="69"/>
        <v>0</v>
      </c>
      <c r="AM19" s="264">
        <f t="shared" si="70"/>
        <v>0</v>
      </c>
      <c r="AN19" s="264">
        <f t="shared" si="71"/>
        <v>0</v>
      </c>
      <c r="AO19" s="264">
        <f t="shared" si="72"/>
        <v>0</v>
      </c>
      <c r="AP19" s="264">
        <f t="shared" si="21"/>
        <v>0</v>
      </c>
      <c r="AQ19" s="264">
        <f t="shared" si="22"/>
        <v>0</v>
      </c>
      <c r="AR19" s="264">
        <f t="shared" si="23"/>
        <v>0</v>
      </c>
      <c r="AS19" s="264">
        <f t="shared" si="24"/>
        <v>0</v>
      </c>
      <c r="AT19" s="264">
        <f t="shared" si="73"/>
        <v>0</v>
      </c>
      <c r="AU19" s="264">
        <f t="shared" si="74"/>
        <v>0</v>
      </c>
      <c r="AV19" s="264">
        <f t="shared" si="25"/>
        <v>0</v>
      </c>
      <c r="AW19" s="264">
        <f t="shared" si="26"/>
        <v>0</v>
      </c>
      <c r="AX19" s="264">
        <f t="shared" si="27"/>
        <v>0</v>
      </c>
      <c r="AY19" s="264">
        <f t="shared" si="28"/>
        <v>0</v>
      </c>
      <c r="AZ19" s="264">
        <f t="shared" si="29"/>
        <v>0</v>
      </c>
      <c r="BA19" s="264">
        <f t="shared" si="30"/>
        <v>0</v>
      </c>
      <c r="BB19" s="264">
        <f t="shared" si="31"/>
        <v>0</v>
      </c>
      <c r="BC19" s="264">
        <f t="shared" si="32"/>
        <v>0</v>
      </c>
      <c r="BD19" s="264">
        <f t="shared" si="33"/>
        <v>0</v>
      </c>
      <c r="BE19" s="264">
        <f t="shared" si="34"/>
        <v>0</v>
      </c>
      <c r="BF19" s="264">
        <f t="shared" si="35"/>
        <v>0</v>
      </c>
      <c r="BG19" s="264">
        <f t="shared" si="36"/>
        <v>0</v>
      </c>
      <c r="BH19" s="264">
        <f t="shared" si="75"/>
        <v>0</v>
      </c>
      <c r="BI19" s="264">
        <f t="shared" si="76"/>
        <v>0</v>
      </c>
      <c r="BJ19" s="264">
        <f t="shared" si="37"/>
        <v>0</v>
      </c>
      <c r="BK19" s="264">
        <f t="shared" si="38"/>
        <v>0</v>
      </c>
      <c r="BL19" s="264">
        <f t="shared" si="39"/>
        <v>0</v>
      </c>
      <c r="BM19" s="264">
        <f t="shared" si="40"/>
        <v>0</v>
      </c>
      <c r="BN19" s="264">
        <f t="shared" si="41"/>
        <v>0</v>
      </c>
      <c r="BO19" s="264">
        <f t="shared" si="42"/>
        <v>0</v>
      </c>
      <c r="BP19" s="264">
        <f t="shared" si="77"/>
        <v>0</v>
      </c>
      <c r="BQ19" s="264">
        <f t="shared" si="78"/>
        <v>0</v>
      </c>
      <c r="BR19" s="264">
        <f t="shared" si="43"/>
        <v>0</v>
      </c>
      <c r="BS19" s="264">
        <f t="shared" si="44"/>
        <v>0</v>
      </c>
      <c r="BT19" s="264">
        <f t="shared" si="79"/>
        <v>0</v>
      </c>
      <c r="BU19" s="264">
        <f t="shared" si="80"/>
        <v>0</v>
      </c>
      <c r="BV19" s="264">
        <f t="shared" si="81"/>
        <v>0</v>
      </c>
      <c r="BW19" s="264">
        <f t="shared" si="82"/>
        <v>0</v>
      </c>
      <c r="BX19" s="264">
        <f t="shared" si="45"/>
        <v>0</v>
      </c>
      <c r="BY19" s="264">
        <f t="shared" si="46"/>
        <v>0</v>
      </c>
      <c r="BZ19" s="264">
        <f t="shared" si="47"/>
        <v>0</v>
      </c>
      <c r="CA19" s="264">
        <f t="shared" si="48"/>
        <v>0</v>
      </c>
      <c r="CB19" s="264">
        <f t="shared" si="49"/>
        <v>0</v>
      </c>
      <c r="CC19" s="264">
        <f t="shared" si="50"/>
        <v>0</v>
      </c>
      <c r="CD19" s="264">
        <f t="shared" si="83"/>
        <v>0</v>
      </c>
      <c r="CE19" s="264">
        <f t="shared" si="84"/>
        <v>0</v>
      </c>
      <c r="CF19" s="264">
        <f t="shared" si="85"/>
        <v>0</v>
      </c>
      <c r="CG19" s="264">
        <f t="shared" si="86"/>
        <v>0</v>
      </c>
      <c r="CH19" s="264">
        <f t="shared" si="51"/>
        <v>0</v>
      </c>
      <c r="CI19" s="264">
        <f t="shared" si="52"/>
        <v>0</v>
      </c>
      <c r="CJ19" s="264">
        <f t="shared" si="87"/>
        <v>0</v>
      </c>
      <c r="CK19" s="264">
        <f t="shared" si="88"/>
        <v>0</v>
      </c>
      <c r="CL19" s="264">
        <f t="shared" si="53"/>
        <v>0</v>
      </c>
      <c r="CM19" s="264">
        <f t="shared" si="54"/>
        <v>0</v>
      </c>
      <c r="CN19" s="264">
        <f t="shared" si="55"/>
        <v>0</v>
      </c>
      <c r="CO19" s="264">
        <f t="shared" si="56"/>
        <v>0</v>
      </c>
      <c r="CP19" s="264">
        <f t="shared" si="89"/>
        <v>0</v>
      </c>
      <c r="CQ19" s="264">
        <f t="shared" si="90"/>
        <v>0</v>
      </c>
      <c r="CR19" s="264">
        <f t="shared" si="91"/>
        <v>0</v>
      </c>
      <c r="CS19" s="264">
        <f t="shared" si="92"/>
        <v>0</v>
      </c>
      <c r="CT19" s="264">
        <f t="shared" si="57"/>
        <v>0</v>
      </c>
      <c r="CU19" s="264">
        <f t="shared" si="58"/>
        <v>0</v>
      </c>
      <c r="CV19" s="264">
        <f t="shared" si="59"/>
        <v>0</v>
      </c>
      <c r="CW19" s="264">
        <f t="shared" si="60"/>
        <v>0</v>
      </c>
      <c r="CX19" s="264">
        <f t="shared" si="93"/>
        <v>0</v>
      </c>
      <c r="CY19" s="264">
        <f t="shared" si="94"/>
        <v>0</v>
      </c>
      <c r="CZ19" s="264">
        <f t="shared" si="95"/>
        <v>0</v>
      </c>
      <c r="DA19" s="264">
        <f t="shared" si="96"/>
        <v>0</v>
      </c>
    </row>
    <row r="20" spans="1:105" s="261" customFormat="1" ht="15.75" customHeight="1">
      <c r="A20" s="63" t="str">
        <f t="array" ref="A20">IF(C20&lt;&gt;0,SUM(($C$11:C20&lt;&gt;0)*1),"")</f>
        <v/>
      </c>
      <c r="B20" s="262"/>
      <c r="C20" s="262"/>
      <c r="D20" s="262"/>
      <c r="E20" s="344"/>
      <c r="F20" s="311"/>
      <c r="G20" s="313"/>
      <c r="H20" s="313"/>
      <c r="I20" s="63" t="str">
        <f t="shared" si="0"/>
        <v/>
      </c>
      <c r="J20" s="264">
        <f t="shared" si="61"/>
        <v>0</v>
      </c>
      <c r="K20" s="264">
        <f t="shared" si="62"/>
        <v>0</v>
      </c>
      <c r="L20" s="264">
        <f t="shared" si="1"/>
        <v>0</v>
      </c>
      <c r="M20" s="264">
        <f t="shared" si="2"/>
        <v>0</v>
      </c>
      <c r="N20" s="264">
        <f t="shared" si="3"/>
        <v>0</v>
      </c>
      <c r="O20" s="264">
        <f t="shared" si="4"/>
        <v>0</v>
      </c>
      <c r="P20" s="264">
        <f t="shared" si="5"/>
        <v>0</v>
      </c>
      <c r="Q20" s="264">
        <f t="shared" si="6"/>
        <v>0</v>
      </c>
      <c r="R20" s="264">
        <f t="shared" si="7"/>
        <v>0</v>
      </c>
      <c r="S20" s="264">
        <f t="shared" si="8"/>
        <v>0</v>
      </c>
      <c r="T20" s="264">
        <f t="shared" si="9"/>
        <v>0</v>
      </c>
      <c r="U20" s="264">
        <f t="shared" si="10"/>
        <v>0</v>
      </c>
      <c r="V20" s="264">
        <f t="shared" si="11"/>
        <v>0</v>
      </c>
      <c r="W20" s="264">
        <f t="shared" si="12"/>
        <v>0</v>
      </c>
      <c r="X20" s="264">
        <f t="shared" si="13"/>
        <v>0</v>
      </c>
      <c r="Y20" s="264">
        <f t="shared" si="14"/>
        <v>0</v>
      </c>
      <c r="Z20" s="264">
        <f t="shared" si="15"/>
        <v>0</v>
      </c>
      <c r="AA20" s="264">
        <f t="shared" si="16"/>
        <v>0</v>
      </c>
      <c r="AB20" s="264">
        <f t="shared" si="63"/>
        <v>0</v>
      </c>
      <c r="AC20" s="264">
        <f t="shared" si="64"/>
        <v>0</v>
      </c>
      <c r="AD20" s="264">
        <f t="shared" si="17"/>
        <v>0</v>
      </c>
      <c r="AE20" s="264">
        <f t="shared" si="18"/>
        <v>0</v>
      </c>
      <c r="AF20" s="264">
        <f t="shared" si="19"/>
        <v>0</v>
      </c>
      <c r="AG20" s="264">
        <f t="shared" si="20"/>
        <v>0</v>
      </c>
      <c r="AH20" s="264">
        <f t="shared" si="65"/>
        <v>0</v>
      </c>
      <c r="AI20" s="264">
        <f t="shared" si="66"/>
        <v>0</v>
      </c>
      <c r="AJ20" s="264">
        <f t="shared" si="67"/>
        <v>0</v>
      </c>
      <c r="AK20" s="264">
        <f t="shared" si="68"/>
        <v>0</v>
      </c>
      <c r="AL20" s="264">
        <f t="shared" si="69"/>
        <v>0</v>
      </c>
      <c r="AM20" s="264">
        <f t="shared" si="70"/>
        <v>0</v>
      </c>
      <c r="AN20" s="264">
        <f t="shared" si="71"/>
        <v>0</v>
      </c>
      <c r="AO20" s="264">
        <f t="shared" si="72"/>
        <v>0</v>
      </c>
      <c r="AP20" s="264">
        <f t="shared" si="21"/>
        <v>0</v>
      </c>
      <c r="AQ20" s="264">
        <f t="shared" si="22"/>
        <v>0</v>
      </c>
      <c r="AR20" s="264">
        <f t="shared" si="23"/>
        <v>0</v>
      </c>
      <c r="AS20" s="264">
        <f t="shared" si="24"/>
        <v>0</v>
      </c>
      <c r="AT20" s="264">
        <f t="shared" si="73"/>
        <v>0</v>
      </c>
      <c r="AU20" s="264">
        <f t="shared" si="74"/>
        <v>0</v>
      </c>
      <c r="AV20" s="264">
        <f t="shared" si="25"/>
        <v>0</v>
      </c>
      <c r="AW20" s="264">
        <f t="shared" si="26"/>
        <v>0</v>
      </c>
      <c r="AX20" s="264">
        <f t="shared" si="27"/>
        <v>0</v>
      </c>
      <c r="AY20" s="264">
        <f t="shared" si="28"/>
        <v>0</v>
      </c>
      <c r="AZ20" s="264">
        <f t="shared" si="29"/>
        <v>0</v>
      </c>
      <c r="BA20" s="264">
        <f t="shared" si="30"/>
        <v>0</v>
      </c>
      <c r="BB20" s="264">
        <f t="shared" si="31"/>
        <v>0</v>
      </c>
      <c r="BC20" s="264">
        <f t="shared" si="32"/>
        <v>0</v>
      </c>
      <c r="BD20" s="264">
        <f t="shared" si="33"/>
        <v>0</v>
      </c>
      <c r="BE20" s="264">
        <f t="shared" si="34"/>
        <v>0</v>
      </c>
      <c r="BF20" s="264">
        <f t="shared" si="35"/>
        <v>0</v>
      </c>
      <c r="BG20" s="264">
        <f t="shared" si="36"/>
        <v>0</v>
      </c>
      <c r="BH20" s="264">
        <f t="shared" si="75"/>
        <v>0</v>
      </c>
      <c r="BI20" s="264">
        <f t="shared" si="76"/>
        <v>0</v>
      </c>
      <c r="BJ20" s="264">
        <f t="shared" si="37"/>
        <v>0</v>
      </c>
      <c r="BK20" s="264">
        <f t="shared" si="38"/>
        <v>0</v>
      </c>
      <c r="BL20" s="264">
        <f t="shared" si="39"/>
        <v>0</v>
      </c>
      <c r="BM20" s="264">
        <f t="shared" si="40"/>
        <v>0</v>
      </c>
      <c r="BN20" s="264">
        <f t="shared" si="41"/>
        <v>0</v>
      </c>
      <c r="BO20" s="264">
        <f t="shared" si="42"/>
        <v>0</v>
      </c>
      <c r="BP20" s="264">
        <f t="shared" si="77"/>
        <v>0</v>
      </c>
      <c r="BQ20" s="264">
        <f t="shared" si="78"/>
        <v>0</v>
      </c>
      <c r="BR20" s="264">
        <f t="shared" si="43"/>
        <v>0</v>
      </c>
      <c r="BS20" s="264">
        <f t="shared" si="44"/>
        <v>0</v>
      </c>
      <c r="BT20" s="264">
        <f t="shared" si="79"/>
        <v>0</v>
      </c>
      <c r="BU20" s="264">
        <f t="shared" si="80"/>
        <v>0</v>
      </c>
      <c r="BV20" s="264">
        <f t="shared" si="81"/>
        <v>0</v>
      </c>
      <c r="BW20" s="264">
        <f t="shared" si="82"/>
        <v>0</v>
      </c>
      <c r="BX20" s="264">
        <f t="shared" si="45"/>
        <v>0</v>
      </c>
      <c r="BY20" s="264">
        <f t="shared" si="46"/>
        <v>0</v>
      </c>
      <c r="BZ20" s="264">
        <f t="shared" si="47"/>
        <v>0</v>
      </c>
      <c r="CA20" s="264">
        <f t="shared" si="48"/>
        <v>0</v>
      </c>
      <c r="CB20" s="264">
        <f t="shared" si="49"/>
        <v>0</v>
      </c>
      <c r="CC20" s="264">
        <f t="shared" si="50"/>
        <v>0</v>
      </c>
      <c r="CD20" s="264">
        <f t="shared" si="83"/>
        <v>0</v>
      </c>
      <c r="CE20" s="264">
        <f t="shared" si="84"/>
        <v>0</v>
      </c>
      <c r="CF20" s="264">
        <f t="shared" si="85"/>
        <v>0</v>
      </c>
      <c r="CG20" s="264">
        <f t="shared" si="86"/>
        <v>0</v>
      </c>
      <c r="CH20" s="264">
        <f t="shared" si="51"/>
        <v>0</v>
      </c>
      <c r="CI20" s="264">
        <f t="shared" si="52"/>
        <v>0</v>
      </c>
      <c r="CJ20" s="264">
        <f t="shared" si="87"/>
        <v>0</v>
      </c>
      <c r="CK20" s="264">
        <f t="shared" si="88"/>
        <v>0</v>
      </c>
      <c r="CL20" s="264">
        <f t="shared" si="53"/>
        <v>0</v>
      </c>
      <c r="CM20" s="264">
        <f t="shared" si="54"/>
        <v>0</v>
      </c>
      <c r="CN20" s="264">
        <f t="shared" si="55"/>
        <v>0</v>
      </c>
      <c r="CO20" s="264">
        <f t="shared" si="56"/>
        <v>0</v>
      </c>
      <c r="CP20" s="264">
        <f t="shared" si="89"/>
        <v>0</v>
      </c>
      <c r="CQ20" s="264">
        <f t="shared" si="90"/>
        <v>0</v>
      </c>
      <c r="CR20" s="264">
        <f t="shared" si="91"/>
        <v>0</v>
      </c>
      <c r="CS20" s="264">
        <f t="shared" si="92"/>
        <v>0</v>
      </c>
      <c r="CT20" s="264">
        <f t="shared" si="57"/>
        <v>0</v>
      </c>
      <c r="CU20" s="264">
        <f t="shared" si="58"/>
        <v>0</v>
      </c>
      <c r="CV20" s="264">
        <f t="shared" si="59"/>
        <v>0</v>
      </c>
      <c r="CW20" s="264">
        <f t="shared" si="60"/>
        <v>0</v>
      </c>
      <c r="CX20" s="264">
        <f t="shared" si="93"/>
        <v>0</v>
      </c>
      <c r="CY20" s="264">
        <f t="shared" si="94"/>
        <v>0</v>
      </c>
      <c r="CZ20" s="264">
        <f t="shared" si="95"/>
        <v>0</v>
      </c>
      <c r="DA20" s="264">
        <f t="shared" si="96"/>
        <v>0</v>
      </c>
    </row>
    <row r="21" spans="1:105" s="261" customFormat="1" ht="15.75" customHeight="1">
      <c r="A21" s="63" t="str">
        <f t="array" ref="A21">IF(C21&lt;&gt;0,SUM(($C$11:C21&lt;&gt;0)*1),"")</f>
        <v/>
      </c>
      <c r="B21" s="262"/>
      <c r="C21" s="262"/>
      <c r="D21" s="262"/>
      <c r="E21" s="344"/>
      <c r="F21" s="311"/>
      <c r="G21" s="313"/>
      <c r="H21" s="313"/>
      <c r="I21" s="63" t="str">
        <f t="shared" si="0"/>
        <v/>
      </c>
      <c r="J21" s="264">
        <f t="shared" si="61"/>
        <v>0</v>
      </c>
      <c r="K21" s="264">
        <f t="shared" si="62"/>
        <v>0</v>
      </c>
      <c r="L21" s="264">
        <f t="shared" si="1"/>
        <v>0</v>
      </c>
      <c r="M21" s="264">
        <f t="shared" si="2"/>
        <v>0</v>
      </c>
      <c r="N21" s="264">
        <f t="shared" si="3"/>
        <v>0</v>
      </c>
      <c r="O21" s="264">
        <f t="shared" si="4"/>
        <v>0</v>
      </c>
      <c r="P21" s="264">
        <f t="shared" si="5"/>
        <v>0</v>
      </c>
      <c r="Q21" s="264">
        <f t="shared" si="6"/>
        <v>0</v>
      </c>
      <c r="R21" s="264">
        <f t="shared" si="7"/>
        <v>0</v>
      </c>
      <c r="S21" s="264">
        <f t="shared" si="8"/>
        <v>0</v>
      </c>
      <c r="T21" s="264">
        <f t="shared" si="9"/>
        <v>0</v>
      </c>
      <c r="U21" s="264">
        <f t="shared" si="10"/>
        <v>0</v>
      </c>
      <c r="V21" s="264">
        <f t="shared" si="11"/>
        <v>0</v>
      </c>
      <c r="W21" s="264">
        <f t="shared" si="12"/>
        <v>0</v>
      </c>
      <c r="X21" s="264">
        <f t="shared" si="13"/>
        <v>0</v>
      </c>
      <c r="Y21" s="264">
        <f t="shared" si="14"/>
        <v>0</v>
      </c>
      <c r="Z21" s="264">
        <f t="shared" si="15"/>
        <v>0</v>
      </c>
      <c r="AA21" s="264">
        <f t="shared" si="16"/>
        <v>0</v>
      </c>
      <c r="AB21" s="264">
        <f t="shared" si="63"/>
        <v>0</v>
      </c>
      <c r="AC21" s="264">
        <f t="shared" si="64"/>
        <v>0</v>
      </c>
      <c r="AD21" s="264">
        <f t="shared" si="17"/>
        <v>0</v>
      </c>
      <c r="AE21" s="264">
        <f t="shared" si="18"/>
        <v>0</v>
      </c>
      <c r="AF21" s="264">
        <f t="shared" si="19"/>
        <v>0</v>
      </c>
      <c r="AG21" s="264">
        <f t="shared" si="20"/>
        <v>0</v>
      </c>
      <c r="AH21" s="264">
        <f t="shared" si="65"/>
        <v>0</v>
      </c>
      <c r="AI21" s="264">
        <f t="shared" si="66"/>
        <v>0</v>
      </c>
      <c r="AJ21" s="264">
        <f t="shared" si="67"/>
        <v>0</v>
      </c>
      <c r="AK21" s="264">
        <f t="shared" si="68"/>
        <v>0</v>
      </c>
      <c r="AL21" s="264">
        <f t="shared" si="69"/>
        <v>0</v>
      </c>
      <c r="AM21" s="264">
        <f t="shared" si="70"/>
        <v>0</v>
      </c>
      <c r="AN21" s="264">
        <f t="shared" si="71"/>
        <v>0</v>
      </c>
      <c r="AO21" s="264">
        <f t="shared" si="72"/>
        <v>0</v>
      </c>
      <c r="AP21" s="264">
        <f t="shared" si="21"/>
        <v>0</v>
      </c>
      <c r="AQ21" s="264">
        <f t="shared" si="22"/>
        <v>0</v>
      </c>
      <c r="AR21" s="264">
        <f t="shared" si="23"/>
        <v>0</v>
      </c>
      <c r="AS21" s="264">
        <f t="shared" si="24"/>
        <v>0</v>
      </c>
      <c r="AT21" s="264">
        <f t="shared" si="73"/>
        <v>0</v>
      </c>
      <c r="AU21" s="264">
        <f t="shared" si="74"/>
        <v>0</v>
      </c>
      <c r="AV21" s="264">
        <f t="shared" si="25"/>
        <v>0</v>
      </c>
      <c r="AW21" s="264">
        <f t="shared" si="26"/>
        <v>0</v>
      </c>
      <c r="AX21" s="264">
        <f t="shared" si="27"/>
        <v>0</v>
      </c>
      <c r="AY21" s="264">
        <f t="shared" si="28"/>
        <v>0</v>
      </c>
      <c r="AZ21" s="264">
        <f t="shared" si="29"/>
        <v>0</v>
      </c>
      <c r="BA21" s="264">
        <f t="shared" si="30"/>
        <v>0</v>
      </c>
      <c r="BB21" s="264">
        <f t="shared" si="31"/>
        <v>0</v>
      </c>
      <c r="BC21" s="264">
        <f t="shared" si="32"/>
        <v>0</v>
      </c>
      <c r="BD21" s="264">
        <f t="shared" si="33"/>
        <v>0</v>
      </c>
      <c r="BE21" s="264">
        <f t="shared" si="34"/>
        <v>0</v>
      </c>
      <c r="BF21" s="264">
        <f t="shared" si="35"/>
        <v>0</v>
      </c>
      <c r="BG21" s="264">
        <f t="shared" si="36"/>
        <v>0</v>
      </c>
      <c r="BH21" s="264">
        <f t="shared" si="75"/>
        <v>0</v>
      </c>
      <c r="BI21" s="264">
        <f t="shared" si="76"/>
        <v>0</v>
      </c>
      <c r="BJ21" s="264">
        <f t="shared" si="37"/>
        <v>0</v>
      </c>
      <c r="BK21" s="264">
        <f t="shared" si="38"/>
        <v>0</v>
      </c>
      <c r="BL21" s="264">
        <f t="shared" si="39"/>
        <v>0</v>
      </c>
      <c r="BM21" s="264">
        <f t="shared" si="40"/>
        <v>0</v>
      </c>
      <c r="BN21" s="264">
        <f t="shared" si="41"/>
        <v>0</v>
      </c>
      <c r="BO21" s="264">
        <f t="shared" si="42"/>
        <v>0</v>
      </c>
      <c r="BP21" s="264">
        <f t="shared" si="77"/>
        <v>0</v>
      </c>
      <c r="BQ21" s="264">
        <f t="shared" si="78"/>
        <v>0</v>
      </c>
      <c r="BR21" s="264">
        <f t="shared" si="43"/>
        <v>0</v>
      </c>
      <c r="BS21" s="264">
        <f t="shared" si="44"/>
        <v>0</v>
      </c>
      <c r="BT21" s="264">
        <f t="shared" si="79"/>
        <v>0</v>
      </c>
      <c r="BU21" s="264">
        <f t="shared" si="80"/>
        <v>0</v>
      </c>
      <c r="BV21" s="264">
        <f t="shared" si="81"/>
        <v>0</v>
      </c>
      <c r="BW21" s="264">
        <f t="shared" si="82"/>
        <v>0</v>
      </c>
      <c r="BX21" s="264">
        <f t="shared" si="45"/>
        <v>0</v>
      </c>
      <c r="BY21" s="264">
        <f t="shared" si="46"/>
        <v>0</v>
      </c>
      <c r="BZ21" s="264">
        <f t="shared" si="47"/>
        <v>0</v>
      </c>
      <c r="CA21" s="264">
        <f t="shared" si="48"/>
        <v>0</v>
      </c>
      <c r="CB21" s="264">
        <f t="shared" si="49"/>
        <v>0</v>
      </c>
      <c r="CC21" s="264">
        <f t="shared" si="50"/>
        <v>0</v>
      </c>
      <c r="CD21" s="264">
        <f t="shared" si="83"/>
        <v>0</v>
      </c>
      <c r="CE21" s="264">
        <f t="shared" si="84"/>
        <v>0</v>
      </c>
      <c r="CF21" s="264">
        <f t="shared" si="85"/>
        <v>0</v>
      </c>
      <c r="CG21" s="264">
        <f t="shared" si="86"/>
        <v>0</v>
      </c>
      <c r="CH21" s="264">
        <f t="shared" si="51"/>
        <v>0</v>
      </c>
      <c r="CI21" s="264">
        <f t="shared" si="52"/>
        <v>0</v>
      </c>
      <c r="CJ21" s="264">
        <f t="shared" si="87"/>
        <v>0</v>
      </c>
      <c r="CK21" s="264">
        <f t="shared" si="88"/>
        <v>0</v>
      </c>
      <c r="CL21" s="264">
        <f t="shared" si="53"/>
        <v>0</v>
      </c>
      <c r="CM21" s="264">
        <f t="shared" si="54"/>
        <v>0</v>
      </c>
      <c r="CN21" s="264">
        <f t="shared" si="55"/>
        <v>0</v>
      </c>
      <c r="CO21" s="264">
        <f t="shared" si="56"/>
        <v>0</v>
      </c>
      <c r="CP21" s="264">
        <f t="shared" si="89"/>
        <v>0</v>
      </c>
      <c r="CQ21" s="264">
        <f t="shared" si="90"/>
        <v>0</v>
      </c>
      <c r="CR21" s="264">
        <f t="shared" si="91"/>
        <v>0</v>
      </c>
      <c r="CS21" s="264">
        <f t="shared" si="92"/>
        <v>0</v>
      </c>
      <c r="CT21" s="264">
        <f t="shared" si="57"/>
        <v>0</v>
      </c>
      <c r="CU21" s="264">
        <f t="shared" si="58"/>
        <v>0</v>
      </c>
      <c r="CV21" s="264">
        <f t="shared" si="59"/>
        <v>0</v>
      </c>
      <c r="CW21" s="264">
        <f t="shared" si="60"/>
        <v>0</v>
      </c>
      <c r="CX21" s="264">
        <f t="shared" si="93"/>
        <v>0</v>
      </c>
      <c r="CY21" s="264">
        <f t="shared" si="94"/>
        <v>0</v>
      </c>
      <c r="CZ21" s="264">
        <f t="shared" si="95"/>
        <v>0</v>
      </c>
      <c r="DA21" s="264">
        <f t="shared" si="96"/>
        <v>0</v>
      </c>
    </row>
    <row r="22" spans="1:105" s="261" customFormat="1" ht="15.75" customHeight="1">
      <c r="A22" s="63" t="str">
        <f t="array" ref="A22">IF(C22&lt;&gt;0,SUM(($C$11:C22&lt;&gt;0)*1),"")</f>
        <v/>
      </c>
      <c r="B22" s="262"/>
      <c r="C22" s="262"/>
      <c r="D22" s="262"/>
      <c r="E22" s="344"/>
      <c r="F22" s="311"/>
      <c r="G22" s="313"/>
      <c r="H22" s="313"/>
      <c r="I22" s="63" t="str">
        <f t="shared" si="0"/>
        <v/>
      </c>
      <c r="J22" s="264">
        <f t="shared" si="61"/>
        <v>0</v>
      </c>
      <c r="K22" s="264">
        <f t="shared" si="62"/>
        <v>0</v>
      </c>
      <c r="L22" s="264">
        <f t="shared" si="1"/>
        <v>0</v>
      </c>
      <c r="M22" s="264">
        <f t="shared" si="2"/>
        <v>0</v>
      </c>
      <c r="N22" s="264">
        <f t="shared" si="3"/>
        <v>0</v>
      </c>
      <c r="O22" s="264">
        <f t="shared" si="4"/>
        <v>0</v>
      </c>
      <c r="P22" s="264">
        <f t="shared" si="5"/>
        <v>0</v>
      </c>
      <c r="Q22" s="264">
        <f t="shared" si="6"/>
        <v>0</v>
      </c>
      <c r="R22" s="264">
        <f t="shared" si="7"/>
        <v>0</v>
      </c>
      <c r="S22" s="264">
        <f t="shared" si="8"/>
        <v>0</v>
      </c>
      <c r="T22" s="264">
        <f t="shared" si="9"/>
        <v>0</v>
      </c>
      <c r="U22" s="264">
        <f t="shared" si="10"/>
        <v>0</v>
      </c>
      <c r="V22" s="264">
        <f t="shared" si="11"/>
        <v>0</v>
      </c>
      <c r="W22" s="264">
        <f t="shared" si="12"/>
        <v>0</v>
      </c>
      <c r="X22" s="264">
        <f t="shared" si="13"/>
        <v>0</v>
      </c>
      <c r="Y22" s="264">
        <f t="shared" si="14"/>
        <v>0</v>
      </c>
      <c r="Z22" s="264">
        <f t="shared" si="15"/>
        <v>0</v>
      </c>
      <c r="AA22" s="264">
        <f t="shared" si="16"/>
        <v>0</v>
      </c>
      <c r="AB22" s="264">
        <f t="shared" si="63"/>
        <v>0</v>
      </c>
      <c r="AC22" s="264">
        <f t="shared" si="64"/>
        <v>0</v>
      </c>
      <c r="AD22" s="264">
        <f t="shared" si="17"/>
        <v>0</v>
      </c>
      <c r="AE22" s="264">
        <f t="shared" si="18"/>
        <v>0</v>
      </c>
      <c r="AF22" s="264">
        <f t="shared" si="19"/>
        <v>0</v>
      </c>
      <c r="AG22" s="264">
        <f t="shared" si="20"/>
        <v>0</v>
      </c>
      <c r="AH22" s="264">
        <f t="shared" si="65"/>
        <v>0</v>
      </c>
      <c r="AI22" s="264">
        <f t="shared" si="66"/>
        <v>0</v>
      </c>
      <c r="AJ22" s="264">
        <f t="shared" si="67"/>
        <v>0</v>
      </c>
      <c r="AK22" s="264">
        <f t="shared" si="68"/>
        <v>0</v>
      </c>
      <c r="AL22" s="264">
        <f t="shared" si="69"/>
        <v>0</v>
      </c>
      <c r="AM22" s="264">
        <f t="shared" si="70"/>
        <v>0</v>
      </c>
      <c r="AN22" s="264">
        <f t="shared" si="71"/>
        <v>0</v>
      </c>
      <c r="AO22" s="264">
        <f t="shared" si="72"/>
        <v>0</v>
      </c>
      <c r="AP22" s="264">
        <f t="shared" si="21"/>
        <v>0</v>
      </c>
      <c r="AQ22" s="264">
        <f t="shared" si="22"/>
        <v>0</v>
      </c>
      <c r="AR22" s="264">
        <f t="shared" si="23"/>
        <v>0</v>
      </c>
      <c r="AS22" s="264">
        <f t="shared" si="24"/>
        <v>0</v>
      </c>
      <c r="AT22" s="264">
        <f t="shared" si="73"/>
        <v>0</v>
      </c>
      <c r="AU22" s="264">
        <f t="shared" si="74"/>
        <v>0</v>
      </c>
      <c r="AV22" s="264">
        <f t="shared" si="25"/>
        <v>0</v>
      </c>
      <c r="AW22" s="264">
        <f t="shared" si="26"/>
        <v>0</v>
      </c>
      <c r="AX22" s="264">
        <f t="shared" si="27"/>
        <v>0</v>
      </c>
      <c r="AY22" s="264">
        <f t="shared" si="28"/>
        <v>0</v>
      </c>
      <c r="AZ22" s="264">
        <f t="shared" si="29"/>
        <v>0</v>
      </c>
      <c r="BA22" s="264">
        <f t="shared" si="30"/>
        <v>0</v>
      </c>
      <c r="BB22" s="264">
        <f t="shared" si="31"/>
        <v>0</v>
      </c>
      <c r="BC22" s="264">
        <f t="shared" si="32"/>
        <v>0</v>
      </c>
      <c r="BD22" s="264">
        <f t="shared" si="33"/>
        <v>0</v>
      </c>
      <c r="BE22" s="264">
        <f t="shared" si="34"/>
        <v>0</v>
      </c>
      <c r="BF22" s="264">
        <f t="shared" si="35"/>
        <v>0</v>
      </c>
      <c r="BG22" s="264">
        <f t="shared" si="36"/>
        <v>0</v>
      </c>
      <c r="BH22" s="264">
        <f t="shared" si="75"/>
        <v>0</v>
      </c>
      <c r="BI22" s="264">
        <f t="shared" si="76"/>
        <v>0</v>
      </c>
      <c r="BJ22" s="264">
        <f t="shared" si="37"/>
        <v>0</v>
      </c>
      <c r="BK22" s="264">
        <f t="shared" si="38"/>
        <v>0</v>
      </c>
      <c r="BL22" s="264">
        <f t="shared" si="39"/>
        <v>0</v>
      </c>
      <c r="BM22" s="264">
        <f t="shared" si="40"/>
        <v>0</v>
      </c>
      <c r="BN22" s="264">
        <f t="shared" si="41"/>
        <v>0</v>
      </c>
      <c r="BO22" s="264">
        <f t="shared" si="42"/>
        <v>0</v>
      </c>
      <c r="BP22" s="264">
        <f t="shared" si="77"/>
        <v>0</v>
      </c>
      <c r="BQ22" s="264">
        <f t="shared" si="78"/>
        <v>0</v>
      </c>
      <c r="BR22" s="264">
        <f t="shared" si="43"/>
        <v>0</v>
      </c>
      <c r="BS22" s="264">
        <f t="shared" si="44"/>
        <v>0</v>
      </c>
      <c r="BT22" s="264">
        <f t="shared" si="79"/>
        <v>0</v>
      </c>
      <c r="BU22" s="264">
        <f t="shared" si="80"/>
        <v>0</v>
      </c>
      <c r="BV22" s="264">
        <f t="shared" si="81"/>
        <v>0</v>
      </c>
      <c r="BW22" s="264">
        <f t="shared" si="82"/>
        <v>0</v>
      </c>
      <c r="BX22" s="264">
        <f t="shared" si="45"/>
        <v>0</v>
      </c>
      <c r="BY22" s="264">
        <f t="shared" si="46"/>
        <v>0</v>
      </c>
      <c r="BZ22" s="264">
        <f t="shared" si="47"/>
        <v>0</v>
      </c>
      <c r="CA22" s="264">
        <f t="shared" si="48"/>
        <v>0</v>
      </c>
      <c r="CB22" s="264">
        <f t="shared" si="49"/>
        <v>0</v>
      </c>
      <c r="CC22" s="264">
        <f t="shared" si="50"/>
        <v>0</v>
      </c>
      <c r="CD22" s="264">
        <f t="shared" si="83"/>
        <v>0</v>
      </c>
      <c r="CE22" s="264">
        <f t="shared" si="84"/>
        <v>0</v>
      </c>
      <c r="CF22" s="264">
        <f t="shared" si="85"/>
        <v>0</v>
      </c>
      <c r="CG22" s="264">
        <f t="shared" si="86"/>
        <v>0</v>
      </c>
      <c r="CH22" s="264">
        <f t="shared" si="51"/>
        <v>0</v>
      </c>
      <c r="CI22" s="264">
        <f t="shared" si="52"/>
        <v>0</v>
      </c>
      <c r="CJ22" s="264">
        <f t="shared" si="87"/>
        <v>0</v>
      </c>
      <c r="CK22" s="264">
        <f t="shared" si="88"/>
        <v>0</v>
      </c>
      <c r="CL22" s="264">
        <f t="shared" si="53"/>
        <v>0</v>
      </c>
      <c r="CM22" s="264">
        <f t="shared" si="54"/>
        <v>0</v>
      </c>
      <c r="CN22" s="264">
        <f t="shared" si="55"/>
        <v>0</v>
      </c>
      <c r="CO22" s="264">
        <f t="shared" si="56"/>
        <v>0</v>
      </c>
      <c r="CP22" s="264">
        <f t="shared" si="89"/>
        <v>0</v>
      </c>
      <c r="CQ22" s="264">
        <f t="shared" si="90"/>
        <v>0</v>
      </c>
      <c r="CR22" s="264">
        <f t="shared" si="91"/>
        <v>0</v>
      </c>
      <c r="CS22" s="264">
        <f t="shared" si="92"/>
        <v>0</v>
      </c>
      <c r="CT22" s="264">
        <f t="shared" si="57"/>
        <v>0</v>
      </c>
      <c r="CU22" s="264">
        <f t="shared" si="58"/>
        <v>0</v>
      </c>
      <c r="CV22" s="264">
        <f t="shared" si="59"/>
        <v>0</v>
      </c>
      <c r="CW22" s="264">
        <f t="shared" si="60"/>
        <v>0</v>
      </c>
      <c r="CX22" s="264">
        <f t="shared" si="93"/>
        <v>0</v>
      </c>
      <c r="CY22" s="264">
        <f t="shared" si="94"/>
        <v>0</v>
      </c>
      <c r="CZ22" s="264">
        <f t="shared" si="95"/>
        <v>0</v>
      </c>
      <c r="DA22" s="264">
        <f t="shared" si="96"/>
        <v>0</v>
      </c>
    </row>
    <row r="23" spans="1:105" s="261" customFormat="1" ht="15.75" customHeight="1">
      <c r="A23" s="63" t="str">
        <f t="array" ref="A23">IF(C23&lt;&gt;0,SUM(($C$11:C23&lt;&gt;0)*1),"")</f>
        <v/>
      </c>
      <c r="B23" s="262"/>
      <c r="C23" s="262"/>
      <c r="D23" s="262"/>
      <c r="E23" s="344"/>
      <c r="F23" s="311"/>
      <c r="G23" s="313"/>
      <c r="H23" s="313"/>
      <c r="I23" s="63" t="str">
        <f t="shared" si="0"/>
        <v/>
      </c>
      <c r="J23" s="264">
        <f t="shared" si="61"/>
        <v>0</v>
      </c>
      <c r="K23" s="264">
        <f t="shared" si="62"/>
        <v>0</v>
      </c>
      <c r="L23" s="264">
        <f t="shared" si="1"/>
        <v>0</v>
      </c>
      <c r="M23" s="264">
        <f t="shared" si="2"/>
        <v>0</v>
      </c>
      <c r="N23" s="264">
        <f t="shared" si="3"/>
        <v>0</v>
      </c>
      <c r="O23" s="264">
        <f t="shared" si="4"/>
        <v>0</v>
      </c>
      <c r="P23" s="264">
        <f t="shared" si="5"/>
        <v>0</v>
      </c>
      <c r="Q23" s="264">
        <f t="shared" si="6"/>
        <v>0</v>
      </c>
      <c r="R23" s="264">
        <f t="shared" si="7"/>
        <v>0</v>
      </c>
      <c r="S23" s="264">
        <f t="shared" si="8"/>
        <v>0</v>
      </c>
      <c r="T23" s="264">
        <f t="shared" si="9"/>
        <v>0</v>
      </c>
      <c r="U23" s="264">
        <f t="shared" si="10"/>
        <v>0</v>
      </c>
      <c r="V23" s="264">
        <f t="shared" si="11"/>
        <v>0</v>
      </c>
      <c r="W23" s="264">
        <f t="shared" si="12"/>
        <v>0</v>
      </c>
      <c r="X23" s="264">
        <f t="shared" si="13"/>
        <v>0</v>
      </c>
      <c r="Y23" s="264">
        <f t="shared" si="14"/>
        <v>0</v>
      </c>
      <c r="Z23" s="264">
        <f t="shared" si="15"/>
        <v>0</v>
      </c>
      <c r="AA23" s="264">
        <f t="shared" si="16"/>
        <v>0</v>
      </c>
      <c r="AB23" s="264">
        <f t="shared" si="63"/>
        <v>0</v>
      </c>
      <c r="AC23" s="264">
        <f t="shared" si="64"/>
        <v>0</v>
      </c>
      <c r="AD23" s="264">
        <f t="shared" si="17"/>
        <v>0</v>
      </c>
      <c r="AE23" s="264">
        <f t="shared" si="18"/>
        <v>0</v>
      </c>
      <c r="AF23" s="264">
        <f t="shared" si="19"/>
        <v>0</v>
      </c>
      <c r="AG23" s="264">
        <f t="shared" si="20"/>
        <v>0</v>
      </c>
      <c r="AH23" s="264">
        <f t="shared" si="65"/>
        <v>0</v>
      </c>
      <c r="AI23" s="264">
        <f t="shared" si="66"/>
        <v>0</v>
      </c>
      <c r="AJ23" s="264">
        <f t="shared" si="67"/>
        <v>0</v>
      </c>
      <c r="AK23" s="264">
        <f t="shared" si="68"/>
        <v>0</v>
      </c>
      <c r="AL23" s="264">
        <f t="shared" si="69"/>
        <v>0</v>
      </c>
      <c r="AM23" s="264">
        <f t="shared" si="70"/>
        <v>0</v>
      </c>
      <c r="AN23" s="264">
        <f t="shared" si="71"/>
        <v>0</v>
      </c>
      <c r="AO23" s="264">
        <f t="shared" si="72"/>
        <v>0</v>
      </c>
      <c r="AP23" s="264">
        <f t="shared" si="21"/>
        <v>0</v>
      </c>
      <c r="AQ23" s="264">
        <f t="shared" si="22"/>
        <v>0</v>
      </c>
      <c r="AR23" s="264">
        <f t="shared" si="23"/>
        <v>0</v>
      </c>
      <c r="AS23" s="264">
        <f t="shared" si="24"/>
        <v>0</v>
      </c>
      <c r="AT23" s="264">
        <f t="shared" si="73"/>
        <v>0</v>
      </c>
      <c r="AU23" s="264">
        <f t="shared" si="74"/>
        <v>0</v>
      </c>
      <c r="AV23" s="264">
        <f t="shared" si="25"/>
        <v>0</v>
      </c>
      <c r="AW23" s="264">
        <f t="shared" si="26"/>
        <v>0</v>
      </c>
      <c r="AX23" s="264">
        <f t="shared" si="27"/>
        <v>0</v>
      </c>
      <c r="AY23" s="264">
        <f t="shared" si="28"/>
        <v>0</v>
      </c>
      <c r="AZ23" s="264">
        <f t="shared" si="29"/>
        <v>0</v>
      </c>
      <c r="BA23" s="264">
        <f t="shared" si="30"/>
        <v>0</v>
      </c>
      <c r="BB23" s="264">
        <f t="shared" si="31"/>
        <v>0</v>
      </c>
      <c r="BC23" s="264">
        <f t="shared" si="32"/>
        <v>0</v>
      </c>
      <c r="BD23" s="264">
        <f t="shared" si="33"/>
        <v>0</v>
      </c>
      <c r="BE23" s="264">
        <f t="shared" si="34"/>
        <v>0</v>
      </c>
      <c r="BF23" s="264">
        <f t="shared" si="35"/>
        <v>0</v>
      </c>
      <c r="BG23" s="264">
        <f t="shared" si="36"/>
        <v>0</v>
      </c>
      <c r="BH23" s="264">
        <f t="shared" si="75"/>
        <v>0</v>
      </c>
      <c r="BI23" s="264">
        <f t="shared" si="76"/>
        <v>0</v>
      </c>
      <c r="BJ23" s="264">
        <f t="shared" si="37"/>
        <v>0</v>
      </c>
      <c r="BK23" s="264">
        <f t="shared" si="38"/>
        <v>0</v>
      </c>
      <c r="BL23" s="264">
        <f t="shared" si="39"/>
        <v>0</v>
      </c>
      <c r="BM23" s="264">
        <f t="shared" si="40"/>
        <v>0</v>
      </c>
      <c r="BN23" s="264">
        <f t="shared" si="41"/>
        <v>0</v>
      </c>
      <c r="BO23" s="264">
        <f t="shared" si="42"/>
        <v>0</v>
      </c>
      <c r="BP23" s="264">
        <f t="shared" si="77"/>
        <v>0</v>
      </c>
      <c r="BQ23" s="264">
        <f t="shared" si="78"/>
        <v>0</v>
      </c>
      <c r="BR23" s="264">
        <f t="shared" si="43"/>
        <v>0</v>
      </c>
      <c r="BS23" s="264">
        <f t="shared" si="44"/>
        <v>0</v>
      </c>
      <c r="BT23" s="264">
        <f t="shared" si="79"/>
        <v>0</v>
      </c>
      <c r="BU23" s="264">
        <f t="shared" si="80"/>
        <v>0</v>
      </c>
      <c r="BV23" s="264">
        <f t="shared" si="81"/>
        <v>0</v>
      </c>
      <c r="BW23" s="264">
        <f t="shared" si="82"/>
        <v>0</v>
      </c>
      <c r="BX23" s="264">
        <f t="shared" si="45"/>
        <v>0</v>
      </c>
      <c r="BY23" s="264">
        <f t="shared" si="46"/>
        <v>0</v>
      </c>
      <c r="BZ23" s="264">
        <f t="shared" si="47"/>
        <v>0</v>
      </c>
      <c r="CA23" s="264">
        <f t="shared" si="48"/>
        <v>0</v>
      </c>
      <c r="CB23" s="264">
        <f t="shared" si="49"/>
        <v>0</v>
      </c>
      <c r="CC23" s="264">
        <f t="shared" si="50"/>
        <v>0</v>
      </c>
      <c r="CD23" s="264">
        <f t="shared" si="83"/>
        <v>0</v>
      </c>
      <c r="CE23" s="264">
        <f t="shared" si="84"/>
        <v>0</v>
      </c>
      <c r="CF23" s="264">
        <f t="shared" si="85"/>
        <v>0</v>
      </c>
      <c r="CG23" s="264">
        <f t="shared" si="86"/>
        <v>0</v>
      </c>
      <c r="CH23" s="264">
        <f t="shared" si="51"/>
        <v>0</v>
      </c>
      <c r="CI23" s="264">
        <f t="shared" si="52"/>
        <v>0</v>
      </c>
      <c r="CJ23" s="264">
        <f t="shared" si="87"/>
        <v>0</v>
      </c>
      <c r="CK23" s="264">
        <f t="shared" si="88"/>
        <v>0</v>
      </c>
      <c r="CL23" s="264">
        <f t="shared" si="53"/>
        <v>0</v>
      </c>
      <c r="CM23" s="264">
        <f t="shared" si="54"/>
        <v>0</v>
      </c>
      <c r="CN23" s="264">
        <f t="shared" si="55"/>
        <v>0</v>
      </c>
      <c r="CO23" s="264">
        <f t="shared" si="56"/>
        <v>0</v>
      </c>
      <c r="CP23" s="264">
        <f t="shared" si="89"/>
        <v>0</v>
      </c>
      <c r="CQ23" s="264">
        <f t="shared" si="90"/>
        <v>0</v>
      </c>
      <c r="CR23" s="264">
        <f t="shared" si="91"/>
        <v>0</v>
      </c>
      <c r="CS23" s="264">
        <f t="shared" si="92"/>
        <v>0</v>
      </c>
      <c r="CT23" s="264">
        <f t="shared" si="57"/>
        <v>0</v>
      </c>
      <c r="CU23" s="264">
        <f t="shared" si="58"/>
        <v>0</v>
      </c>
      <c r="CV23" s="264">
        <f t="shared" si="59"/>
        <v>0</v>
      </c>
      <c r="CW23" s="264">
        <f t="shared" si="60"/>
        <v>0</v>
      </c>
      <c r="CX23" s="264">
        <f t="shared" si="93"/>
        <v>0</v>
      </c>
      <c r="CY23" s="264">
        <f t="shared" si="94"/>
        <v>0</v>
      </c>
      <c r="CZ23" s="264">
        <f t="shared" si="95"/>
        <v>0</v>
      </c>
      <c r="DA23" s="264">
        <f t="shared" si="96"/>
        <v>0</v>
      </c>
    </row>
    <row r="24" spans="1:105" s="261" customFormat="1" ht="15.75" customHeight="1">
      <c r="A24" s="63" t="str">
        <f t="array" ref="A24">IF(C24&lt;&gt;0,SUM(($C$11:C24&lt;&gt;0)*1),"")</f>
        <v/>
      </c>
      <c r="B24" s="262"/>
      <c r="C24" s="262"/>
      <c r="D24" s="262"/>
      <c r="E24" s="344"/>
      <c r="F24" s="311"/>
      <c r="G24" s="313"/>
      <c r="H24" s="313"/>
      <c r="I24" s="63" t="str">
        <f t="shared" si="0"/>
        <v/>
      </c>
      <c r="J24" s="264">
        <f t="shared" si="61"/>
        <v>0</v>
      </c>
      <c r="K24" s="264">
        <f t="shared" si="62"/>
        <v>0</v>
      </c>
      <c r="L24" s="264">
        <f t="shared" si="1"/>
        <v>0</v>
      </c>
      <c r="M24" s="264">
        <f t="shared" si="2"/>
        <v>0</v>
      </c>
      <c r="N24" s="264">
        <f t="shared" si="3"/>
        <v>0</v>
      </c>
      <c r="O24" s="264">
        <f t="shared" si="4"/>
        <v>0</v>
      </c>
      <c r="P24" s="264">
        <f t="shared" si="5"/>
        <v>0</v>
      </c>
      <c r="Q24" s="264">
        <f t="shared" si="6"/>
        <v>0</v>
      </c>
      <c r="R24" s="264">
        <f t="shared" si="7"/>
        <v>0</v>
      </c>
      <c r="S24" s="264">
        <f t="shared" si="8"/>
        <v>0</v>
      </c>
      <c r="T24" s="264">
        <f t="shared" si="9"/>
        <v>0</v>
      </c>
      <c r="U24" s="264">
        <f t="shared" si="10"/>
        <v>0</v>
      </c>
      <c r="V24" s="264">
        <f t="shared" si="11"/>
        <v>0</v>
      </c>
      <c r="W24" s="264">
        <f t="shared" si="12"/>
        <v>0</v>
      </c>
      <c r="X24" s="264">
        <f t="shared" si="13"/>
        <v>0</v>
      </c>
      <c r="Y24" s="264">
        <f t="shared" si="14"/>
        <v>0</v>
      </c>
      <c r="Z24" s="264">
        <f t="shared" si="15"/>
        <v>0</v>
      </c>
      <c r="AA24" s="264">
        <f t="shared" si="16"/>
        <v>0</v>
      </c>
      <c r="AB24" s="264">
        <f t="shared" si="63"/>
        <v>0</v>
      </c>
      <c r="AC24" s="264">
        <f t="shared" si="64"/>
        <v>0</v>
      </c>
      <c r="AD24" s="264">
        <f t="shared" si="17"/>
        <v>0</v>
      </c>
      <c r="AE24" s="264">
        <f t="shared" si="18"/>
        <v>0</v>
      </c>
      <c r="AF24" s="264">
        <f t="shared" si="19"/>
        <v>0</v>
      </c>
      <c r="AG24" s="264">
        <f t="shared" si="20"/>
        <v>0</v>
      </c>
      <c r="AH24" s="264">
        <f t="shared" si="65"/>
        <v>0</v>
      </c>
      <c r="AI24" s="264">
        <f t="shared" si="66"/>
        <v>0</v>
      </c>
      <c r="AJ24" s="264">
        <f t="shared" si="67"/>
        <v>0</v>
      </c>
      <c r="AK24" s="264">
        <f t="shared" si="68"/>
        <v>0</v>
      </c>
      <c r="AL24" s="264">
        <f t="shared" si="69"/>
        <v>0</v>
      </c>
      <c r="AM24" s="264">
        <f t="shared" si="70"/>
        <v>0</v>
      </c>
      <c r="AN24" s="264">
        <f t="shared" si="71"/>
        <v>0</v>
      </c>
      <c r="AO24" s="264">
        <f t="shared" si="72"/>
        <v>0</v>
      </c>
      <c r="AP24" s="264">
        <f t="shared" si="21"/>
        <v>0</v>
      </c>
      <c r="AQ24" s="264">
        <f t="shared" si="22"/>
        <v>0</v>
      </c>
      <c r="AR24" s="264">
        <f t="shared" si="23"/>
        <v>0</v>
      </c>
      <c r="AS24" s="264">
        <f t="shared" si="24"/>
        <v>0</v>
      </c>
      <c r="AT24" s="264">
        <f t="shared" si="73"/>
        <v>0</v>
      </c>
      <c r="AU24" s="264">
        <f t="shared" si="74"/>
        <v>0</v>
      </c>
      <c r="AV24" s="264">
        <f t="shared" si="25"/>
        <v>0</v>
      </c>
      <c r="AW24" s="264">
        <f t="shared" si="26"/>
        <v>0</v>
      </c>
      <c r="AX24" s="264">
        <f t="shared" si="27"/>
        <v>0</v>
      </c>
      <c r="AY24" s="264">
        <f t="shared" si="28"/>
        <v>0</v>
      </c>
      <c r="AZ24" s="264">
        <f t="shared" si="29"/>
        <v>0</v>
      </c>
      <c r="BA24" s="264">
        <f t="shared" si="30"/>
        <v>0</v>
      </c>
      <c r="BB24" s="264">
        <f t="shared" si="31"/>
        <v>0</v>
      </c>
      <c r="BC24" s="264">
        <f t="shared" si="32"/>
        <v>0</v>
      </c>
      <c r="BD24" s="264">
        <f t="shared" si="33"/>
        <v>0</v>
      </c>
      <c r="BE24" s="264">
        <f t="shared" si="34"/>
        <v>0</v>
      </c>
      <c r="BF24" s="264">
        <f t="shared" si="35"/>
        <v>0</v>
      </c>
      <c r="BG24" s="264">
        <f t="shared" si="36"/>
        <v>0</v>
      </c>
      <c r="BH24" s="264">
        <f t="shared" si="75"/>
        <v>0</v>
      </c>
      <c r="BI24" s="264">
        <f t="shared" si="76"/>
        <v>0</v>
      </c>
      <c r="BJ24" s="264">
        <f t="shared" si="37"/>
        <v>0</v>
      </c>
      <c r="BK24" s="264">
        <f t="shared" si="38"/>
        <v>0</v>
      </c>
      <c r="BL24" s="264">
        <f t="shared" si="39"/>
        <v>0</v>
      </c>
      <c r="BM24" s="264">
        <f t="shared" si="40"/>
        <v>0</v>
      </c>
      <c r="BN24" s="264">
        <f t="shared" si="41"/>
        <v>0</v>
      </c>
      <c r="BO24" s="264">
        <f t="shared" si="42"/>
        <v>0</v>
      </c>
      <c r="BP24" s="264">
        <f t="shared" si="77"/>
        <v>0</v>
      </c>
      <c r="BQ24" s="264">
        <f t="shared" si="78"/>
        <v>0</v>
      </c>
      <c r="BR24" s="264">
        <f t="shared" si="43"/>
        <v>0</v>
      </c>
      <c r="BS24" s="264">
        <f t="shared" si="44"/>
        <v>0</v>
      </c>
      <c r="BT24" s="264">
        <f t="shared" si="79"/>
        <v>0</v>
      </c>
      <c r="BU24" s="264">
        <f t="shared" si="80"/>
        <v>0</v>
      </c>
      <c r="BV24" s="264">
        <f t="shared" si="81"/>
        <v>0</v>
      </c>
      <c r="BW24" s="264">
        <f t="shared" si="82"/>
        <v>0</v>
      </c>
      <c r="BX24" s="264">
        <f t="shared" si="45"/>
        <v>0</v>
      </c>
      <c r="BY24" s="264">
        <f t="shared" si="46"/>
        <v>0</v>
      </c>
      <c r="BZ24" s="264">
        <f t="shared" si="47"/>
        <v>0</v>
      </c>
      <c r="CA24" s="264">
        <f t="shared" si="48"/>
        <v>0</v>
      </c>
      <c r="CB24" s="264">
        <f t="shared" si="49"/>
        <v>0</v>
      </c>
      <c r="CC24" s="264">
        <f t="shared" si="50"/>
        <v>0</v>
      </c>
      <c r="CD24" s="264">
        <f t="shared" si="83"/>
        <v>0</v>
      </c>
      <c r="CE24" s="264">
        <f t="shared" si="84"/>
        <v>0</v>
      </c>
      <c r="CF24" s="264">
        <f t="shared" si="85"/>
        <v>0</v>
      </c>
      <c r="CG24" s="264">
        <f t="shared" si="86"/>
        <v>0</v>
      </c>
      <c r="CH24" s="264">
        <f t="shared" si="51"/>
        <v>0</v>
      </c>
      <c r="CI24" s="264">
        <f t="shared" si="52"/>
        <v>0</v>
      </c>
      <c r="CJ24" s="264">
        <f t="shared" si="87"/>
        <v>0</v>
      </c>
      <c r="CK24" s="264">
        <f t="shared" si="88"/>
        <v>0</v>
      </c>
      <c r="CL24" s="264">
        <f t="shared" si="53"/>
        <v>0</v>
      </c>
      <c r="CM24" s="264">
        <f t="shared" si="54"/>
        <v>0</v>
      </c>
      <c r="CN24" s="264">
        <f t="shared" si="55"/>
        <v>0</v>
      </c>
      <c r="CO24" s="264">
        <f t="shared" si="56"/>
        <v>0</v>
      </c>
      <c r="CP24" s="264">
        <f t="shared" si="89"/>
        <v>0</v>
      </c>
      <c r="CQ24" s="264">
        <f t="shared" si="90"/>
        <v>0</v>
      </c>
      <c r="CR24" s="264">
        <f t="shared" si="91"/>
        <v>0</v>
      </c>
      <c r="CS24" s="264">
        <f t="shared" si="92"/>
        <v>0</v>
      </c>
      <c r="CT24" s="264">
        <f t="shared" si="57"/>
        <v>0</v>
      </c>
      <c r="CU24" s="264">
        <f t="shared" si="58"/>
        <v>0</v>
      </c>
      <c r="CV24" s="264">
        <f t="shared" si="59"/>
        <v>0</v>
      </c>
      <c r="CW24" s="264">
        <f t="shared" si="60"/>
        <v>0</v>
      </c>
      <c r="CX24" s="264">
        <f t="shared" si="93"/>
        <v>0</v>
      </c>
      <c r="CY24" s="264">
        <f t="shared" si="94"/>
        <v>0</v>
      </c>
      <c r="CZ24" s="264">
        <f t="shared" si="95"/>
        <v>0</v>
      </c>
      <c r="DA24" s="264">
        <f t="shared" si="96"/>
        <v>0</v>
      </c>
    </row>
    <row r="25" spans="1:105" s="261" customFormat="1" ht="15.75" customHeight="1">
      <c r="A25" s="63" t="str">
        <f t="array" ref="A25">IF(C25&lt;&gt;0,SUM(($C$11:C25&lt;&gt;0)*1),"")</f>
        <v/>
      </c>
      <c r="B25" s="262"/>
      <c r="C25" s="262"/>
      <c r="D25" s="262"/>
      <c r="E25" s="344"/>
      <c r="F25" s="311"/>
      <c r="G25" s="313"/>
      <c r="H25" s="313"/>
      <c r="I25" s="63" t="str">
        <f t="shared" si="0"/>
        <v/>
      </c>
      <c r="J25" s="264">
        <f t="shared" si="61"/>
        <v>0</v>
      </c>
      <c r="K25" s="264">
        <f t="shared" si="62"/>
        <v>0</v>
      </c>
      <c r="L25" s="264">
        <f t="shared" si="1"/>
        <v>0</v>
      </c>
      <c r="M25" s="264">
        <f t="shared" si="2"/>
        <v>0</v>
      </c>
      <c r="N25" s="264">
        <f t="shared" si="3"/>
        <v>0</v>
      </c>
      <c r="O25" s="264">
        <f t="shared" si="4"/>
        <v>0</v>
      </c>
      <c r="P25" s="264">
        <f t="shared" si="5"/>
        <v>0</v>
      </c>
      <c r="Q25" s="264">
        <f t="shared" si="6"/>
        <v>0</v>
      </c>
      <c r="R25" s="264">
        <f t="shared" si="7"/>
        <v>0</v>
      </c>
      <c r="S25" s="264">
        <f t="shared" si="8"/>
        <v>0</v>
      </c>
      <c r="T25" s="264">
        <f t="shared" si="9"/>
        <v>0</v>
      </c>
      <c r="U25" s="264">
        <f t="shared" si="10"/>
        <v>0</v>
      </c>
      <c r="V25" s="264">
        <f t="shared" si="11"/>
        <v>0</v>
      </c>
      <c r="W25" s="264">
        <f t="shared" si="12"/>
        <v>0</v>
      </c>
      <c r="X25" s="264">
        <f t="shared" si="13"/>
        <v>0</v>
      </c>
      <c r="Y25" s="264">
        <f t="shared" si="14"/>
        <v>0</v>
      </c>
      <c r="Z25" s="264">
        <f t="shared" si="15"/>
        <v>0</v>
      </c>
      <c r="AA25" s="264">
        <f t="shared" si="16"/>
        <v>0</v>
      </c>
      <c r="AB25" s="264">
        <f t="shared" si="63"/>
        <v>0</v>
      </c>
      <c r="AC25" s="264">
        <f t="shared" si="64"/>
        <v>0</v>
      </c>
      <c r="AD25" s="264">
        <f t="shared" si="17"/>
        <v>0</v>
      </c>
      <c r="AE25" s="264">
        <f t="shared" si="18"/>
        <v>0</v>
      </c>
      <c r="AF25" s="264">
        <f t="shared" si="19"/>
        <v>0</v>
      </c>
      <c r="AG25" s="264">
        <f t="shared" si="20"/>
        <v>0</v>
      </c>
      <c r="AH25" s="264">
        <f t="shared" si="65"/>
        <v>0</v>
      </c>
      <c r="AI25" s="264">
        <f t="shared" si="66"/>
        <v>0</v>
      </c>
      <c r="AJ25" s="264">
        <f t="shared" si="67"/>
        <v>0</v>
      </c>
      <c r="AK25" s="264">
        <f t="shared" si="68"/>
        <v>0</v>
      </c>
      <c r="AL25" s="264">
        <f t="shared" si="69"/>
        <v>0</v>
      </c>
      <c r="AM25" s="264">
        <f t="shared" si="70"/>
        <v>0</v>
      </c>
      <c r="AN25" s="264">
        <f t="shared" si="71"/>
        <v>0</v>
      </c>
      <c r="AO25" s="264">
        <f t="shared" si="72"/>
        <v>0</v>
      </c>
      <c r="AP25" s="264">
        <f t="shared" si="21"/>
        <v>0</v>
      </c>
      <c r="AQ25" s="264">
        <f t="shared" si="22"/>
        <v>0</v>
      </c>
      <c r="AR25" s="264">
        <f t="shared" si="23"/>
        <v>0</v>
      </c>
      <c r="AS25" s="264">
        <f t="shared" si="24"/>
        <v>0</v>
      </c>
      <c r="AT25" s="264">
        <f t="shared" si="73"/>
        <v>0</v>
      </c>
      <c r="AU25" s="264">
        <f t="shared" si="74"/>
        <v>0</v>
      </c>
      <c r="AV25" s="264">
        <f t="shared" si="25"/>
        <v>0</v>
      </c>
      <c r="AW25" s="264">
        <f t="shared" si="26"/>
        <v>0</v>
      </c>
      <c r="AX25" s="264">
        <f t="shared" si="27"/>
        <v>0</v>
      </c>
      <c r="AY25" s="264">
        <f t="shared" si="28"/>
        <v>0</v>
      </c>
      <c r="AZ25" s="264">
        <f t="shared" si="29"/>
        <v>0</v>
      </c>
      <c r="BA25" s="264">
        <f t="shared" si="30"/>
        <v>0</v>
      </c>
      <c r="BB25" s="264">
        <f t="shared" si="31"/>
        <v>0</v>
      </c>
      <c r="BC25" s="264">
        <f t="shared" si="32"/>
        <v>0</v>
      </c>
      <c r="BD25" s="264">
        <f t="shared" si="33"/>
        <v>0</v>
      </c>
      <c r="BE25" s="264">
        <f t="shared" si="34"/>
        <v>0</v>
      </c>
      <c r="BF25" s="264">
        <f t="shared" si="35"/>
        <v>0</v>
      </c>
      <c r="BG25" s="264">
        <f t="shared" si="36"/>
        <v>0</v>
      </c>
      <c r="BH25" s="264">
        <f t="shared" si="75"/>
        <v>0</v>
      </c>
      <c r="BI25" s="264">
        <f t="shared" si="76"/>
        <v>0</v>
      </c>
      <c r="BJ25" s="264">
        <f t="shared" si="37"/>
        <v>0</v>
      </c>
      <c r="BK25" s="264">
        <f t="shared" si="38"/>
        <v>0</v>
      </c>
      <c r="BL25" s="264">
        <f t="shared" si="39"/>
        <v>0</v>
      </c>
      <c r="BM25" s="264">
        <f t="shared" si="40"/>
        <v>0</v>
      </c>
      <c r="BN25" s="264">
        <f t="shared" si="41"/>
        <v>0</v>
      </c>
      <c r="BO25" s="264">
        <f t="shared" si="42"/>
        <v>0</v>
      </c>
      <c r="BP25" s="264">
        <f t="shared" si="77"/>
        <v>0</v>
      </c>
      <c r="BQ25" s="264">
        <f t="shared" si="78"/>
        <v>0</v>
      </c>
      <c r="BR25" s="264">
        <f t="shared" si="43"/>
        <v>0</v>
      </c>
      <c r="BS25" s="264">
        <f t="shared" si="44"/>
        <v>0</v>
      </c>
      <c r="BT25" s="264">
        <f t="shared" si="79"/>
        <v>0</v>
      </c>
      <c r="BU25" s="264">
        <f t="shared" si="80"/>
        <v>0</v>
      </c>
      <c r="BV25" s="264">
        <f t="shared" si="81"/>
        <v>0</v>
      </c>
      <c r="BW25" s="264">
        <f t="shared" si="82"/>
        <v>0</v>
      </c>
      <c r="BX25" s="264">
        <f t="shared" si="45"/>
        <v>0</v>
      </c>
      <c r="BY25" s="264">
        <f t="shared" si="46"/>
        <v>0</v>
      </c>
      <c r="BZ25" s="264">
        <f t="shared" si="47"/>
        <v>0</v>
      </c>
      <c r="CA25" s="264">
        <f t="shared" si="48"/>
        <v>0</v>
      </c>
      <c r="CB25" s="264">
        <f t="shared" si="49"/>
        <v>0</v>
      </c>
      <c r="CC25" s="264">
        <f t="shared" si="50"/>
        <v>0</v>
      </c>
      <c r="CD25" s="264">
        <f t="shared" si="83"/>
        <v>0</v>
      </c>
      <c r="CE25" s="264">
        <f t="shared" si="84"/>
        <v>0</v>
      </c>
      <c r="CF25" s="264">
        <f t="shared" si="85"/>
        <v>0</v>
      </c>
      <c r="CG25" s="264">
        <f t="shared" si="86"/>
        <v>0</v>
      </c>
      <c r="CH25" s="264">
        <f t="shared" si="51"/>
        <v>0</v>
      </c>
      <c r="CI25" s="264">
        <f t="shared" si="52"/>
        <v>0</v>
      </c>
      <c r="CJ25" s="264">
        <f t="shared" si="87"/>
        <v>0</v>
      </c>
      <c r="CK25" s="264">
        <f t="shared" si="88"/>
        <v>0</v>
      </c>
      <c r="CL25" s="264">
        <f t="shared" si="53"/>
        <v>0</v>
      </c>
      <c r="CM25" s="264">
        <f t="shared" si="54"/>
        <v>0</v>
      </c>
      <c r="CN25" s="264">
        <f t="shared" si="55"/>
        <v>0</v>
      </c>
      <c r="CO25" s="264">
        <f t="shared" si="56"/>
        <v>0</v>
      </c>
      <c r="CP25" s="264">
        <f t="shared" si="89"/>
        <v>0</v>
      </c>
      <c r="CQ25" s="264">
        <f t="shared" si="90"/>
        <v>0</v>
      </c>
      <c r="CR25" s="264">
        <f t="shared" si="91"/>
        <v>0</v>
      </c>
      <c r="CS25" s="264">
        <f t="shared" si="92"/>
        <v>0</v>
      </c>
      <c r="CT25" s="264">
        <f t="shared" si="57"/>
        <v>0</v>
      </c>
      <c r="CU25" s="264">
        <f t="shared" si="58"/>
        <v>0</v>
      </c>
      <c r="CV25" s="264">
        <f t="shared" si="59"/>
        <v>0</v>
      </c>
      <c r="CW25" s="264">
        <f t="shared" si="60"/>
        <v>0</v>
      </c>
      <c r="CX25" s="264">
        <f t="shared" si="93"/>
        <v>0</v>
      </c>
      <c r="CY25" s="264">
        <f t="shared" si="94"/>
        <v>0</v>
      </c>
      <c r="CZ25" s="264">
        <f t="shared" si="95"/>
        <v>0</v>
      </c>
      <c r="DA25" s="264">
        <f t="shared" si="96"/>
        <v>0</v>
      </c>
    </row>
    <row r="26" spans="1:105" s="261" customFormat="1" ht="15.75" customHeight="1">
      <c r="A26" s="63" t="str">
        <f t="array" ref="A26">IF(C26&lt;&gt;0,SUM(($C$11:C26&lt;&gt;0)*1),"")</f>
        <v/>
      </c>
      <c r="B26" s="262"/>
      <c r="C26" s="262"/>
      <c r="D26" s="262"/>
      <c r="E26" s="344"/>
      <c r="F26" s="311"/>
      <c r="G26" s="313"/>
      <c r="H26" s="313"/>
      <c r="I26" s="63" t="str">
        <f t="shared" si="0"/>
        <v/>
      </c>
      <c r="J26" s="264">
        <f t="shared" si="61"/>
        <v>0</v>
      </c>
      <c r="K26" s="264">
        <f t="shared" si="62"/>
        <v>0</v>
      </c>
      <c r="L26" s="264">
        <f t="shared" si="1"/>
        <v>0</v>
      </c>
      <c r="M26" s="264">
        <f t="shared" si="2"/>
        <v>0</v>
      </c>
      <c r="N26" s="264">
        <f t="shared" si="3"/>
        <v>0</v>
      </c>
      <c r="O26" s="264">
        <f t="shared" si="4"/>
        <v>0</v>
      </c>
      <c r="P26" s="264">
        <f t="shared" si="5"/>
        <v>0</v>
      </c>
      <c r="Q26" s="264">
        <f t="shared" si="6"/>
        <v>0</v>
      </c>
      <c r="R26" s="264">
        <f t="shared" si="7"/>
        <v>0</v>
      </c>
      <c r="S26" s="264">
        <f t="shared" si="8"/>
        <v>0</v>
      </c>
      <c r="T26" s="264">
        <f t="shared" si="9"/>
        <v>0</v>
      </c>
      <c r="U26" s="264">
        <f t="shared" si="10"/>
        <v>0</v>
      </c>
      <c r="V26" s="264">
        <f t="shared" si="11"/>
        <v>0</v>
      </c>
      <c r="W26" s="264">
        <f t="shared" si="12"/>
        <v>0</v>
      </c>
      <c r="X26" s="264">
        <f t="shared" si="13"/>
        <v>0</v>
      </c>
      <c r="Y26" s="264">
        <f t="shared" si="14"/>
        <v>0</v>
      </c>
      <c r="Z26" s="264">
        <f t="shared" si="15"/>
        <v>0</v>
      </c>
      <c r="AA26" s="264">
        <f t="shared" si="16"/>
        <v>0</v>
      </c>
      <c r="AB26" s="264">
        <f t="shared" si="63"/>
        <v>0</v>
      </c>
      <c r="AC26" s="264">
        <f t="shared" si="64"/>
        <v>0</v>
      </c>
      <c r="AD26" s="264">
        <f t="shared" si="17"/>
        <v>0</v>
      </c>
      <c r="AE26" s="264">
        <f t="shared" si="18"/>
        <v>0</v>
      </c>
      <c r="AF26" s="264">
        <f t="shared" si="19"/>
        <v>0</v>
      </c>
      <c r="AG26" s="264">
        <f t="shared" si="20"/>
        <v>0</v>
      </c>
      <c r="AH26" s="264">
        <f t="shared" si="65"/>
        <v>0</v>
      </c>
      <c r="AI26" s="264">
        <f t="shared" si="66"/>
        <v>0</v>
      </c>
      <c r="AJ26" s="264">
        <f t="shared" si="67"/>
        <v>0</v>
      </c>
      <c r="AK26" s="264">
        <f t="shared" si="68"/>
        <v>0</v>
      </c>
      <c r="AL26" s="264">
        <f t="shared" si="69"/>
        <v>0</v>
      </c>
      <c r="AM26" s="264">
        <f t="shared" si="70"/>
        <v>0</v>
      </c>
      <c r="AN26" s="264">
        <f t="shared" si="71"/>
        <v>0</v>
      </c>
      <c r="AO26" s="264">
        <f t="shared" si="72"/>
        <v>0</v>
      </c>
      <c r="AP26" s="264">
        <f t="shared" si="21"/>
        <v>0</v>
      </c>
      <c r="AQ26" s="264">
        <f t="shared" si="22"/>
        <v>0</v>
      </c>
      <c r="AR26" s="264">
        <f t="shared" si="23"/>
        <v>0</v>
      </c>
      <c r="AS26" s="264">
        <f t="shared" si="24"/>
        <v>0</v>
      </c>
      <c r="AT26" s="264">
        <f t="shared" si="73"/>
        <v>0</v>
      </c>
      <c r="AU26" s="264">
        <f t="shared" si="74"/>
        <v>0</v>
      </c>
      <c r="AV26" s="264">
        <f t="shared" si="25"/>
        <v>0</v>
      </c>
      <c r="AW26" s="264">
        <f t="shared" si="26"/>
        <v>0</v>
      </c>
      <c r="AX26" s="264">
        <f t="shared" si="27"/>
        <v>0</v>
      </c>
      <c r="AY26" s="264">
        <f t="shared" si="28"/>
        <v>0</v>
      </c>
      <c r="AZ26" s="264">
        <f t="shared" si="29"/>
        <v>0</v>
      </c>
      <c r="BA26" s="264">
        <f t="shared" si="30"/>
        <v>0</v>
      </c>
      <c r="BB26" s="264">
        <f t="shared" si="31"/>
        <v>0</v>
      </c>
      <c r="BC26" s="264">
        <f t="shared" si="32"/>
        <v>0</v>
      </c>
      <c r="BD26" s="264">
        <f t="shared" si="33"/>
        <v>0</v>
      </c>
      <c r="BE26" s="264">
        <f t="shared" si="34"/>
        <v>0</v>
      </c>
      <c r="BF26" s="264">
        <f t="shared" si="35"/>
        <v>0</v>
      </c>
      <c r="BG26" s="264">
        <f t="shared" si="36"/>
        <v>0</v>
      </c>
      <c r="BH26" s="264">
        <f t="shared" si="75"/>
        <v>0</v>
      </c>
      <c r="BI26" s="264">
        <f t="shared" si="76"/>
        <v>0</v>
      </c>
      <c r="BJ26" s="264">
        <f t="shared" si="37"/>
        <v>0</v>
      </c>
      <c r="BK26" s="264">
        <f t="shared" si="38"/>
        <v>0</v>
      </c>
      <c r="BL26" s="264">
        <f t="shared" si="39"/>
        <v>0</v>
      </c>
      <c r="BM26" s="264">
        <f t="shared" si="40"/>
        <v>0</v>
      </c>
      <c r="BN26" s="264">
        <f t="shared" si="41"/>
        <v>0</v>
      </c>
      <c r="BO26" s="264">
        <f t="shared" si="42"/>
        <v>0</v>
      </c>
      <c r="BP26" s="264">
        <f t="shared" si="77"/>
        <v>0</v>
      </c>
      <c r="BQ26" s="264">
        <f t="shared" si="78"/>
        <v>0</v>
      </c>
      <c r="BR26" s="264">
        <f t="shared" si="43"/>
        <v>0</v>
      </c>
      <c r="BS26" s="264">
        <f t="shared" si="44"/>
        <v>0</v>
      </c>
      <c r="BT26" s="264">
        <f t="shared" si="79"/>
        <v>0</v>
      </c>
      <c r="BU26" s="264">
        <f t="shared" si="80"/>
        <v>0</v>
      </c>
      <c r="BV26" s="264">
        <f t="shared" si="81"/>
        <v>0</v>
      </c>
      <c r="BW26" s="264">
        <f t="shared" si="82"/>
        <v>0</v>
      </c>
      <c r="BX26" s="264">
        <f t="shared" si="45"/>
        <v>0</v>
      </c>
      <c r="BY26" s="264">
        <f t="shared" si="46"/>
        <v>0</v>
      </c>
      <c r="BZ26" s="264">
        <f t="shared" si="47"/>
        <v>0</v>
      </c>
      <c r="CA26" s="264">
        <f t="shared" si="48"/>
        <v>0</v>
      </c>
      <c r="CB26" s="264">
        <f t="shared" si="49"/>
        <v>0</v>
      </c>
      <c r="CC26" s="264">
        <f t="shared" si="50"/>
        <v>0</v>
      </c>
      <c r="CD26" s="264">
        <f t="shared" si="83"/>
        <v>0</v>
      </c>
      <c r="CE26" s="264">
        <f t="shared" si="84"/>
        <v>0</v>
      </c>
      <c r="CF26" s="264">
        <f t="shared" si="85"/>
        <v>0</v>
      </c>
      <c r="CG26" s="264">
        <f t="shared" si="86"/>
        <v>0</v>
      </c>
      <c r="CH26" s="264">
        <f t="shared" si="51"/>
        <v>0</v>
      </c>
      <c r="CI26" s="264">
        <f t="shared" si="52"/>
        <v>0</v>
      </c>
      <c r="CJ26" s="264">
        <f t="shared" si="87"/>
        <v>0</v>
      </c>
      <c r="CK26" s="264">
        <f t="shared" si="88"/>
        <v>0</v>
      </c>
      <c r="CL26" s="264">
        <f t="shared" si="53"/>
        <v>0</v>
      </c>
      <c r="CM26" s="264">
        <f t="shared" si="54"/>
        <v>0</v>
      </c>
      <c r="CN26" s="264">
        <f t="shared" si="55"/>
        <v>0</v>
      </c>
      <c r="CO26" s="264">
        <f t="shared" si="56"/>
        <v>0</v>
      </c>
      <c r="CP26" s="264">
        <f t="shared" si="89"/>
        <v>0</v>
      </c>
      <c r="CQ26" s="264">
        <f t="shared" si="90"/>
        <v>0</v>
      </c>
      <c r="CR26" s="264">
        <f t="shared" si="91"/>
        <v>0</v>
      </c>
      <c r="CS26" s="264">
        <f t="shared" si="92"/>
        <v>0</v>
      </c>
      <c r="CT26" s="264">
        <f t="shared" si="57"/>
        <v>0</v>
      </c>
      <c r="CU26" s="264">
        <f t="shared" si="58"/>
        <v>0</v>
      </c>
      <c r="CV26" s="264">
        <f t="shared" si="59"/>
        <v>0</v>
      </c>
      <c r="CW26" s="264">
        <f t="shared" si="60"/>
        <v>0</v>
      </c>
      <c r="CX26" s="264">
        <f t="shared" si="93"/>
        <v>0</v>
      </c>
      <c r="CY26" s="264">
        <f t="shared" si="94"/>
        <v>0</v>
      </c>
      <c r="CZ26" s="264">
        <f t="shared" si="95"/>
        <v>0</v>
      </c>
      <c r="DA26" s="264">
        <f t="shared" si="96"/>
        <v>0</v>
      </c>
    </row>
    <row r="27" spans="1:105" s="261" customFormat="1" ht="15.75" customHeight="1">
      <c r="A27" s="63" t="str">
        <f t="array" ref="A27">IF(C27&lt;&gt;0,SUM(($C$11:C27&lt;&gt;0)*1),"")</f>
        <v/>
      </c>
      <c r="B27" s="262"/>
      <c r="C27" s="262"/>
      <c r="D27" s="262"/>
      <c r="E27" s="344"/>
      <c r="F27" s="311"/>
      <c r="G27" s="313"/>
      <c r="H27" s="313"/>
      <c r="I27" s="63" t="str">
        <f>A27</f>
        <v/>
      </c>
      <c r="J27" s="264">
        <f t="shared" si="61"/>
        <v>0</v>
      </c>
      <c r="K27" s="264">
        <f t="shared" si="62"/>
        <v>0</v>
      </c>
      <c r="L27" s="264">
        <f t="shared" si="1"/>
        <v>0</v>
      </c>
      <c r="M27" s="264">
        <f t="shared" si="2"/>
        <v>0</v>
      </c>
      <c r="N27" s="264">
        <f t="shared" si="3"/>
        <v>0</v>
      </c>
      <c r="O27" s="264">
        <f t="shared" si="4"/>
        <v>0</v>
      </c>
      <c r="P27" s="264">
        <f t="shared" si="5"/>
        <v>0</v>
      </c>
      <c r="Q27" s="264">
        <f t="shared" si="6"/>
        <v>0</v>
      </c>
      <c r="R27" s="264">
        <f t="shared" si="7"/>
        <v>0</v>
      </c>
      <c r="S27" s="264">
        <f t="shared" si="8"/>
        <v>0</v>
      </c>
      <c r="T27" s="264">
        <f t="shared" si="9"/>
        <v>0</v>
      </c>
      <c r="U27" s="264">
        <f t="shared" si="10"/>
        <v>0</v>
      </c>
      <c r="V27" s="264">
        <f t="shared" si="11"/>
        <v>0</v>
      </c>
      <c r="W27" s="264">
        <f t="shared" si="12"/>
        <v>0</v>
      </c>
      <c r="X27" s="264">
        <f t="shared" si="13"/>
        <v>0</v>
      </c>
      <c r="Y27" s="264">
        <f t="shared" si="14"/>
        <v>0</v>
      </c>
      <c r="Z27" s="264">
        <f t="shared" si="15"/>
        <v>0</v>
      </c>
      <c r="AA27" s="264">
        <f t="shared" si="16"/>
        <v>0</v>
      </c>
      <c r="AB27" s="264">
        <f t="shared" si="63"/>
        <v>0</v>
      </c>
      <c r="AC27" s="264">
        <f t="shared" si="64"/>
        <v>0</v>
      </c>
      <c r="AD27" s="264">
        <f t="shared" si="17"/>
        <v>0</v>
      </c>
      <c r="AE27" s="264">
        <f t="shared" si="18"/>
        <v>0</v>
      </c>
      <c r="AF27" s="264">
        <f t="shared" si="19"/>
        <v>0</v>
      </c>
      <c r="AG27" s="264">
        <f t="shared" si="20"/>
        <v>0</v>
      </c>
      <c r="AH27" s="264">
        <f t="shared" si="65"/>
        <v>0</v>
      </c>
      <c r="AI27" s="264">
        <f t="shared" si="66"/>
        <v>0</v>
      </c>
      <c r="AJ27" s="264">
        <f t="shared" si="67"/>
        <v>0</v>
      </c>
      <c r="AK27" s="264">
        <f t="shared" si="68"/>
        <v>0</v>
      </c>
      <c r="AL27" s="264">
        <f t="shared" si="69"/>
        <v>0</v>
      </c>
      <c r="AM27" s="264">
        <f t="shared" si="70"/>
        <v>0</v>
      </c>
      <c r="AN27" s="264">
        <f t="shared" si="71"/>
        <v>0</v>
      </c>
      <c r="AO27" s="264">
        <f t="shared" si="72"/>
        <v>0</v>
      </c>
      <c r="AP27" s="264">
        <f t="shared" si="21"/>
        <v>0</v>
      </c>
      <c r="AQ27" s="264">
        <f t="shared" si="22"/>
        <v>0</v>
      </c>
      <c r="AR27" s="264">
        <f t="shared" si="23"/>
        <v>0</v>
      </c>
      <c r="AS27" s="264">
        <f t="shared" si="24"/>
        <v>0</v>
      </c>
      <c r="AT27" s="264">
        <f t="shared" si="73"/>
        <v>0</v>
      </c>
      <c r="AU27" s="264">
        <f t="shared" si="74"/>
        <v>0</v>
      </c>
      <c r="AV27" s="264">
        <f t="shared" si="25"/>
        <v>0</v>
      </c>
      <c r="AW27" s="264">
        <f t="shared" si="26"/>
        <v>0</v>
      </c>
      <c r="AX27" s="264">
        <f t="shared" si="27"/>
        <v>0</v>
      </c>
      <c r="AY27" s="264">
        <f t="shared" si="28"/>
        <v>0</v>
      </c>
      <c r="AZ27" s="264">
        <f t="shared" si="29"/>
        <v>0</v>
      </c>
      <c r="BA27" s="264">
        <f t="shared" si="30"/>
        <v>0</v>
      </c>
      <c r="BB27" s="264">
        <f t="shared" si="31"/>
        <v>0</v>
      </c>
      <c r="BC27" s="264">
        <f t="shared" si="32"/>
        <v>0</v>
      </c>
      <c r="BD27" s="264">
        <f t="shared" si="33"/>
        <v>0</v>
      </c>
      <c r="BE27" s="264">
        <f t="shared" si="34"/>
        <v>0</v>
      </c>
      <c r="BF27" s="264">
        <f t="shared" si="35"/>
        <v>0</v>
      </c>
      <c r="BG27" s="264">
        <f t="shared" si="36"/>
        <v>0</v>
      </c>
      <c r="BH27" s="264">
        <f t="shared" si="75"/>
        <v>0</v>
      </c>
      <c r="BI27" s="264">
        <f t="shared" si="76"/>
        <v>0</v>
      </c>
      <c r="BJ27" s="264">
        <f t="shared" si="37"/>
        <v>0</v>
      </c>
      <c r="BK27" s="264">
        <f t="shared" si="38"/>
        <v>0</v>
      </c>
      <c r="BL27" s="264">
        <f t="shared" si="39"/>
        <v>0</v>
      </c>
      <c r="BM27" s="264">
        <f t="shared" si="40"/>
        <v>0</v>
      </c>
      <c r="BN27" s="264">
        <f t="shared" si="41"/>
        <v>0</v>
      </c>
      <c r="BO27" s="264">
        <f t="shared" si="42"/>
        <v>0</v>
      </c>
      <c r="BP27" s="264">
        <f t="shared" si="77"/>
        <v>0</v>
      </c>
      <c r="BQ27" s="264">
        <f t="shared" si="78"/>
        <v>0</v>
      </c>
      <c r="BR27" s="264">
        <f t="shared" si="43"/>
        <v>0</v>
      </c>
      <c r="BS27" s="264">
        <f t="shared" si="44"/>
        <v>0</v>
      </c>
      <c r="BT27" s="264">
        <f t="shared" si="79"/>
        <v>0</v>
      </c>
      <c r="BU27" s="264">
        <f t="shared" si="80"/>
        <v>0</v>
      </c>
      <c r="BV27" s="264">
        <f t="shared" si="81"/>
        <v>0</v>
      </c>
      <c r="BW27" s="264">
        <f t="shared" si="82"/>
        <v>0</v>
      </c>
      <c r="BX27" s="264">
        <f t="shared" si="45"/>
        <v>0</v>
      </c>
      <c r="BY27" s="264">
        <f t="shared" si="46"/>
        <v>0</v>
      </c>
      <c r="BZ27" s="264">
        <f t="shared" si="47"/>
        <v>0</v>
      </c>
      <c r="CA27" s="264">
        <f t="shared" si="48"/>
        <v>0</v>
      </c>
      <c r="CB27" s="264">
        <f t="shared" si="49"/>
        <v>0</v>
      </c>
      <c r="CC27" s="264">
        <f t="shared" si="50"/>
        <v>0</v>
      </c>
      <c r="CD27" s="264">
        <f t="shared" si="83"/>
        <v>0</v>
      </c>
      <c r="CE27" s="264">
        <f t="shared" si="84"/>
        <v>0</v>
      </c>
      <c r="CF27" s="264">
        <f t="shared" si="85"/>
        <v>0</v>
      </c>
      <c r="CG27" s="264">
        <f t="shared" si="86"/>
        <v>0</v>
      </c>
      <c r="CH27" s="264">
        <f t="shared" si="51"/>
        <v>0</v>
      </c>
      <c r="CI27" s="264">
        <f t="shared" si="52"/>
        <v>0</v>
      </c>
      <c r="CJ27" s="264">
        <f t="shared" si="87"/>
        <v>0</v>
      </c>
      <c r="CK27" s="264">
        <f t="shared" si="88"/>
        <v>0</v>
      </c>
      <c r="CL27" s="264">
        <f t="shared" si="53"/>
        <v>0</v>
      </c>
      <c r="CM27" s="264">
        <f t="shared" si="54"/>
        <v>0</v>
      </c>
      <c r="CN27" s="264">
        <f t="shared" si="55"/>
        <v>0</v>
      </c>
      <c r="CO27" s="264">
        <f t="shared" si="56"/>
        <v>0</v>
      </c>
      <c r="CP27" s="264">
        <f t="shared" si="89"/>
        <v>0</v>
      </c>
      <c r="CQ27" s="264">
        <f t="shared" si="90"/>
        <v>0</v>
      </c>
      <c r="CR27" s="264">
        <f t="shared" si="91"/>
        <v>0</v>
      </c>
      <c r="CS27" s="264">
        <f t="shared" si="92"/>
        <v>0</v>
      </c>
      <c r="CT27" s="264">
        <f t="shared" si="57"/>
        <v>0</v>
      </c>
      <c r="CU27" s="264">
        <f t="shared" si="58"/>
        <v>0</v>
      </c>
      <c r="CV27" s="264">
        <f t="shared" si="59"/>
        <v>0</v>
      </c>
      <c r="CW27" s="264">
        <f t="shared" si="60"/>
        <v>0</v>
      </c>
      <c r="CX27" s="264">
        <f t="shared" si="93"/>
        <v>0</v>
      </c>
      <c r="CY27" s="264">
        <f t="shared" si="94"/>
        <v>0</v>
      </c>
      <c r="CZ27" s="264">
        <f t="shared" si="95"/>
        <v>0</v>
      </c>
      <c r="DA27" s="264">
        <f t="shared" si="96"/>
        <v>0</v>
      </c>
    </row>
    <row r="28" spans="1:105" s="261" customFormat="1" ht="15.75" customHeight="1">
      <c r="A28" s="63" t="str">
        <f t="array" ref="A28">IF(C28&lt;&gt;0,SUM(($C$11:C28&lt;&gt;0)*1),"")</f>
        <v/>
      </c>
      <c r="B28" s="262"/>
      <c r="C28" s="262"/>
      <c r="D28" s="262"/>
      <c r="E28" s="344"/>
      <c r="F28" s="311"/>
      <c r="G28" s="313"/>
      <c r="H28" s="313"/>
      <c r="I28" s="63" t="str">
        <f t="shared" ref="I28:I50" si="97">A28</f>
        <v/>
      </c>
      <c r="J28" s="264">
        <f t="shared" si="61"/>
        <v>0</v>
      </c>
      <c r="K28" s="264">
        <f t="shared" si="62"/>
        <v>0</v>
      </c>
      <c r="L28" s="264">
        <f t="shared" si="1"/>
        <v>0</v>
      </c>
      <c r="M28" s="264">
        <f t="shared" si="2"/>
        <v>0</v>
      </c>
      <c r="N28" s="264">
        <f t="shared" si="3"/>
        <v>0</v>
      </c>
      <c r="O28" s="264">
        <f t="shared" si="4"/>
        <v>0</v>
      </c>
      <c r="P28" s="264">
        <f t="shared" si="5"/>
        <v>0</v>
      </c>
      <c r="Q28" s="264">
        <f t="shared" si="6"/>
        <v>0</v>
      </c>
      <c r="R28" s="264">
        <f t="shared" si="7"/>
        <v>0</v>
      </c>
      <c r="S28" s="264">
        <f t="shared" si="8"/>
        <v>0</v>
      </c>
      <c r="T28" s="264">
        <f t="shared" si="9"/>
        <v>0</v>
      </c>
      <c r="U28" s="264">
        <f t="shared" si="10"/>
        <v>0</v>
      </c>
      <c r="V28" s="264">
        <f t="shared" si="11"/>
        <v>0</v>
      </c>
      <c r="W28" s="264">
        <f t="shared" si="12"/>
        <v>0</v>
      </c>
      <c r="X28" s="264">
        <f t="shared" si="13"/>
        <v>0</v>
      </c>
      <c r="Y28" s="264">
        <f t="shared" si="14"/>
        <v>0</v>
      </c>
      <c r="Z28" s="264">
        <f t="shared" si="15"/>
        <v>0</v>
      </c>
      <c r="AA28" s="264">
        <f t="shared" si="16"/>
        <v>0</v>
      </c>
      <c r="AB28" s="264">
        <f t="shared" si="63"/>
        <v>0</v>
      </c>
      <c r="AC28" s="264">
        <f t="shared" si="64"/>
        <v>0</v>
      </c>
      <c r="AD28" s="264">
        <f t="shared" si="17"/>
        <v>0</v>
      </c>
      <c r="AE28" s="264">
        <f t="shared" si="18"/>
        <v>0</v>
      </c>
      <c r="AF28" s="264">
        <f t="shared" si="19"/>
        <v>0</v>
      </c>
      <c r="AG28" s="264">
        <f t="shared" si="20"/>
        <v>0</v>
      </c>
      <c r="AH28" s="264">
        <f t="shared" si="65"/>
        <v>0</v>
      </c>
      <c r="AI28" s="264">
        <f t="shared" si="66"/>
        <v>0</v>
      </c>
      <c r="AJ28" s="264">
        <f t="shared" si="67"/>
        <v>0</v>
      </c>
      <c r="AK28" s="264">
        <f t="shared" si="68"/>
        <v>0</v>
      </c>
      <c r="AL28" s="264">
        <f t="shared" si="69"/>
        <v>0</v>
      </c>
      <c r="AM28" s="264">
        <f t="shared" si="70"/>
        <v>0</v>
      </c>
      <c r="AN28" s="264">
        <f t="shared" si="71"/>
        <v>0</v>
      </c>
      <c r="AO28" s="264">
        <f t="shared" si="72"/>
        <v>0</v>
      </c>
      <c r="AP28" s="264">
        <f t="shared" si="21"/>
        <v>0</v>
      </c>
      <c r="AQ28" s="264">
        <f t="shared" si="22"/>
        <v>0</v>
      </c>
      <c r="AR28" s="264">
        <f t="shared" si="23"/>
        <v>0</v>
      </c>
      <c r="AS28" s="264">
        <f t="shared" si="24"/>
        <v>0</v>
      </c>
      <c r="AT28" s="264">
        <f t="shared" si="73"/>
        <v>0</v>
      </c>
      <c r="AU28" s="264">
        <f t="shared" si="74"/>
        <v>0</v>
      </c>
      <c r="AV28" s="264">
        <f t="shared" si="25"/>
        <v>0</v>
      </c>
      <c r="AW28" s="264">
        <f t="shared" si="26"/>
        <v>0</v>
      </c>
      <c r="AX28" s="264">
        <f t="shared" si="27"/>
        <v>0</v>
      </c>
      <c r="AY28" s="264">
        <f t="shared" si="28"/>
        <v>0</v>
      </c>
      <c r="AZ28" s="264">
        <f t="shared" si="29"/>
        <v>0</v>
      </c>
      <c r="BA28" s="264">
        <f t="shared" si="30"/>
        <v>0</v>
      </c>
      <c r="BB28" s="264">
        <f t="shared" si="31"/>
        <v>0</v>
      </c>
      <c r="BC28" s="264">
        <f t="shared" si="32"/>
        <v>0</v>
      </c>
      <c r="BD28" s="264">
        <f t="shared" si="33"/>
        <v>0</v>
      </c>
      <c r="BE28" s="264">
        <f t="shared" si="34"/>
        <v>0</v>
      </c>
      <c r="BF28" s="264">
        <f t="shared" si="35"/>
        <v>0</v>
      </c>
      <c r="BG28" s="264">
        <f t="shared" si="36"/>
        <v>0</v>
      </c>
      <c r="BH28" s="264">
        <f t="shared" si="75"/>
        <v>0</v>
      </c>
      <c r="BI28" s="264">
        <f t="shared" si="76"/>
        <v>0</v>
      </c>
      <c r="BJ28" s="264">
        <f t="shared" si="37"/>
        <v>0</v>
      </c>
      <c r="BK28" s="264">
        <f t="shared" si="38"/>
        <v>0</v>
      </c>
      <c r="BL28" s="264">
        <f t="shared" si="39"/>
        <v>0</v>
      </c>
      <c r="BM28" s="264">
        <f t="shared" si="40"/>
        <v>0</v>
      </c>
      <c r="BN28" s="264">
        <f t="shared" si="41"/>
        <v>0</v>
      </c>
      <c r="BO28" s="264">
        <f t="shared" si="42"/>
        <v>0</v>
      </c>
      <c r="BP28" s="264">
        <f t="shared" si="77"/>
        <v>0</v>
      </c>
      <c r="BQ28" s="264">
        <f t="shared" si="78"/>
        <v>0</v>
      </c>
      <c r="BR28" s="264">
        <f t="shared" si="43"/>
        <v>0</v>
      </c>
      <c r="BS28" s="264">
        <f t="shared" si="44"/>
        <v>0</v>
      </c>
      <c r="BT28" s="264">
        <f t="shared" si="79"/>
        <v>0</v>
      </c>
      <c r="BU28" s="264">
        <f t="shared" si="80"/>
        <v>0</v>
      </c>
      <c r="BV28" s="264">
        <f t="shared" si="81"/>
        <v>0</v>
      </c>
      <c r="BW28" s="264">
        <f t="shared" si="82"/>
        <v>0</v>
      </c>
      <c r="BX28" s="264">
        <f t="shared" si="45"/>
        <v>0</v>
      </c>
      <c r="BY28" s="264">
        <f t="shared" si="46"/>
        <v>0</v>
      </c>
      <c r="BZ28" s="264">
        <f t="shared" si="47"/>
        <v>0</v>
      </c>
      <c r="CA28" s="264">
        <f t="shared" si="48"/>
        <v>0</v>
      </c>
      <c r="CB28" s="264">
        <f t="shared" si="49"/>
        <v>0</v>
      </c>
      <c r="CC28" s="264">
        <f t="shared" si="50"/>
        <v>0</v>
      </c>
      <c r="CD28" s="264">
        <f t="shared" si="83"/>
        <v>0</v>
      </c>
      <c r="CE28" s="264">
        <f t="shared" si="84"/>
        <v>0</v>
      </c>
      <c r="CF28" s="264">
        <f t="shared" si="85"/>
        <v>0</v>
      </c>
      <c r="CG28" s="264">
        <f t="shared" si="86"/>
        <v>0</v>
      </c>
      <c r="CH28" s="264">
        <f t="shared" si="51"/>
        <v>0</v>
      </c>
      <c r="CI28" s="264">
        <f t="shared" si="52"/>
        <v>0</v>
      </c>
      <c r="CJ28" s="264">
        <f t="shared" si="87"/>
        <v>0</v>
      </c>
      <c r="CK28" s="264">
        <f t="shared" si="88"/>
        <v>0</v>
      </c>
      <c r="CL28" s="264">
        <f t="shared" si="53"/>
        <v>0</v>
      </c>
      <c r="CM28" s="264">
        <f t="shared" si="54"/>
        <v>0</v>
      </c>
      <c r="CN28" s="264">
        <f t="shared" si="55"/>
        <v>0</v>
      </c>
      <c r="CO28" s="264">
        <f t="shared" si="56"/>
        <v>0</v>
      </c>
      <c r="CP28" s="264">
        <f t="shared" si="89"/>
        <v>0</v>
      </c>
      <c r="CQ28" s="264">
        <f t="shared" si="90"/>
        <v>0</v>
      </c>
      <c r="CR28" s="264">
        <f t="shared" si="91"/>
        <v>0</v>
      </c>
      <c r="CS28" s="264">
        <f t="shared" si="92"/>
        <v>0</v>
      </c>
      <c r="CT28" s="264">
        <f t="shared" si="57"/>
        <v>0</v>
      </c>
      <c r="CU28" s="264">
        <f t="shared" si="58"/>
        <v>0</v>
      </c>
      <c r="CV28" s="264">
        <f t="shared" si="59"/>
        <v>0</v>
      </c>
      <c r="CW28" s="264">
        <f t="shared" si="60"/>
        <v>0</v>
      </c>
      <c r="CX28" s="264">
        <f t="shared" si="93"/>
        <v>0</v>
      </c>
      <c r="CY28" s="264">
        <f t="shared" si="94"/>
        <v>0</v>
      </c>
      <c r="CZ28" s="264">
        <f t="shared" si="95"/>
        <v>0</v>
      </c>
      <c r="DA28" s="264">
        <f t="shared" si="96"/>
        <v>0</v>
      </c>
    </row>
    <row r="29" spans="1:105" s="261" customFormat="1" ht="15.75" customHeight="1">
      <c r="A29" s="63" t="str">
        <f t="array" ref="A29">IF(C29&lt;&gt;0,SUM(($C$11:C29&lt;&gt;0)*1),"")</f>
        <v/>
      </c>
      <c r="B29" s="262"/>
      <c r="C29" s="262"/>
      <c r="D29" s="262"/>
      <c r="E29" s="344"/>
      <c r="F29" s="311"/>
      <c r="G29" s="313"/>
      <c r="H29" s="313"/>
      <c r="I29" s="63" t="str">
        <f t="shared" si="97"/>
        <v/>
      </c>
      <c r="J29" s="264">
        <f t="shared" si="61"/>
        <v>0</v>
      </c>
      <c r="K29" s="264">
        <f t="shared" si="62"/>
        <v>0</v>
      </c>
      <c r="L29" s="264">
        <f t="shared" si="1"/>
        <v>0</v>
      </c>
      <c r="M29" s="264">
        <f t="shared" si="2"/>
        <v>0</v>
      </c>
      <c r="N29" s="264">
        <f t="shared" si="3"/>
        <v>0</v>
      </c>
      <c r="O29" s="264">
        <f t="shared" si="4"/>
        <v>0</v>
      </c>
      <c r="P29" s="264">
        <f t="shared" si="5"/>
        <v>0</v>
      </c>
      <c r="Q29" s="264">
        <f t="shared" si="6"/>
        <v>0</v>
      </c>
      <c r="R29" s="264">
        <f t="shared" si="7"/>
        <v>0</v>
      </c>
      <c r="S29" s="264">
        <f t="shared" si="8"/>
        <v>0</v>
      </c>
      <c r="T29" s="264">
        <f t="shared" si="9"/>
        <v>0</v>
      </c>
      <c r="U29" s="264">
        <f t="shared" si="10"/>
        <v>0</v>
      </c>
      <c r="V29" s="264">
        <f t="shared" si="11"/>
        <v>0</v>
      </c>
      <c r="W29" s="264">
        <f t="shared" si="12"/>
        <v>0</v>
      </c>
      <c r="X29" s="264">
        <f t="shared" si="13"/>
        <v>0</v>
      </c>
      <c r="Y29" s="264">
        <f t="shared" si="14"/>
        <v>0</v>
      </c>
      <c r="Z29" s="264">
        <f t="shared" si="15"/>
        <v>0</v>
      </c>
      <c r="AA29" s="264">
        <f t="shared" si="16"/>
        <v>0</v>
      </c>
      <c r="AB29" s="264">
        <f t="shared" si="63"/>
        <v>0</v>
      </c>
      <c r="AC29" s="264">
        <f t="shared" si="64"/>
        <v>0</v>
      </c>
      <c r="AD29" s="264">
        <f t="shared" si="17"/>
        <v>0</v>
      </c>
      <c r="AE29" s="264">
        <f t="shared" si="18"/>
        <v>0</v>
      </c>
      <c r="AF29" s="264">
        <f t="shared" si="19"/>
        <v>0</v>
      </c>
      <c r="AG29" s="264">
        <f t="shared" si="20"/>
        <v>0</v>
      </c>
      <c r="AH29" s="264">
        <f t="shared" si="65"/>
        <v>0</v>
      </c>
      <c r="AI29" s="264">
        <f t="shared" si="66"/>
        <v>0</v>
      </c>
      <c r="AJ29" s="264">
        <f t="shared" si="67"/>
        <v>0</v>
      </c>
      <c r="AK29" s="264">
        <f t="shared" si="68"/>
        <v>0</v>
      </c>
      <c r="AL29" s="264">
        <f t="shared" si="69"/>
        <v>0</v>
      </c>
      <c r="AM29" s="264">
        <f t="shared" si="70"/>
        <v>0</v>
      </c>
      <c r="AN29" s="264">
        <f t="shared" si="71"/>
        <v>0</v>
      </c>
      <c r="AO29" s="264">
        <f t="shared" si="72"/>
        <v>0</v>
      </c>
      <c r="AP29" s="264">
        <f t="shared" si="21"/>
        <v>0</v>
      </c>
      <c r="AQ29" s="264">
        <f t="shared" si="22"/>
        <v>0</v>
      </c>
      <c r="AR29" s="264">
        <f t="shared" si="23"/>
        <v>0</v>
      </c>
      <c r="AS29" s="264">
        <f t="shared" si="24"/>
        <v>0</v>
      </c>
      <c r="AT29" s="264">
        <f t="shared" si="73"/>
        <v>0</v>
      </c>
      <c r="AU29" s="264">
        <f t="shared" si="74"/>
        <v>0</v>
      </c>
      <c r="AV29" s="264">
        <f t="shared" si="25"/>
        <v>0</v>
      </c>
      <c r="AW29" s="264">
        <f t="shared" si="26"/>
        <v>0</v>
      </c>
      <c r="AX29" s="264">
        <f t="shared" si="27"/>
        <v>0</v>
      </c>
      <c r="AY29" s="264">
        <f t="shared" si="28"/>
        <v>0</v>
      </c>
      <c r="AZ29" s="264">
        <f t="shared" si="29"/>
        <v>0</v>
      </c>
      <c r="BA29" s="264">
        <f t="shared" si="30"/>
        <v>0</v>
      </c>
      <c r="BB29" s="264">
        <f t="shared" si="31"/>
        <v>0</v>
      </c>
      <c r="BC29" s="264">
        <f t="shared" si="32"/>
        <v>0</v>
      </c>
      <c r="BD29" s="264">
        <f t="shared" si="33"/>
        <v>0</v>
      </c>
      <c r="BE29" s="264">
        <f t="shared" si="34"/>
        <v>0</v>
      </c>
      <c r="BF29" s="264">
        <f t="shared" si="35"/>
        <v>0</v>
      </c>
      <c r="BG29" s="264">
        <f t="shared" si="36"/>
        <v>0</v>
      </c>
      <c r="BH29" s="264">
        <f t="shared" si="75"/>
        <v>0</v>
      </c>
      <c r="BI29" s="264">
        <f t="shared" si="76"/>
        <v>0</v>
      </c>
      <c r="BJ29" s="264">
        <f t="shared" si="37"/>
        <v>0</v>
      </c>
      <c r="BK29" s="264">
        <f t="shared" si="38"/>
        <v>0</v>
      </c>
      <c r="BL29" s="264">
        <f t="shared" si="39"/>
        <v>0</v>
      </c>
      <c r="BM29" s="264">
        <f t="shared" si="40"/>
        <v>0</v>
      </c>
      <c r="BN29" s="264">
        <f t="shared" si="41"/>
        <v>0</v>
      </c>
      <c r="BO29" s="264">
        <f t="shared" si="42"/>
        <v>0</v>
      </c>
      <c r="BP29" s="264">
        <f t="shared" si="77"/>
        <v>0</v>
      </c>
      <c r="BQ29" s="264">
        <f t="shared" si="78"/>
        <v>0</v>
      </c>
      <c r="BR29" s="264">
        <f t="shared" si="43"/>
        <v>0</v>
      </c>
      <c r="BS29" s="264">
        <f t="shared" si="44"/>
        <v>0</v>
      </c>
      <c r="BT29" s="264">
        <f t="shared" si="79"/>
        <v>0</v>
      </c>
      <c r="BU29" s="264">
        <f t="shared" si="80"/>
        <v>0</v>
      </c>
      <c r="BV29" s="264">
        <f t="shared" si="81"/>
        <v>0</v>
      </c>
      <c r="BW29" s="264">
        <f t="shared" si="82"/>
        <v>0</v>
      </c>
      <c r="BX29" s="264">
        <f t="shared" si="45"/>
        <v>0</v>
      </c>
      <c r="BY29" s="264">
        <f t="shared" si="46"/>
        <v>0</v>
      </c>
      <c r="BZ29" s="264">
        <f t="shared" si="47"/>
        <v>0</v>
      </c>
      <c r="CA29" s="264">
        <f t="shared" si="48"/>
        <v>0</v>
      </c>
      <c r="CB29" s="264">
        <f t="shared" si="49"/>
        <v>0</v>
      </c>
      <c r="CC29" s="264">
        <f t="shared" si="50"/>
        <v>0</v>
      </c>
      <c r="CD29" s="264">
        <f t="shared" si="83"/>
        <v>0</v>
      </c>
      <c r="CE29" s="264">
        <f t="shared" si="84"/>
        <v>0</v>
      </c>
      <c r="CF29" s="264">
        <f t="shared" si="85"/>
        <v>0</v>
      </c>
      <c r="CG29" s="264">
        <f t="shared" si="86"/>
        <v>0</v>
      </c>
      <c r="CH29" s="264">
        <f t="shared" si="51"/>
        <v>0</v>
      </c>
      <c r="CI29" s="264">
        <f t="shared" si="52"/>
        <v>0</v>
      </c>
      <c r="CJ29" s="264">
        <f t="shared" si="87"/>
        <v>0</v>
      </c>
      <c r="CK29" s="264">
        <f t="shared" si="88"/>
        <v>0</v>
      </c>
      <c r="CL29" s="264">
        <f t="shared" si="53"/>
        <v>0</v>
      </c>
      <c r="CM29" s="264">
        <f t="shared" si="54"/>
        <v>0</v>
      </c>
      <c r="CN29" s="264">
        <f t="shared" si="55"/>
        <v>0</v>
      </c>
      <c r="CO29" s="264">
        <f t="shared" si="56"/>
        <v>0</v>
      </c>
      <c r="CP29" s="264">
        <f t="shared" si="89"/>
        <v>0</v>
      </c>
      <c r="CQ29" s="264">
        <f t="shared" si="90"/>
        <v>0</v>
      </c>
      <c r="CR29" s="264">
        <f t="shared" si="91"/>
        <v>0</v>
      </c>
      <c r="CS29" s="264">
        <f t="shared" si="92"/>
        <v>0</v>
      </c>
      <c r="CT29" s="264">
        <f t="shared" si="57"/>
        <v>0</v>
      </c>
      <c r="CU29" s="264">
        <f t="shared" si="58"/>
        <v>0</v>
      </c>
      <c r="CV29" s="264">
        <f t="shared" si="59"/>
        <v>0</v>
      </c>
      <c r="CW29" s="264">
        <f t="shared" si="60"/>
        <v>0</v>
      </c>
      <c r="CX29" s="264">
        <f t="shared" si="93"/>
        <v>0</v>
      </c>
      <c r="CY29" s="264">
        <f t="shared" si="94"/>
        <v>0</v>
      </c>
      <c r="CZ29" s="264">
        <f t="shared" si="95"/>
        <v>0</v>
      </c>
      <c r="DA29" s="264">
        <f t="shared" si="96"/>
        <v>0</v>
      </c>
    </row>
    <row r="30" spans="1:105" s="261" customFormat="1" ht="15.75" customHeight="1">
      <c r="A30" s="63" t="str">
        <f t="array" ref="A30">IF(C30&lt;&gt;0,SUM(($C$11:C30&lt;&gt;0)*1),"")</f>
        <v/>
      </c>
      <c r="B30" s="262"/>
      <c r="C30" s="262"/>
      <c r="D30" s="262"/>
      <c r="E30" s="344"/>
      <c r="F30" s="311"/>
      <c r="G30" s="313"/>
      <c r="H30" s="313"/>
      <c r="I30" s="63" t="str">
        <f t="shared" si="97"/>
        <v/>
      </c>
      <c r="J30" s="264">
        <f t="shared" si="61"/>
        <v>0</v>
      </c>
      <c r="K30" s="264">
        <f t="shared" si="62"/>
        <v>0</v>
      </c>
      <c r="L30" s="264">
        <f t="shared" si="1"/>
        <v>0</v>
      </c>
      <c r="M30" s="264">
        <f t="shared" si="2"/>
        <v>0</v>
      </c>
      <c r="N30" s="264">
        <f t="shared" si="3"/>
        <v>0</v>
      </c>
      <c r="O30" s="264">
        <f t="shared" si="4"/>
        <v>0</v>
      </c>
      <c r="P30" s="264">
        <f t="shared" si="5"/>
        <v>0</v>
      </c>
      <c r="Q30" s="264">
        <f t="shared" si="6"/>
        <v>0</v>
      </c>
      <c r="R30" s="264">
        <f t="shared" si="7"/>
        <v>0</v>
      </c>
      <c r="S30" s="264">
        <f t="shared" si="8"/>
        <v>0</v>
      </c>
      <c r="T30" s="264">
        <f t="shared" si="9"/>
        <v>0</v>
      </c>
      <c r="U30" s="264">
        <f t="shared" si="10"/>
        <v>0</v>
      </c>
      <c r="V30" s="264">
        <f t="shared" si="11"/>
        <v>0</v>
      </c>
      <c r="W30" s="264">
        <f t="shared" si="12"/>
        <v>0</v>
      </c>
      <c r="X30" s="264">
        <f t="shared" si="13"/>
        <v>0</v>
      </c>
      <c r="Y30" s="264">
        <f t="shared" si="14"/>
        <v>0</v>
      </c>
      <c r="Z30" s="264">
        <f t="shared" si="15"/>
        <v>0</v>
      </c>
      <c r="AA30" s="264">
        <f t="shared" si="16"/>
        <v>0</v>
      </c>
      <c r="AB30" s="264">
        <f t="shared" si="63"/>
        <v>0</v>
      </c>
      <c r="AC30" s="264">
        <f t="shared" si="64"/>
        <v>0</v>
      </c>
      <c r="AD30" s="264">
        <f t="shared" si="17"/>
        <v>0</v>
      </c>
      <c r="AE30" s="264">
        <f t="shared" si="18"/>
        <v>0</v>
      </c>
      <c r="AF30" s="264">
        <f t="shared" si="19"/>
        <v>0</v>
      </c>
      <c r="AG30" s="264">
        <f t="shared" si="20"/>
        <v>0</v>
      </c>
      <c r="AH30" s="264">
        <f t="shared" si="65"/>
        <v>0</v>
      </c>
      <c r="AI30" s="264">
        <f t="shared" si="66"/>
        <v>0</v>
      </c>
      <c r="AJ30" s="264">
        <f t="shared" si="67"/>
        <v>0</v>
      </c>
      <c r="AK30" s="264">
        <f t="shared" si="68"/>
        <v>0</v>
      </c>
      <c r="AL30" s="264">
        <f t="shared" si="69"/>
        <v>0</v>
      </c>
      <c r="AM30" s="264">
        <f t="shared" si="70"/>
        <v>0</v>
      </c>
      <c r="AN30" s="264">
        <f t="shared" si="71"/>
        <v>0</v>
      </c>
      <c r="AO30" s="264">
        <f t="shared" si="72"/>
        <v>0</v>
      </c>
      <c r="AP30" s="264">
        <f t="shared" si="21"/>
        <v>0</v>
      </c>
      <c r="AQ30" s="264">
        <f t="shared" si="22"/>
        <v>0</v>
      </c>
      <c r="AR30" s="264">
        <f t="shared" si="23"/>
        <v>0</v>
      </c>
      <c r="AS30" s="264">
        <f t="shared" si="24"/>
        <v>0</v>
      </c>
      <c r="AT30" s="264">
        <f t="shared" si="73"/>
        <v>0</v>
      </c>
      <c r="AU30" s="264">
        <f t="shared" si="74"/>
        <v>0</v>
      </c>
      <c r="AV30" s="264">
        <f t="shared" si="25"/>
        <v>0</v>
      </c>
      <c r="AW30" s="264">
        <f t="shared" si="26"/>
        <v>0</v>
      </c>
      <c r="AX30" s="264">
        <f t="shared" si="27"/>
        <v>0</v>
      </c>
      <c r="AY30" s="264">
        <f t="shared" si="28"/>
        <v>0</v>
      </c>
      <c r="AZ30" s="264">
        <f t="shared" si="29"/>
        <v>0</v>
      </c>
      <c r="BA30" s="264">
        <f t="shared" si="30"/>
        <v>0</v>
      </c>
      <c r="BB30" s="264">
        <f t="shared" si="31"/>
        <v>0</v>
      </c>
      <c r="BC30" s="264">
        <f t="shared" si="32"/>
        <v>0</v>
      </c>
      <c r="BD30" s="264">
        <f t="shared" si="33"/>
        <v>0</v>
      </c>
      <c r="BE30" s="264">
        <f t="shared" si="34"/>
        <v>0</v>
      </c>
      <c r="BF30" s="264">
        <f t="shared" si="35"/>
        <v>0</v>
      </c>
      <c r="BG30" s="264">
        <f t="shared" si="36"/>
        <v>0</v>
      </c>
      <c r="BH30" s="264">
        <f t="shared" si="75"/>
        <v>0</v>
      </c>
      <c r="BI30" s="264">
        <f t="shared" si="76"/>
        <v>0</v>
      </c>
      <c r="BJ30" s="264">
        <f t="shared" si="37"/>
        <v>0</v>
      </c>
      <c r="BK30" s="264">
        <f t="shared" si="38"/>
        <v>0</v>
      </c>
      <c r="BL30" s="264">
        <f t="shared" si="39"/>
        <v>0</v>
      </c>
      <c r="BM30" s="264">
        <f t="shared" si="40"/>
        <v>0</v>
      </c>
      <c r="BN30" s="264">
        <f t="shared" si="41"/>
        <v>0</v>
      </c>
      <c r="BO30" s="264">
        <f t="shared" si="42"/>
        <v>0</v>
      </c>
      <c r="BP30" s="264">
        <f t="shared" si="77"/>
        <v>0</v>
      </c>
      <c r="BQ30" s="264">
        <f t="shared" si="78"/>
        <v>0</v>
      </c>
      <c r="BR30" s="264">
        <f t="shared" si="43"/>
        <v>0</v>
      </c>
      <c r="BS30" s="264">
        <f t="shared" si="44"/>
        <v>0</v>
      </c>
      <c r="BT30" s="264">
        <f t="shared" si="79"/>
        <v>0</v>
      </c>
      <c r="BU30" s="264">
        <f t="shared" si="80"/>
        <v>0</v>
      </c>
      <c r="BV30" s="264">
        <f t="shared" si="81"/>
        <v>0</v>
      </c>
      <c r="BW30" s="264">
        <f t="shared" si="82"/>
        <v>0</v>
      </c>
      <c r="BX30" s="264">
        <f t="shared" si="45"/>
        <v>0</v>
      </c>
      <c r="BY30" s="264">
        <f t="shared" si="46"/>
        <v>0</v>
      </c>
      <c r="BZ30" s="264">
        <f t="shared" si="47"/>
        <v>0</v>
      </c>
      <c r="CA30" s="264">
        <f t="shared" si="48"/>
        <v>0</v>
      </c>
      <c r="CB30" s="264">
        <f t="shared" si="49"/>
        <v>0</v>
      </c>
      <c r="CC30" s="264">
        <f t="shared" si="50"/>
        <v>0</v>
      </c>
      <c r="CD30" s="264">
        <f t="shared" si="83"/>
        <v>0</v>
      </c>
      <c r="CE30" s="264">
        <f t="shared" si="84"/>
        <v>0</v>
      </c>
      <c r="CF30" s="264">
        <f t="shared" si="85"/>
        <v>0</v>
      </c>
      <c r="CG30" s="264">
        <f t="shared" si="86"/>
        <v>0</v>
      </c>
      <c r="CH30" s="264">
        <f t="shared" si="51"/>
        <v>0</v>
      </c>
      <c r="CI30" s="264">
        <f t="shared" si="52"/>
        <v>0</v>
      </c>
      <c r="CJ30" s="264">
        <f t="shared" si="87"/>
        <v>0</v>
      </c>
      <c r="CK30" s="264">
        <f t="shared" si="88"/>
        <v>0</v>
      </c>
      <c r="CL30" s="264">
        <f t="shared" si="53"/>
        <v>0</v>
      </c>
      <c r="CM30" s="264">
        <f t="shared" si="54"/>
        <v>0</v>
      </c>
      <c r="CN30" s="264">
        <f t="shared" si="55"/>
        <v>0</v>
      </c>
      <c r="CO30" s="264">
        <f t="shared" si="56"/>
        <v>0</v>
      </c>
      <c r="CP30" s="264">
        <f t="shared" si="89"/>
        <v>0</v>
      </c>
      <c r="CQ30" s="264">
        <f t="shared" si="90"/>
        <v>0</v>
      </c>
      <c r="CR30" s="264">
        <f t="shared" si="91"/>
        <v>0</v>
      </c>
      <c r="CS30" s="264">
        <f t="shared" si="92"/>
        <v>0</v>
      </c>
      <c r="CT30" s="264">
        <f t="shared" si="57"/>
        <v>0</v>
      </c>
      <c r="CU30" s="264">
        <f t="shared" si="58"/>
        <v>0</v>
      </c>
      <c r="CV30" s="264">
        <f t="shared" si="59"/>
        <v>0</v>
      </c>
      <c r="CW30" s="264">
        <f t="shared" si="60"/>
        <v>0</v>
      </c>
      <c r="CX30" s="264">
        <f t="shared" si="93"/>
        <v>0</v>
      </c>
      <c r="CY30" s="264">
        <f t="shared" si="94"/>
        <v>0</v>
      </c>
      <c r="CZ30" s="264">
        <f t="shared" si="95"/>
        <v>0</v>
      </c>
      <c r="DA30" s="264">
        <f t="shared" si="96"/>
        <v>0</v>
      </c>
    </row>
    <row r="31" spans="1:105" s="261" customFormat="1" ht="15.75" customHeight="1">
      <c r="A31" s="63" t="str">
        <f t="array" ref="A31">IF(C31&lt;&gt;0,SUM(($C$11:C31&lt;&gt;0)*1),"")</f>
        <v/>
      </c>
      <c r="B31" s="262"/>
      <c r="C31" s="262"/>
      <c r="D31" s="262"/>
      <c r="E31" s="344"/>
      <c r="F31" s="311"/>
      <c r="G31" s="313"/>
      <c r="H31" s="313"/>
      <c r="I31" s="63" t="str">
        <f t="shared" si="97"/>
        <v/>
      </c>
      <c r="J31" s="264">
        <f t="shared" si="61"/>
        <v>0</v>
      </c>
      <c r="K31" s="264">
        <f t="shared" si="62"/>
        <v>0</v>
      </c>
      <c r="L31" s="264">
        <f t="shared" si="1"/>
        <v>0</v>
      </c>
      <c r="M31" s="264">
        <f t="shared" si="2"/>
        <v>0</v>
      </c>
      <c r="N31" s="264">
        <f t="shared" si="3"/>
        <v>0</v>
      </c>
      <c r="O31" s="264">
        <f t="shared" si="4"/>
        <v>0</v>
      </c>
      <c r="P31" s="264">
        <f t="shared" si="5"/>
        <v>0</v>
      </c>
      <c r="Q31" s="264">
        <f t="shared" si="6"/>
        <v>0</v>
      </c>
      <c r="R31" s="264">
        <f t="shared" si="7"/>
        <v>0</v>
      </c>
      <c r="S31" s="264">
        <f t="shared" si="8"/>
        <v>0</v>
      </c>
      <c r="T31" s="264">
        <f t="shared" si="9"/>
        <v>0</v>
      </c>
      <c r="U31" s="264">
        <f t="shared" si="10"/>
        <v>0</v>
      </c>
      <c r="V31" s="264">
        <f t="shared" si="11"/>
        <v>0</v>
      </c>
      <c r="W31" s="264">
        <f t="shared" si="12"/>
        <v>0</v>
      </c>
      <c r="X31" s="264">
        <f t="shared" si="13"/>
        <v>0</v>
      </c>
      <c r="Y31" s="264">
        <f t="shared" si="14"/>
        <v>0</v>
      </c>
      <c r="Z31" s="264">
        <f t="shared" si="15"/>
        <v>0</v>
      </c>
      <c r="AA31" s="264">
        <f t="shared" si="16"/>
        <v>0</v>
      </c>
      <c r="AB31" s="264">
        <f t="shared" si="63"/>
        <v>0</v>
      </c>
      <c r="AC31" s="264">
        <f t="shared" si="64"/>
        <v>0</v>
      </c>
      <c r="AD31" s="264">
        <f t="shared" si="17"/>
        <v>0</v>
      </c>
      <c r="AE31" s="264">
        <f t="shared" si="18"/>
        <v>0</v>
      </c>
      <c r="AF31" s="264">
        <f t="shared" si="19"/>
        <v>0</v>
      </c>
      <c r="AG31" s="264">
        <f t="shared" si="20"/>
        <v>0</v>
      </c>
      <c r="AH31" s="264">
        <f t="shared" si="65"/>
        <v>0</v>
      </c>
      <c r="AI31" s="264">
        <f t="shared" si="66"/>
        <v>0</v>
      </c>
      <c r="AJ31" s="264">
        <f t="shared" si="67"/>
        <v>0</v>
      </c>
      <c r="AK31" s="264">
        <f t="shared" si="68"/>
        <v>0</v>
      </c>
      <c r="AL31" s="264">
        <f t="shared" si="69"/>
        <v>0</v>
      </c>
      <c r="AM31" s="264">
        <f t="shared" si="70"/>
        <v>0</v>
      </c>
      <c r="AN31" s="264">
        <f t="shared" si="71"/>
        <v>0</v>
      </c>
      <c r="AO31" s="264">
        <f t="shared" si="72"/>
        <v>0</v>
      </c>
      <c r="AP31" s="264">
        <f t="shared" si="21"/>
        <v>0</v>
      </c>
      <c r="AQ31" s="264">
        <f t="shared" si="22"/>
        <v>0</v>
      </c>
      <c r="AR31" s="264">
        <f t="shared" si="23"/>
        <v>0</v>
      </c>
      <c r="AS31" s="264">
        <f t="shared" si="24"/>
        <v>0</v>
      </c>
      <c r="AT31" s="264">
        <f t="shared" si="73"/>
        <v>0</v>
      </c>
      <c r="AU31" s="264">
        <f t="shared" si="74"/>
        <v>0</v>
      </c>
      <c r="AV31" s="264">
        <f t="shared" si="25"/>
        <v>0</v>
      </c>
      <c r="AW31" s="264">
        <f t="shared" si="26"/>
        <v>0</v>
      </c>
      <c r="AX31" s="264">
        <f t="shared" si="27"/>
        <v>0</v>
      </c>
      <c r="AY31" s="264">
        <f t="shared" si="28"/>
        <v>0</v>
      </c>
      <c r="AZ31" s="264">
        <f t="shared" si="29"/>
        <v>0</v>
      </c>
      <c r="BA31" s="264">
        <f t="shared" si="30"/>
        <v>0</v>
      </c>
      <c r="BB31" s="264">
        <f t="shared" si="31"/>
        <v>0</v>
      </c>
      <c r="BC31" s="264">
        <f t="shared" si="32"/>
        <v>0</v>
      </c>
      <c r="BD31" s="264">
        <f t="shared" si="33"/>
        <v>0</v>
      </c>
      <c r="BE31" s="264">
        <f t="shared" si="34"/>
        <v>0</v>
      </c>
      <c r="BF31" s="264">
        <f t="shared" si="35"/>
        <v>0</v>
      </c>
      <c r="BG31" s="264">
        <f t="shared" si="36"/>
        <v>0</v>
      </c>
      <c r="BH31" s="264">
        <f t="shared" si="75"/>
        <v>0</v>
      </c>
      <c r="BI31" s="264">
        <f t="shared" si="76"/>
        <v>0</v>
      </c>
      <c r="BJ31" s="264">
        <f t="shared" si="37"/>
        <v>0</v>
      </c>
      <c r="BK31" s="264">
        <f t="shared" si="38"/>
        <v>0</v>
      </c>
      <c r="BL31" s="264">
        <f t="shared" si="39"/>
        <v>0</v>
      </c>
      <c r="BM31" s="264">
        <f t="shared" si="40"/>
        <v>0</v>
      </c>
      <c r="BN31" s="264">
        <f t="shared" si="41"/>
        <v>0</v>
      </c>
      <c r="BO31" s="264">
        <f t="shared" si="42"/>
        <v>0</v>
      </c>
      <c r="BP31" s="264">
        <f t="shared" si="77"/>
        <v>0</v>
      </c>
      <c r="BQ31" s="264">
        <f t="shared" si="78"/>
        <v>0</v>
      </c>
      <c r="BR31" s="264">
        <f t="shared" si="43"/>
        <v>0</v>
      </c>
      <c r="BS31" s="264">
        <f t="shared" si="44"/>
        <v>0</v>
      </c>
      <c r="BT31" s="264">
        <f t="shared" si="79"/>
        <v>0</v>
      </c>
      <c r="BU31" s="264">
        <f t="shared" si="80"/>
        <v>0</v>
      </c>
      <c r="BV31" s="264">
        <f t="shared" si="81"/>
        <v>0</v>
      </c>
      <c r="BW31" s="264">
        <f t="shared" si="82"/>
        <v>0</v>
      </c>
      <c r="BX31" s="264">
        <f t="shared" si="45"/>
        <v>0</v>
      </c>
      <c r="BY31" s="264">
        <f t="shared" si="46"/>
        <v>0</v>
      </c>
      <c r="BZ31" s="264">
        <f t="shared" si="47"/>
        <v>0</v>
      </c>
      <c r="CA31" s="264">
        <f t="shared" si="48"/>
        <v>0</v>
      </c>
      <c r="CB31" s="264">
        <f t="shared" si="49"/>
        <v>0</v>
      </c>
      <c r="CC31" s="264">
        <f t="shared" si="50"/>
        <v>0</v>
      </c>
      <c r="CD31" s="264">
        <f t="shared" si="83"/>
        <v>0</v>
      </c>
      <c r="CE31" s="264">
        <f t="shared" si="84"/>
        <v>0</v>
      </c>
      <c r="CF31" s="264">
        <f t="shared" si="85"/>
        <v>0</v>
      </c>
      <c r="CG31" s="264">
        <f t="shared" si="86"/>
        <v>0</v>
      </c>
      <c r="CH31" s="264">
        <f t="shared" si="51"/>
        <v>0</v>
      </c>
      <c r="CI31" s="264">
        <f t="shared" si="52"/>
        <v>0</v>
      </c>
      <c r="CJ31" s="264">
        <f t="shared" si="87"/>
        <v>0</v>
      </c>
      <c r="CK31" s="264">
        <f t="shared" si="88"/>
        <v>0</v>
      </c>
      <c r="CL31" s="264">
        <f t="shared" si="53"/>
        <v>0</v>
      </c>
      <c r="CM31" s="264">
        <f t="shared" si="54"/>
        <v>0</v>
      </c>
      <c r="CN31" s="264">
        <f t="shared" si="55"/>
        <v>0</v>
      </c>
      <c r="CO31" s="264">
        <f t="shared" si="56"/>
        <v>0</v>
      </c>
      <c r="CP31" s="264">
        <f t="shared" si="89"/>
        <v>0</v>
      </c>
      <c r="CQ31" s="264">
        <f t="shared" si="90"/>
        <v>0</v>
      </c>
      <c r="CR31" s="264">
        <f t="shared" si="91"/>
        <v>0</v>
      </c>
      <c r="CS31" s="264">
        <f t="shared" si="92"/>
        <v>0</v>
      </c>
      <c r="CT31" s="264">
        <f t="shared" si="57"/>
        <v>0</v>
      </c>
      <c r="CU31" s="264">
        <f t="shared" si="58"/>
        <v>0</v>
      </c>
      <c r="CV31" s="264">
        <f t="shared" si="59"/>
        <v>0</v>
      </c>
      <c r="CW31" s="264">
        <f t="shared" si="60"/>
        <v>0</v>
      </c>
      <c r="CX31" s="264">
        <f t="shared" si="93"/>
        <v>0</v>
      </c>
      <c r="CY31" s="264">
        <f t="shared" si="94"/>
        <v>0</v>
      </c>
      <c r="CZ31" s="264">
        <f t="shared" si="95"/>
        <v>0</v>
      </c>
      <c r="DA31" s="264">
        <f t="shared" si="96"/>
        <v>0</v>
      </c>
    </row>
    <row r="32" spans="1:105" s="261" customFormat="1" ht="15.75" customHeight="1">
      <c r="A32" s="63" t="str">
        <f t="array" ref="A32">IF(C32&lt;&gt;0,SUM(($C$11:C32&lt;&gt;0)*1),"")</f>
        <v/>
      </c>
      <c r="B32" s="262"/>
      <c r="C32" s="262"/>
      <c r="D32" s="262"/>
      <c r="E32" s="344"/>
      <c r="F32" s="311"/>
      <c r="G32" s="313"/>
      <c r="H32" s="313"/>
      <c r="I32" s="63" t="str">
        <f t="shared" si="97"/>
        <v/>
      </c>
      <c r="J32" s="264">
        <f t="shared" si="61"/>
        <v>0</v>
      </c>
      <c r="K32" s="264">
        <f t="shared" si="62"/>
        <v>0</v>
      </c>
      <c r="L32" s="264">
        <f t="shared" si="1"/>
        <v>0</v>
      </c>
      <c r="M32" s="264">
        <f t="shared" si="2"/>
        <v>0</v>
      </c>
      <c r="N32" s="264">
        <f t="shared" si="3"/>
        <v>0</v>
      </c>
      <c r="O32" s="264">
        <f t="shared" si="4"/>
        <v>0</v>
      </c>
      <c r="P32" s="264">
        <f t="shared" si="5"/>
        <v>0</v>
      </c>
      <c r="Q32" s="264">
        <f t="shared" si="6"/>
        <v>0</v>
      </c>
      <c r="R32" s="264">
        <f t="shared" si="7"/>
        <v>0</v>
      </c>
      <c r="S32" s="264">
        <f t="shared" si="8"/>
        <v>0</v>
      </c>
      <c r="T32" s="264">
        <f t="shared" si="9"/>
        <v>0</v>
      </c>
      <c r="U32" s="264">
        <f t="shared" si="10"/>
        <v>0</v>
      </c>
      <c r="V32" s="264">
        <f t="shared" si="11"/>
        <v>0</v>
      </c>
      <c r="W32" s="264">
        <f t="shared" si="12"/>
        <v>0</v>
      </c>
      <c r="X32" s="264">
        <f t="shared" si="13"/>
        <v>0</v>
      </c>
      <c r="Y32" s="264">
        <f t="shared" si="14"/>
        <v>0</v>
      </c>
      <c r="Z32" s="264">
        <f t="shared" si="15"/>
        <v>0</v>
      </c>
      <c r="AA32" s="264">
        <f t="shared" si="16"/>
        <v>0</v>
      </c>
      <c r="AB32" s="264">
        <f t="shared" si="63"/>
        <v>0</v>
      </c>
      <c r="AC32" s="264">
        <f t="shared" si="64"/>
        <v>0</v>
      </c>
      <c r="AD32" s="264">
        <f t="shared" si="17"/>
        <v>0</v>
      </c>
      <c r="AE32" s="264">
        <f t="shared" si="18"/>
        <v>0</v>
      </c>
      <c r="AF32" s="264">
        <f t="shared" si="19"/>
        <v>0</v>
      </c>
      <c r="AG32" s="264">
        <f t="shared" si="20"/>
        <v>0</v>
      </c>
      <c r="AH32" s="264">
        <f t="shared" si="65"/>
        <v>0</v>
      </c>
      <c r="AI32" s="264">
        <f t="shared" si="66"/>
        <v>0</v>
      </c>
      <c r="AJ32" s="264">
        <f t="shared" si="67"/>
        <v>0</v>
      </c>
      <c r="AK32" s="264">
        <f t="shared" si="68"/>
        <v>0</v>
      </c>
      <c r="AL32" s="264">
        <f t="shared" si="69"/>
        <v>0</v>
      </c>
      <c r="AM32" s="264">
        <f t="shared" si="70"/>
        <v>0</v>
      </c>
      <c r="AN32" s="264">
        <f t="shared" si="71"/>
        <v>0</v>
      </c>
      <c r="AO32" s="264">
        <f t="shared" si="72"/>
        <v>0</v>
      </c>
      <c r="AP32" s="264">
        <f t="shared" si="21"/>
        <v>0</v>
      </c>
      <c r="AQ32" s="264">
        <f t="shared" si="22"/>
        <v>0</v>
      </c>
      <c r="AR32" s="264">
        <f t="shared" si="23"/>
        <v>0</v>
      </c>
      <c r="AS32" s="264">
        <f t="shared" si="24"/>
        <v>0</v>
      </c>
      <c r="AT32" s="264">
        <f t="shared" si="73"/>
        <v>0</v>
      </c>
      <c r="AU32" s="264">
        <f t="shared" si="74"/>
        <v>0</v>
      </c>
      <c r="AV32" s="264">
        <f t="shared" si="25"/>
        <v>0</v>
      </c>
      <c r="AW32" s="264">
        <f t="shared" si="26"/>
        <v>0</v>
      </c>
      <c r="AX32" s="264">
        <f t="shared" si="27"/>
        <v>0</v>
      </c>
      <c r="AY32" s="264">
        <f t="shared" si="28"/>
        <v>0</v>
      </c>
      <c r="AZ32" s="264">
        <f t="shared" si="29"/>
        <v>0</v>
      </c>
      <c r="BA32" s="264">
        <f t="shared" si="30"/>
        <v>0</v>
      </c>
      <c r="BB32" s="264">
        <f t="shared" si="31"/>
        <v>0</v>
      </c>
      <c r="BC32" s="264">
        <f t="shared" si="32"/>
        <v>0</v>
      </c>
      <c r="BD32" s="264">
        <f t="shared" si="33"/>
        <v>0</v>
      </c>
      <c r="BE32" s="264">
        <f t="shared" si="34"/>
        <v>0</v>
      </c>
      <c r="BF32" s="264">
        <f t="shared" si="35"/>
        <v>0</v>
      </c>
      <c r="BG32" s="264">
        <f t="shared" si="36"/>
        <v>0</v>
      </c>
      <c r="BH32" s="264">
        <f t="shared" si="75"/>
        <v>0</v>
      </c>
      <c r="BI32" s="264">
        <f t="shared" si="76"/>
        <v>0</v>
      </c>
      <c r="BJ32" s="264">
        <f t="shared" si="37"/>
        <v>0</v>
      </c>
      <c r="BK32" s="264">
        <f t="shared" si="38"/>
        <v>0</v>
      </c>
      <c r="BL32" s="264">
        <f t="shared" si="39"/>
        <v>0</v>
      </c>
      <c r="BM32" s="264">
        <f t="shared" si="40"/>
        <v>0</v>
      </c>
      <c r="BN32" s="264">
        <f t="shared" si="41"/>
        <v>0</v>
      </c>
      <c r="BO32" s="264">
        <f t="shared" si="42"/>
        <v>0</v>
      </c>
      <c r="BP32" s="264">
        <f t="shared" si="77"/>
        <v>0</v>
      </c>
      <c r="BQ32" s="264">
        <f t="shared" si="78"/>
        <v>0</v>
      </c>
      <c r="BR32" s="264">
        <f t="shared" si="43"/>
        <v>0</v>
      </c>
      <c r="BS32" s="264">
        <f t="shared" si="44"/>
        <v>0</v>
      </c>
      <c r="BT32" s="264">
        <f t="shared" si="79"/>
        <v>0</v>
      </c>
      <c r="BU32" s="264">
        <f t="shared" si="80"/>
        <v>0</v>
      </c>
      <c r="BV32" s="264">
        <f t="shared" si="81"/>
        <v>0</v>
      </c>
      <c r="BW32" s="264">
        <f t="shared" si="82"/>
        <v>0</v>
      </c>
      <c r="BX32" s="264">
        <f t="shared" si="45"/>
        <v>0</v>
      </c>
      <c r="BY32" s="264">
        <f t="shared" si="46"/>
        <v>0</v>
      </c>
      <c r="BZ32" s="264">
        <f t="shared" si="47"/>
        <v>0</v>
      </c>
      <c r="CA32" s="264">
        <f t="shared" si="48"/>
        <v>0</v>
      </c>
      <c r="CB32" s="264">
        <f t="shared" si="49"/>
        <v>0</v>
      </c>
      <c r="CC32" s="264">
        <f t="shared" si="50"/>
        <v>0</v>
      </c>
      <c r="CD32" s="264">
        <f t="shared" si="83"/>
        <v>0</v>
      </c>
      <c r="CE32" s="264">
        <f t="shared" si="84"/>
        <v>0</v>
      </c>
      <c r="CF32" s="264">
        <f t="shared" si="85"/>
        <v>0</v>
      </c>
      <c r="CG32" s="264">
        <f t="shared" si="86"/>
        <v>0</v>
      </c>
      <c r="CH32" s="264">
        <f t="shared" si="51"/>
        <v>0</v>
      </c>
      <c r="CI32" s="264">
        <f t="shared" si="52"/>
        <v>0</v>
      </c>
      <c r="CJ32" s="264">
        <f t="shared" si="87"/>
        <v>0</v>
      </c>
      <c r="CK32" s="264">
        <f t="shared" si="88"/>
        <v>0</v>
      </c>
      <c r="CL32" s="264">
        <f t="shared" si="53"/>
        <v>0</v>
      </c>
      <c r="CM32" s="264">
        <f t="shared" si="54"/>
        <v>0</v>
      </c>
      <c r="CN32" s="264">
        <f t="shared" si="55"/>
        <v>0</v>
      </c>
      <c r="CO32" s="264">
        <f t="shared" si="56"/>
        <v>0</v>
      </c>
      <c r="CP32" s="264">
        <f t="shared" si="89"/>
        <v>0</v>
      </c>
      <c r="CQ32" s="264">
        <f t="shared" si="90"/>
        <v>0</v>
      </c>
      <c r="CR32" s="264">
        <f t="shared" si="91"/>
        <v>0</v>
      </c>
      <c r="CS32" s="264">
        <f t="shared" si="92"/>
        <v>0</v>
      </c>
      <c r="CT32" s="264">
        <f t="shared" si="57"/>
        <v>0</v>
      </c>
      <c r="CU32" s="264">
        <f t="shared" si="58"/>
        <v>0</v>
      </c>
      <c r="CV32" s="264">
        <f t="shared" si="59"/>
        <v>0</v>
      </c>
      <c r="CW32" s="264">
        <f t="shared" si="60"/>
        <v>0</v>
      </c>
      <c r="CX32" s="264">
        <f t="shared" si="93"/>
        <v>0</v>
      </c>
      <c r="CY32" s="264">
        <f t="shared" si="94"/>
        <v>0</v>
      </c>
      <c r="CZ32" s="264">
        <f t="shared" si="95"/>
        <v>0</v>
      </c>
      <c r="DA32" s="264">
        <f t="shared" si="96"/>
        <v>0</v>
      </c>
    </row>
    <row r="33" spans="1:105" s="261" customFormat="1" ht="15.75" customHeight="1">
      <c r="A33" s="63" t="str">
        <f t="array" ref="A33">IF(C33&lt;&gt;0,SUM(($C$11:C33&lt;&gt;0)*1),"")</f>
        <v/>
      </c>
      <c r="B33" s="262"/>
      <c r="C33" s="262"/>
      <c r="D33" s="262"/>
      <c r="E33" s="344"/>
      <c r="F33" s="311"/>
      <c r="G33" s="313"/>
      <c r="H33" s="313"/>
      <c r="I33" s="63" t="str">
        <f t="shared" si="97"/>
        <v/>
      </c>
      <c r="J33" s="264">
        <f t="shared" si="61"/>
        <v>0</v>
      </c>
      <c r="K33" s="264">
        <f t="shared" si="62"/>
        <v>0</v>
      </c>
      <c r="L33" s="264">
        <f t="shared" si="1"/>
        <v>0</v>
      </c>
      <c r="M33" s="264">
        <f t="shared" si="2"/>
        <v>0</v>
      </c>
      <c r="N33" s="264">
        <f t="shared" si="3"/>
        <v>0</v>
      </c>
      <c r="O33" s="264">
        <f t="shared" si="4"/>
        <v>0</v>
      </c>
      <c r="P33" s="264">
        <f t="shared" si="5"/>
        <v>0</v>
      </c>
      <c r="Q33" s="264">
        <f t="shared" si="6"/>
        <v>0</v>
      </c>
      <c r="R33" s="264">
        <f t="shared" si="7"/>
        <v>0</v>
      </c>
      <c r="S33" s="264">
        <f t="shared" si="8"/>
        <v>0</v>
      </c>
      <c r="T33" s="264">
        <f t="shared" si="9"/>
        <v>0</v>
      </c>
      <c r="U33" s="264">
        <f t="shared" si="10"/>
        <v>0</v>
      </c>
      <c r="V33" s="264">
        <f t="shared" si="11"/>
        <v>0</v>
      </c>
      <c r="W33" s="264">
        <f t="shared" si="12"/>
        <v>0</v>
      </c>
      <c r="X33" s="264">
        <f t="shared" si="13"/>
        <v>0</v>
      </c>
      <c r="Y33" s="264">
        <f t="shared" si="14"/>
        <v>0</v>
      </c>
      <c r="Z33" s="264">
        <f t="shared" si="15"/>
        <v>0</v>
      </c>
      <c r="AA33" s="264">
        <f t="shared" si="16"/>
        <v>0</v>
      </c>
      <c r="AB33" s="264">
        <f t="shared" si="63"/>
        <v>0</v>
      </c>
      <c r="AC33" s="264">
        <f t="shared" si="64"/>
        <v>0</v>
      </c>
      <c r="AD33" s="264">
        <f t="shared" si="17"/>
        <v>0</v>
      </c>
      <c r="AE33" s="264">
        <f t="shared" si="18"/>
        <v>0</v>
      </c>
      <c r="AF33" s="264">
        <f t="shared" si="19"/>
        <v>0</v>
      </c>
      <c r="AG33" s="264">
        <f t="shared" si="20"/>
        <v>0</v>
      </c>
      <c r="AH33" s="264">
        <f t="shared" si="65"/>
        <v>0</v>
      </c>
      <c r="AI33" s="264">
        <f t="shared" si="66"/>
        <v>0</v>
      </c>
      <c r="AJ33" s="264">
        <f t="shared" si="67"/>
        <v>0</v>
      </c>
      <c r="AK33" s="264">
        <f t="shared" si="68"/>
        <v>0</v>
      </c>
      <c r="AL33" s="264">
        <f t="shared" si="69"/>
        <v>0</v>
      </c>
      <c r="AM33" s="264">
        <f t="shared" si="70"/>
        <v>0</v>
      </c>
      <c r="AN33" s="264">
        <f t="shared" si="71"/>
        <v>0</v>
      </c>
      <c r="AO33" s="264">
        <f t="shared" si="72"/>
        <v>0</v>
      </c>
      <c r="AP33" s="264">
        <f t="shared" si="21"/>
        <v>0</v>
      </c>
      <c r="AQ33" s="264">
        <f t="shared" si="22"/>
        <v>0</v>
      </c>
      <c r="AR33" s="264">
        <f t="shared" si="23"/>
        <v>0</v>
      </c>
      <c r="AS33" s="264">
        <f t="shared" si="24"/>
        <v>0</v>
      </c>
      <c r="AT33" s="264">
        <f t="shared" si="73"/>
        <v>0</v>
      </c>
      <c r="AU33" s="264">
        <f t="shared" si="74"/>
        <v>0</v>
      </c>
      <c r="AV33" s="264">
        <f t="shared" si="25"/>
        <v>0</v>
      </c>
      <c r="AW33" s="264">
        <f t="shared" si="26"/>
        <v>0</v>
      </c>
      <c r="AX33" s="264">
        <f t="shared" si="27"/>
        <v>0</v>
      </c>
      <c r="AY33" s="264">
        <f t="shared" si="28"/>
        <v>0</v>
      </c>
      <c r="AZ33" s="264">
        <f t="shared" si="29"/>
        <v>0</v>
      </c>
      <c r="BA33" s="264">
        <f t="shared" si="30"/>
        <v>0</v>
      </c>
      <c r="BB33" s="264">
        <f t="shared" si="31"/>
        <v>0</v>
      </c>
      <c r="BC33" s="264">
        <f t="shared" si="32"/>
        <v>0</v>
      </c>
      <c r="BD33" s="264">
        <f t="shared" si="33"/>
        <v>0</v>
      </c>
      <c r="BE33" s="264">
        <f t="shared" si="34"/>
        <v>0</v>
      </c>
      <c r="BF33" s="264">
        <f t="shared" si="35"/>
        <v>0</v>
      </c>
      <c r="BG33" s="264">
        <f t="shared" si="36"/>
        <v>0</v>
      </c>
      <c r="BH33" s="264">
        <f t="shared" si="75"/>
        <v>0</v>
      </c>
      <c r="BI33" s="264">
        <f t="shared" si="76"/>
        <v>0</v>
      </c>
      <c r="BJ33" s="264">
        <f t="shared" si="37"/>
        <v>0</v>
      </c>
      <c r="BK33" s="264">
        <f t="shared" si="38"/>
        <v>0</v>
      </c>
      <c r="BL33" s="264">
        <f t="shared" si="39"/>
        <v>0</v>
      </c>
      <c r="BM33" s="264">
        <f t="shared" si="40"/>
        <v>0</v>
      </c>
      <c r="BN33" s="264">
        <f t="shared" si="41"/>
        <v>0</v>
      </c>
      <c r="BO33" s="264">
        <f t="shared" si="42"/>
        <v>0</v>
      </c>
      <c r="BP33" s="264">
        <f t="shared" si="77"/>
        <v>0</v>
      </c>
      <c r="BQ33" s="264">
        <f t="shared" si="78"/>
        <v>0</v>
      </c>
      <c r="BR33" s="264">
        <f t="shared" si="43"/>
        <v>0</v>
      </c>
      <c r="BS33" s="264">
        <f t="shared" si="44"/>
        <v>0</v>
      </c>
      <c r="BT33" s="264">
        <f t="shared" si="79"/>
        <v>0</v>
      </c>
      <c r="BU33" s="264">
        <f t="shared" si="80"/>
        <v>0</v>
      </c>
      <c r="BV33" s="264">
        <f t="shared" si="81"/>
        <v>0</v>
      </c>
      <c r="BW33" s="264">
        <f t="shared" si="82"/>
        <v>0</v>
      </c>
      <c r="BX33" s="264">
        <f t="shared" si="45"/>
        <v>0</v>
      </c>
      <c r="BY33" s="264">
        <f t="shared" si="46"/>
        <v>0</v>
      </c>
      <c r="BZ33" s="264">
        <f t="shared" si="47"/>
        <v>0</v>
      </c>
      <c r="CA33" s="264">
        <f t="shared" si="48"/>
        <v>0</v>
      </c>
      <c r="CB33" s="264">
        <f t="shared" si="49"/>
        <v>0</v>
      </c>
      <c r="CC33" s="264">
        <f t="shared" si="50"/>
        <v>0</v>
      </c>
      <c r="CD33" s="264">
        <f t="shared" si="83"/>
        <v>0</v>
      </c>
      <c r="CE33" s="264">
        <f t="shared" si="84"/>
        <v>0</v>
      </c>
      <c r="CF33" s="264">
        <f t="shared" si="85"/>
        <v>0</v>
      </c>
      <c r="CG33" s="264">
        <f t="shared" si="86"/>
        <v>0</v>
      </c>
      <c r="CH33" s="264">
        <f t="shared" si="51"/>
        <v>0</v>
      </c>
      <c r="CI33" s="264">
        <f t="shared" si="52"/>
        <v>0</v>
      </c>
      <c r="CJ33" s="264">
        <f t="shared" si="87"/>
        <v>0</v>
      </c>
      <c r="CK33" s="264">
        <f t="shared" si="88"/>
        <v>0</v>
      </c>
      <c r="CL33" s="264">
        <f t="shared" si="53"/>
        <v>0</v>
      </c>
      <c r="CM33" s="264">
        <f t="shared" si="54"/>
        <v>0</v>
      </c>
      <c r="CN33" s="264">
        <f t="shared" si="55"/>
        <v>0</v>
      </c>
      <c r="CO33" s="264">
        <f t="shared" si="56"/>
        <v>0</v>
      </c>
      <c r="CP33" s="264">
        <f t="shared" si="89"/>
        <v>0</v>
      </c>
      <c r="CQ33" s="264">
        <f t="shared" si="90"/>
        <v>0</v>
      </c>
      <c r="CR33" s="264">
        <f t="shared" si="91"/>
        <v>0</v>
      </c>
      <c r="CS33" s="264">
        <f t="shared" si="92"/>
        <v>0</v>
      </c>
      <c r="CT33" s="264">
        <f t="shared" si="57"/>
        <v>0</v>
      </c>
      <c r="CU33" s="264">
        <f t="shared" si="58"/>
        <v>0</v>
      </c>
      <c r="CV33" s="264">
        <f t="shared" si="59"/>
        <v>0</v>
      </c>
      <c r="CW33" s="264">
        <f t="shared" si="60"/>
        <v>0</v>
      </c>
      <c r="CX33" s="264">
        <f t="shared" si="93"/>
        <v>0</v>
      </c>
      <c r="CY33" s="264">
        <f t="shared" si="94"/>
        <v>0</v>
      </c>
      <c r="CZ33" s="264">
        <f t="shared" si="95"/>
        <v>0</v>
      </c>
      <c r="DA33" s="264">
        <f t="shared" si="96"/>
        <v>0</v>
      </c>
    </row>
    <row r="34" spans="1:105" s="261" customFormat="1" ht="15.75" customHeight="1">
      <c r="A34" s="63" t="str">
        <f t="array" ref="A34">IF(C34&lt;&gt;0,SUM(($C$11:C34&lt;&gt;0)*1),"")</f>
        <v/>
      </c>
      <c r="B34" s="262"/>
      <c r="C34" s="262"/>
      <c r="D34" s="262"/>
      <c r="E34" s="344"/>
      <c r="F34" s="311"/>
      <c r="G34" s="313"/>
      <c r="H34" s="313"/>
      <c r="I34" s="63" t="str">
        <f t="shared" si="97"/>
        <v/>
      </c>
      <c r="J34" s="264">
        <f t="shared" si="61"/>
        <v>0</v>
      </c>
      <c r="K34" s="264">
        <f t="shared" si="62"/>
        <v>0</v>
      </c>
      <c r="L34" s="264">
        <f t="shared" si="1"/>
        <v>0</v>
      </c>
      <c r="M34" s="264">
        <f t="shared" si="2"/>
        <v>0</v>
      </c>
      <c r="N34" s="264">
        <f t="shared" si="3"/>
        <v>0</v>
      </c>
      <c r="O34" s="264">
        <f t="shared" si="4"/>
        <v>0</v>
      </c>
      <c r="P34" s="264">
        <f t="shared" si="5"/>
        <v>0</v>
      </c>
      <c r="Q34" s="264">
        <f t="shared" si="6"/>
        <v>0</v>
      </c>
      <c r="R34" s="264">
        <f t="shared" si="7"/>
        <v>0</v>
      </c>
      <c r="S34" s="264">
        <f t="shared" si="8"/>
        <v>0</v>
      </c>
      <c r="T34" s="264">
        <f t="shared" si="9"/>
        <v>0</v>
      </c>
      <c r="U34" s="264">
        <f t="shared" si="10"/>
        <v>0</v>
      </c>
      <c r="V34" s="264">
        <f t="shared" si="11"/>
        <v>0</v>
      </c>
      <c r="W34" s="264">
        <f t="shared" si="12"/>
        <v>0</v>
      </c>
      <c r="X34" s="264">
        <f t="shared" si="13"/>
        <v>0</v>
      </c>
      <c r="Y34" s="264">
        <f t="shared" si="14"/>
        <v>0</v>
      </c>
      <c r="Z34" s="264">
        <f t="shared" si="15"/>
        <v>0</v>
      </c>
      <c r="AA34" s="264">
        <f t="shared" si="16"/>
        <v>0</v>
      </c>
      <c r="AB34" s="264">
        <f t="shared" si="63"/>
        <v>0</v>
      </c>
      <c r="AC34" s="264">
        <f t="shared" si="64"/>
        <v>0</v>
      </c>
      <c r="AD34" s="264">
        <f t="shared" si="17"/>
        <v>0</v>
      </c>
      <c r="AE34" s="264">
        <f t="shared" si="18"/>
        <v>0</v>
      </c>
      <c r="AF34" s="264">
        <f t="shared" si="19"/>
        <v>0</v>
      </c>
      <c r="AG34" s="264">
        <f t="shared" si="20"/>
        <v>0</v>
      </c>
      <c r="AH34" s="264">
        <f t="shared" si="65"/>
        <v>0</v>
      </c>
      <c r="AI34" s="264">
        <f t="shared" si="66"/>
        <v>0</v>
      </c>
      <c r="AJ34" s="264">
        <f t="shared" si="67"/>
        <v>0</v>
      </c>
      <c r="AK34" s="264">
        <f t="shared" si="68"/>
        <v>0</v>
      </c>
      <c r="AL34" s="264">
        <f t="shared" si="69"/>
        <v>0</v>
      </c>
      <c r="AM34" s="264">
        <f t="shared" si="70"/>
        <v>0</v>
      </c>
      <c r="AN34" s="264">
        <f t="shared" si="71"/>
        <v>0</v>
      </c>
      <c r="AO34" s="264">
        <f t="shared" si="72"/>
        <v>0</v>
      </c>
      <c r="AP34" s="264">
        <f t="shared" si="21"/>
        <v>0</v>
      </c>
      <c r="AQ34" s="264">
        <f t="shared" si="22"/>
        <v>0</v>
      </c>
      <c r="AR34" s="264">
        <f t="shared" si="23"/>
        <v>0</v>
      </c>
      <c r="AS34" s="264">
        <f t="shared" si="24"/>
        <v>0</v>
      </c>
      <c r="AT34" s="264">
        <f t="shared" si="73"/>
        <v>0</v>
      </c>
      <c r="AU34" s="264">
        <f t="shared" si="74"/>
        <v>0</v>
      </c>
      <c r="AV34" s="264">
        <f t="shared" si="25"/>
        <v>0</v>
      </c>
      <c r="AW34" s="264">
        <f t="shared" si="26"/>
        <v>0</v>
      </c>
      <c r="AX34" s="264">
        <f t="shared" si="27"/>
        <v>0</v>
      </c>
      <c r="AY34" s="264">
        <f t="shared" si="28"/>
        <v>0</v>
      </c>
      <c r="AZ34" s="264">
        <f t="shared" si="29"/>
        <v>0</v>
      </c>
      <c r="BA34" s="264">
        <f t="shared" si="30"/>
        <v>0</v>
      </c>
      <c r="BB34" s="264">
        <f t="shared" si="31"/>
        <v>0</v>
      </c>
      <c r="BC34" s="264">
        <f t="shared" si="32"/>
        <v>0</v>
      </c>
      <c r="BD34" s="264">
        <f t="shared" si="33"/>
        <v>0</v>
      </c>
      <c r="BE34" s="264">
        <f t="shared" si="34"/>
        <v>0</v>
      </c>
      <c r="BF34" s="264">
        <f t="shared" si="35"/>
        <v>0</v>
      </c>
      <c r="BG34" s="264">
        <f t="shared" si="36"/>
        <v>0</v>
      </c>
      <c r="BH34" s="264">
        <f t="shared" si="75"/>
        <v>0</v>
      </c>
      <c r="BI34" s="264">
        <f t="shared" si="76"/>
        <v>0</v>
      </c>
      <c r="BJ34" s="264">
        <f t="shared" si="37"/>
        <v>0</v>
      </c>
      <c r="BK34" s="264">
        <f t="shared" si="38"/>
        <v>0</v>
      </c>
      <c r="BL34" s="264">
        <f t="shared" si="39"/>
        <v>0</v>
      </c>
      <c r="BM34" s="264">
        <f t="shared" si="40"/>
        <v>0</v>
      </c>
      <c r="BN34" s="264">
        <f t="shared" si="41"/>
        <v>0</v>
      </c>
      <c r="BO34" s="264">
        <f t="shared" si="42"/>
        <v>0</v>
      </c>
      <c r="BP34" s="264">
        <f t="shared" si="77"/>
        <v>0</v>
      </c>
      <c r="BQ34" s="264">
        <f t="shared" si="78"/>
        <v>0</v>
      </c>
      <c r="BR34" s="264">
        <f t="shared" si="43"/>
        <v>0</v>
      </c>
      <c r="BS34" s="264">
        <f t="shared" si="44"/>
        <v>0</v>
      </c>
      <c r="BT34" s="264">
        <f t="shared" si="79"/>
        <v>0</v>
      </c>
      <c r="BU34" s="264">
        <f t="shared" si="80"/>
        <v>0</v>
      </c>
      <c r="BV34" s="264">
        <f t="shared" si="81"/>
        <v>0</v>
      </c>
      <c r="BW34" s="264">
        <f t="shared" si="82"/>
        <v>0</v>
      </c>
      <c r="BX34" s="264">
        <f t="shared" si="45"/>
        <v>0</v>
      </c>
      <c r="BY34" s="264">
        <f t="shared" si="46"/>
        <v>0</v>
      </c>
      <c r="BZ34" s="264">
        <f t="shared" si="47"/>
        <v>0</v>
      </c>
      <c r="CA34" s="264">
        <f t="shared" si="48"/>
        <v>0</v>
      </c>
      <c r="CB34" s="264">
        <f t="shared" si="49"/>
        <v>0</v>
      </c>
      <c r="CC34" s="264">
        <f t="shared" si="50"/>
        <v>0</v>
      </c>
      <c r="CD34" s="264">
        <f t="shared" si="83"/>
        <v>0</v>
      </c>
      <c r="CE34" s="264">
        <f t="shared" si="84"/>
        <v>0</v>
      </c>
      <c r="CF34" s="264">
        <f t="shared" si="85"/>
        <v>0</v>
      </c>
      <c r="CG34" s="264">
        <f t="shared" si="86"/>
        <v>0</v>
      </c>
      <c r="CH34" s="264">
        <f t="shared" si="51"/>
        <v>0</v>
      </c>
      <c r="CI34" s="264">
        <f t="shared" si="52"/>
        <v>0</v>
      </c>
      <c r="CJ34" s="264">
        <f t="shared" si="87"/>
        <v>0</v>
      </c>
      <c r="CK34" s="264">
        <f t="shared" si="88"/>
        <v>0</v>
      </c>
      <c r="CL34" s="264">
        <f t="shared" si="53"/>
        <v>0</v>
      </c>
      <c r="CM34" s="264">
        <f t="shared" si="54"/>
        <v>0</v>
      </c>
      <c r="CN34" s="264">
        <f t="shared" si="55"/>
        <v>0</v>
      </c>
      <c r="CO34" s="264">
        <f t="shared" si="56"/>
        <v>0</v>
      </c>
      <c r="CP34" s="264">
        <f t="shared" si="89"/>
        <v>0</v>
      </c>
      <c r="CQ34" s="264">
        <f t="shared" si="90"/>
        <v>0</v>
      </c>
      <c r="CR34" s="264">
        <f t="shared" si="91"/>
        <v>0</v>
      </c>
      <c r="CS34" s="264">
        <f t="shared" si="92"/>
        <v>0</v>
      </c>
      <c r="CT34" s="264">
        <f t="shared" si="57"/>
        <v>0</v>
      </c>
      <c r="CU34" s="264">
        <f t="shared" si="58"/>
        <v>0</v>
      </c>
      <c r="CV34" s="264">
        <f t="shared" si="59"/>
        <v>0</v>
      </c>
      <c r="CW34" s="264">
        <f t="shared" si="60"/>
        <v>0</v>
      </c>
      <c r="CX34" s="264">
        <f t="shared" si="93"/>
        <v>0</v>
      </c>
      <c r="CY34" s="264">
        <f t="shared" si="94"/>
        <v>0</v>
      </c>
      <c r="CZ34" s="264">
        <f t="shared" si="95"/>
        <v>0</v>
      </c>
      <c r="DA34" s="264">
        <f t="shared" si="96"/>
        <v>0</v>
      </c>
    </row>
    <row r="35" spans="1:105" s="261" customFormat="1" ht="15.75" customHeight="1">
      <c r="A35" s="63" t="str">
        <f t="array" ref="A35">IF(C35&lt;&gt;0,SUM(($C$11:C35&lt;&gt;0)*1),"")</f>
        <v/>
      </c>
      <c r="B35" s="262"/>
      <c r="C35" s="262"/>
      <c r="D35" s="262"/>
      <c r="E35" s="344"/>
      <c r="F35" s="311"/>
      <c r="G35" s="313"/>
      <c r="H35" s="313"/>
      <c r="I35" s="63" t="str">
        <f t="shared" si="97"/>
        <v/>
      </c>
      <c r="J35" s="264">
        <f t="shared" si="61"/>
        <v>0</v>
      </c>
      <c r="K35" s="264">
        <f t="shared" si="62"/>
        <v>0</v>
      </c>
      <c r="L35" s="264">
        <f t="shared" si="1"/>
        <v>0</v>
      </c>
      <c r="M35" s="264">
        <f t="shared" si="2"/>
        <v>0</v>
      </c>
      <c r="N35" s="264">
        <f t="shared" si="3"/>
        <v>0</v>
      </c>
      <c r="O35" s="264">
        <f t="shared" si="4"/>
        <v>0</v>
      </c>
      <c r="P35" s="264">
        <f t="shared" si="5"/>
        <v>0</v>
      </c>
      <c r="Q35" s="264">
        <f t="shared" si="6"/>
        <v>0</v>
      </c>
      <c r="R35" s="264">
        <f t="shared" si="7"/>
        <v>0</v>
      </c>
      <c r="S35" s="264">
        <f t="shared" si="8"/>
        <v>0</v>
      </c>
      <c r="T35" s="264">
        <f t="shared" si="9"/>
        <v>0</v>
      </c>
      <c r="U35" s="264">
        <f t="shared" si="10"/>
        <v>0</v>
      </c>
      <c r="V35" s="264">
        <f t="shared" si="11"/>
        <v>0</v>
      </c>
      <c r="W35" s="264">
        <f t="shared" si="12"/>
        <v>0</v>
      </c>
      <c r="X35" s="264">
        <f t="shared" si="13"/>
        <v>0</v>
      </c>
      <c r="Y35" s="264">
        <f t="shared" si="14"/>
        <v>0</v>
      </c>
      <c r="Z35" s="264">
        <f t="shared" si="15"/>
        <v>0</v>
      </c>
      <c r="AA35" s="264">
        <f t="shared" si="16"/>
        <v>0</v>
      </c>
      <c r="AB35" s="264">
        <f t="shared" si="63"/>
        <v>0</v>
      </c>
      <c r="AC35" s="264">
        <f t="shared" si="64"/>
        <v>0</v>
      </c>
      <c r="AD35" s="264">
        <f t="shared" si="17"/>
        <v>0</v>
      </c>
      <c r="AE35" s="264">
        <f t="shared" si="18"/>
        <v>0</v>
      </c>
      <c r="AF35" s="264">
        <f t="shared" si="19"/>
        <v>0</v>
      </c>
      <c r="AG35" s="264">
        <f t="shared" si="20"/>
        <v>0</v>
      </c>
      <c r="AH35" s="264">
        <f t="shared" si="65"/>
        <v>0</v>
      </c>
      <c r="AI35" s="264">
        <f t="shared" si="66"/>
        <v>0</v>
      </c>
      <c r="AJ35" s="264">
        <f t="shared" si="67"/>
        <v>0</v>
      </c>
      <c r="AK35" s="264">
        <f t="shared" si="68"/>
        <v>0</v>
      </c>
      <c r="AL35" s="264">
        <f t="shared" si="69"/>
        <v>0</v>
      </c>
      <c r="AM35" s="264">
        <f t="shared" si="70"/>
        <v>0</v>
      </c>
      <c r="AN35" s="264">
        <f t="shared" si="71"/>
        <v>0</v>
      </c>
      <c r="AO35" s="264">
        <f t="shared" si="72"/>
        <v>0</v>
      </c>
      <c r="AP35" s="264">
        <f t="shared" si="21"/>
        <v>0</v>
      </c>
      <c r="AQ35" s="264">
        <f t="shared" si="22"/>
        <v>0</v>
      </c>
      <c r="AR35" s="264">
        <f t="shared" si="23"/>
        <v>0</v>
      </c>
      <c r="AS35" s="264">
        <f t="shared" si="24"/>
        <v>0</v>
      </c>
      <c r="AT35" s="264">
        <f t="shared" si="73"/>
        <v>0</v>
      </c>
      <c r="AU35" s="264">
        <f t="shared" si="74"/>
        <v>0</v>
      </c>
      <c r="AV35" s="264">
        <f t="shared" si="25"/>
        <v>0</v>
      </c>
      <c r="AW35" s="264">
        <f t="shared" si="26"/>
        <v>0</v>
      </c>
      <c r="AX35" s="264">
        <f t="shared" si="27"/>
        <v>0</v>
      </c>
      <c r="AY35" s="264">
        <f t="shared" si="28"/>
        <v>0</v>
      </c>
      <c r="AZ35" s="264">
        <f t="shared" si="29"/>
        <v>0</v>
      </c>
      <c r="BA35" s="264">
        <f t="shared" si="30"/>
        <v>0</v>
      </c>
      <c r="BB35" s="264">
        <f t="shared" si="31"/>
        <v>0</v>
      </c>
      <c r="BC35" s="264">
        <f t="shared" si="32"/>
        <v>0</v>
      </c>
      <c r="BD35" s="264">
        <f t="shared" si="33"/>
        <v>0</v>
      </c>
      <c r="BE35" s="264">
        <f t="shared" si="34"/>
        <v>0</v>
      </c>
      <c r="BF35" s="264">
        <f t="shared" si="35"/>
        <v>0</v>
      </c>
      <c r="BG35" s="264">
        <f t="shared" si="36"/>
        <v>0</v>
      </c>
      <c r="BH35" s="264">
        <f t="shared" si="75"/>
        <v>0</v>
      </c>
      <c r="BI35" s="264">
        <f t="shared" si="76"/>
        <v>0</v>
      </c>
      <c r="BJ35" s="264">
        <f t="shared" si="37"/>
        <v>0</v>
      </c>
      <c r="BK35" s="264">
        <f t="shared" si="38"/>
        <v>0</v>
      </c>
      <c r="BL35" s="264">
        <f t="shared" si="39"/>
        <v>0</v>
      </c>
      <c r="BM35" s="264">
        <f t="shared" si="40"/>
        <v>0</v>
      </c>
      <c r="BN35" s="264">
        <f t="shared" si="41"/>
        <v>0</v>
      </c>
      <c r="BO35" s="264">
        <f t="shared" si="42"/>
        <v>0</v>
      </c>
      <c r="BP35" s="264">
        <f t="shared" si="77"/>
        <v>0</v>
      </c>
      <c r="BQ35" s="264">
        <f t="shared" si="78"/>
        <v>0</v>
      </c>
      <c r="BR35" s="264">
        <f t="shared" si="43"/>
        <v>0</v>
      </c>
      <c r="BS35" s="264">
        <f t="shared" si="44"/>
        <v>0</v>
      </c>
      <c r="BT35" s="264">
        <f t="shared" si="79"/>
        <v>0</v>
      </c>
      <c r="BU35" s="264">
        <f t="shared" si="80"/>
        <v>0</v>
      </c>
      <c r="BV35" s="264">
        <f t="shared" si="81"/>
        <v>0</v>
      </c>
      <c r="BW35" s="264">
        <f t="shared" si="82"/>
        <v>0</v>
      </c>
      <c r="BX35" s="264">
        <f t="shared" si="45"/>
        <v>0</v>
      </c>
      <c r="BY35" s="264">
        <f t="shared" si="46"/>
        <v>0</v>
      </c>
      <c r="BZ35" s="264">
        <f t="shared" si="47"/>
        <v>0</v>
      </c>
      <c r="CA35" s="264">
        <f t="shared" si="48"/>
        <v>0</v>
      </c>
      <c r="CB35" s="264">
        <f t="shared" si="49"/>
        <v>0</v>
      </c>
      <c r="CC35" s="264">
        <f t="shared" si="50"/>
        <v>0</v>
      </c>
      <c r="CD35" s="264">
        <f t="shared" si="83"/>
        <v>0</v>
      </c>
      <c r="CE35" s="264">
        <f t="shared" si="84"/>
        <v>0</v>
      </c>
      <c r="CF35" s="264">
        <f t="shared" si="85"/>
        <v>0</v>
      </c>
      <c r="CG35" s="264">
        <f t="shared" si="86"/>
        <v>0</v>
      </c>
      <c r="CH35" s="264">
        <f t="shared" si="51"/>
        <v>0</v>
      </c>
      <c r="CI35" s="264">
        <f t="shared" si="52"/>
        <v>0</v>
      </c>
      <c r="CJ35" s="264">
        <f t="shared" si="87"/>
        <v>0</v>
      </c>
      <c r="CK35" s="264">
        <f t="shared" si="88"/>
        <v>0</v>
      </c>
      <c r="CL35" s="264">
        <f t="shared" si="53"/>
        <v>0</v>
      </c>
      <c r="CM35" s="264">
        <f t="shared" si="54"/>
        <v>0</v>
      </c>
      <c r="CN35" s="264">
        <f t="shared" si="55"/>
        <v>0</v>
      </c>
      <c r="CO35" s="264">
        <f t="shared" si="56"/>
        <v>0</v>
      </c>
      <c r="CP35" s="264">
        <f t="shared" si="89"/>
        <v>0</v>
      </c>
      <c r="CQ35" s="264">
        <f t="shared" si="90"/>
        <v>0</v>
      </c>
      <c r="CR35" s="264">
        <f t="shared" si="91"/>
        <v>0</v>
      </c>
      <c r="CS35" s="264">
        <f t="shared" si="92"/>
        <v>0</v>
      </c>
      <c r="CT35" s="264">
        <f t="shared" si="57"/>
        <v>0</v>
      </c>
      <c r="CU35" s="264">
        <f t="shared" si="58"/>
        <v>0</v>
      </c>
      <c r="CV35" s="264">
        <f t="shared" si="59"/>
        <v>0</v>
      </c>
      <c r="CW35" s="264">
        <f t="shared" si="60"/>
        <v>0</v>
      </c>
      <c r="CX35" s="264">
        <f t="shared" si="93"/>
        <v>0</v>
      </c>
      <c r="CY35" s="264">
        <f t="shared" si="94"/>
        <v>0</v>
      </c>
      <c r="CZ35" s="264">
        <f t="shared" si="95"/>
        <v>0</v>
      </c>
      <c r="DA35" s="264">
        <f t="shared" si="96"/>
        <v>0</v>
      </c>
    </row>
    <row r="36" spans="1:105" s="261" customFormat="1" ht="15.75" customHeight="1">
      <c r="A36" s="63" t="str">
        <f t="array" ref="A36">IF(C36&lt;&gt;0,SUM(($C$11:C36&lt;&gt;0)*1),"")</f>
        <v/>
      </c>
      <c r="B36" s="262"/>
      <c r="C36" s="262"/>
      <c r="D36" s="262"/>
      <c r="E36" s="344"/>
      <c r="F36" s="311"/>
      <c r="G36" s="313"/>
      <c r="H36" s="313"/>
      <c r="I36" s="63" t="str">
        <f t="shared" si="97"/>
        <v/>
      </c>
      <c r="J36" s="264">
        <f t="shared" si="61"/>
        <v>0</v>
      </c>
      <c r="K36" s="264">
        <f t="shared" si="62"/>
        <v>0</v>
      </c>
      <c r="L36" s="264">
        <f t="shared" si="1"/>
        <v>0</v>
      </c>
      <c r="M36" s="264">
        <f t="shared" si="2"/>
        <v>0</v>
      </c>
      <c r="N36" s="264">
        <f t="shared" si="3"/>
        <v>0</v>
      </c>
      <c r="O36" s="264">
        <f t="shared" si="4"/>
        <v>0</v>
      </c>
      <c r="P36" s="264">
        <f t="shared" si="5"/>
        <v>0</v>
      </c>
      <c r="Q36" s="264">
        <f t="shared" si="6"/>
        <v>0</v>
      </c>
      <c r="R36" s="264">
        <f t="shared" si="7"/>
        <v>0</v>
      </c>
      <c r="S36" s="264">
        <f t="shared" si="8"/>
        <v>0</v>
      </c>
      <c r="T36" s="264">
        <f t="shared" si="9"/>
        <v>0</v>
      </c>
      <c r="U36" s="264">
        <f t="shared" si="10"/>
        <v>0</v>
      </c>
      <c r="V36" s="264">
        <f t="shared" si="11"/>
        <v>0</v>
      </c>
      <c r="W36" s="264">
        <f t="shared" si="12"/>
        <v>0</v>
      </c>
      <c r="X36" s="264">
        <f t="shared" si="13"/>
        <v>0</v>
      </c>
      <c r="Y36" s="264">
        <f t="shared" si="14"/>
        <v>0</v>
      </c>
      <c r="Z36" s="264">
        <f t="shared" si="15"/>
        <v>0</v>
      </c>
      <c r="AA36" s="264">
        <f t="shared" si="16"/>
        <v>0</v>
      </c>
      <c r="AB36" s="264">
        <f t="shared" si="63"/>
        <v>0</v>
      </c>
      <c r="AC36" s="264">
        <f t="shared" si="64"/>
        <v>0</v>
      </c>
      <c r="AD36" s="264">
        <f t="shared" si="17"/>
        <v>0</v>
      </c>
      <c r="AE36" s="264">
        <f t="shared" si="18"/>
        <v>0</v>
      </c>
      <c r="AF36" s="264">
        <f t="shared" si="19"/>
        <v>0</v>
      </c>
      <c r="AG36" s="264">
        <f t="shared" si="20"/>
        <v>0</v>
      </c>
      <c r="AH36" s="264">
        <f t="shared" si="65"/>
        <v>0</v>
      </c>
      <c r="AI36" s="264">
        <f t="shared" si="66"/>
        <v>0</v>
      </c>
      <c r="AJ36" s="264">
        <f t="shared" si="67"/>
        <v>0</v>
      </c>
      <c r="AK36" s="264">
        <f t="shared" si="68"/>
        <v>0</v>
      </c>
      <c r="AL36" s="264">
        <f t="shared" si="69"/>
        <v>0</v>
      </c>
      <c r="AM36" s="264">
        <f t="shared" si="70"/>
        <v>0</v>
      </c>
      <c r="AN36" s="264">
        <f t="shared" si="71"/>
        <v>0</v>
      </c>
      <c r="AO36" s="264">
        <f t="shared" si="72"/>
        <v>0</v>
      </c>
      <c r="AP36" s="264">
        <f t="shared" si="21"/>
        <v>0</v>
      </c>
      <c r="AQ36" s="264">
        <f t="shared" si="22"/>
        <v>0</v>
      </c>
      <c r="AR36" s="264">
        <f t="shared" si="23"/>
        <v>0</v>
      </c>
      <c r="AS36" s="264">
        <f t="shared" si="24"/>
        <v>0</v>
      </c>
      <c r="AT36" s="264">
        <f t="shared" si="73"/>
        <v>0</v>
      </c>
      <c r="AU36" s="264">
        <f t="shared" si="74"/>
        <v>0</v>
      </c>
      <c r="AV36" s="264">
        <f t="shared" si="25"/>
        <v>0</v>
      </c>
      <c r="AW36" s="264">
        <f t="shared" si="26"/>
        <v>0</v>
      </c>
      <c r="AX36" s="264">
        <f t="shared" si="27"/>
        <v>0</v>
      </c>
      <c r="AY36" s="264">
        <f t="shared" si="28"/>
        <v>0</v>
      </c>
      <c r="AZ36" s="264">
        <f t="shared" si="29"/>
        <v>0</v>
      </c>
      <c r="BA36" s="264">
        <f t="shared" si="30"/>
        <v>0</v>
      </c>
      <c r="BB36" s="264">
        <f t="shared" si="31"/>
        <v>0</v>
      </c>
      <c r="BC36" s="264">
        <f t="shared" si="32"/>
        <v>0</v>
      </c>
      <c r="BD36" s="264">
        <f t="shared" si="33"/>
        <v>0</v>
      </c>
      <c r="BE36" s="264">
        <f t="shared" si="34"/>
        <v>0</v>
      </c>
      <c r="BF36" s="264">
        <f t="shared" si="35"/>
        <v>0</v>
      </c>
      <c r="BG36" s="264">
        <f t="shared" si="36"/>
        <v>0</v>
      </c>
      <c r="BH36" s="264">
        <f t="shared" si="75"/>
        <v>0</v>
      </c>
      <c r="BI36" s="264">
        <f t="shared" si="76"/>
        <v>0</v>
      </c>
      <c r="BJ36" s="264">
        <f t="shared" si="37"/>
        <v>0</v>
      </c>
      <c r="BK36" s="264">
        <f t="shared" si="38"/>
        <v>0</v>
      </c>
      <c r="BL36" s="264">
        <f t="shared" si="39"/>
        <v>0</v>
      </c>
      <c r="BM36" s="264">
        <f t="shared" si="40"/>
        <v>0</v>
      </c>
      <c r="BN36" s="264">
        <f t="shared" si="41"/>
        <v>0</v>
      </c>
      <c r="BO36" s="264">
        <f t="shared" si="42"/>
        <v>0</v>
      </c>
      <c r="BP36" s="264">
        <f t="shared" si="77"/>
        <v>0</v>
      </c>
      <c r="BQ36" s="264">
        <f t="shared" si="78"/>
        <v>0</v>
      </c>
      <c r="BR36" s="264">
        <f t="shared" si="43"/>
        <v>0</v>
      </c>
      <c r="BS36" s="264">
        <f t="shared" si="44"/>
        <v>0</v>
      </c>
      <c r="BT36" s="264">
        <f t="shared" si="79"/>
        <v>0</v>
      </c>
      <c r="BU36" s="264">
        <f t="shared" si="80"/>
        <v>0</v>
      </c>
      <c r="BV36" s="264">
        <f t="shared" si="81"/>
        <v>0</v>
      </c>
      <c r="BW36" s="264">
        <f t="shared" si="82"/>
        <v>0</v>
      </c>
      <c r="BX36" s="264">
        <f t="shared" si="45"/>
        <v>0</v>
      </c>
      <c r="BY36" s="264">
        <f t="shared" si="46"/>
        <v>0</v>
      </c>
      <c r="BZ36" s="264">
        <f t="shared" si="47"/>
        <v>0</v>
      </c>
      <c r="CA36" s="264">
        <f t="shared" si="48"/>
        <v>0</v>
      </c>
      <c r="CB36" s="264">
        <f t="shared" si="49"/>
        <v>0</v>
      </c>
      <c r="CC36" s="264">
        <f t="shared" si="50"/>
        <v>0</v>
      </c>
      <c r="CD36" s="264">
        <f t="shared" si="83"/>
        <v>0</v>
      </c>
      <c r="CE36" s="264">
        <f t="shared" si="84"/>
        <v>0</v>
      </c>
      <c r="CF36" s="264">
        <f t="shared" si="85"/>
        <v>0</v>
      </c>
      <c r="CG36" s="264">
        <f t="shared" si="86"/>
        <v>0</v>
      </c>
      <c r="CH36" s="264">
        <f t="shared" si="51"/>
        <v>0</v>
      </c>
      <c r="CI36" s="264">
        <f t="shared" si="52"/>
        <v>0</v>
      </c>
      <c r="CJ36" s="264">
        <f t="shared" si="87"/>
        <v>0</v>
      </c>
      <c r="CK36" s="264">
        <f t="shared" si="88"/>
        <v>0</v>
      </c>
      <c r="CL36" s="264">
        <f t="shared" si="53"/>
        <v>0</v>
      </c>
      <c r="CM36" s="264">
        <f t="shared" si="54"/>
        <v>0</v>
      </c>
      <c r="CN36" s="264">
        <f t="shared" si="55"/>
        <v>0</v>
      </c>
      <c r="CO36" s="264">
        <f t="shared" si="56"/>
        <v>0</v>
      </c>
      <c r="CP36" s="264">
        <f t="shared" si="89"/>
        <v>0</v>
      </c>
      <c r="CQ36" s="264">
        <f t="shared" si="90"/>
        <v>0</v>
      </c>
      <c r="CR36" s="264">
        <f t="shared" si="91"/>
        <v>0</v>
      </c>
      <c r="CS36" s="264">
        <f t="shared" si="92"/>
        <v>0</v>
      </c>
      <c r="CT36" s="264">
        <f t="shared" si="57"/>
        <v>0</v>
      </c>
      <c r="CU36" s="264">
        <f t="shared" si="58"/>
        <v>0</v>
      </c>
      <c r="CV36" s="264">
        <f t="shared" si="59"/>
        <v>0</v>
      </c>
      <c r="CW36" s="264">
        <f t="shared" si="60"/>
        <v>0</v>
      </c>
      <c r="CX36" s="264">
        <f t="shared" si="93"/>
        <v>0</v>
      </c>
      <c r="CY36" s="264">
        <f t="shared" si="94"/>
        <v>0</v>
      </c>
      <c r="CZ36" s="264">
        <f t="shared" si="95"/>
        <v>0</v>
      </c>
      <c r="DA36" s="264">
        <f t="shared" si="96"/>
        <v>0</v>
      </c>
    </row>
    <row r="37" spans="1:105" s="261" customFormat="1" ht="15.75" customHeight="1">
      <c r="A37" s="63" t="str">
        <f t="array" ref="A37">IF(C37&lt;&gt;0,SUM(($C$11:C37&lt;&gt;0)*1),"")</f>
        <v/>
      </c>
      <c r="B37" s="262"/>
      <c r="C37" s="262"/>
      <c r="D37" s="262"/>
      <c r="E37" s="344"/>
      <c r="F37" s="311"/>
      <c r="G37" s="313"/>
      <c r="H37" s="313"/>
      <c r="I37" s="63" t="str">
        <f t="shared" si="97"/>
        <v/>
      </c>
      <c r="J37" s="264">
        <f t="shared" si="61"/>
        <v>0</v>
      </c>
      <c r="K37" s="264">
        <f t="shared" si="62"/>
        <v>0</v>
      </c>
      <c r="L37" s="264">
        <f t="shared" si="1"/>
        <v>0</v>
      </c>
      <c r="M37" s="264">
        <f t="shared" si="2"/>
        <v>0</v>
      </c>
      <c r="N37" s="264">
        <f t="shared" si="3"/>
        <v>0</v>
      </c>
      <c r="O37" s="264">
        <f t="shared" si="4"/>
        <v>0</v>
      </c>
      <c r="P37" s="264">
        <f t="shared" si="5"/>
        <v>0</v>
      </c>
      <c r="Q37" s="264">
        <f t="shared" si="6"/>
        <v>0</v>
      </c>
      <c r="R37" s="264">
        <f t="shared" si="7"/>
        <v>0</v>
      </c>
      <c r="S37" s="264">
        <f t="shared" si="8"/>
        <v>0</v>
      </c>
      <c r="T37" s="264">
        <f t="shared" si="9"/>
        <v>0</v>
      </c>
      <c r="U37" s="264">
        <f t="shared" si="10"/>
        <v>0</v>
      </c>
      <c r="V37" s="264">
        <f t="shared" si="11"/>
        <v>0</v>
      </c>
      <c r="W37" s="264">
        <f t="shared" si="12"/>
        <v>0</v>
      </c>
      <c r="X37" s="264">
        <f t="shared" si="13"/>
        <v>0</v>
      </c>
      <c r="Y37" s="264">
        <f t="shared" si="14"/>
        <v>0</v>
      </c>
      <c r="Z37" s="264">
        <f t="shared" si="15"/>
        <v>0</v>
      </c>
      <c r="AA37" s="264">
        <f t="shared" si="16"/>
        <v>0</v>
      </c>
      <c r="AB37" s="264">
        <f t="shared" si="63"/>
        <v>0</v>
      </c>
      <c r="AC37" s="264">
        <f t="shared" si="64"/>
        <v>0</v>
      </c>
      <c r="AD37" s="264">
        <f t="shared" si="17"/>
        <v>0</v>
      </c>
      <c r="AE37" s="264">
        <f t="shared" si="18"/>
        <v>0</v>
      </c>
      <c r="AF37" s="264">
        <f t="shared" si="19"/>
        <v>0</v>
      </c>
      <c r="AG37" s="264">
        <f t="shared" si="20"/>
        <v>0</v>
      </c>
      <c r="AH37" s="264">
        <f t="shared" si="65"/>
        <v>0</v>
      </c>
      <c r="AI37" s="264">
        <f t="shared" si="66"/>
        <v>0</v>
      </c>
      <c r="AJ37" s="264">
        <f t="shared" si="67"/>
        <v>0</v>
      </c>
      <c r="AK37" s="264">
        <f t="shared" si="68"/>
        <v>0</v>
      </c>
      <c r="AL37" s="264">
        <f t="shared" si="69"/>
        <v>0</v>
      </c>
      <c r="AM37" s="264">
        <f t="shared" si="70"/>
        <v>0</v>
      </c>
      <c r="AN37" s="264">
        <f t="shared" si="71"/>
        <v>0</v>
      </c>
      <c r="AO37" s="264">
        <f t="shared" si="72"/>
        <v>0</v>
      </c>
      <c r="AP37" s="264">
        <f t="shared" si="21"/>
        <v>0</v>
      </c>
      <c r="AQ37" s="264">
        <f t="shared" si="22"/>
        <v>0</v>
      </c>
      <c r="AR37" s="264">
        <f t="shared" si="23"/>
        <v>0</v>
      </c>
      <c r="AS37" s="264">
        <f t="shared" si="24"/>
        <v>0</v>
      </c>
      <c r="AT37" s="264">
        <f t="shared" si="73"/>
        <v>0</v>
      </c>
      <c r="AU37" s="264">
        <f t="shared" si="74"/>
        <v>0</v>
      </c>
      <c r="AV37" s="264">
        <f t="shared" si="25"/>
        <v>0</v>
      </c>
      <c r="AW37" s="264">
        <f t="shared" si="26"/>
        <v>0</v>
      </c>
      <c r="AX37" s="264">
        <f t="shared" si="27"/>
        <v>0</v>
      </c>
      <c r="AY37" s="264">
        <f t="shared" si="28"/>
        <v>0</v>
      </c>
      <c r="AZ37" s="264">
        <f t="shared" si="29"/>
        <v>0</v>
      </c>
      <c r="BA37" s="264">
        <f t="shared" si="30"/>
        <v>0</v>
      </c>
      <c r="BB37" s="264">
        <f t="shared" si="31"/>
        <v>0</v>
      </c>
      <c r="BC37" s="264">
        <f t="shared" si="32"/>
        <v>0</v>
      </c>
      <c r="BD37" s="264">
        <f t="shared" si="33"/>
        <v>0</v>
      </c>
      <c r="BE37" s="264">
        <f t="shared" si="34"/>
        <v>0</v>
      </c>
      <c r="BF37" s="264">
        <f t="shared" si="35"/>
        <v>0</v>
      </c>
      <c r="BG37" s="264">
        <f t="shared" si="36"/>
        <v>0</v>
      </c>
      <c r="BH37" s="264">
        <f t="shared" si="75"/>
        <v>0</v>
      </c>
      <c r="BI37" s="264">
        <f t="shared" si="76"/>
        <v>0</v>
      </c>
      <c r="BJ37" s="264">
        <f t="shared" si="37"/>
        <v>0</v>
      </c>
      <c r="BK37" s="264">
        <f t="shared" si="38"/>
        <v>0</v>
      </c>
      <c r="BL37" s="264">
        <f t="shared" si="39"/>
        <v>0</v>
      </c>
      <c r="BM37" s="264">
        <f t="shared" si="40"/>
        <v>0</v>
      </c>
      <c r="BN37" s="264">
        <f t="shared" si="41"/>
        <v>0</v>
      </c>
      <c r="BO37" s="264">
        <f t="shared" si="42"/>
        <v>0</v>
      </c>
      <c r="BP37" s="264">
        <f t="shared" si="77"/>
        <v>0</v>
      </c>
      <c r="BQ37" s="264">
        <f t="shared" si="78"/>
        <v>0</v>
      </c>
      <c r="BR37" s="264">
        <f t="shared" si="43"/>
        <v>0</v>
      </c>
      <c r="BS37" s="264">
        <f t="shared" si="44"/>
        <v>0</v>
      </c>
      <c r="BT37" s="264">
        <f t="shared" si="79"/>
        <v>0</v>
      </c>
      <c r="BU37" s="264">
        <f t="shared" si="80"/>
        <v>0</v>
      </c>
      <c r="BV37" s="264">
        <f t="shared" si="81"/>
        <v>0</v>
      </c>
      <c r="BW37" s="264">
        <f t="shared" si="82"/>
        <v>0</v>
      </c>
      <c r="BX37" s="264">
        <f t="shared" si="45"/>
        <v>0</v>
      </c>
      <c r="BY37" s="264">
        <f t="shared" si="46"/>
        <v>0</v>
      </c>
      <c r="BZ37" s="264">
        <f t="shared" si="47"/>
        <v>0</v>
      </c>
      <c r="CA37" s="264">
        <f t="shared" si="48"/>
        <v>0</v>
      </c>
      <c r="CB37" s="264">
        <f t="shared" si="49"/>
        <v>0</v>
      </c>
      <c r="CC37" s="264">
        <f t="shared" si="50"/>
        <v>0</v>
      </c>
      <c r="CD37" s="264">
        <f t="shared" si="83"/>
        <v>0</v>
      </c>
      <c r="CE37" s="264">
        <f t="shared" si="84"/>
        <v>0</v>
      </c>
      <c r="CF37" s="264">
        <f t="shared" si="85"/>
        <v>0</v>
      </c>
      <c r="CG37" s="264">
        <f t="shared" si="86"/>
        <v>0</v>
      </c>
      <c r="CH37" s="264">
        <f t="shared" si="51"/>
        <v>0</v>
      </c>
      <c r="CI37" s="264">
        <f t="shared" si="52"/>
        <v>0</v>
      </c>
      <c r="CJ37" s="264">
        <f t="shared" si="87"/>
        <v>0</v>
      </c>
      <c r="CK37" s="264">
        <f t="shared" si="88"/>
        <v>0</v>
      </c>
      <c r="CL37" s="264">
        <f t="shared" si="53"/>
        <v>0</v>
      </c>
      <c r="CM37" s="264">
        <f t="shared" si="54"/>
        <v>0</v>
      </c>
      <c r="CN37" s="264">
        <f t="shared" si="55"/>
        <v>0</v>
      </c>
      <c r="CO37" s="264">
        <f t="shared" si="56"/>
        <v>0</v>
      </c>
      <c r="CP37" s="264">
        <f t="shared" si="89"/>
        <v>0</v>
      </c>
      <c r="CQ37" s="264">
        <f t="shared" si="90"/>
        <v>0</v>
      </c>
      <c r="CR37" s="264">
        <f t="shared" si="91"/>
        <v>0</v>
      </c>
      <c r="CS37" s="264">
        <f t="shared" si="92"/>
        <v>0</v>
      </c>
      <c r="CT37" s="264">
        <f t="shared" si="57"/>
        <v>0</v>
      </c>
      <c r="CU37" s="264">
        <f t="shared" si="58"/>
        <v>0</v>
      </c>
      <c r="CV37" s="264">
        <f t="shared" si="59"/>
        <v>0</v>
      </c>
      <c r="CW37" s="264">
        <f t="shared" si="60"/>
        <v>0</v>
      </c>
      <c r="CX37" s="264">
        <f t="shared" si="93"/>
        <v>0</v>
      </c>
      <c r="CY37" s="264">
        <f t="shared" si="94"/>
        <v>0</v>
      </c>
      <c r="CZ37" s="264">
        <f t="shared" si="95"/>
        <v>0</v>
      </c>
      <c r="DA37" s="264">
        <f t="shared" si="96"/>
        <v>0</v>
      </c>
    </row>
    <row r="38" spans="1:105" s="261" customFormat="1" ht="15.75" customHeight="1">
      <c r="A38" s="63" t="str">
        <f t="array" ref="A38">IF(C38&lt;&gt;0,SUM(($C$11:C38&lt;&gt;0)*1),"")</f>
        <v/>
      </c>
      <c r="B38" s="262"/>
      <c r="C38" s="262"/>
      <c r="D38" s="262"/>
      <c r="E38" s="344"/>
      <c r="F38" s="311"/>
      <c r="G38" s="313"/>
      <c r="H38" s="313"/>
      <c r="I38" s="63" t="str">
        <f t="shared" si="97"/>
        <v/>
      </c>
      <c r="J38" s="264">
        <f t="shared" si="61"/>
        <v>0</v>
      </c>
      <c r="K38" s="264">
        <f t="shared" si="62"/>
        <v>0</v>
      </c>
      <c r="L38" s="264">
        <f t="shared" si="1"/>
        <v>0</v>
      </c>
      <c r="M38" s="264">
        <f t="shared" si="2"/>
        <v>0</v>
      </c>
      <c r="N38" s="264">
        <f t="shared" si="3"/>
        <v>0</v>
      </c>
      <c r="O38" s="264">
        <f t="shared" si="4"/>
        <v>0</v>
      </c>
      <c r="P38" s="264">
        <f t="shared" si="5"/>
        <v>0</v>
      </c>
      <c r="Q38" s="264">
        <f t="shared" si="6"/>
        <v>0</v>
      </c>
      <c r="R38" s="264">
        <f t="shared" si="7"/>
        <v>0</v>
      </c>
      <c r="S38" s="264">
        <f t="shared" si="8"/>
        <v>0</v>
      </c>
      <c r="T38" s="264">
        <f t="shared" si="9"/>
        <v>0</v>
      </c>
      <c r="U38" s="264">
        <f t="shared" si="10"/>
        <v>0</v>
      </c>
      <c r="V38" s="264">
        <f t="shared" si="11"/>
        <v>0</v>
      </c>
      <c r="W38" s="264">
        <f t="shared" si="12"/>
        <v>0</v>
      </c>
      <c r="X38" s="264">
        <f t="shared" si="13"/>
        <v>0</v>
      </c>
      <c r="Y38" s="264">
        <f t="shared" si="14"/>
        <v>0</v>
      </c>
      <c r="Z38" s="264">
        <f t="shared" si="15"/>
        <v>0</v>
      </c>
      <c r="AA38" s="264">
        <f t="shared" si="16"/>
        <v>0</v>
      </c>
      <c r="AB38" s="264">
        <f t="shared" si="63"/>
        <v>0</v>
      </c>
      <c r="AC38" s="264">
        <f t="shared" si="64"/>
        <v>0</v>
      </c>
      <c r="AD38" s="264">
        <f t="shared" si="17"/>
        <v>0</v>
      </c>
      <c r="AE38" s="264">
        <f t="shared" si="18"/>
        <v>0</v>
      </c>
      <c r="AF38" s="264">
        <f t="shared" si="19"/>
        <v>0</v>
      </c>
      <c r="AG38" s="264">
        <f t="shared" si="20"/>
        <v>0</v>
      </c>
      <c r="AH38" s="264">
        <f t="shared" si="65"/>
        <v>0</v>
      </c>
      <c r="AI38" s="264">
        <f t="shared" si="66"/>
        <v>0</v>
      </c>
      <c r="AJ38" s="264">
        <f t="shared" si="67"/>
        <v>0</v>
      </c>
      <c r="AK38" s="264">
        <f t="shared" si="68"/>
        <v>0</v>
      </c>
      <c r="AL38" s="264">
        <f t="shared" si="69"/>
        <v>0</v>
      </c>
      <c r="AM38" s="264">
        <f t="shared" si="70"/>
        <v>0</v>
      </c>
      <c r="AN38" s="264">
        <f t="shared" si="71"/>
        <v>0</v>
      </c>
      <c r="AO38" s="264">
        <f t="shared" si="72"/>
        <v>0</v>
      </c>
      <c r="AP38" s="264">
        <f t="shared" si="21"/>
        <v>0</v>
      </c>
      <c r="AQ38" s="264">
        <f t="shared" si="22"/>
        <v>0</v>
      </c>
      <c r="AR38" s="264">
        <f t="shared" si="23"/>
        <v>0</v>
      </c>
      <c r="AS38" s="264">
        <f t="shared" si="24"/>
        <v>0</v>
      </c>
      <c r="AT38" s="264">
        <f t="shared" si="73"/>
        <v>0</v>
      </c>
      <c r="AU38" s="264">
        <f t="shared" si="74"/>
        <v>0</v>
      </c>
      <c r="AV38" s="264">
        <f t="shared" si="25"/>
        <v>0</v>
      </c>
      <c r="AW38" s="264">
        <f t="shared" si="26"/>
        <v>0</v>
      </c>
      <c r="AX38" s="264">
        <f t="shared" si="27"/>
        <v>0</v>
      </c>
      <c r="AY38" s="264">
        <f t="shared" si="28"/>
        <v>0</v>
      </c>
      <c r="AZ38" s="264">
        <f t="shared" si="29"/>
        <v>0</v>
      </c>
      <c r="BA38" s="264">
        <f t="shared" si="30"/>
        <v>0</v>
      </c>
      <c r="BB38" s="264">
        <f t="shared" si="31"/>
        <v>0</v>
      </c>
      <c r="BC38" s="264">
        <f t="shared" si="32"/>
        <v>0</v>
      </c>
      <c r="BD38" s="264">
        <f t="shared" si="33"/>
        <v>0</v>
      </c>
      <c r="BE38" s="264">
        <f t="shared" si="34"/>
        <v>0</v>
      </c>
      <c r="BF38" s="264">
        <f t="shared" si="35"/>
        <v>0</v>
      </c>
      <c r="BG38" s="264">
        <f t="shared" si="36"/>
        <v>0</v>
      </c>
      <c r="BH38" s="264">
        <f t="shared" si="75"/>
        <v>0</v>
      </c>
      <c r="BI38" s="264">
        <f t="shared" si="76"/>
        <v>0</v>
      </c>
      <c r="BJ38" s="264">
        <f t="shared" si="37"/>
        <v>0</v>
      </c>
      <c r="BK38" s="264">
        <f t="shared" si="38"/>
        <v>0</v>
      </c>
      <c r="BL38" s="264">
        <f t="shared" si="39"/>
        <v>0</v>
      </c>
      <c r="BM38" s="264">
        <f t="shared" si="40"/>
        <v>0</v>
      </c>
      <c r="BN38" s="264">
        <f t="shared" si="41"/>
        <v>0</v>
      </c>
      <c r="BO38" s="264">
        <f t="shared" si="42"/>
        <v>0</v>
      </c>
      <c r="BP38" s="264">
        <f t="shared" si="77"/>
        <v>0</v>
      </c>
      <c r="BQ38" s="264">
        <f t="shared" si="78"/>
        <v>0</v>
      </c>
      <c r="BR38" s="264">
        <f t="shared" si="43"/>
        <v>0</v>
      </c>
      <c r="BS38" s="264">
        <f t="shared" si="44"/>
        <v>0</v>
      </c>
      <c r="BT38" s="264">
        <f t="shared" si="79"/>
        <v>0</v>
      </c>
      <c r="BU38" s="264">
        <f t="shared" si="80"/>
        <v>0</v>
      </c>
      <c r="BV38" s="264">
        <f t="shared" si="81"/>
        <v>0</v>
      </c>
      <c r="BW38" s="264">
        <f t="shared" si="82"/>
        <v>0</v>
      </c>
      <c r="BX38" s="264">
        <f t="shared" si="45"/>
        <v>0</v>
      </c>
      <c r="BY38" s="264">
        <f t="shared" si="46"/>
        <v>0</v>
      </c>
      <c r="BZ38" s="264">
        <f t="shared" si="47"/>
        <v>0</v>
      </c>
      <c r="CA38" s="264">
        <f t="shared" si="48"/>
        <v>0</v>
      </c>
      <c r="CB38" s="264">
        <f t="shared" si="49"/>
        <v>0</v>
      </c>
      <c r="CC38" s="264">
        <f t="shared" si="50"/>
        <v>0</v>
      </c>
      <c r="CD38" s="264">
        <f t="shared" si="83"/>
        <v>0</v>
      </c>
      <c r="CE38" s="264">
        <f t="shared" si="84"/>
        <v>0</v>
      </c>
      <c r="CF38" s="264">
        <f t="shared" si="85"/>
        <v>0</v>
      </c>
      <c r="CG38" s="264">
        <f t="shared" si="86"/>
        <v>0</v>
      </c>
      <c r="CH38" s="264">
        <f t="shared" si="51"/>
        <v>0</v>
      </c>
      <c r="CI38" s="264">
        <f t="shared" si="52"/>
        <v>0</v>
      </c>
      <c r="CJ38" s="264">
        <f t="shared" si="87"/>
        <v>0</v>
      </c>
      <c r="CK38" s="264">
        <f t="shared" si="88"/>
        <v>0</v>
      </c>
      <c r="CL38" s="264">
        <f t="shared" si="53"/>
        <v>0</v>
      </c>
      <c r="CM38" s="264">
        <f t="shared" si="54"/>
        <v>0</v>
      </c>
      <c r="CN38" s="264">
        <f t="shared" si="55"/>
        <v>0</v>
      </c>
      <c r="CO38" s="264">
        <f t="shared" si="56"/>
        <v>0</v>
      </c>
      <c r="CP38" s="264">
        <f t="shared" si="89"/>
        <v>0</v>
      </c>
      <c r="CQ38" s="264">
        <f t="shared" si="90"/>
        <v>0</v>
      </c>
      <c r="CR38" s="264">
        <f t="shared" si="91"/>
        <v>0</v>
      </c>
      <c r="CS38" s="264">
        <f t="shared" si="92"/>
        <v>0</v>
      </c>
      <c r="CT38" s="264">
        <f t="shared" si="57"/>
        <v>0</v>
      </c>
      <c r="CU38" s="264">
        <f t="shared" si="58"/>
        <v>0</v>
      </c>
      <c r="CV38" s="264">
        <f t="shared" si="59"/>
        <v>0</v>
      </c>
      <c r="CW38" s="264">
        <f t="shared" si="60"/>
        <v>0</v>
      </c>
      <c r="CX38" s="264">
        <f t="shared" si="93"/>
        <v>0</v>
      </c>
      <c r="CY38" s="264">
        <f t="shared" si="94"/>
        <v>0</v>
      </c>
      <c r="CZ38" s="264">
        <f t="shared" si="95"/>
        <v>0</v>
      </c>
      <c r="DA38" s="264">
        <f t="shared" si="96"/>
        <v>0</v>
      </c>
    </row>
    <row r="39" spans="1:105" s="261" customFormat="1" ht="15.75" customHeight="1">
      <c r="A39" s="63" t="str">
        <f t="array" ref="A39">IF(C39&lt;&gt;0,SUM(($C$11:C39&lt;&gt;0)*1),"")</f>
        <v/>
      </c>
      <c r="B39" s="262"/>
      <c r="C39" s="262"/>
      <c r="D39" s="262"/>
      <c r="E39" s="344"/>
      <c r="F39" s="311"/>
      <c r="G39" s="313"/>
      <c r="H39" s="313"/>
      <c r="I39" s="63" t="str">
        <f t="shared" si="97"/>
        <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si="73"/>
        <v>0</v>
      </c>
      <c r="AU39" s="264">
        <f t="shared" si="74"/>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si="81"/>
        <v>0</v>
      </c>
      <c r="BW39" s="264">
        <f t="shared" si="82"/>
        <v>0</v>
      </c>
      <c r="BX39" s="264">
        <f t="shared" si="45"/>
        <v>0</v>
      </c>
      <c r="BY39" s="264">
        <f t="shared" si="46"/>
        <v>0</v>
      </c>
      <c r="BZ39" s="264">
        <f t="shared" si="47"/>
        <v>0</v>
      </c>
      <c r="CA39" s="264">
        <f t="shared" si="48"/>
        <v>0</v>
      </c>
      <c r="CB39" s="264">
        <f t="shared" si="49"/>
        <v>0</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5.75" customHeight="1">
      <c r="A40" s="63">
        <f t="array" aca="1" ref="A40" ca="1">IF(C40&lt;&gt;0,SUM(($C$11:C40&lt;&gt;0)*1),"")</f>
        <v>2</v>
      </c>
      <c r="B40" s="262">
        <v>42643</v>
      </c>
      <c r="C40" s="265" t="s">
        <v>115</v>
      </c>
      <c r="D40" s="265">
        <f t="shared" ref="D40:D50" si="98">B40</f>
        <v>42643</v>
      </c>
      <c r="E40" s="915" t="s">
        <v>668</v>
      </c>
      <c r="F40" s="916">
        <f ca="1">AY52</f>
        <v>0</v>
      </c>
      <c r="G40" s="917" t="s">
        <v>673</v>
      </c>
      <c r="H40" s="917" t="s">
        <v>9</v>
      </c>
      <c r="I40" s="63">
        <f t="shared" ca="1" si="97"/>
        <v>2</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73"/>
        <v>0</v>
      </c>
      <c r="AU40" s="264">
        <f t="shared" si="74"/>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81"/>
        <v>0</v>
      </c>
      <c r="BW40" s="264">
        <f t="shared" si="8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5.75" customHeight="1">
      <c r="A41" s="63">
        <f t="array" aca="1" ref="A41" ca="1">IF(C41&lt;&gt;0,SUM(($C$11:C41&lt;&gt;0)*1),"")</f>
        <v>3</v>
      </c>
      <c r="B41" s="262">
        <v>42643</v>
      </c>
      <c r="C41" s="265" t="s">
        <v>115</v>
      </c>
      <c r="D41" s="265">
        <f t="shared" si="98"/>
        <v>42643</v>
      </c>
      <c r="E41" s="915" t="s">
        <v>669</v>
      </c>
      <c r="F41" s="916">
        <f ca="1">CL52</f>
        <v>0</v>
      </c>
      <c r="G41" s="917" t="s">
        <v>109</v>
      </c>
      <c r="H41" s="917" t="s">
        <v>295</v>
      </c>
      <c r="I41" s="63">
        <f t="shared" ca="1" si="97"/>
        <v>3</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73"/>
        <v>0</v>
      </c>
      <c r="AU41" s="264">
        <f t="shared" si="74"/>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81"/>
        <v>0</v>
      </c>
      <c r="BW41" s="264">
        <f t="shared" si="8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5.75" customHeight="1">
      <c r="A42" s="63">
        <f t="array" aca="1" ref="A42" ca="1">IF(C42&lt;&gt;0,SUM(($C$11:C42&lt;&gt;0)*1),"")</f>
        <v>4</v>
      </c>
      <c r="B42" s="262">
        <v>42643</v>
      </c>
      <c r="C42" s="265" t="s">
        <v>115</v>
      </c>
      <c r="D42" s="265">
        <f t="shared" si="98"/>
        <v>42643</v>
      </c>
      <c r="E42" s="915" t="s">
        <v>116</v>
      </c>
      <c r="F42" s="916">
        <f ca="1">CN52</f>
        <v>0</v>
      </c>
      <c r="G42" s="917" t="s">
        <v>109</v>
      </c>
      <c r="H42" s="917" t="s">
        <v>99</v>
      </c>
      <c r="I42" s="63">
        <f t="shared" ca="1" si="97"/>
        <v>4</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73"/>
        <v>0</v>
      </c>
      <c r="AU42" s="264">
        <f t="shared" si="74"/>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81"/>
        <v>0</v>
      </c>
      <c r="BW42" s="264">
        <f t="shared" si="8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5.75" customHeight="1">
      <c r="A43" s="63">
        <f t="array" aca="1" ref="A43" ca="1">IF(C43&lt;&gt;0,SUM(($C$11:C43&lt;&gt;0)*1),"")</f>
        <v>5</v>
      </c>
      <c r="B43" s="262">
        <v>42643</v>
      </c>
      <c r="C43" s="265" t="s">
        <v>115</v>
      </c>
      <c r="D43" s="265">
        <f t="shared" si="98"/>
        <v>42643</v>
      </c>
      <c r="E43" s="915" t="s">
        <v>670</v>
      </c>
      <c r="F43" s="916">
        <f ca="1">CP52</f>
        <v>0</v>
      </c>
      <c r="G43" s="917" t="s">
        <v>109</v>
      </c>
      <c r="H43" s="917" t="s">
        <v>584</v>
      </c>
      <c r="I43" s="63">
        <f t="shared" ca="1" si="97"/>
        <v>5</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73"/>
        <v>0</v>
      </c>
      <c r="AU43" s="264">
        <f t="shared" si="74"/>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81"/>
        <v>0</v>
      </c>
      <c r="BW43" s="264">
        <f t="shared" si="8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5.75" customHeight="1">
      <c r="A44" s="63">
        <f t="array" aca="1" ref="A44" ca="1">IF(C44&lt;&gt;0,SUM(($C$11:C44&lt;&gt;0)*1),"")</f>
        <v>6</v>
      </c>
      <c r="B44" s="262">
        <v>42643</v>
      </c>
      <c r="C44" s="265" t="s">
        <v>115</v>
      </c>
      <c r="D44" s="265">
        <f t="shared" si="98"/>
        <v>42643</v>
      </c>
      <c r="E44" s="915" t="s">
        <v>117</v>
      </c>
      <c r="F44" s="916">
        <f ca="1">CR52</f>
        <v>0</v>
      </c>
      <c r="G44" s="917" t="s">
        <v>109</v>
      </c>
      <c r="H44" s="917" t="s">
        <v>101</v>
      </c>
      <c r="I44" s="63">
        <f t="shared" ca="1" si="97"/>
        <v>6</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73"/>
        <v>0</v>
      </c>
      <c r="AU44" s="264">
        <f t="shared" si="74"/>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81"/>
        <v>0</v>
      </c>
      <c r="BW44" s="264">
        <f t="shared" si="8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5.75" customHeight="1">
      <c r="A45" s="63">
        <f t="array" aca="1" ref="A45" ca="1">IF(C45&lt;&gt;0,SUM(($C$11:C45&lt;&gt;0)*1),"")</f>
        <v>7</v>
      </c>
      <c r="B45" s="262">
        <v>42643</v>
      </c>
      <c r="C45" s="265" t="s">
        <v>115</v>
      </c>
      <c r="D45" s="265">
        <f t="shared" si="98"/>
        <v>42643</v>
      </c>
      <c r="E45" s="915" t="s">
        <v>215</v>
      </c>
      <c r="F45" s="916"/>
      <c r="G45" s="917" t="s">
        <v>109</v>
      </c>
      <c r="H45" s="917" t="s">
        <v>94</v>
      </c>
      <c r="I45" s="63">
        <f t="shared" ca="1" si="97"/>
        <v>7</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73"/>
        <v>0</v>
      </c>
      <c r="AU45" s="264">
        <f t="shared" si="74"/>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81"/>
        <v>0</v>
      </c>
      <c r="BW45" s="264">
        <f t="shared" si="8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5.75" customHeight="1">
      <c r="A46" s="63">
        <f t="array" aca="1" ref="A46" ca="1">IF(C46&lt;&gt;0,SUM(($C$11:C46&lt;&gt;0)*1),"")</f>
        <v>8</v>
      </c>
      <c r="B46" s="262">
        <v>42643</v>
      </c>
      <c r="C46" s="265" t="s">
        <v>115</v>
      </c>
      <c r="D46" s="265">
        <f t="shared" si="98"/>
        <v>42643</v>
      </c>
      <c r="E46" s="915" t="s">
        <v>118</v>
      </c>
      <c r="F46" s="916">
        <f ca="1">CI52</f>
        <v>0</v>
      </c>
      <c r="G46" s="917" t="s">
        <v>43</v>
      </c>
      <c r="H46" s="917" t="s">
        <v>109</v>
      </c>
      <c r="I46" s="63">
        <f t="shared" ca="1" si="97"/>
        <v>8</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73"/>
        <v>0</v>
      </c>
      <c r="AU46" s="264">
        <f t="shared" si="74"/>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81"/>
        <v>0</v>
      </c>
      <c r="BW46" s="264">
        <f t="shared" si="8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5.75" customHeight="1">
      <c r="A47" s="63">
        <f t="array" aca="1" ref="A47" ca="1">IF(C47&lt;&gt;0,SUM(($C$11:C47&lt;&gt;0)*1),"")</f>
        <v>9</v>
      </c>
      <c r="B47" s="262">
        <v>42643</v>
      </c>
      <c r="C47" s="265" t="s">
        <v>115</v>
      </c>
      <c r="D47" s="265">
        <f t="shared" si="98"/>
        <v>42643</v>
      </c>
      <c r="E47" s="915" t="s">
        <v>671</v>
      </c>
      <c r="F47" s="916">
        <f ca="1">CE52</f>
        <v>0</v>
      </c>
      <c r="G47" s="917" t="s">
        <v>297</v>
      </c>
      <c r="H47" s="917" t="s">
        <v>109</v>
      </c>
      <c r="I47" s="63">
        <f t="shared" ca="1" si="97"/>
        <v>9</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73"/>
        <v>0</v>
      </c>
      <c r="AU47" s="264">
        <f t="shared" si="74"/>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81"/>
        <v>0</v>
      </c>
      <c r="BW47" s="264">
        <f t="shared" si="8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5.75" customHeight="1">
      <c r="A48" s="63">
        <f t="array" aca="1" ref="A48" ca="1">IF(C48&lt;&gt;0,SUM(($C$11:C48&lt;&gt;0)*1),"")</f>
        <v>10</v>
      </c>
      <c r="B48" s="262">
        <v>42643</v>
      </c>
      <c r="C48" s="265" t="s">
        <v>115</v>
      </c>
      <c r="D48" s="265">
        <f t="shared" si="98"/>
        <v>42643</v>
      </c>
      <c r="E48" s="915" t="s">
        <v>672</v>
      </c>
      <c r="F48" s="916">
        <f ca="1">CG52</f>
        <v>0</v>
      </c>
      <c r="G48" s="917" t="s">
        <v>299</v>
      </c>
      <c r="H48" s="917" t="s">
        <v>109</v>
      </c>
      <c r="I48" s="63">
        <f t="shared" ca="1" si="97"/>
        <v>10</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73"/>
        <v>0</v>
      </c>
      <c r="AU48" s="264">
        <f t="shared" si="74"/>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81"/>
        <v>0</v>
      </c>
      <c r="BW48" s="264">
        <f t="shared" si="8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5.75" customHeight="1">
      <c r="A49" s="63">
        <f t="array" aca="1" ref="A49" ca="1">IF(C49&lt;&gt;0,SUM(($C$11:C49&lt;&gt;0)*1),"")</f>
        <v>11</v>
      </c>
      <c r="B49" s="262">
        <v>42643</v>
      </c>
      <c r="C49" s="265" t="s">
        <v>115</v>
      </c>
      <c r="D49" s="265">
        <f t="shared" si="98"/>
        <v>42643</v>
      </c>
      <c r="E49" s="915" t="s">
        <v>119</v>
      </c>
      <c r="F49" s="916">
        <f ca="1">CU52</f>
        <v>0</v>
      </c>
      <c r="G49" s="917" t="s">
        <v>103</v>
      </c>
      <c r="H49" s="917" t="s">
        <v>109</v>
      </c>
      <c r="I49" s="63">
        <f t="shared" ca="1" si="97"/>
        <v>11</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73"/>
        <v>0</v>
      </c>
      <c r="AU49" s="264">
        <f t="shared" si="74"/>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81"/>
        <v>0</v>
      </c>
      <c r="BW49" s="264">
        <f t="shared" si="8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5.75" customHeight="1">
      <c r="A50" s="63">
        <f t="array" aca="1" ref="A50" ca="1">IF(C50&lt;&gt;0,SUM(($C$11:C50&lt;&gt;0)*1),"")</f>
        <v>12</v>
      </c>
      <c r="B50" s="262">
        <v>42643</v>
      </c>
      <c r="C50" s="265" t="s">
        <v>115</v>
      </c>
      <c r="D50" s="265">
        <f t="shared" si="98"/>
        <v>42643</v>
      </c>
      <c r="E50" s="915" t="s">
        <v>120</v>
      </c>
      <c r="F50" s="916">
        <f ca="1">CV52</f>
        <v>0</v>
      </c>
      <c r="G50" s="917" t="s">
        <v>109</v>
      </c>
      <c r="H50" s="917" t="s">
        <v>105</v>
      </c>
      <c r="I50" s="63">
        <f t="shared" ca="1" si="97"/>
        <v>12</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73"/>
        <v>0</v>
      </c>
      <c r="AU50" s="264">
        <f t="shared" si="74"/>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81"/>
        <v>0</v>
      </c>
      <c r="BW50" s="264">
        <f t="shared" si="8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5.75" customHeight="1">
      <c r="A51" s="63" t="str">
        <f t="array" ref="A51">IF(C51&lt;&gt;0,SUM(($C$11:C51&lt;&gt;0)*1),"")</f>
        <v/>
      </c>
      <c r="B51" s="228"/>
      <c r="C51" s="266"/>
      <c r="D51" s="228"/>
      <c r="E51" s="263"/>
      <c r="F51" s="65"/>
      <c r="G51" s="267"/>
      <c r="H51" s="267"/>
      <c r="I51" s="63" t="str">
        <f>A51</f>
        <v/>
      </c>
      <c r="J51" s="264">
        <f>IF($G51="1111",$F51,0)</f>
        <v>0</v>
      </c>
      <c r="K51" s="264">
        <f>IF($H51="1111",$F51,0)</f>
        <v>0</v>
      </c>
      <c r="L51" s="264">
        <f>IF($G51="1121",$F51,0)</f>
        <v>0</v>
      </c>
      <c r="M51" s="264">
        <f>IF($H51="1121",$F51,0)</f>
        <v>0</v>
      </c>
      <c r="N51" s="264">
        <f>IF($G51="1122",$F51,0)</f>
        <v>0</v>
      </c>
      <c r="O51" s="264">
        <f>IF($H51="1122",$F51,0)</f>
        <v>0</v>
      </c>
      <c r="P51" s="264">
        <f>IF($G51="131",$F51,0)</f>
        <v>0</v>
      </c>
      <c r="Q51" s="264">
        <f>IF($H51="131",$F51,0)</f>
        <v>0</v>
      </c>
      <c r="R51" s="264">
        <f>IF($G51="1331",$F51,0)</f>
        <v>0</v>
      </c>
      <c r="S51" s="264">
        <f>IF($H51="1331",$F51,0)</f>
        <v>0</v>
      </c>
      <c r="T51" s="264">
        <f>IF($G51="1388",$F51,0)</f>
        <v>0</v>
      </c>
      <c r="U51" s="264">
        <f>IF($H51="1388",$F51,0)</f>
        <v>0</v>
      </c>
      <c r="V51" s="264">
        <f>IF($G51="141",$F51,0)</f>
        <v>0</v>
      </c>
      <c r="W51" s="264">
        <f>IF($H51="141",$F51,0)</f>
        <v>0</v>
      </c>
      <c r="X51" s="264">
        <f>IF($G51="1521",$F51,0)</f>
        <v>0</v>
      </c>
      <c r="Y51" s="264">
        <f>IF($H51="1521",$F51,0)</f>
        <v>0</v>
      </c>
      <c r="Z51" s="264">
        <f>IF($G51="1522",$F51,0)</f>
        <v>0</v>
      </c>
      <c r="AA51" s="264">
        <f>IF($H51="1522",$F51,0)</f>
        <v>0</v>
      </c>
      <c r="AB51" s="264">
        <f>IF($G51="153",$F51,0)</f>
        <v>0</v>
      </c>
      <c r="AC51" s="264">
        <f>IF($H51="153",$F51,0)</f>
        <v>0</v>
      </c>
      <c r="AD51" s="264">
        <f>IF($G51="154",$F51,0)</f>
        <v>0</v>
      </c>
      <c r="AE51" s="264">
        <f>IF($H51="154",$F51,0)</f>
        <v>0</v>
      </c>
      <c r="AF51" s="264">
        <f>IF($G51="155",$F51,0)</f>
        <v>0</v>
      </c>
      <c r="AG51" s="264">
        <f>IF($H51="155",$F51,0)</f>
        <v>0</v>
      </c>
      <c r="AH51" s="264">
        <f>IF($G51="2111",$F51,0)</f>
        <v>0</v>
      </c>
      <c r="AI51" s="264">
        <f>IF($H51="2111",$F51,0)</f>
        <v>0</v>
      </c>
      <c r="AJ51" s="264">
        <f>IF($G51="2112",$F51,0)</f>
        <v>0</v>
      </c>
      <c r="AK51" s="264">
        <f>IF($H51="2112",$F51,0)</f>
        <v>0</v>
      </c>
      <c r="AL51" s="264">
        <f>IF($G51="2113",$F51,0)</f>
        <v>0</v>
      </c>
      <c r="AM51" s="264">
        <f>IF($H51="2113",$F51,0)</f>
        <v>0</v>
      </c>
      <c r="AN51" s="264">
        <f>IF($G51="2131",$F51,0)</f>
        <v>0</v>
      </c>
      <c r="AO51" s="264">
        <f>IF($H51="2131",$F51,0)</f>
        <v>0</v>
      </c>
      <c r="AP51" s="264">
        <f>IF($G51="2141",$F51,0)</f>
        <v>0</v>
      </c>
      <c r="AQ51" s="264">
        <f>IF($H51="2141",$F51,0)</f>
        <v>0</v>
      </c>
      <c r="AR51" s="264">
        <f>IF($G51="2143",$F51,0)</f>
        <v>0</v>
      </c>
      <c r="AS51" s="264">
        <f>IF($H51="2143",$F51,0)</f>
        <v>0</v>
      </c>
      <c r="AT51" s="264">
        <f>IF($G51="2412",$F51,0)</f>
        <v>0</v>
      </c>
      <c r="AU51" s="264">
        <f>IF($H51="2412",$F51,0)</f>
        <v>0</v>
      </c>
      <c r="AV51" s="264">
        <f>IF($G51="331",$F51,0)</f>
        <v>0</v>
      </c>
      <c r="AW51" s="264">
        <f>IF($H51="331",$F51,0)</f>
        <v>0</v>
      </c>
      <c r="AX51" s="264">
        <f>IF($G51="33311",$F51,0)</f>
        <v>0</v>
      </c>
      <c r="AY51" s="264">
        <f>IF($H51="33311",$F51,0)</f>
        <v>0</v>
      </c>
      <c r="AZ51" s="264">
        <f>IF($G51="33312",$F51,0)</f>
        <v>0</v>
      </c>
      <c r="BA51" s="264">
        <f>IF($H51="33312",$F51,0)</f>
        <v>0</v>
      </c>
      <c r="BB51" s="264">
        <f>IF($G51="3333",$F51,0)</f>
        <v>0</v>
      </c>
      <c r="BC51" s="264">
        <f>IF($H51="3333",$F51,0)</f>
        <v>0</v>
      </c>
      <c r="BD51" s="264">
        <f>IF($G51="3334",$F51,0)</f>
        <v>0</v>
      </c>
      <c r="BE51" s="264">
        <f>IF($H51="3334",$F51,0)</f>
        <v>0</v>
      </c>
      <c r="BF51" s="264">
        <f>IF($G51="3335",$F51,0)</f>
        <v>0</v>
      </c>
      <c r="BG51" s="264">
        <f>IF($H51="3335",$F51,0)</f>
        <v>0</v>
      </c>
      <c r="BH51" s="264">
        <f>IF($G51="33382",$F51,0)</f>
        <v>0</v>
      </c>
      <c r="BI51" s="264">
        <f>IF($H51="33382",$F51,0)</f>
        <v>0</v>
      </c>
      <c r="BJ51" s="264">
        <f>IF($G51="3341",$F51,0)</f>
        <v>0</v>
      </c>
      <c r="BK51" s="264">
        <f>IF($H51="3341",$F51,0)</f>
        <v>0</v>
      </c>
      <c r="BL51" s="264">
        <f>IF($G51="3383",$F51,0)</f>
        <v>0</v>
      </c>
      <c r="BM51" s="264">
        <f>IF($H51="3383",$F51,0)</f>
        <v>0</v>
      </c>
      <c r="BN51" s="264">
        <f>IF($G51="3384",$F51,0)</f>
        <v>0</v>
      </c>
      <c r="BO51" s="264">
        <f>IF($H51="3384",$F51,0)</f>
        <v>0</v>
      </c>
      <c r="BP51" s="264">
        <f>IF($G51="3386",$F51,0)</f>
        <v>0</v>
      </c>
      <c r="BQ51" s="264">
        <f>IF($H51="3386",$F51,0)</f>
        <v>0</v>
      </c>
      <c r="BR51" s="264">
        <f>IF($G51="3388",$F51,0)</f>
        <v>0</v>
      </c>
      <c r="BS51" s="264">
        <f>IF($H51="3388",$F51,0)</f>
        <v>0</v>
      </c>
      <c r="BT51" s="264">
        <f>IF($G51="3411",$F51,0)</f>
        <v>0</v>
      </c>
      <c r="BU51" s="264">
        <f>IF($H51="3411",$F51,0)</f>
        <v>0</v>
      </c>
      <c r="BV51" s="264">
        <f>IF($G51="3412",$F51,0)</f>
        <v>0</v>
      </c>
      <c r="BW51" s="264">
        <f>IF($H51="3412",$F51,0)</f>
        <v>0</v>
      </c>
      <c r="BX51" s="264">
        <f>IF($G51="4111",$F51,0)</f>
        <v>0</v>
      </c>
      <c r="BY51" s="264">
        <f>IF($H51="4111",$F51,0)</f>
        <v>0</v>
      </c>
      <c r="BZ51" s="264">
        <f>IF($G51="4211",$F51,0)</f>
        <v>0</v>
      </c>
      <c r="CA51" s="264">
        <f>IF($H51="4211",$F51,0)</f>
        <v>0</v>
      </c>
      <c r="CB51" s="264">
        <f>IF($G51="4212",$F51,0)</f>
        <v>0</v>
      </c>
      <c r="CC51" s="264">
        <f>IF($H51="4212",$F51,0)</f>
        <v>0</v>
      </c>
      <c r="CD51" s="264">
        <f>IF($G51="5112N",$F51,0)</f>
        <v>0</v>
      </c>
      <c r="CE51" s="264">
        <f>IF($H51="5112N",$F51,0)</f>
        <v>0</v>
      </c>
      <c r="CF51" s="264">
        <f>IF($G51="5112X",$F51,0)</f>
        <v>0</v>
      </c>
      <c r="CG51" s="264">
        <f>IF($H51="5112X",$F51,0)</f>
        <v>0</v>
      </c>
      <c r="CH51" s="264">
        <f>IF($G51="515",$F51,0)</f>
        <v>0</v>
      </c>
      <c r="CI51" s="264">
        <f>IF($H51="515",$F51,0)</f>
        <v>0</v>
      </c>
      <c r="CJ51" s="264">
        <f>IF($G51="5213",$F51,0)</f>
        <v>0</v>
      </c>
      <c r="CK51" s="264">
        <f>IF($H51="5213",$F51,0)</f>
        <v>0</v>
      </c>
      <c r="CL51" s="264">
        <f>IF($G51="632",$F51,0)</f>
        <v>0</v>
      </c>
      <c r="CM51" s="264">
        <f>IF($H51="632",$F51,0)</f>
        <v>0</v>
      </c>
      <c r="CN51" s="264">
        <f>IF($G51="635",$F51,0)</f>
        <v>0</v>
      </c>
      <c r="CO51" s="264">
        <f>IF($H51="635",$F51,0)</f>
        <v>0</v>
      </c>
      <c r="CP51" s="264">
        <f>IF($G51="641",$F51,0)</f>
        <v>0</v>
      </c>
      <c r="CQ51" s="264">
        <f>IF($H51="641",$F51,0)</f>
        <v>0</v>
      </c>
      <c r="CR51" s="264">
        <f>IF($G51="642",$F51,0)</f>
        <v>0</v>
      </c>
      <c r="CS51" s="264">
        <f>IF($H51="642",$F51,0)</f>
        <v>0</v>
      </c>
      <c r="CT51" s="264">
        <f>IF($G51="711",$F51,0)</f>
        <v>0</v>
      </c>
      <c r="CU51" s="264">
        <f>IF($H51="711",$F51,0)</f>
        <v>0</v>
      </c>
      <c r="CV51" s="264">
        <f>IF($G51="811",$F51,0)</f>
        <v>0</v>
      </c>
      <c r="CW51" s="264">
        <f>IF($H51="811",$F51,0)</f>
        <v>0</v>
      </c>
      <c r="CX51" s="264">
        <f>IF($G51="821",$F51,0)</f>
        <v>0</v>
      </c>
      <c r="CY51" s="264">
        <f>IF($H51="821",$F51,0)</f>
        <v>0</v>
      </c>
      <c r="CZ51" s="264">
        <f>IF($G51="911",$F51,0)</f>
        <v>0</v>
      </c>
      <c r="DA51" s="264">
        <f>IF($H51="911",$F51,0)</f>
        <v>0</v>
      </c>
    </row>
    <row r="52" spans="1:105" s="261" customFormat="1" ht="15.75" customHeight="1">
      <c r="A52" s="268"/>
      <c r="B52" s="268"/>
      <c r="C52" s="295"/>
      <c r="D52" s="268"/>
      <c r="E52" s="263" t="s">
        <v>175</v>
      </c>
      <c r="F52" s="268"/>
      <c r="G52" s="267"/>
      <c r="H52" s="267"/>
      <c r="I52" s="268"/>
      <c r="J52" s="268">
        <f t="shared" ref="J52:AO52" ca="1" si="99">SUM(J11:J51)</f>
        <v>0</v>
      </c>
      <c r="K52" s="268">
        <f t="shared" ca="1" si="99"/>
        <v>0</v>
      </c>
      <c r="L52" s="268">
        <f t="shared" ca="1" si="99"/>
        <v>0</v>
      </c>
      <c r="M52" s="268">
        <f t="shared" ca="1" si="99"/>
        <v>0</v>
      </c>
      <c r="N52" s="268">
        <f t="shared" ca="1" si="99"/>
        <v>0</v>
      </c>
      <c r="O52" s="268">
        <f t="shared" ca="1" si="99"/>
        <v>0</v>
      </c>
      <c r="P52" s="268">
        <f t="shared" ca="1" si="99"/>
        <v>0</v>
      </c>
      <c r="Q52" s="268">
        <f t="shared" ca="1" si="99"/>
        <v>0</v>
      </c>
      <c r="R52" s="268">
        <f t="shared" ca="1" si="99"/>
        <v>0</v>
      </c>
      <c r="S52" s="268">
        <f t="shared" ca="1" si="99"/>
        <v>0</v>
      </c>
      <c r="T52" s="268">
        <f t="shared" ca="1" si="99"/>
        <v>0</v>
      </c>
      <c r="U52" s="268">
        <f t="shared" ca="1" si="99"/>
        <v>0</v>
      </c>
      <c r="V52" s="268">
        <f t="shared" ca="1" si="99"/>
        <v>0</v>
      </c>
      <c r="W52" s="268">
        <f t="shared" ca="1" si="99"/>
        <v>0</v>
      </c>
      <c r="X52" s="268">
        <f t="shared" ca="1" si="99"/>
        <v>0</v>
      </c>
      <c r="Y52" s="268">
        <f t="shared" ca="1" si="99"/>
        <v>0</v>
      </c>
      <c r="Z52" s="268">
        <f t="shared" ca="1" si="99"/>
        <v>0</v>
      </c>
      <c r="AA52" s="268">
        <f t="shared" ca="1" si="99"/>
        <v>0</v>
      </c>
      <c r="AB52" s="268">
        <f t="shared" ca="1" si="99"/>
        <v>0</v>
      </c>
      <c r="AC52" s="268">
        <f t="shared" ca="1" si="99"/>
        <v>0</v>
      </c>
      <c r="AD52" s="268">
        <f t="shared" ca="1" si="99"/>
        <v>0</v>
      </c>
      <c r="AE52" s="268">
        <f t="shared" ca="1" si="99"/>
        <v>0</v>
      </c>
      <c r="AF52" s="268">
        <f t="shared" ca="1" si="99"/>
        <v>0</v>
      </c>
      <c r="AG52" s="268">
        <f t="shared" ca="1" si="99"/>
        <v>0</v>
      </c>
      <c r="AH52" s="268">
        <f t="shared" ca="1" si="99"/>
        <v>0</v>
      </c>
      <c r="AI52" s="268">
        <f t="shared" ca="1" si="99"/>
        <v>0</v>
      </c>
      <c r="AJ52" s="268">
        <f t="shared" ca="1" si="99"/>
        <v>0</v>
      </c>
      <c r="AK52" s="268">
        <f t="shared" ca="1" si="99"/>
        <v>0</v>
      </c>
      <c r="AL52" s="268">
        <f t="shared" ca="1" si="99"/>
        <v>0</v>
      </c>
      <c r="AM52" s="268">
        <f t="shared" ca="1" si="99"/>
        <v>0</v>
      </c>
      <c r="AN52" s="268">
        <f t="shared" ca="1" si="99"/>
        <v>0</v>
      </c>
      <c r="AO52" s="268">
        <f t="shared" ca="1" si="99"/>
        <v>0</v>
      </c>
      <c r="AP52" s="268">
        <f t="shared" ref="AP52:BU52" ca="1" si="100">SUM(AP11:AP51)</f>
        <v>0</v>
      </c>
      <c r="AQ52" s="268">
        <f t="shared" ca="1" si="100"/>
        <v>0</v>
      </c>
      <c r="AR52" s="268">
        <f t="shared" ca="1" si="100"/>
        <v>0</v>
      </c>
      <c r="AS52" s="268">
        <f t="shared" ca="1" si="100"/>
        <v>0</v>
      </c>
      <c r="AT52" s="268">
        <f t="shared" ca="1" si="100"/>
        <v>0</v>
      </c>
      <c r="AU52" s="268">
        <f t="shared" ca="1" si="100"/>
        <v>0</v>
      </c>
      <c r="AV52" s="268">
        <f t="shared" ca="1" si="100"/>
        <v>0</v>
      </c>
      <c r="AW52" s="268">
        <f t="shared" ca="1" si="100"/>
        <v>0</v>
      </c>
      <c r="AX52" s="268">
        <f t="shared" ca="1" si="100"/>
        <v>0</v>
      </c>
      <c r="AY52" s="268">
        <f t="shared" ca="1" si="100"/>
        <v>0</v>
      </c>
      <c r="AZ52" s="268">
        <f t="shared" ca="1" si="100"/>
        <v>0</v>
      </c>
      <c r="BA52" s="268">
        <f t="shared" ca="1" si="100"/>
        <v>0</v>
      </c>
      <c r="BB52" s="268">
        <f t="shared" ca="1" si="100"/>
        <v>0</v>
      </c>
      <c r="BC52" s="268">
        <f t="shared" ca="1" si="100"/>
        <v>0</v>
      </c>
      <c r="BD52" s="268">
        <f t="shared" ca="1" si="100"/>
        <v>0</v>
      </c>
      <c r="BE52" s="268">
        <f t="shared" ca="1" si="100"/>
        <v>0</v>
      </c>
      <c r="BF52" s="268">
        <f t="shared" ca="1" si="100"/>
        <v>0</v>
      </c>
      <c r="BG52" s="268">
        <f t="shared" ca="1" si="100"/>
        <v>0</v>
      </c>
      <c r="BH52" s="268">
        <f t="shared" ca="1" si="100"/>
        <v>0</v>
      </c>
      <c r="BI52" s="268">
        <f t="shared" ca="1" si="100"/>
        <v>0</v>
      </c>
      <c r="BJ52" s="268">
        <f t="shared" ca="1" si="100"/>
        <v>0</v>
      </c>
      <c r="BK52" s="268">
        <f t="shared" ca="1" si="100"/>
        <v>0</v>
      </c>
      <c r="BL52" s="268">
        <f t="shared" ca="1" si="100"/>
        <v>0</v>
      </c>
      <c r="BM52" s="268">
        <f t="shared" ca="1" si="100"/>
        <v>0</v>
      </c>
      <c r="BN52" s="268">
        <f t="shared" ca="1" si="100"/>
        <v>0</v>
      </c>
      <c r="BO52" s="268">
        <f t="shared" ca="1" si="100"/>
        <v>0</v>
      </c>
      <c r="BP52" s="268">
        <f t="shared" ca="1" si="100"/>
        <v>0</v>
      </c>
      <c r="BQ52" s="268">
        <f t="shared" ca="1" si="100"/>
        <v>0</v>
      </c>
      <c r="BR52" s="268">
        <f t="shared" ca="1" si="100"/>
        <v>0</v>
      </c>
      <c r="BS52" s="268">
        <f t="shared" ca="1" si="100"/>
        <v>0</v>
      </c>
      <c r="BT52" s="268">
        <f t="shared" ca="1" si="100"/>
        <v>0</v>
      </c>
      <c r="BU52" s="268">
        <f t="shared" ca="1" si="100"/>
        <v>0</v>
      </c>
      <c r="BV52" s="268">
        <f t="shared" ref="BV52:DA52" ca="1" si="101">SUM(BV11:BV51)</f>
        <v>0</v>
      </c>
      <c r="BW52" s="268">
        <f t="shared" ca="1" si="101"/>
        <v>0</v>
      </c>
      <c r="BX52" s="268">
        <f t="shared" ca="1" si="101"/>
        <v>0</v>
      </c>
      <c r="BY52" s="268">
        <f t="shared" ca="1" si="101"/>
        <v>0</v>
      </c>
      <c r="BZ52" s="268">
        <f t="shared" ca="1" si="101"/>
        <v>0</v>
      </c>
      <c r="CA52" s="268">
        <f t="shared" ca="1" si="101"/>
        <v>0</v>
      </c>
      <c r="CB52" s="268">
        <f t="shared" ca="1" si="101"/>
        <v>0</v>
      </c>
      <c r="CC52" s="268">
        <f t="shared" ca="1" si="101"/>
        <v>0</v>
      </c>
      <c r="CD52" s="268">
        <f t="shared" ca="1" si="101"/>
        <v>0</v>
      </c>
      <c r="CE52" s="268">
        <f t="shared" ca="1" si="101"/>
        <v>0</v>
      </c>
      <c r="CF52" s="268">
        <f t="shared" ca="1" si="101"/>
        <v>0</v>
      </c>
      <c r="CG52" s="268">
        <f t="shared" ca="1" si="101"/>
        <v>0</v>
      </c>
      <c r="CH52" s="268">
        <f t="shared" ca="1" si="101"/>
        <v>0</v>
      </c>
      <c r="CI52" s="268">
        <f t="shared" ca="1" si="101"/>
        <v>0</v>
      </c>
      <c r="CJ52" s="268">
        <f t="shared" ca="1" si="101"/>
        <v>0</v>
      </c>
      <c r="CK52" s="268">
        <f t="shared" ca="1" si="101"/>
        <v>0</v>
      </c>
      <c r="CL52" s="268">
        <f t="shared" ca="1" si="101"/>
        <v>0</v>
      </c>
      <c r="CM52" s="268">
        <f t="shared" ca="1" si="101"/>
        <v>0</v>
      </c>
      <c r="CN52" s="268">
        <f t="shared" ca="1" si="101"/>
        <v>0</v>
      </c>
      <c r="CO52" s="268">
        <f t="shared" ca="1" si="101"/>
        <v>0</v>
      </c>
      <c r="CP52" s="268">
        <f t="shared" ca="1" si="101"/>
        <v>0</v>
      </c>
      <c r="CQ52" s="268">
        <f t="shared" ca="1" si="101"/>
        <v>0</v>
      </c>
      <c r="CR52" s="268">
        <f t="shared" ca="1" si="101"/>
        <v>0</v>
      </c>
      <c r="CS52" s="268">
        <f t="shared" ca="1" si="101"/>
        <v>0</v>
      </c>
      <c r="CT52" s="268">
        <f t="shared" ca="1" si="101"/>
        <v>0</v>
      </c>
      <c r="CU52" s="268">
        <f t="shared" ca="1" si="101"/>
        <v>0</v>
      </c>
      <c r="CV52" s="268">
        <f t="shared" ca="1" si="101"/>
        <v>0</v>
      </c>
      <c r="CW52" s="268">
        <f t="shared" ca="1" si="101"/>
        <v>0</v>
      </c>
      <c r="CX52" s="268">
        <f t="shared" ca="1" si="101"/>
        <v>0</v>
      </c>
      <c r="CY52" s="268">
        <f t="shared" ca="1" si="101"/>
        <v>0</v>
      </c>
      <c r="CZ52" s="268">
        <f t="shared" ca="1" si="101"/>
        <v>0</v>
      </c>
      <c r="DA52" s="268">
        <f t="shared" ca="1" si="101"/>
        <v>0</v>
      </c>
    </row>
    <row r="53" spans="1:105" s="261" customFormat="1" ht="15.75" customHeight="1">
      <c r="A53" s="269"/>
      <c r="B53" s="269"/>
      <c r="C53" s="269"/>
      <c r="D53" s="269"/>
      <c r="E53" s="270" t="s">
        <v>216</v>
      </c>
      <c r="F53" s="269"/>
      <c r="G53" s="271"/>
      <c r="H53" s="271"/>
      <c r="I53" s="269"/>
      <c r="J53" s="291">
        <f ca="1">MAX(J10+J52-K10-K52,0)</f>
        <v>3705039095</v>
      </c>
      <c r="K53" s="291">
        <f ca="1">MAX(K10+K52-J10-J52,0)</f>
        <v>0</v>
      </c>
      <c r="L53" s="291">
        <f ca="1">MAX(L10+L52-M10-M52,0)</f>
        <v>19829295</v>
      </c>
      <c r="M53" s="291">
        <f ca="1">MAX(M10+M52-L10-L52,0)</f>
        <v>0</v>
      </c>
      <c r="N53" s="291">
        <f ca="1">MAX(N10+N52-O10-O52,0)</f>
        <v>2236796790</v>
      </c>
      <c r="O53" s="291">
        <f ca="1">MAX(O10+O52-N10-N52,0)</f>
        <v>0</v>
      </c>
      <c r="P53" s="291">
        <f ca="1">MAX(P10+P52-Q10-Q52,0)</f>
        <v>3343381600</v>
      </c>
      <c r="Q53" s="291">
        <f ca="1">MAX(Q10+Q52-P10-P52,0)</f>
        <v>0</v>
      </c>
      <c r="R53" s="291">
        <f ca="1">MAX(R10+R52-S10-S52,0)</f>
        <v>162420936</v>
      </c>
      <c r="S53" s="291">
        <f ca="1">MAX(S10+S52-R10-R52,0)</f>
        <v>0</v>
      </c>
      <c r="T53" s="291">
        <f ca="1">MAX(T10+T52-U10-U52,0)</f>
        <v>1500000000</v>
      </c>
      <c r="U53" s="291">
        <f ca="1">MAX(U10+U52-T10-T52,0)</f>
        <v>0</v>
      </c>
      <c r="V53" s="291">
        <f ca="1">MAX(V10+V52-W10-W52,0)</f>
        <v>0</v>
      </c>
      <c r="W53" s="291">
        <f ca="1">MAX(W10+W52-V10-V52,0)</f>
        <v>0</v>
      </c>
      <c r="X53" s="291">
        <f ca="1">MAX(X10+X52-Y10-Y52,0)</f>
        <v>2772400000</v>
      </c>
      <c r="Y53" s="291">
        <f ca="1">MAX(Y10+Y52-X10-X52,0)</f>
        <v>0</v>
      </c>
      <c r="Z53" s="291">
        <f ca="1">MAX(Z10+Z52-AA10-AA52,0)</f>
        <v>526519887</v>
      </c>
      <c r="AA53" s="291">
        <f ca="1">MAX(AA10+AA52-Z10-Z52,0)</f>
        <v>0</v>
      </c>
      <c r="AB53" s="291">
        <f ca="1">MAX(AB10+AB52-AC10-AC52,0)</f>
        <v>0</v>
      </c>
      <c r="AC53" s="291">
        <f ca="1">MAX(AC10+AC52-AB10-AB52,0)</f>
        <v>0</v>
      </c>
      <c r="AD53" s="291">
        <f ca="1">MAX(AD10+AD52-AE10-AE52,0)</f>
        <v>0</v>
      </c>
      <c r="AE53" s="291">
        <f ca="1">MAX(AE10+AE52-AD10-AD52,0)</f>
        <v>0</v>
      </c>
      <c r="AF53" s="291">
        <f ca="1">MAX(AF10+AF52-AG10-AG52,0)</f>
        <v>9386323824</v>
      </c>
      <c r="AG53" s="291">
        <f ca="1">MAX(AG10+AG52-AF10-AF52,0)</f>
        <v>0</v>
      </c>
      <c r="AH53" s="291">
        <f ca="1">MAX(AH10+AH52-AI10-AI52,0)</f>
        <v>7490743648</v>
      </c>
      <c r="AI53" s="291">
        <f ca="1">MAX(AI10+AI52-AH10-AH52,0)</f>
        <v>0</v>
      </c>
      <c r="AJ53" s="291">
        <f ca="1">MAX(AJ10+AJ52-AK10-AK52,0)</f>
        <v>3807898863</v>
      </c>
      <c r="AK53" s="291">
        <f ca="1">MAX(AK10+AK52-AJ10-AJ52,0)</f>
        <v>0</v>
      </c>
      <c r="AL53" s="291">
        <f ca="1">MAX(AL10+AL52-AM10-AM52,0)</f>
        <v>3790918485</v>
      </c>
      <c r="AM53" s="291">
        <f ca="1">MAX(AM10+AM52-AL10-AL52,0)</f>
        <v>0</v>
      </c>
      <c r="AN53" s="291">
        <f ca="1">MAX(AN10+AN52-AO10-AO52,0)</f>
        <v>5405781300</v>
      </c>
      <c r="AO53" s="291">
        <f ca="1">MAX(AO10+AO52-AN10-AN52,0)</f>
        <v>0</v>
      </c>
      <c r="AP53" s="291">
        <f ca="1">MAX(AP10+AP52-AQ10-AQ52,0)</f>
        <v>0</v>
      </c>
      <c r="AQ53" s="291">
        <f ca="1">MAX(AQ10+AQ52-AP10-AP52,0)</f>
        <v>9132359256</v>
      </c>
      <c r="AR53" s="291">
        <f ca="1">MAX(AR10+AR52-AS10-AS52,0)</f>
        <v>0</v>
      </c>
      <c r="AS53" s="291">
        <f ca="1">MAX(AS10+AS52-AR10-AR52,0)</f>
        <v>600642360</v>
      </c>
      <c r="AT53" s="291">
        <f ca="1">MAX(AT10+AT52-AU10-AU52,0)</f>
        <v>0</v>
      </c>
      <c r="AU53" s="291">
        <f ca="1">MAX(AU10+AU52-AT10-AT52,0)</f>
        <v>0</v>
      </c>
      <c r="AV53" s="291">
        <f ca="1">MAX(AV10+AV52-AW10-AW52,0)</f>
        <v>0</v>
      </c>
      <c r="AW53" s="291">
        <f ca="1">MAX(AW10+AW52-AV10-AV52,0)</f>
        <v>476953252</v>
      </c>
      <c r="AX53" s="291">
        <f ca="1">MAX(AX10+AX52-AY10-AY52,0)</f>
        <v>0</v>
      </c>
      <c r="AY53" s="291">
        <f ca="1">MAX(AY10+AY52-AX10-AX52,0)</f>
        <v>0</v>
      </c>
      <c r="AZ53" s="291">
        <f ca="1">MAX(AZ10+AZ52-BA10-BA52,0)</f>
        <v>0</v>
      </c>
      <c r="BA53" s="291">
        <f ca="1">MAX(BA10+BA52-AZ10-AZ52,0)</f>
        <v>0</v>
      </c>
      <c r="BB53" s="291">
        <f ca="1">MAX(BB10+BB52-BC10-BC52,0)</f>
        <v>0</v>
      </c>
      <c r="BC53" s="291">
        <f ca="1">MAX(BC10+BC52-BB10-BB52,0)</f>
        <v>0</v>
      </c>
      <c r="BD53" s="291">
        <f ca="1">MAX(BD10+BD52-BE10-BE52,0)</f>
        <v>0</v>
      </c>
      <c r="BE53" s="291">
        <f ca="1">MAX(BE10+BE52-BD10-BD52,0)</f>
        <v>3313435</v>
      </c>
      <c r="BF53" s="291">
        <f ca="1">MAX(BF10+BF52-BG10-BG52,0)</f>
        <v>3389804</v>
      </c>
      <c r="BG53" s="291">
        <f ca="1">MAX(BG10+BG52-BF10-BF52,0)</f>
        <v>0</v>
      </c>
      <c r="BH53" s="291">
        <f ca="1">MAX(BH10+BH52-BI10-BI52,0)</f>
        <v>0</v>
      </c>
      <c r="BI53" s="291">
        <f ca="1">MAX(BI10+BI52-BH10-BH52,0)</f>
        <v>0</v>
      </c>
      <c r="BJ53" s="291">
        <f ca="1">MAX(BJ10+BJ52-BK10-BK52,0)</f>
        <v>0</v>
      </c>
      <c r="BK53" s="291">
        <f ca="1">MAX(BK10+BK52-BJ10-BJ52,0)</f>
        <v>0</v>
      </c>
      <c r="BL53" s="291">
        <f ca="1">MAX(BL10+BL52-BM10-BM52,0)</f>
        <v>0</v>
      </c>
      <c r="BM53" s="291">
        <f ca="1">MAX(BM10+BM52-BL10-BL52,0)</f>
        <v>40272309</v>
      </c>
      <c r="BN53" s="291">
        <f ca="1">MAX(BN10+BN52-BO10-BO52,0)</f>
        <v>0</v>
      </c>
      <c r="BO53" s="291">
        <f ca="1">MAX(BO10+BO52-BN10-BN52,0)</f>
        <v>6403142</v>
      </c>
      <c r="BP53" s="291">
        <f ca="1">MAX(BP10+BP52-BQ10-BQ52,0)</f>
        <v>0</v>
      </c>
      <c r="BQ53" s="291">
        <f ca="1">MAX(BQ10+BQ52-BP10-BP52,0)</f>
        <v>2761373</v>
      </c>
      <c r="BR53" s="291">
        <f ca="1">MAX(BR10+BR52-BS10-BS52,0)</f>
        <v>0</v>
      </c>
      <c r="BS53" s="291">
        <f ca="1">MAX(BS10+BS52-BR10-BR52,0)</f>
        <v>0</v>
      </c>
      <c r="BT53" s="291">
        <f ca="1">MAX(BT10+BT52-BU10-BU52,0)</f>
        <v>0</v>
      </c>
      <c r="BU53" s="291">
        <f ca="1">MAX(BU10+BU52-BT10-BT52,0)</f>
        <v>2169121879</v>
      </c>
      <c r="BV53" s="291">
        <f ca="1">MAX(BV10+BV52-BW10-BW52,0)</f>
        <v>0</v>
      </c>
      <c r="BW53" s="291">
        <f ca="1">MAX(BW10+BW52-BV10-BV52,0)</f>
        <v>21202920500</v>
      </c>
      <c r="BX53" s="291">
        <f ca="1">MAX(BX10+BX52-BY10-BY52,0)</f>
        <v>0</v>
      </c>
      <c r="BY53" s="291">
        <f ca="1">MAX(BY10+BY52-BX10-BX52,0)</f>
        <v>10000000000</v>
      </c>
      <c r="BZ53" s="291">
        <f ca="1">MAX(BZ10+BZ52-CA10-CA52,0)</f>
        <v>0</v>
      </c>
      <c r="CA53" s="291">
        <f ca="1">MAX(CA10+CA52-BZ10-BZ52,0)</f>
        <v>594397022.00000048</v>
      </c>
      <c r="CB53" s="291">
        <f ca="1">MAX(CB10+CB52-CC10-CC52,0)</f>
        <v>77701001</v>
      </c>
      <c r="CC53" s="291">
        <f ca="1">MAX(CC10+CC52-CB10-CB52,0)</f>
        <v>0</v>
      </c>
      <c r="CD53" s="291">
        <f ca="1">MAX(CD10+CD52-CE10-CE52,0)</f>
        <v>0</v>
      </c>
      <c r="CE53" s="291">
        <f ca="1">MAX(CE10+CE52-CD10-CD52,0)</f>
        <v>0</v>
      </c>
      <c r="CF53" s="291">
        <f ca="1">MAX(CF10+CF52-CG10-CG52,0)</f>
        <v>0</v>
      </c>
      <c r="CG53" s="291">
        <f ca="1">MAX(CG10+CG52-CF10-CF52,0)</f>
        <v>0</v>
      </c>
      <c r="CH53" s="291">
        <f ca="1">MAX(CH10+CH52-CI10-CI52,0)</f>
        <v>0</v>
      </c>
      <c r="CI53" s="291">
        <f ca="1">MAX(CI10+CI52-CH10-CH52,0)</f>
        <v>0</v>
      </c>
      <c r="CJ53" s="291">
        <f ca="1">MAX(CJ10+CJ52-CK10-CK52,0)</f>
        <v>0</v>
      </c>
      <c r="CK53" s="291">
        <f ca="1">MAX(CK10+CK52-CJ10-CJ52,0)</f>
        <v>0</v>
      </c>
      <c r="CL53" s="291">
        <f ca="1">MAX(CL10+CL52-CM10-CM52,0)</f>
        <v>0</v>
      </c>
      <c r="CM53" s="291">
        <f ca="1">MAX(CM10+CM52-CL10-CL52,0)</f>
        <v>0</v>
      </c>
      <c r="CN53" s="291">
        <f ca="1">MAX(CN10+CN52-CO10-CO52,0)</f>
        <v>0</v>
      </c>
      <c r="CO53" s="291">
        <f ca="1">MAX(CO10+CO52-CN10-CN52,0)</f>
        <v>0</v>
      </c>
      <c r="CP53" s="291">
        <f ca="1">MAX(CP10+CP52-CQ10-CQ52,0)</f>
        <v>0</v>
      </c>
      <c r="CQ53" s="291">
        <f ca="1">MAX(CQ10+CQ52-CP10-CP52,0)</f>
        <v>0</v>
      </c>
      <c r="CR53" s="291">
        <f ca="1">MAX(CR10+CR52-CS10-CS52,0)</f>
        <v>0</v>
      </c>
      <c r="CS53" s="291">
        <f ca="1">MAX(CS10+CS52-CR10-CR52,0)</f>
        <v>0</v>
      </c>
      <c r="CT53" s="291">
        <f ca="1">MAX(CT10+CT52-CU10-CU52,0)</f>
        <v>0</v>
      </c>
      <c r="CU53" s="291">
        <f ca="1">MAX(CU10+CU52-CT10-CT52,0)</f>
        <v>0</v>
      </c>
      <c r="CV53" s="291">
        <f ca="1">MAX(CV10+CV52-CW10-CW52,0)</f>
        <v>0</v>
      </c>
      <c r="CW53" s="291">
        <f ca="1">MAX(CW10+CW52-CV10-CV52,0)</f>
        <v>0</v>
      </c>
      <c r="CX53" s="291">
        <f ca="1">MAX(CX10+CX52-CY10-CY52,0)</f>
        <v>0</v>
      </c>
      <c r="CY53" s="291">
        <f ca="1">MAX(CY10+CY52-CX10-CX52,0)</f>
        <v>0</v>
      </c>
      <c r="CZ53" s="291">
        <f ca="1">MAX(CZ10+CZ52-DA10-DA52,0)</f>
        <v>0</v>
      </c>
      <c r="DA53" s="291">
        <f ca="1">MAX(DA10+DA52-CZ10-CZ52,0)</f>
        <v>0</v>
      </c>
    </row>
    <row r="54" spans="1:105" s="261" customFormat="1" ht="15.75" customHeight="1">
      <c r="A54" s="273"/>
      <c r="B54" s="273"/>
      <c r="C54" s="274"/>
      <c r="D54" s="273"/>
      <c r="E54" s="275" t="s">
        <v>217</v>
      </c>
      <c r="F54" s="273"/>
      <c r="G54" s="276"/>
      <c r="H54" s="276"/>
      <c r="I54" s="273"/>
      <c r="J54" s="273">
        <f ca="1">J52+'SC-II'!J54</f>
        <v>0</v>
      </c>
      <c r="K54" s="273">
        <f ca="1">K52+'SC-II'!K54</f>
        <v>0</v>
      </c>
      <c r="L54" s="273">
        <f ca="1">L52+'SC-II'!L54</f>
        <v>0</v>
      </c>
      <c r="M54" s="273">
        <f ca="1">M52+'SC-II'!M54</f>
        <v>0</v>
      </c>
      <c r="N54" s="273">
        <f ca="1">N52+'SC-II'!N54</f>
        <v>0</v>
      </c>
      <c r="O54" s="273">
        <f ca="1">O52+'SC-II'!O54</f>
        <v>0</v>
      </c>
      <c r="P54" s="273">
        <f ca="1">P52+'SC-II'!P54</f>
        <v>0</v>
      </c>
      <c r="Q54" s="273">
        <f ca="1">Q52+'SC-II'!Q54</f>
        <v>0</v>
      </c>
      <c r="R54" s="273">
        <f ca="1">R52+'SC-II'!R54</f>
        <v>0</v>
      </c>
      <c r="S54" s="273">
        <f ca="1">S52+'SC-II'!S54</f>
        <v>0</v>
      </c>
      <c r="T54" s="273">
        <f ca="1">T52+'SC-II'!T54</f>
        <v>0</v>
      </c>
      <c r="U54" s="273">
        <f ca="1">U52+'SC-II'!U54</f>
        <v>0</v>
      </c>
      <c r="V54" s="273">
        <f ca="1">V52+'SC-II'!V54</f>
        <v>0</v>
      </c>
      <c r="W54" s="273">
        <f ca="1">W52+'SC-II'!W54</f>
        <v>0</v>
      </c>
      <c r="X54" s="273">
        <f ca="1">X52+'SC-II'!X54</f>
        <v>0</v>
      </c>
      <c r="Y54" s="273">
        <f ca="1">Y52+'SC-II'!Y54</f>
        <v>0</v>
      </c>
      <c r="Z54" s="273">
        <f ca="1">Z52+'SC-II'!Z54</f>
        <v>0</v>
      </c>
      <c r="AA54" s="273">
        <f ca="1">AA52+'SC-II'!AA54</f>
        <v>0</v>
      </c>
      <c r="AB54" s="273">
        <f ca="1">AB52+'SC-II'!AB54</f>
        <v>0</v>
      </c>
      <c r="AC54" s="273">
        <f ca="1">AC52+'SC-II'!AC54</f>
        <v>0</v>
      </c>
      <c r="AD54" s="273">
        <f ca="1">AD52+'SC-II'!AD54</f>
        <v>0</v>
      </c>
      <c r="AE54" s="273">
        <f ca="1">AE52+'SC-II'!AE54</f>
        <v>0</v>
      </c>
      <c r="AF54" s="273">
        <f ca="1">AF52+'SC-II'!AF54</f>
        <v>0</v>
      </c>
      <c r="AG54" s="273">
        <f ca="1">AG52+'SC-II'!AG54</f>
        <v>0</v>
      </c>
      <c r="AH54" s="273">
        <f ca="1">AH52+'SC-II'!AH54</f>
        <v>0</v>
      </c>
      <c r="AI54" s="273">
        <f ca="1">AI52+'SC-II'!AI54</f>
        <v>0</v>
      </c>
      <c r="AJ54" s="273">
        <f ca="1">AJ52+'SC-II'!AJ54</f>
        <v>0</v>
      </c>
      <c r="AK54" s="273">
        <f ca="1">AK52+'SC-II'!AK54</f>
        <v>0</v>
      </c>
      <c r="AL54" s="273">
        <f ca="1">AL52+'SC-II'!AL54</f>
        <v>0</v>
      </c>
      <c r="AM54" s="273">
        <f ca="1">AM52+'SC-II'!AM54</f>
        <v>0</v>
      </c>
      <c r="AN54" s="273">
        <f ca="1">AN52+'SC-II'!AN54</f>
        <v>0</v>
      </c>
      <c r="AO54" s="273">
        <f ca="1">AO52+'SC-II'!AO54</f>
        <v>0</v>
      </c>
      <c r="AP54" s="273">
        <f ca="1">AP52+'SC-II'!AP54</f>
        <v>0</v>
      </c>
      <c r="AQ54" s="273">
        <f ca="1">AQ52+'SC-II'!AQ54</f>
        <v>0</v>
      </c>
      <c r="AR54" s="273">
        <f ca="1">AR52+'SC-II'!AR54</f>
        <v>0</v>
      </c>
      <c r="AS54" s="273">
        <f ca="1">AS52+'SC-II'!AS54</f>
        <v>0</v>
      </c>
      <c r="AT54" s="273">
        <f ca="1">AT52+'SC-II'!AT54</f>
        <v>0</v>
      </c>
      <c r="AU54" s="273">
        <f ca="1">AU52+'SC-II'!AU54</f>
        <v>0</v>
      </c>
      <c r="AV54" s="273">
        <f ca="1">AV52+'SC-II'!AV54</f>
        <v>0</v>
      </c>
      <c r="AW54" s="273">
        <f ca="1">AW52+'SC-II'!AW54</f>
        <v>0</v>
      </c>
      <c r="AX54" s="273">
        <f ca="1">AX52+'SC-II'!AX54</f>
        <v>0</v>
      </c>
      <c r="AY54" s="273">
        <f ca="1">AY52+'SC-II'!AY54</f>
        <v>0</v>
      </c>
      <c r="AZ54" s="273">
        <f ca="1">AZ52+'SC-II'!AZ54</f>
        <v>0</v>
      </c>
      <c r="BA54" s="273">
        <f ca="1">BA52+'SC-II'!BA54</f>
        <v>0</v>
      </c>
      <c r="BB54" s="273">
        <f ca="1">BB52+'SC-II'!BB54</f>
        <v>0</v>
      </c>
      <c r="BC54" s="273">
        <f ca="1">BC52+'SC-II'!BC54</f>
        <v>0</v>
      </c>
      <c r="BD54" s="273">
        <f ca="1">BD52+'SC-II'!BD54</f>
        <v>0</v>
      </c>
      <c r="BE54" s="273">
        <f ca="1">BE52+'SC-II'!BE54</f>
        <v>0</v>
      </c>
      <c r="BF54" s="273">
        <f ca="1">BF52+'SC-II'!BF54</f>
        <v>0</v>
      </c>
      <c r="BG54" s="273">
        <f ca="1">BG52+'SC-II'!BG54</f>
        <v>0</v>
      </c>
      <c r="BH54" s="273">
        <f ca="1">BH52+'SC-II'!BH54</f>
        <v>0</v>
      </c>
      <c r="BI54" s="273">
        <f ca="1">BI52+'SC-II'!BI54</f>
        <v>0</v>
      </c>
      <c r="BJ54" s="273">
        <f ca="1">BJ52+'SC-II'!BJ54</f>
        <v>0</v>
      </c>
      <c r="BK54" s="273">
        <f ca="1">BK52+'SC-II'!BK54</f>
        <v>0</v>
      </c>
      <c r="BL54" s="273">
        <f ca="1">BL52+'SC-II'!BL54</f>
        <v>0</v>
      </c>
      <c r="BM54" s="273">
        <f ca="1">BM52+'SC-II'!BM54</f>
        <v>0</v>
      </c>
      <c r="BN54" s="273">
        <f ca="1">BN52+'SC-II'!BN54</f>
        <v>0</v>
      </c>
      <c r="BO54" s="273">
        <f ca="1">BO52+'SC-II'!BO54</f>
        <v>0</v>
      </c>
      <c r="BP54" s="273">
        <f ca="1">BP52+'SC-II'!BP54</f>
        <v>0</v>
      </c>
      <c r="BQ54" s="273">
        <f ca="1">BQ52+'SC-II'!BQ54</f>
        <v>0</v>
      </c>
      <c r="BR54" s="273">
        <f ca="1">BR52+'SC-II'!BR54</f>
        <v>0</v>
      </c>
      <c r="BS54" s="273">
        <f ca="1">BS52+'SC-II'!BS54</f>
        <v>0</v>
      </c>
      <c r="BT54" s="273">
        <f ca="1">BT52+'SC-II'!BT54</f>
        <v>0</v>
      </c>
      <c r="BU54" s="273">
        <f ca="1">BU52+'SC-II'!BU54</f>
        <v>0</v>
      </c>
      <c r="BV54" s="273">
        <f ca="1">BV52+'SC-II'!BV54</f>
        <v>0</v>
      </c>
      <c r="BW54" s="273">
        <f ca="1">BW52+'SC-II'!BW54</f>
        <v>0</v>
      </c>
      <c r="BX54" s="273">
        <f ca="1">BX52+'SC-II'!BX54</f>
        <v>0</v>
      </c>
      <c r="BY54" s="273">
        <f ca="1">BY52+'SC-II'!BY54</f>
        <v>0</v>
      </c>
      <c r="BZ54" s="273">
        <f ca="1">BZ52+'SC-II'!BZ54</f>
        <v>0</v>
      </c>
      <c r="CA54" s="273">
        <f ca="1">CA52+'SC-II'!CA54</f>
        <v>107861885.00000048</v>
      </c>
      <c r="CB54" s="273">
        <f ca="1">CB52+'SC-II'!CB54</f>
        <v>107861885.00000048</v>
      </c>
      <c r="CC54" s="273">
        <f ca="1">CC52+'SC-II'!CC54</f>
        <v>0</v>
      </c>
      <c r="CD54" s="273">
        <f ca="1">CD52+'SC-II'!CD54</f>
        <v>0</v>
      </c>
      <c r="CE54" s="273">
        <f ca="1">CE52+'SC-II'!CE54</f>
        <v>0</v>
      </c>
      <c r="CF54" s="273">
        <f ca="1">CF52+'SC-II'!CF54</f>
        <v>0</v>
      </c>
      <c r="CG54" s="273">
        <f ca="1">CG52+'SC-II'!CG54</f>
        <v>0</v>
      </c>
      <c r="CH54" s="273">
        <f ca="1">CH52+'SC-II'!CH54</f>
        <v>0</v>
      </c>
      <c r="CI54" s="273">
        <f ca="1">CI52+'SC-II'!CI54</f>
        <v>0</v>
      </c>
      <c r="CJ54" s="273">
        <f ca="1">CJ52+'SC-II'!CJ54</f>
        <v>0</v>
      </c>
      <c r="CK54" s="273">
        <f ca="1">CK52+'SC-II'!CK54</f>
        <v>0</v>
      </c>
      <c r="CL54" s="273">
        <f ca="1">CL52+'SC-II'!CL54</f>
        <v>0</v>
      </c>
      <c r="CM54" s="273">
        <f ca="1">CM52+'SC-II'!CM54</f>
        <v>0</v>
      </c>
      <c r="CN54" s="273">
        <f ca="1">CN52+'SC-II'!CN54</f>
        <v>0</v>
      </c>
      <c r="CO54" s="273">
        <f ca="1">CO52+'SC-II'!CO54</f>
        <v>0</v>
      </c>
      <c r="CP54" s="273">
        <f ca="1">CP52+'SC-II'!CP54</f>
        <v>0</v>
      </c>
      <c r="CQ54" s="273">
        <f ca="1">CQ52+'SC-II'!CQ54</f>
        <v>0</v>
      </c>
      <c r="CR54" s="273">
        <f ca="1">CR52+'SC-II'!CR54</f>
        <v>0</v>
      </c>
      <c r="CS54" s="273">
        <f ca="1">CS52+'SC-II'!CS54</f>
        <v>0</v>
      </c>
      <c r="CT54" s="273">
        <f ca="1">CT52+'SC-II'!CT54</f>
        <v>0</v>
      </c>
      <c r="CU54" s="273">
        <f ca="1">CU52+'SC-II'!CU54</f>
        <v>0</v>
      </c>
      <c r="CV54" s="273">
        <f ca="1">CV52+'SC-II'!CV54</f>
        <v>0</v>
      </c>
      <c r="CW54" s="273">
        <f ca="1">CW52+'SC-II'!CW54</f>
        <v>0</v>
      </c>
      <c r="CX54" s="273">
        <f ca="1">CX52+'SC-II'!CX54</f>
        <v>0</v>
      </c>
      <c r="CY54" s="273">
        <f ca="1">CY52+'SC-II'!CY54</f>
        <v>0</v>
      </c>
      <c r="CZ54" s="273">
        <f ca="1">CZ52+'SC-II'!CZ54</f>
        <v>0</v>
      </c>
      <c r="DA54" s="273">
        <f ca="1">DA52+'SC-II'!DA54</f>
        <v>0</v>
      </c>
    </row>
    <row r="55" spans="1:105" ht="12" customHeight="1">
      <c r="B55" s="278"/>
      <c r="C55" s="279"/>
      <c r="D55" s="279"/>
      <c r="E55" s="279"/>
      <c r="F55" s="279"/>
      <c r="G55" s="280"/>
      <c r="H55" s="280"/>
      <c r="I55" s="279"/>
      <c r="J55" s="279"/>
      <c r="K55" s="279"/>
      <c r="AR55" s="278"/>
      <c r="AS55" s="278"/>
      <c r="AT55" s="279"/>
      <c r="AU55" s="279"/>
      <c r="AV55" s="279"/>
      <c r="AW55" s="280"/>
      <c r="AX55" s="280"/>
      <c r="AY55" s="280"/>
      <c r="AZ55" s="280"/>
      <c r="BA55" s="296"/>
    </row>
    <row r="56" spans="1:105">
      <c r="F56" s="242"/>
      <c r="M56" s="281"/>
      <c r="O56" s="281"/>
      <c r="Q56" s="281"/>
      <c r="R56" s="281"/>
      <c r="S56" s="281"/>
      <c r="T56" s="281"/>
      <c r="U56" s="281"/>
      <c r="V56" s="281"/>
      <c r="AL56" s="282" t="s">
        <v>232</v>
      </c>
      <c r="AM56" s="283"/>
      <c r="AN56" s="283"/>
      <c r="AO56" s="283"/>
      <c r="AP56" s="283"/>
      <c r="AQ56" s="283"/>
      <c r="AR56" s="284"/>
      <c r="AS56" s="284"/>
      <c r="AT56" s="283"/>
    </row>
    <row r="57" spans="1:105">
      <c r="F57" s="242"/>
      <c r="M57" s="281"/>
      <c r="O57" s="281"/>
      <c r="Q57" s="281"/>
      <c r="R57" s="281"/>
      <c r="S57" s="281"/>
      <c r="T57" s="281"/>
      <c r="U57" s="281"/>
      <c r="V57" s="281"/>
      <c r="AL57" s="285" t="s">
        <v>223</v>
      </c>
      <c r="AM57" s="283"/>
      <c r="AN57" s="283"/>
      <c r="AO57" s="283"/>
      <c r="AP57" s="283"/>
      <c r="AQ57" s="283"/>
      <c r="AR57" s="284"/>
      <c r="AS57" s="284"/>
      <c r="AT57" s="283"/>
    </row>
    <row r="58" spans="1:105">
      <c r="F58" s="242"/>
      <c r="M58" s="281"/>
      <c r="O58" s="281"/>
      <c r="Q58" s="281"/>
      <c r="R58" s="281"/>
      <c r="S58" s="281"/>
      <c r="T58" s="281"/>
      <c r="U58" s="281"/>
      <c r="V58" s="281"/>
      <c r="AL58" s="283"/>
      <c r="AM58" s="283"/>
      <c r="AN58" s="283"/>
      <c r="AO58" s="283"/>
      <c r="AP58" s="283"/>
      <c r="AQ58" s="283"/>
      <c r="AR58" s="283"/>
      <c r="AS58" s="283"/>
      <c r="AT58" s="284"/>
    </row>
    <row r="59" spans="1:105">
      <c r="F59" s="242"/>
      <c r="M59" s="281"/>
      <c r="O59" s="281"/>
      <c r="Q59" s="281"/>
      <c r="R59" s="281"/>
      <c r="S59" s="281"/>
      <c r="T59" s="281"/>
      <c r="U59" s="281"/>
      <c r="V59" s="281"/>
      <c r="AL59" s="283"/>
      <c r="AM59" s="283"/>
      <c r="AN59" s="283"/>
      <c r="AO59" s="283"/>
      <c r="AP59" s="283"/>
      <c r="AQ59" s="283"/>
      <c r="AR59" s="283"/>
      <c r="AS59" s="283"/>
      <c r="AT59" s="284"/>
      <c r="AZ59" s="286" t="str">
        <f>"Ngày 30 tháng 09 năm 2015 "</f>
        <v xml:space="preserve">Ngày 30 tháng 09 năm 2015 </v>
      </c>
    </row>
    <row r="60" spans="1:105">
      <c r="F60" s="242"/>
      <c r="M60" s="281"/>
      <c r="O60" s="281"/>
      <c r="Q60" s="281"/>
      <c r="R60" s="281"/>
      <c r="S60" s="281"/>
      <c r="T60" s="281"/>
      <c r="U60" s="281"/>
      <c r="V60" s="281"/>
      <c r="AL60" s="283"/>
      <c r="AM60" s="287" t="s">
        <v>11</v>
      </c>
      <c r="AN60" s="283"/>
      <c r="AO60" s="283"/>
      <c r="AP60" s="283"/>
      <c r="AQ60" s="283"/>
      <c r="AR60" s="283"/>
      <c r="AS60" s="288" t="s">
        <v>12</v>
      </c>
      <c r="AT60" s="284"/>
      <c r="AZ60" s="287" t="s">
        <v>131</v>
      </c>
    </row>
    <row r="61" spans="1:105">
      <c r="F61" s="242"/>
      <c r="M61" s="281"/>
      <c r="O61" s="281"/>
      <c r="Q61" s="281"/>
      <c r="R61" s="281"/>
      <c r="S61" s="281"/>
      <c r="T61" s="281"/>
      <c r="U61" s="281"/>
      <c r="V61" s="281"/>
      <c r="AL61" s="283"/>
      <c r="AM61" s="289" t="s">
        <v>13</v>
      </c>
      <c r="AN61" s="283"/>
      <c r="AO61" s="283"/>
      <c r="AP61" s="283"/>
      <c r="AQ61" s="283"/>
      <c r="AR61" s="283"/>
      <c r="AS61" s="290" t="s">
        <v>13</v>
      </c>
      <c r="AT61" s="284"/>
      <c r="AZ61" s="289" t="s">
        <v>161</v>
      </c>
    </row>
    <row r="62" spans="1:105">
      <c r="F62" s="242"/>
      <c r="M62" s="281"/>
      <c r="O62" s="281"/>
      <c r="Q62" s="281"/>
      <c r="R62" s="281"/>
      <c r="S62" s="281"/>
      <c r="T62" s="281"/>
      <c r="U62" s="281"/>
      <c r="V62" s="281"/>
      <c r="AL62" s="283"/>
      <c r="AM62" s="283"/>
      <c r="AN62" s="283"/>
      <c r="AO62" s="283"/>
      <c r="AP62" s="283"/>
      <c r="AQ62" s="283"/>
      <c r="AR62" s="283"/>
      <c r="AS62" s="283"/>
      <c r="AT62" s="284"/>
      <c r="AZ62" s="283"/>
    </row>
    <row r="63" spans="1:105">
      <c r="F63" s="242"/>
      <c r="M63" s="281"/>
      <c r="O63" s="281"/>
      <c r="Q63" s="281"/>
      <c r="R63" s="281"/>
      <c r="S63" s="281"/>
      <c r="T63" s="281"/>
      <c r="U63" s="281"/>
      <c r="V63" s="281"/>
      <c r="AZ63" s="283"/>
    </row>
    <row r="64" spans="1:105">
      <c r="F64" s="242"/>
      <c r="M64" s="281"/>
      <c r="O64" s="281"/>
      <c r="Q64" s="281"/>
      <c r="R64" s="281"/>
      <c r="S64" s="281"/>
      <c r="T64" s="281"/>
      <c r="U64" s="281"/>
      <c r="V64" s="281"/>
    </row>
    <row r="65" spans="6:22">
      <c r="F65" s="242"/>
      <c r="M65" s="281"/>
      <c r="O65" s="281"/>
      <c r="Q65" s="281"/>
      <c r="R65" s="281"/>
      <c r="S65" s="281"/>
      <c r="T65" s="281"/>
      <c r="U65" s="281"/>
      <c r="V65" s="281"/>
    </row>
    <row r="66" spans="6:22">
      <c r="F66" s="242"/>
      <c r="M66" s="281"/>
      <c r="O66" s="281"/>
      <c r="Q66" s="281"/>
      <c r="R66" s="281"/>
      <c r="S66" s="281"/>
      <c r="T66" s="281"/>
      <c r="U66" s="281"/>
      <c r="V66" s="281"/>
    </row>
    <row r="67" spans="6:22">
      <c r="F67" s="242"/>
      <c r="M67" s="281"/>
      <c r="O67" s="281"/>
      <c r="Q67" s="281"/>
      <c r="R67" s="281"/>
      <c r="S67" s="281"/>
      <c r="T67" s="281"/>
      <c r="U67" s="281"/>
      <c r="V67" s="281"/>
    </row>
    <row r="68" spans="6:22">
      <c r="F68" s="242"/>
      <c r="M68" s="281"/>
      <c r="O68" s="281"/>
      <c r="Q68" s="281"/>
      <c r="R68" s="281"/>
      <c r="S68" s="281"/>
      <c r="T68" s="281"/>
      <c r="U68" s="281"/>
      <c r="V68" s="281"/>
    </row>
    <row r="69" spans="6:22">
      <c r="F69" s="242"/>
      <c r="M69" s="281"/>
      <c r="O69" s="281"/>
      <c r="Q69" s="281"/>
      <c r="R69" s="281"/>
      <c r="S69" s="281"/>
      <c r="T69" s="281"/>
      <c r="U69" s="281"/>
      <c r="V69" s="281"/>
    </row>
    <row r="78" spans="6:22">
      <c r="R78" s="281"/>
    </row>
    <row r="79" spans="6:22">
      <c r="R79" s="281"/>
    </row>
    <row r="80" spans="6:22">
      <c r="M80" s="281"/>
      <c r="O80" s="281"/>
      <c r="P80" s="281"/>
      <c r="Q80" s="281"/>
      <c r="R80" s="281"/>
    </row>
    <row r="81" spans="13:18">
      <c r="M81" s="281"/>
      <c r="O81" s="281"/>
      <c r="P81" s="281"/>
      <c r="Q81" s="281"/>
      <c r="R81" s="281"/>
    </row>
    <row r="82" spans="13:18">
      <c r="M82" s="281"/>
      <c r="O82" s="281"/>
      <c r="P82" s="281"/>
      <c r="Q82" s="281"/>
    </row>
    <row r="83" spans="13:18">
      <c r="M83" s="281"/>
      <c r="O83" s="281"/>
      <c r="P83" s="281"/>
      <c r="Q83" s="281"/>
    </row>
    <row r="85" spans="13:18">
      <c r="M85" s="281"/>
      <c r="O85" s="281"/>
      <c r="P85" s="281"/>
      <c r="Q85" s="281"/>
      <c r="R85" s="281"/>
    </row>
    <row r="86" spans="13:18">
      <c r="M86" s="281"/>
      <c r="O86" s="281"/>
      <c r="P86" s="281"/>
      <c r="Q86" s="281"/>
      <c r="R86" s="281"/>
    </row>
    <row r="93" spans="13:18">
      <c r="M93" s="281"/>
      <c r="O93" s="281"/>
      <c r="P93" s="281"/>
      <c r="Q93" s="281"/>
      <c r="R93" s="281"/>
    </row>
    <row r="94" spans="13:18">
      <c r="M94" s="281"/>
      <c r="O94" s="281"/>
      <c r="P94" s="281"/>
      <c r="Q94" s="281"/>
      <c r="R94" s="281"/>
    </row>
    <row r="95" spans="13:18">
      <c r="M95" s="281"/>
      <c r="O95" s="281"/>
      <c r="P95" s="281"/>
      <c r="Q95" s="281"/>
      <c r="R95" s="281"/>
    </row>
    <row r="99" spans="13:18">
      <c r="M99" s="281"/>
      <c r="O99" s="281"/>
      <c r="P99" s="281"/>
      <c r="Q99" s="281"/>
      <c r="R99" s="281"/>
    </row>
    <row r="100" spans="13:18">
      <c r="M100" s="281"/>
      <c r="O100" s="281"/>
      <c r="P100" s="281"/>
      <c r="Q100" s="281"/>
      <c r="R100" s="281"/>
    </row>
    <row r="101" spans="13:18">
      <c r="M101" s="281"/>
      <c r="O101" s="281"/>
      <c r="P101" s="281"/>
      <c r="Q101" s="281"/>
      <c r="R101" s="281"/>
    </row>
    <row r="102" spans="13:18">
      <c r="M102" s="281"/>
      <c r="O102" s="281"/>
      <c r="P102" s="281"/>
      <c r="Q102" s="281"/>
      <c r="R102" s="281"/>
    </row>
    <row r="103" spans="13:18">
      <c r="M103" s="281"/>
      <c r="O103" s="281"/>
      <c r="P103" s="281"/>
      <c r="Q103" s="281"/>
      <c r="R103" s="281"/>
    </row>
    <row r="104" spans="13:18">
      <c r="M104" s="281"/>
      <c r="O104" s="281"/>
      <c r="P104" s="281"/>
      <c r="Q104" s="281"/>
      <c r="R104" s="281"/>
    </row>
    <row r="105" spans="13:18">
      <c r="M105" s="281"/>
      <c r="O105" s="281"/>
      <c r="P105" s="281"/>
      <c r="Q105" s="281"/>
      <c r="R105" s="281"/>
    </row>
    <row r="106" spans="13:18">
      <c r="M106" s="281"/>
      <c r="O106" s="281"/>
      <c r="P106" s="281"/>
      <c r="Q106" s="281"/>
      <c r="R106" s="281"/>
    </row>
    <row r="107" spans="13:18">
      <c r="M107" s="281"/>
      <c r="O107" s="281"/>
      <c r="P107" s="281"/>
      <c r="Q107" s="281"/>
      <c r="R107" s="281"/>
    </row>
    <row r="108" spans="13:18">
      <c r="M108" s="281"/>
      <c r="O108" s="281"/>
      <c r="P108" s="281"/>
      <c r="Q108" s="281"/>
      <c r="R108" s="281"/>
    </row>
    <row r="109" spans="13:18">
      <c r="M109" s="281"/>
      <c r="O109" s="281"/>
      <c r="P109" s="281"/>
      <c r="Q109" s="281"/>
      <c r="R109" s="281"/>
    </row>
    <row r="110" spans="13:18">
      <c r="M110" s="281"/>
      <c r="O110" s="281"/>
      <c r="P110" s="281"/>
      <c r="Q110" s="281"/>
      <c r="R110" s="281"/>
    </row>
    <row r="111" spans="13:18">
      <c r="M111" s="281"/>
      <c r="O111" s="281"/>
      <c r="P111" s="281"/>
      <c r="Q111" s="281"/>
      <c r="R111" s="281"/>
    </row>
    <row r="112" spans="13:18">
      <c r="M112" s="281"/>
      <c r="O112" s="281"/>
      <c r="P112" s="281"/>
      <c r="Q112" s="281"/>
      <c r="R112" s="281"/>
    </row>
    <row r="113" spans="13:18">
      <c r="M113" s="281"/>
      <c r="O113" s="281"/>
      <c r="P113" s="281"/>
      <c r="Q113" s="281"/>
      <c r="R113" s="281"/>
    </row>
    <row r="114" spans="13:18">
      <c r="M114" s="281"/>
      <c r="O114" s="281"/>
      <c r="P114" s="281"/>
      <c r="Q114" s="281"/>
      <c r="R114" s="281"/>
    </row>
    <row r="115" spans="13:18">
      <c r="M115" s="281"/>
      <c r="O115" s="281"/>
      <c r="P115" s="281"/>
      <c r="Q115" s="281"/>
      <c r="R115" s="281"/>
    </row>
    <row r="116" spans="13:18">
      <c r="M116" s="281"/>
      <c r="O116" s="281"/>
      <c r="P116" s="281"/>
      <c r="Q116" s="281"/>
      <c r="R116" s="281"/>
    </row>
    <row r="117" spans="13:18">
      <c r="M117" s="281"/>
      <c r="O117" s="281"/>
      <c r="P117" s="281"/>
      <c r="Q117" s="281"/>
      <c r="R117" s="281"/>
    </row>
    <row r="118" spans="13:18">
      <c r="M118" s="281"/>
      <c r="O118" s="281"/>
      <c r="P118" s="281"/>
      <c r="Q118" s="281"/>
      <c r="R118" s="281"/>
    </row>
    <row r="119" spans="13:18">
      <c r="M119" s="281"/>
      <c r="O119" s="281"/>
      <c r="P119" s="281"/>
      <c r="Q119" s="281"/>
      <c r="R119" s="281"/>
    </row>
    <row r="120" spans="13:18">
      <c r="M120" s="281"/>
      <c r="O120" s="281"/>
      <c r="P120" s="281"/>
      <c r="Q120" s="281"/>
      <c r="R120" s="281"/>
    </row>
    <row r="121" spans="13:18">
      <c r="M121" s="281"/>
      <c r="O121" s="281"/>
      <c r="P121" s="281"/>
      <c r="Q121" s="281"/>
      <c r="R121" s="281"/>
    </row>
    <row r="122" spans="13:18">
      <c r="M122" s="281"/>
      <c r="O122" s="281"/>
      <c r="P122" s="281"/>
      <c r="Q122" s="281"/>
      <c r="R122" s="281"/>
    </row>
    <row r="123" spans="13:18">
      <c r="M123" s="281"/>
      <c r="O123" s="281"/>
      <c r="P123" s="281"/>
      <c r="Q123" s="281"/>
      <c r="R123" s="281"/>
    </row>
    <row r="124" spans="13:18">
      <c r="M124" s="281"/>
      <c r="O124" s="281"/>
      <c r="P124" s="281"/>
      <c r="Q124" s="281"/>
      <c r="R124" s="281"/>
    </row>
    <row r="125" spans="13:18">
      <c r="M125" s="281"/>
      <c r="O125" s="281"/>
      <c r="P125" s="281"/>
      <c r="Q125" s="281"/>
      <c r="R125" s="281"/>
    </row>
    <row r="126" spans="13:18">
      <c r="M126" s="281"/>
      <c r="O126" s="281"/>
      <c r="P126" s="281"/>
      <c r="Q126" s="281"/>
      <c r="R126" s="281"/>
    </row>
    <row r="127" spans="13:18">
      <c r="M127" s="281"/>
      <c r="O127" s="281"/>
      <c r="P127" s="281"/>
      <c r="Q127" s="281"/>
      <c r="R127" s="281"/>
    </row>
    <row r="128" spans="13:18">
      <c r="M128" s="281"/>
      <c r="O128" s="281"/>
      <c r="P128" s="281"/>
      <c r="Q128" s="281"/>
      <c r="R128" s="281"/>
    </row>
    <row r="129" spans="13:18">
      <c r="M129" s="281"/>
      <c r="O129" s="281"/>
      <c r="P129" s="281"/>
      <c r="Q129" s="281"/>
      <c r="R129" s="281"/>
    </row>
    <row r="130" spans="13:18">
      <c r="M130" s="281"/>
      <c r="O130" s="281"/>
      <c r="P130" s="281"/>
      <c r="Q130" s="281"/>
      <c r="R130" s="281"/>
    </row>
    <row r="131" spans="13:18">
      <c r="M131" s="281"/>
      <c r="O131" s="281"/>
      <c r="P131" s="281"/>
      <c r="Q131" s="281"/>
      <c r="R131" s="281"/>
    </row>
    <row r="132" spans="13:18">
      <c r="M132" s="281"/>
      <c r="O132" s="281"/>
      <c r="P132" s="281"/>
      <c r="Q132" s="281"/>
      <c r="R132" s="281"/>
    </row>
    <row r="133" spans="13:18">
      <c r="M133" s="281"/>
      <c r="O133" s="281"/>
      <c r="P133" s="281"/>
      <c r="Q133" s="281"/>
      <c r="R133" s="281"/>
    </row>
    <row r="134" spans="13:18">
      <c r="M134" s="281"/>
      <c r="O134" s="281"/>
      <c r="P134" s="281"/>
      <c r="Q134" s="281"/>
      <c r="R134" s="281"/>
    </row>
    <row r="135" spans="13:18">
      <c r="M135" s="281"/>
      <c r="O135" s="281"/>
      <c r="P135" s="281"/>
      <c r="Q135" s="281"/>
      <c r="R135" s="281"/>
    </row>
    <row r="136" spans="13:18">
      <c r="M136" s="281"/>
      <c r="O136" s="281"/>
      <c r="P136" s="281"/>
      <c r="Q136" s="281"/>
      <c r="R136" s="281"/>
    </row>
    <row r="137" spans="13:18">
      <c r="M137" s="281"/>
      <c r="O137" s="281"/>
      <c r="P137" s="281"/>
      <c r="Q137" s="281"/>
      <c r="R137" s="281"/>
    </row>
    <row r="138" spans="13:18">
      <c r="M138" s="281"/>
      <c r="O138" s="281"/>
      <c r="P138" s="281"/>
      <c r="Q138" s="281"/>
      <c r="R138" s="281"/>
    </row>
    <row r="139" spans="13:18">
      <c r="M139" s="281"/>
      <c r="O139" s="281"/>
      <c r="P139" s="281"/>
      <c r="Q139" s="281"/>
      <c r="R139" s="281"/>
    </row>
    <row r="140" spans="13:18">
      <c r="M140" s="281"/>
      <c r="O140" s="281"/>
      <c r="P140" s="281"/>
      <c r="Q140" s="281"/>
      <c r="R140" s="281"/>
    </row>
    <row r="141" spans="13:18">
      <c r="M141" s="281"/>
      <c r="O141" s="281"/>
      <c r="P141" s="281"/>
      <c r="Q141" s="281"/>
      <c r="R141" s="281"/>
    </row>
    <row r="142" spans="13:18">
      <c r="M142" s="281"/>
      <c r="O142" s="281"/>
      <c r="P142" s="281"/>
      <c r="Q142" s="281"/>
      <c r="R142" s="281"/>
    </row>
    <row r="143" spans="13:18">
      <c r="M143" s="281"/>
      <c r="O143" s="281"/>
      <c r="P143" s="281"/>
      <c r="Q143" s="281"/>
      <c r="R143" s="281"/>
    </row>
    <row r="144" spans="13:18">
      <c r="M144" s="281"/>
      <c r="O144" s="281"/>
      <c r="P144" s="281"/>
      <c r="Q144" s="281"/>
      <c r="R144" s="281"/>
    </row>
    <row r="145" spans="13:18">
      <c r="M145" s="281"/>
      <c r="O145" s="281"/>
      <c r="P145" s="281"/>
      <c r="Q145" s="281"/>
      <c r="R145" s="281"/>
    </row>
    <row r="146" spans="13:18">
      <c r="M146" s="281"/>
      <c r="O146" s="281"/>
      <c r="P146" s="281"/>
      <c r="Q146" s="281"/>
      <c r="R146" s="281"/>
    </row>
    <row r="147" spans="13:18">
      <c r="M147" s="281"/>
      <c r="O147" s="281"/>
      <c r="P147" s="281"/>
      <c r="Q147" s="281"/>
      <c r="R147" s="281"/>
    </row>
    <row r="148" spans="13:18">
      <c r="M148" s="281"/>
      <c r="O148" s="281"/>
      <c r="P148" s="281"/>
      <c r="Q148" s="281"/>
      <c r="R148" s="281"/>
    </row>
    <row r="149" spans="13:18">
      <c r="M149" s="281"/>
      <c r="O149" s="281"/>
      <c r="P149" s="281"/>
      <c r="Q149" s="281"/>
      <c r="R149" s="281"/>
    </row>
    <row r="150" spans="13:18">
      <c r="M150" s="281"/>
      <c r="O150" s="281"/>
      <c r="P150" s="281"/>
      <c r="Q150" s="281"/>
      <c r="R150" s="281"/>
    </row>
    <row r="151" spans="13:18">
      <c r="M151" s="281"/>
      <c r="O151" s="281"/>
      <c r="P151" s="281"/>
      <c r="Q151" s="281"/>
      <c r="R151" s="281"/>
    </row>
    <row r="152" spans="13:18">
      <c r="M152" s="281"/>
      <c r="O152" s="281"/>
      <c r="P152" s="281"/>
      <c r="Q152" s="281"/>
      <c r="R152" s="281"/>
    </row>
    <row r="153" spans="13:18">
      <c r="M153" s="281"/>
      <c r="O153" s="281"/>
      <c r="P153" s="281"/>
      <c r="Q153" s="281"/>
      <c r="R153" s="281"/>
    </row>
    <row r="154" spans="13:18">
      <c r="M154" s="281"/>
      <c r="O154" s="281"/>
      <c r="P154" s="281"/>
      <c r="Q154" s="281"/>
      <c r="R154" s="281"/>
    </row>
    <row r="155" spans="13:18">
      <c r="M155" s="281"/>
      <c r="O155" s="281"/>
      <c r="P155" s="281"/>
      <c r="Q155" s="281"/>
      <c r="R155" s="281"/>
    </row>
    <row r="156" spans="13:18">
      <c r="M156" s="281"/>
      <c r="O156" s="281"/>
      <c r="P156" s="281"/>
      <c r="Q156" s="281"/>
      <c r="R156" s="281"/>
    </row>
    <row r="157" spans="13:18">
      <c r="M157" s="281"/>
      <c r="O157" s="281"/>
      <c r="P157" s="281"/>
      <c r="Q157" s="281"/>
      <c r="R157" s="281"/>
    </row>
    <row r="158" spans="13:18">
      <c r="M158" s="281"/>
      <c r="O158" s="281"/>
      <c r="P158" s="281"/>
      <c r="Q158" s="281"/>
      <c r="R158" s="281"/>
    </row>
    <row r="159" spans="13:18">
      <c r="M159" s="281"/>
      <c r="O159" s="281"/>
      <c r="P159" s="281"/>
      <c r="Q159" s="281"/>
      <c r="R159" s="281"/>
    </row>
    <row r="160" spans="13:18">
      <c r="M160" s="281"/>
      <c r="O160" s="281"/>
      <c r="P160" s="281"/>
      <c r="Q160" s="281"/>
      <c r="R160" s="281"/>
    </row>
    <row r="161" spans="13:18">
      <c r="M161" s="281"/>
      <c r="O161" s="281"/>
      <c r="P161" s="281"/>
      <c r="Q161" s="281"/>
      <c r="R161" s="281"/>
    </row>
    <row r="162" spans="13:18">
      <c r="M162" s="281"/>
      <c r="O162" s="281"/>
      <c r="P162" s="281"/>
      <c r="Q162" s="281"/>
      <c r="R162" s="281"/>
    </row>
    <row r="163" spans="13:18">
      <c r="M163" s="281"/>
      <c r="O163" s="281"/>
      <c r="P163" s="281"/>
      <c r="Q163" s="281"/>
      <c r="R163" s="281"/>
    </row>
    <row r="164" spans="13:18">
      <c r="M164" s="281"/>
      <c r="O164" s="281"/>
      <c r="P164" s="281"/>
      <c r="Q164" s="281"/>
      <c r="R164" s="281"/>
    </row>
    <row r="165" spans="13:18">
      <c r="M165" s="281"/>
      <c r="O165" s="281"/>
      <c r="P165" s="281"/>
      <c r="Q165" s="281"/>
      <c r="R165" s="281"/>
    </row>
    <row r="166" spans="13:18">
      <c r="M166" s="281"/>
      <c r="O166" s="281"/>
      <c r="P166" s="281"/>
      <c r="Q166" s="281"/>
      <c r="R166" s="281"/>
    </row>
    <row r="167" spans="13:18">
      <c r="M167" s="281"/>
      <c r="O167" s="281"/>
      <c r="P167" s="281"/>
      <c r="Q167" s="281"/>
      <c r="R167" s="281"/>
    </row>
    <row r="168" spans="13:18">
      <c r="M168" s="281"/>
      <c r="O168" s="281"/>
      <c r="P168" s="281"/>
      <c r="Q168" s="281"/>
      <c r="R168" s="281"/>
    </row>
    <row r="169" spans="13:18">
      <c r="M169" s="281"/>
      <c r="O169" s="281"/>
      <c r="P169" s="281"/>
      <c r="Q169" s="281"/>
      <c r="R169" s="281"/>
    </row>
    <row r="170" spans="13:18">
      <c r="M170" s="281"/>
      <c r="O170" s="281"/>
      <c r="P170" s="281"/>
      <c r="Q170" s="281"/>
      <c r="R170" s="281"/>
    </row>
    <row r="171" spans="13:18">
      <c r="M171" s="281"/>
      <c r="O171" s="281"/>
      <c r="P171" s="281"/>
      <c r="Q171" s="281"/>
      <c r="R171" s="281"/>
    </row>
    <row r="172" spans="13:18">
      <c r="M172" s="281"/>
      <c r="O172" s="281"/>
      <c r="P172" s="281"/>
      <c r="Q172" s="281"/>
      <c r="R172" s="281"/>
    </row>
    <row r="173" spans="13:18">
      <c r="M173" s="281"/>
      <c r="O173" s="281"/>
      <c r="P173" s="281"/>
      <c r="Q173" s="281"/>
      <c r="R173" s="281"/>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42" customWidth="1"/>
    <col min="2" max="2" width="8.42578125" style="242" customWidth="1"/>
    <col min="3" max="3" width="7.85546875" style="242" customWidth="1"/>
    <col min="4" max="4" width="8.7109375" style="242" customWidth="1"/>
    <col min="5" max="5" width="44" style="242" customWidth="1"/>
    <col min="6" max="6" width="13.5703125" style="242" customWidth="1"/>
    <col min="7" max="8" width="5.85546875" style="243" customWidth="1"/>
    <col min="9" max="9" width="4.85546875" style="242" customWidth="1"/>
    <col min="10" max="10" width="13.140625" style="242" customWidth="1"/>
    <col min="11" max="11" width="13.28515625" style="242" customWidth="1"/>
    <col min="12" max="12" width="13.7109375" style="242" customWidth="1"/>
    <col min="13" max="13" width="14" style="242" customWidth="1"/>
    <col min="14" max="14" width="13.7109375" style="242" customWidth="1"/>
    <col min="15" max="15" width="14" style="242" customWidth="1"/>
    <col min="16" max="16" width="12.7109375" style="242" customWidth="1"/>
    <col min="17" max="17" width="14.5703125" style="242" customWidth="1"/>
    <col min="18" max="18" width="13.28515625" style="242" customWidth="1"/>
    <col min="19" max="19" width="13" style="242" customWidth="1"/>
    <col min="20" max="20" width="14" style="242" customWidth="1"/>
    <col min="21" max="21" width="5" style="242" customWidth="1"/>
    <col min="22" max="22" width="13.7109375" style="242" customWidth="1"/>
    <col min="23" max="23" width="13.42578125" style="242" customWidth="1"/>
    <col min="24" max="24" width="6.140625" style="242" customWidth="1"/>
    <col min="25" max="25" width="7.140625" style="242" customWidth="1"/>
    <col min="26" max="27" width="9.42578125" style="242" customWidth="1"/>
    <col min="28" max="28" width="11.140625" style="242" customWidth="1"/>
    <col min="29" max="29" width="13" style="242" customWidth="1"/>
    <col min="30" max="30" width="4.5703125" style="242" customWidth="1"/>
    <col min="31" max="31" width="13.5703125" style="242" customWidth="1"/>
    <col min="32" max="32" width="4.5703125" style="242" customWidth="1"/>
    <col min="33" max="33" width="13.5703125" style="242" customWidth="1"/>
    <col min="34" max="34" width="4.42578125" style="242" customWidth="1"/>
    <col min="35" max="35" width="12.7109375" style="242" customWidth="1"/>
    <col min="36" max="36" width="11.140625" style="242" customWidth="1"/>
    <col min="37" max="37" width="4.7109375" style="242" customWidth="1"/>
    <col min="38" max="38" width="12.28515625" style="242" customWidth="1"/>
    <col min="39" max="39" width="11.42578125" style="242" customWidth="1"/>
    <col min="40" max="40" width="11.28515625" style="242" customWidth="1"/>
    <col min="41" max="41" width="11.140625" style="242" customWidth="1"/>
    <col min="42" max="43" width="12.5703125" style="242" customWidth="1"/>
    <col min="44" max="44" width="13.42578125" style="242" customWidth="1"/>
    <col min="45" max="45" width="12.7109375" style="242" customWidth="1"/>
    <col min="46" max="46" width="11.85546875" style="242" customWidth="1"/>
    <col min="47" max="47" width="11.5703125" style="242" customWidth="1"/>
    <col min="48" max="48" width="7.5703125" style="242" customWidth="1"/>
    <col min="49" max="49" width="8.140625" style="242" customWidth="1"/>
    <col min="50" max="50" width="7.5703125" style="242" customWidth="1"/>
    <col min="51" max="51" width="7.42578125" style="242" customWidth="1"/>
    <col min="52" max="53" width="13.140625" style="242" customWidth="1"/>
    <col min="54" max="16384" width="9.140625" style="242"/>
  </cols>
  <sheetData>
    <row r="1" spans="1:105" ht="12.75" customHeight="1">
      <c r="A1" s="238"/>
      <c r="B1" s="239" t="s">
        <v>121</v>
      </c>
      <c r="C1" s="240"/>
      <c r="D1" s="240"/>
      <c r="E1" s="241"/>
      <c r="I1" s="240"/>
      <c r="L1" s="1127" t="s">
        <v>191</v>
      </c>
      <c r="M1" s="1127"/>
      <c r="N1" s="1127"/>
      <c r="O1" s="1127"/>
      <c r="P1" s="1127"/>
      <c r="Q1" s="1127"/>
      <c r="R1" s="333"/>
      <c r="T1" s="240"/>
      <c r="U1" s="240"/>
      <c r="V1" s="240"/>
      <c r="W1" s="240"/>
      <c r="X1" s="240"/>
      <c r="Y1" s="240"/>
      <c r="Z1" s="240"/>
      <c r="AA1" s="240"/>
      <c r="AB1" s="240"/>
      <c r="AC1" s="240"/>
      <c r="AD1" s="240"/>
      <c r="AE1" s="240"/>
      <c r="AF1" s="404"/>
      <c r="AG1" s="404"/>
      <c r="AH1" s="240"/>
      <c r="AI1" s="240"/>
      <c r="AJ1" s="240"/>
      <c r="AK1" s="240"/>
      <c r="AL1" s="240"/>
      <c r="AM1" s="240"/>
      <c r="AN1" s="240"/>
      <c r="AO1" s="240"/>
      <c r="AP1" s="240"/>
      <c r="AQ1" s="240"/>
      <c r="AR1" s="240"/>
      <c r="AS1" s="240"/>
      <c r="AT1" s="240"/>
      <c r="AU1" s="240"/>
      <c r="AV1" s="240"/>
      <c r="AW1" s="240"/>
      <c r="AX1" s="240"/>
      <c r="AY1" s="240"/>
      <c r="AZ1" s="240"/>
      <c r="BA1" s="240"/>
    </row>
    <row r="2" spans="1:105" ht="12.75" customHeight="1">
      <c r="A2" s="238"/>
      <c r="B2" s="239" t="s">
        <v>180</v>
      </c>
      <c r="C2" s="240"/>
      <c r="D2" s="240"/>
      <c r="E2" s="240"/>
      <c r="I2" s="244"/>
      <c r="L2" s="1128" t="s">
        <v>144</v>
      </c>
      <c r="M2" s="1128"/>
      <c r="N2" s="1128"/>
      <c r="O2" s="1128"/>
      <c r="P2" s="1128"/>
      <c r="Q2" s="1128"/>
      <c r="R2" s="334"/>
      <c r="T2" s="244"/>
      <c r="U2" s="244"/>
      <c r="V2" s="244"/>
      <c r="W2" s="244"/>
      <c r="X2" s="244"/>
      <c r="Y2" s="244"/>
      <c r="Z2" s="244"/>
      <c r="AA2" s="244"/>
      <c r="AB2" s="244"/>
      <c r="AC2" s="244"/>
      <c r="AD2" s="244"/>
      <c r="AE2" s="244"/>
      <c r="AF2" s="405"/>
      <c r="AG2" s="405"/>
      <c r="AH2" s="244"/>
      <c r="AI2" s="244"/>
      <c r="AJ2" s="244"/>
      <c r="AK2" s="244"/>
      <c r="AL2" s="244"/>
      <c r="AM2" s="244"/>
      <c r="AN2" s="244"/>
      <c r="AO2" s="244"/>
      <c r="AP2" s="244"/>
      <c r="AQ2" s="244"/>
      <c r="AR2" s="244"/>
      <c r="AS2" s="244"/>
      <c r="AT2" s="244"/>
      <c r="AU2" s="244"/>
      <c r="AV2" s="244"/>
      <c r="AW2" s="244"/>
      <c r="AX2" s="244"/>
      <c r="AY2" s="244"/>
      <c r="AZ2" s="244"/>
      <c r="BA2" s="244"/>
    </row>
    <row r="3" spans="1:105" ht="10.5" customHeight="1">
      <c r="A3" s="240"/>
      <c r="B3" s="240"/>
      <c r="C3" s="240"/>
      <c r="D3" s="240"/>
      <c r="E3" s="240"/>
      <c r="F3" s="244"/>
      <c r="G3" s="246"/>
      <c r="H3" s="246"/>
      <c r="I3" s="244"/>
      <c r="L3" s="1128"/>
      <c r="M3" s="1128"/>
      <c r="N3" s="1128"/>
      <c r="O3" s="1128"/>
      <c r="P3" s="1128"/>
      <c r="Q3" s="1128"/>
      <c r="R3" s="334"/>
      <c r="T3" s="244"/>
      <c r="U3" s="244"/>
      <c r="V3" s="244"/>
      <c r="W3" s="244"/>
      <c r="X3" s="244"/>
      <c r="Y3" s="244"/>
      <c r="Z3" s="244"/>
      <c r="AA3" s="244"/>
      <c r="AB3" s="244"/>
      <c r="AC3" s="244"/>
      <c r="AD3" s="244"/>
      <c r="AE3" s="244"/>
      <c r="AF3" s="405"/>
      <c r="AG3" s="405"/>
      <c r="AH3" s="244"/>
      <c r="AI3" s="244"/>
      <c r="AJ3" s="244"/>
      <c r="AK3" s="244"/>
      <c r="AL3" s="244"/>
      <c r="AM3" s="244"/>
      <c r="AN3" s="244"/>
      <c r="AO3" s="244"/>
      <c r="AP3" s="244"/>
      <c r="AQ3" s="244"/>
      <c r="AR3" s="244"/>
      <c r="AS3" s="244"/>
      <c r="AT3" s="244"/>
      <c r="AU3" s="244"/>
      <c r="AV3" s="244"/>
      <c r="AW3" s="244"/>
      <c r="AX3" s="244"/>
      <c r="AY3" s="244"/>
      <c r="AZ3" s="244"/>
      <c r="BA3" s="244"/>
    </row>
    <row r="4" spans="1:105" ht="19.5" customHeight="1">
      <c r="B4" s="1129" t="s">
        <v>112</v>
      </c>
      <c r="C4" s="1129"/>
      <c r="D4" s="1129"/>
      <c r="E4" s="1129"/>
      <c r="F4" s="1129"/>
      <c r="G4" s="1129"/>
      <c r="H4" s="1129"/>
      <c r="I4" s="1129"/>
      <c r="J4" s="1129"/>
      <c r="K4" s="1129"/>
      <c r="L4" s="1129"/>
      <c r="M4" s="1129"/>
      <c r="N4" s="1129"/>
      <c r="O4" s="1129"/>
      <c r="P4" s="1129"/>
      <c r="Q4" s="1129"/>
      <c r="R4" s="1129"/>
      <c r="S4" s="247"/>
      <c r="T4" s="249"/>
      <c r="U4" s="249"/>
      <c r="V4" s="249"/>
      <c r="W4" s="249"/>
      <c r="X4" s="249"/>
      <c r="Y4" s="249"/>
      <c r="Z4" s="249"/>
      <c r="AA4" s="249"/>
      <c r="AB4" s="249"/>
      <c r="AC4" s="249"/>
      <c r="AD4" s="249"/>
      <c r="AE4" s="249"/>
      <c r="AF4" s="249"/>
      <c r="AG4" s="249"/>
      <c r="AH4" s="249"/>
      <c r="AI4" s="249"/>
      <c r="AJ4" s="249"/>
      <c r="AK4" s="249"/>
      <c r="AL4" s="249"/>
      <c r="AM4" s="249"/>
      <c r="AN4" s="249"/>
      <c r="AO4" s="249"/>
      <c r="AP4" s="249"/>
      <c r="AQ4" s="249"/>
      <c r="AR4" s="249"/>
      <c r="AS4" s="249"/>
      <c r="AT4" s="249"/>
      <c r="AU4" s="249"/>
      <c r="AV4" s="249"/>
      <c r="AW4" s="249"/>
      <c r="AX4" s="249"/>
      <c r="AY4" s="249"/>
      <c r="AZ4" s="249"/>
      <c r="BA4" s="249"/>
    </row>
    <row r="5" spans="1:105" ht="15">
      <c r="B5" s="1130" t="s">
        <v>224</v>
      </c>
      <c r="C5" s="1130"/>
      <c r="D5" s="1130"/>
      <c r="E5" s="1130"/>
      <c r="F5" s="1130"/>
      <c r="G5" s="1130"/>
      <c r="H5" s="1130"/>
      <c r="I5" s="1130"/>
      <c r="J5" s="1130"/>
      <c r="K5" s="1130"/>
      <c r="L5" s="1130"/>
      <c r="M5" s="1130"/>
      <c r="N5" s="1130"/>
      <c r="O5" s="1130"/>
      <c r="P5" s="1130"/>
      <c r="Q5" s="1130"/>
      <c r="R5" s="1130"/>
      <c r="S5" s="250"/>
    </row>
    <row r="7" spans="1:105" ht="13.5" customHeight="1">
      <c r="A7" s="1131" t="s">
        <v>37</v>
      </c>
      <c r="B7" s="1126" t="s">
        <v>22</v>
      </c>
      <c r="C7" s="1133" t="s">
        <v>1</v>
      </c>
      <c r="D7" s="1134"/>
      <c r="E7" s="1126" t="s">
        <v>0</v>
      </c>
      <c r="F7" s="1126" t="s">
        <v>113</v>
      </c>
      <c r="G7" s="1135" t="s">
        <v>114</v>
      </c>
      <c r="H7" s="1135"/>
      <c r="I7" s="1136" t="s">
        <v>37</v>
      </c>
      <c r="J7" s="1126" t="s">
        <v>193</v>
      </c>
      <c r="K7" s="1126"/>
      <c r="L7" s="1126" t="s">
        <v>194</v>
      </c>
      <c r="M7" s="1126"/>
      <c r="N7" s="1126" t="s">
        <v>269</v>
      </c>
      <c r="O7" s="1126"/>
      <c r="P7" s="1126" t="s">
        <v>675</v>
      </c>
      <c r="Q7" s="1126"/>
      <c r="R7" s="1126" t="s">
        <v>195</v>
      </c>
      <c r="S7" s="1126"/>
      <c r="T7" s="1126" t="s">
        <v>196</v>
      </c>
      <c r="U7" s="1126"/>
      <c r="V7" s="1126" t="s">
        <v>676</v>
      </c>
      <c r="W7" s="1126"/>
      <c r="X7" s="1126" t="s">
        <v>677</v>
      </c>
      <c r="Y7" s="1126"/>
      <c r="Z7" s="1126" t="s">
        <v>678</v>
      </c>
      <c r="AA7" s="1126"/>
      <c r="AB7" s="1126" t="s">
        <v>679</v>
      </c>
      <c r="AC7" s="1126"/>
      <c r="AD7" s="1126" t="s">
        <v>680</v>
      </c>
      <c r="AE7" s="1126"/>
      <c r="AF7" s="1126" t="s">
        <v>681</v>
      </c>
      <c r="AG7" s="1126"/>
      <c r="AH7" s="1126" t="s">
        <v>682</v>
      </c>
      <c r="AI7" s="1126"/>
      <c r="AJ7" s="1126" t="s">
        <v>683</v>
      </c>
      <c r="AK7" s="1126"/>
      <c r="AL7" s="1126" t="s">
        <v>684</v>
      </c>
      <c r="AM7" s="1126"/>
      <c r="AN7" s="1126" t="s">
        <v>685</v>
      </c>
      <c r="AO7" s="1126"/>
      <c r="AP7" s="1126" t="s">
        <v>686</v>
      </c>
      <c r="AQ7" s="1126"/>
      <c r="AR7" s="1126" t="s">
        <v>687</v>
      </c>
      <c r="AS7" s="1126"/>
      <c r="AT7" s="1126" t="s">
        <v>197</v>
      </c>
      <c r="AU7" s="1126"/>
      <c r="AV7" s="1126" t="s">
        <v>198</v>
      </c>
      <c r="AW7" s="1126"/>
      <c r="AX7" s="1126" t="s">
        <v>688</v>
      </c>
      <c r="AY7" s="1126"/>
      <c r="AZ7" s="1126" t="s">
        <v>689</v>
      </c>
      <c r="BA7" s="1126"/>
      <c r="BB7" s="1126" t="s">
        <v>690</v>
      </c>
      <c r="BC7" s="1126"/>
      <c r="BD7" s="1126" t="s">
        <v>199</v>
      </c>
      <c r="BE7" s="1126"/>
      <c r="BF7" s="1126" t="s">
        <v>691</v>
      </c>
      <c r="BG7" s="1126"/>
      <c r="BH7" s="1126" t="s">
        <v>200</v>
      </c>
      <c r="BI7" s="1126"/>
      <c r="BJ7" s="1126" t="s">
        <v>692</v>
      </c>
      <c r="BK7" s="1126"/>
      <c r="BL7" s="1126" t="s">
        <v>693</v>
      </c>
      <c r="BM7" s="1126"/>
      <c r="BN7" s="1126" t="s">
        <v>694</v>
      </c>
      <c r="BO7" s="1126"/>
      <c r="BP7" s="1126" t="s">
        <v>695</v>
      </c>
      <c r="BQ7" s="1126"/>
      <c r="BR7" s="1126" t="s">
        <v>201</v>
      </c>
      <c r="BS7" s="1126"/>
      <c r="BT7" s="1126" t="s">
        <v>202</v>
      </c>
      <c r="BU7" s="1126"/>
      <c r="BV7" s="1126" t="s">
        <v>264</v>
      </c>
      <c r="BW7" s="1126"/>
      <c r="BX7" s="1126" t="s">
        <v>203</v>
      </c>
      <c r="BY7" s="1126"/>
      <c r="BZ7" s="1126" t="s">
        <v>204</v>
      </c>
      <c r="CA7" s="1126"/>
      <c r="CB7" s="1126" t="s">
        <v>205</v>
      </c>
      <c r="CC7" s="1126"/>
      <c r="CD7" s="1126" t="s">
        <v>696</v>
      </c>
      <c r="CE7" s="1126"/>
      <c r="CF7" s="1126" t="s">
        <v>697</v>
      </c>
      <c r="CG7" s="1126"/>
      <c r="CH7" s="1126" t="s">
        <v>206</v>
      </c>
      <c r="CI7" s="1126"/>
      <c r="CJ7" s="1126" t="s">
        <v>698</v>
      </c>
      <c r="CK7" s="1126"/>
      <c r="CL7" s="1126" t="s">
        <v>699</v>
      </c>
      <c r="CM7" s="1126"/>
      <c r="CN7" s="1126" t="s">
        <v>207</v>
      </c>
      <c r="CO7" s="1126"/>
      <c r="CP7" s="1126" t="s">
        <v>700</v>
      </c>
      <c r="CQ7" s="1126"/>
      <c r="CR7" s="1126" t="s">
        <v>208</v>
      </c>
      <c r="CS7" s="1126"/>
      <c r="CT7" s="1126" t="s">
        <v>209</v>
      </c>
      <c r="CU7" s="1126"/>
      <c r="CV7" s="1126" t="s">
        <v>210</v>
      </c>
      <c r="CW7" s="1126"/>
      <c r="CX7" s="1126" t="s">
        <v>211</v>
      </c>
      <c r="CY7" s="1126"/>
      <c r="CZ7" s="1126" t="s">
        <v>212</v>
      </c>
      <c r="DA7" s="1126"/>
    </row>
    <row r="8" spans="1:105" ht="22.5" customHeight="1">
      <c r="A8" s="1132"/>
      <c r="B8" s="1126"/>
      <c r="C8" s="923" t="s">
        <v>17</v>
      </c>
      <c r="D8" s="922" t="s">
        <v>34</v>
      </c>
      <c r="E8" s="1126"/>
      <c r="F8" s="1126"/>
      <c r="G8" s="924" t="s">
        <v>24</v>
      </c>
      <c r="H8" s="924" t="s">
        <v>25</v>
      </c>
      <c r="I8" s="1136"/>
      <c r="J8" s="922" t="s">
        <v>24</v>
      </c>
      <c r="K8" s="922" t="s">
        <v>25</v>
      </c>
      <c r="L8" s="922" t="s">
        <v>24</v>
      </c>
      <c r="M8" s="922" t="s">
        <v>25</v>
      </c>
      <c r="N8" s="922" t="s">
        <v>24</v>
      </c>
      <c r="O8" s="922" t="s">
        <v>25</v>
      </c>
      <c r="P8" s="922" t="s">
        <v>24</v>
      </c>
      <c r="Q8" s="922" t="s">
        <v>25</v>
      </c>
      <c r="R8" s="922" t="s">
        <v>24</v>
      </c>
      <c r="S8" s="922" t="s">
        <v>25</v>
      </c>
      <c r="T8" s="922" t="s">
        <v>24</v>
      </c>
      <c r="U8" s="922" t="s">
        <v>25</v>
      </c>
      <c r="V8" s="922" t="s">
        <v>24</v>
      </c>
      <c r="W8" s="922" t="s">
        <v>25</v>
      </c>
      <c r="X8" s="922" t="s">
        <v>24</v>
      </c>
      <c r="Y8" s="922" t="s">
        <v>25</v>
      </c>
      <c r="Z8" s="922" t="s">
        <v>24</v>
      </c>
      <c r="AA8" s="922" t="s">
        <v>25</v>
      </c>
      <c r="AB8" s="922" t="s">
        <v>24</v>
      </c>
      <c r="AC8" s="922" t="s">
        <v>25</v>
      </c>
      <c r="AD8" s="922" t="s">
        <v>24</v>
      </c>
      <c r="AE8" s="922" t="s">
        <v>25</v>
      </c>
      <c r="AF8" s="922" t="s">
        <v>24</v>
      </c>
      <c r="AG8" s="922" t="s">
        <v>25</v>
      </c>
      <c r="AH8" s="922" t="s">
        <v>24</v>
      </c>
      <c r="AI8" s="922" t="s">
        <v>25</v>
      </c>
      <c r="AJ8" s="922" t="s">
        <v>24</v>
      </c>
      <c r="AK8" s="922" t="s">
        <v>25</v>
      </c>
      <c r="AL8" s="922" t="s">
        <v>24</v>
      </c>
      <c r="AM8" s="922" t="s">
        <v>25</v>
      </c>
      <c r="AN8" s="922" t="s">
        <v>24</v>
      </c>
      <c r="AO8" s="922" t="s">
        <v>25</v>
      </c>
      <c r="AP8" s="922" t="s">
        <v>24</v>
      </c>
      <c r="AQ8" s="922" t="s">
        <v>25</v>
      </c>
      <c r="AR8" s="922" t="s">
        <v>24</v>
      </c>
      <c r="AS8" s="922" t="s">
        <v>25</v>
      </c>
      <c r="AT8" s="922" t="s">
        <v>24</v>
      </c>
      <c r="AU8" s="922" t="s">
        <v>25</v>
      </c>
      <c r="AV8" s="922" t="s">
        <v>24</v>
      </c>
      <c r="AW8" s="922" t="s">
        <v>25</v>
      </c>
      <c r="AX8" s="922" t="s">
        <v>24</v>
      </c>
      <c r="AY8" s="922" t="s">
        <v>25</v>
      </c>
      <c r="AZ8" s="922" t="s">
        <v>24</v>
      </c>
      <c r="BA8" s="922" t="s">
        <v>25</v>
      </c>
      <c r="BB8" s="922" t="s">
        <v>24</v>
      </c>
      <c r="BC8" s="922" t="s">
        <v>25</v>
      </c>
      <c r="BD8" s="922" t="s">
        <v>24</v>
      </c>
      <c r="BE8" s="922" t="s">
        <v>25</v>
      </c>
      <c r="BF8" s="922" t="s">
        <v>24</v>
      </c>
      <c r="BG8" s="922" t="s">
        <v>25</v>
      </c>
      <c r="BH8" s="922" t="s">
        <v>24</v>
      </c>
      <c r="BI8" s="922" t="s">
        <v>25</v>
      </c>
      <c r="BJ8" s="922" t="s">
        <v>24</v>
      </c>
      <c r="BK8" s="922" t="s">
        <v>25</v>
      </c>
      <c r="BL8" s="922" t="s">
        <v>24</v>
      </c>
      <c r="BM8" s="922" t="s">
        <v>25</v>
      </c>
      <c r="BN8" s="922" t="s">
        <v>24</v>
      </c>
      <c r="BO8" s="922" t="s">
        <v>25</v>
      </c>
      <c r="BP8" s="922" t="s">
        <v>24</v>
      </c>
      <c r="BQ8" s="922" t="s">
        <v>25</v>
      </c>
      <c r="BR8" s="922" t="s">
        <v>24</v>
      </c>
      <c r="BS8" s="922" t="s">
        <v>25</v>
      </c>
      <c r="BT8" s="922" t="s">
        <v>24</v>
      </c>
      <c r="BU8" s="922" t="s">
        <v>25</v>
      </c>
      <c r="BV8" s="922" t="s">
        <v>24</v>
      </c>
      <c r="BW8" s="922" t="s">
        <v>25</v>
      </c>
      <c r="BX8" s="922" t="s">
        <v>24</v>
      </c>
      <c r="BY8" s="922" t="s">
        <v>25</v>
      </c>
      <c r="BZ8" s="922" t="s">
        <v>24</v>
      </c>
      <c r="CA8" s="922" t="s">
        <v>25</v>
      </c>
      <c r="CB8" s="922" t="s">
        <v>24</v>
      </c>
      <c r="CC8" s="922" t="s">
        <v>25</v>
      </c>
      <c r="CD8" s="922" t="s">
        <v>24</v>
      </c>
      <c r="CE8" s="922" t="s">
        <v>25</v>
      </c>
      <c r="CF8" s="922" t="s">
        <v>24</v>
      </c>
      <c r="CG8" s="922" t="s">
        <v>25</v>
      </c>
      <c r="CH8" s="922" t="s">
        <v>24</v>
      </c>
      <c r="CI8" s="922" t="s">
        <v>25</v>
      </c>
      <c r="CJ8" s="922" t="s">
        <v>24</v>
      </c>
      <c r="CK8" s="922" t="s">
        <v>25</v>
      </c>
      <c r="CL8" s="922" t="s">
        <v>24</v>
      </c>
      <c r="CM8" s="922" t="s">
        <v>25</v>
      </c>
      <c r="CN8" s="922" t="s">
        <v>24</v>
      </c>
      <c r="CO8" s="922" t="s">
        <v>25</v>
      </c>
      <c r="CP8" s="922" t="s">
        <v>24</v>
      </c>
      <c r="CQ8" s="922" t="s">
        <v>25</v>
      </c>
      <c r="CR8" s="922" t="s">
        <v>24</v>
      </c>
      <c r="CS8" s="922" t="s">
        <v>25</v>
      </c>
      <c r="CT8" s="922" t="s">
        <v>24</v>
      </c>
      <c r="CU8" s="922" t="s">
        <v>25</v>
      </c>
      <c r="CV8" s="922" t="s">
        <v>24</v>
      </c>
      <c r="CW8" s="922" t="s">
        <v>25</v>
      </c>
      <c r="CX8" s="922" t="s">
        <v>24</v>
      </c>
      <c r="CY8" s="922" t="s">
        <v>25</v>
      </c>
      <c r="CZ8" s="922" t="s">
        <v>24</v>
      </c>
      <c r="DA8" s="922"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 ca="1">'SC-III'!J53</f>
        <v>3705039095</v>
      </c>
      <c r="K10" s="260">
        <f ca="1">'SC-III'!K53</f>
        <v>0</v>
      </c>
      <c r="L10" s="260">
        <f ca="1">'SC-III'!L53</f>
        <v>19829295</v>
      </c>
      <c r="M10" s="260">
        <f ca="1">'SC-III'!M53</f>
        <v>0</v>
      </c>
      <c r="N10" s="260">
        <f ca="1">'SC-III'!N53</f>
        <v>2236796790</v>
      </c>
      <c r="O10" s="260">
        <f ca="1">'SC-III'!O53</f>
        <v>0</v>
      </c>
      <c r="P10" s="260">
        <f ca="1">'SC-III'!P53</f>
        <v>3343381600</v>
      </c>
      <c r="Q10" s="260">
        <f ca="1">'SC-III'!Q53</f>
        <v>0</v>
      </c>
      <c r="R10" s="260">
        <f ca="1">'SC-III'!R53</f>
        <v>162420936</v>
      </c>
      <c r="S10" s="260">
        <f ca="1">'SC-III'!S53</f>
        <v>0</v>
      </c>
      <c r="T10" s="260">
        <f ca="1">'SC-III'!T53</f>
        <v>1500000000</v>
      </c>
      <c r="U10" s="260">
        <f ca="1">'SC-III'!U53</f>
        <v>0</v>
      </c>
      <c r="V10" s="260">
        <f ca="1">'SC-III'!V53</f>
        <v>0</v>
      </c>
      <c r="W10" s="260">
        <f ca="1">'SC-III'!W53</f>
        <v>0</v>
      </c>
      <c r="X10" s="260">
        <f ca="1">'SC-III'!X53</f>
        <v>2772400000</v>
      </c>
      <c r="Y10" s="260">
        <f ca="1">'SC-III'!Y53</f>
        <v>0</v>
      </c>
      <c r="Z10" s="260">
        <f ca="1">'SC-III'!Z53</f>
        <v>526519887</v>
      </c>
      <c r="AA10" s="260">
        <f ca="1">'SC-III'!AA53</f>
        <v>0</v>
      </c>
      <c r="AB10" s="260">
        <f ca="1">'SC-III'!AB53</f>
        <v>0</v>
      </c>
      <c r="AC10" s="260">
        <f ca="1">'SC-III'!AC53</f>
        <v>0</v>
      </c>
      <c r="AD10" s="260">
        <f ca="1">'SC-III'!AD53</f>
        <v>0</v>
      </c>
      <c r="AE10" s="260">
        <f ca="1">'SC-III'!AE53</f>
        <v>0</v>
      </c>
      <c r="AF10" s="260">
        <f ca="1">'SC-III'!AF53</f>
        <v>9386323824</v>
      </c>
      <c r="AG10" s="260">
        <f ca="1">'SC-III'!AG53</f>
        <v>0</v>
      </c>
      <c r="AH10" s="260">
        <f ca="1">'SC-III'!AH53</f>
        <v>7490743648</v>
      </c>
      <c r="AI10" s="260">
        <f ca="1">'SC-III'!AI53</f>
        <v>0</v>
      </c>
      <c r="AJ10" s="260">
        <f ca="1">'SC-III'!AJ53</f>
        <v>3807898863</v>
      </c>
      <c r="AK10" s="260">
        <f ca="1">'SC-III'!AK53</f>
        <v>0</v>
      </c>
      <c r="AL10" s="260">
        <f ca="1">'SC-III'!AL53</f>
        <v>3790918485</v>
      </c>
      <c r="AM10" s="260">
        <f ca="1">'SC-III'!AM53</f>
        <v>0</v>
      </c>
      <c r="AN10" s="260">
        <f ca="1">'SC-III'!AN53</f>
        <v>5405781300</v>
      </c>
      <c r="AO10" s="260">
        <f ca="1">'SC-III'!AO53</f>
        <v>0</v>
      </c>
      <c r="AP10" s="260">
        <f ca="1">'SC-III'!AP53</f>
        <v>0</v>
      </c>
      <c r="AQ10" s="260">
        <f ca="1">'SC-III'!AQ53</f>
        <v>9132359256</v>
      </c>
      <c r="AR10" s="260">
        <f ca="1">'SC-III'!AR53</f>
        <v>0</v>
      </c>
      <c r="AS10" s="260">
        <f ca="1">'SC-III'!AS53</f>
        <v>600642360</v>
      </c>
      <c r="AT10" s="260">
        <f ca="1">'SC-III'!AT53</f>
        <v>0</v>
      </c>
      <c r="AU10" s="260">
        <f ca="1">'SC-III'!AU53</f>
        <v>0</v>
      </c>
      <c r="AV10" s="260">
        <f ca="1">'SC-III'!AV53</f>
        <v>0</v>
      </c>
      <c r="AW10" s="260">
        <f ca="1">'SC-III'!AW53</f>
        <v>476953252</v>
      </c>
      <c r="AX10" s="260">
        <f ca="1">'SC-III'!AX53</f>
        <v>0</v>
      </c>
      <c r="AY10" s="260">
        <f ca="1">'SC-III'!AY53</f>
        <v>0</v>
      </c>
      <c r="AZ10" s="260">
        <f ca="1">'SC-III'!AZ53</f>
        <v>0</v>
      </c>
      <c r="BA10" s="260">
        <f ca="1">'SC-III'!BA53</f>
        <v>0</v>
      </c>
      <c r="BB10" s="260">
        <f ca="1">'SC-III'!BB53</f>
        <v>0</v>
      </c>
      <c r="BC10" s="260">
        <f ca="1">'SC-III'!BC53</f>
        <v>0</v>
      </c>
      <c r="BD10" s="260">
        <f ca="1">'SC-III'!BD53</f>
        <v>0</v>
      </c>
      <c r="BE10" s="260">
        <f ca="1">'SC-III'!BE53</f>
        <v>3313435</v>
      </c>
      <c r="BF10" s="260">
        <f ca="1">'SC-III'!BF53</f>
        <v>3389804</v>
      </c>
      <c r="BG10" s="260">
        <f ca="1">'SC-III'!BG53</f>
        <v>0</v>
      </c>
      <c r="BH10" s="260">
        <f ca="1">'SC-III'!BH53</f>
        <v>0</v>
      </c>
      <c r="BI10" s="260">
        <f ca="1">'SC-III'!BI53</f>
        <v>0</v>
      </c>
      <c r="BJ10" s="260">
        <f ca="1">'SC-III'!BJ53</f>
        <v>0</v>
      </c>
      <c r="BK10" s="260">
        <f ca="1">'SC-III'!BK53</f>
        <v>0</v>
      </c>
      <c r="BL10" s="260">
        <f ca="1">'SC-III'!BL53</f>
        <v>0</v>
      </c>
      <c r="BM10" s="260">
        <f ca="1">'SC-III'!BM53</f>
        <v>40272309</v>
      </c>
      <c r="BN10" s="260">
        <f ca="1">'SC-III'!BN53</f>
        <v>0</v>
      </c>
      <c r="BO10" s="260">
        <f ca="1">'SC-III'!BO53</f>
        <v>6403142</v>
      </c>
      <c r="BP10" s="260">
        <f ca="1">'SC-III'!BP53</f>
        <v>0</v>
      </c>
      <c r="BQ10" s="260">
        <f ca="1">'SC-III'!BQ53</f>
        <v>2761373</v>
      </c>
      <c r="BR10" s="260">
        <f ca="1">'SC-III'!BR53</f>
        <v>0</v>
      </c>
      <c r="BS10" s="260">
        <f ca="1">'SC-III'!BS53</f>
        <v>0</v>
      </c>
      <c r="BT10" s="260">
        <f ca="1">'SC-III'!BT53</f>
        <v>0</v>
      </c>
      <c r="BU10" s="260">
        <f ca="1">'SC-III'!BU53</f>
        <v>2169121879</v>
      </c>
      <c r="BV10" s="260">
        <f ca="1">'SC-III'!BV53</f>
        <v>0</v>
      </c>
      <c r="BW10" s="260">
        <f ca="1">'SC-III'!BW53</f>
        <v>21202920500</v>
      </c>
      <c r="BX10" s="260">
        <f ca="1">'SC-III'!BX53</f>
        <v>0</v>
      </c>
      <c r="BY10" s="260">
        <f ca="1">'SC-III'!BY53</f>
        <v>10000000000</v>
      </c>
      <c r="BZ10" s="260">
        <f ca="1">'SC-III'!BZ53</f>
        <v>0</v>
      </c>
      <c r="CA10" s="260">
        <f ca="1">'SC-III'!CA53</f>
        <v>594397022.00000048</v>
      </c>
      <c r="CB10" s="260">
        <f ca="1">'SC-III'!CB53</f>
        <v>77701001</v>
      </c>
      <c r="CC10" s="260">
        <f ca="1">'SC-III'!CC53</f>
        <v>0</v>
      </c>
      <c r="CD10" s="260">
        <f ca="1">'SC-III'!CD53</f>
        <v>0</v>
      </c>
      <c r="CE10" s="260">
        <f ca="1">'SC-III'!CE53</f>
        <v>0</v>
      </c>
      <c r="CF10" s="260">
        <f ca="1">'SC-III'!CF53</f>
        <v>0</v>
      </c>
      <c r="CG10" s="260">
        <f ca="1">'SC-III'!CG53</f>
        <v>0</v>
      </c>
      <c r="CH10" s="260">
        <f ca="1">'SC-III'!CH53</f>
        <v>0</v>
      </c>
      <c r="CI10" s="260">
        <f ca="1">'SC-III'!CI53</f>
        <v>0</v>
      </c>
      <c r="CJ10" s="260">
        <f ca="1">'SC-III'!CJ53</f>
        <v>0</v>
      </c>
      <c r="CK10" s="260">
        <f ca="1">'SC-III'!CK53</f>
        <v>0</v>
      </c>
      <c r="CL10" s="260">
        <f ca="1">'SC-III'!CL53</f>
        <v>0</v>
      </c>
      <c r="CM10" s="260">
        <f ca="1">'SC-III'!CM53</f>
        <v>0</v>
      </c>
      <c r="CN10" s="260">
        <f ca="1">'SC-III'!CN53</f>
        <v>0</v>
      </c>
      <c r="CO10" s="260">
        <f ca="1">'SC-III'!CO53</f>
        <v>0</v>
      </c>
      <c r="CP10" s="260">
        <f ca="1">'SC-III'!CP53</f>
        <v>0</v>
      </c>
      <c r="CQ10" s="260">
        <f ca="1">'SC-III'!CQ53</f>
        <v>0</v>
      </c>
      <c r="CR10" s="260">
        <f ca="1">'SC-III'!CR53</f>
        <v>0</v>
      </c>
      <c r="CS10" s="260">
        <f ca="1">'SC-III'!CS53</f>
        <v>0</v>
      </c>
      <c r="CT10" s="260">
        <f ca="1">'SC-III'!CT53</f>
        <v>0</v>
      </c>
      <c r="CU10" s="260">
        <f ca="1">'SC-III'!CU53</f>
        <v>0</v>
      </c>
      <c r="CV10" s="260">
        <f ca="1">'SC-III'!CV53</f>
        <v>0</v>
      </c>
      <c r="CW10" s="260">
        <f ca="1">'SC-III'!CW53</f>
        <v>0</v>
      </c>
      <c r="CX10" s="260">
        <f ca="1">'SC-III'!CX53</f>
        <v>0</v>
      </c>
      <c r="CY10" s="260">
        <f ca="1">'SC-III'!CY53</f>
        <v>0</v>
      </c>
      <c r="CZ10" s="260">
        <f ca="1">'SC-III'!CZ53</f>
        <v>0</v>
      </c>
      <c r="DA10" s="260">
        <f ca="1">'SC-III'!DA53</f>
        <v>0</v>
      </c>
    </row>
    <row r="11" spans="1:105" s="261" customFormat="1" ht="16.5" customHeight="1">
      <c r="A11" s="63">
        <f t="array" aca="1" ref="A11" ca="1">IF(C11&lt;&gt;0,SUM(($C$11:C11&lt;&gt;0)*1),"")</f>
        <v>1</v>
      </c>
      <c r="B11" s="262" t="str">
        <f ca="1">IF(ROWS($1:1)&gt;COUNT(Dong9),"",OFFSET(TH!C$1,SMALL(Dong9,ROWS($1:1)),))</f>
        <v/>
      </c>
      <c r="C11" s="262" t="str">
        <f ca="1">IF(ROWS($1:1)&gt;COUNT(Dong9),"",OFFSET(TH!D$1,SMALL(Dong9,ROWS($1:1)),))</f>
        <v/>
      </c>
      <c r="D11" s="262" t="str">
        <f ca="1">IF(ROWS($1:1)&gt;COUNT(Dong9),"",OFFSET(TH!E$1,SMALL(Dong9,ROWS($1:1)),))</f>
        <v/>
      </c>
      <c r="E11" s="344" t="str">
        <f ca="1">IF(ROWS($1:1)&gt;COUNT(Dong9),"",OFFSET(TH!F$1,SMALL(Dong9,ROWS($1:1)),))</f>
        <v/>
      </c>
      <c r="F11" s="311" t="str">
        <f ca="1">IF(ROWS($1:1)&gt;COUNT(Dong9),"",OFFSET(TH!M$1,SMALL(Dong9,ROWS($1:1)),))</f>
        <v/>
      </c>
      <c r="G11" s="313" t="str">
        <f ca="1">IF(ROWS($1:1)&gt;COUNT(Dong9),"",OFFSET(TH!N$1,SMALL(Dong9,ROWS($1:1)),))</f>
        <v/>
      </c>
      <c r="H11" s="313" t="str">
        <f ca="1">IF(ROWS($1:1)&gt;COUNT(Dong9),"",OFFSET(TH!O$1,SMALL(Dong9,ROWS($1:1)),))</f>
        <v/>
      </c>
      <c r="I11" s="63">
        <f t="shared" ref="I11:I50" ca="1" si="0">A11</f>
        <v>1</v>
      </c>
      <c r="J11" s="264">
        <f ca="1">IF($G11="1111",$F11,0)</f>
        <v>0</v>
      </c>
      <c r="K11" s="264">
        <f ca="1">IF($H11="1111",$F11,0)</f>
        <v>0</v>
      </c>
      <c r="L11" s="264">
        <f t="shared" ref="L11:L50" ca="1" si="1">IF($G11="1121",$F11,0)</f>
        <v>0</v>
      </c>
      <c r="M11" s="264">
        <f t="shared" ref="M11:M50" ca="1" si="2">IF($H11="1121",$F11,0)</f>
        <v>0</v>
      </c>
      <c r="N11" s="264">
        <f t="shared" ref="N11:N50" ca="1" si="3">IF($G11="1122",$F11,0)</f>
        <v>0</v>
      </c>
      <c r="O11" s="264">
        <f t="shared" ref="O11:O50" ca="1" si="4">IF($H11="1122",$F11,0)</f>
        <v>0</v>
      </c>
      <c r="P11" s="264">
        <f t="shared" ref="P11:P50" ca="1" si="5">IF($G11="131",$F11,0)</f>
        <v>0</v>
      </c>
      <c r="Q11" s="264">
        <f t="shared" ref="Q11:Q50" ca="1" si="6">IF($H11="131",$F11,0)</f>
        <v>0</v>
      </c>
      <c r="R11" s="264">
        <f t="shared" ref="R11:R50" ca="1" si="7">IF($G11="1331",$F11,0)</f>
        <v>0</v>
      </c>
      <c r="S11" s="264">
        <f t="shared" ref="S11:S50" ca="1" si="8">IF($H11="1331",$F11,0)</f>
        <v>0</v>
      </c>
      <c r="T11" s="264">
        <f t="shared" ref="T11:T50" ca="1" si="9">IF($G11="1388",$F11,0)</f>
        <v>0</v>
      </c>
      <c r="U11" s="264">
        <f t="shared" ref="U11:U50" ca="1" si="10">IF($H11="1388",$F11,0)</f>
        <v>0</v>
      </c>
      <c r="V11" s="264">
        <f t="shared" ref="V11:V50" ca="1" si="11">IF($G11="141",$F11,0)</f>
        <v>0</v>
      </c>
      <c r="W11" s="264">
        <f t="shared" ref="W11:W50" ca="1" si="12">IF($H11="141",$F11,0)</f>
        <v>0</v>
      </c>
      <c r="X11" s="264">
        <f t="shared" ref="X11:X50" ca="1" si="13">IF($G11="1521",$F11,0)</f>
        <v>0</v>
      </c>
      <c r="Y11" s="264">
        <f t="shared" ref="Y11:Y50" ca="1" si="14">IF($H11="1521",$F11,0)</f>
        <v>0</v>
      </c>
      <c r="Z11" s="264">
        <f t="shared" ref="Z11:Z50" ca="1" si="15">IF($G11="1522",$F11,0)</f>
        <v>0</v>
      </c>
      <c r="AA11" s="264">
        <f t="shared" ref="AA11:AA50" ca="1" si="16">IF($H11="1522",$F11,0)</f>
        <v>0</v>
      </c>
      <c r="AB11" s="264">
        <f ca="1">IF($G11="153",$F11,0)</f>
        <v>0</v>
      </c>
      <c r="AC11" s="264">
        <f ca="1">IF($H11="153",$F11,0)</f>
        <v>0</v>
      </c>
      <c r="AD11" s="264">
        <f t="shared" ref="AD11:AD50" ca="1" si="17">IF($G11="154",$F11,0)</f>
        <v>0</v>
      </c>
      <c r="AE11" s="264">
        <f t="shared" ref="AE11:AE50" ca="1" si="18">IF($H11="154",$F11,0)</f>
        <v>0</v>
      </c>
      <c r="AF11" s="264">
        <f t="shared" ref="AF11:AF50" ca="1" si="19">IF($G11="155",$F11,0)</f>
        <v>0</v>
      </c>
      <c r="AG11" s="264">
        <f t="shared" ref="AG11:AG50"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0" ca="1" si="21">IF($G11="2141",$F11,0)</f>
        <v>0</v>
      </c>
      <c r="AQ11" s="264">
        <f t="shared" ref="AQ11:AQ50" ca="1" si="22">IF($H11="2141",$F11,0)</f>
        <v>0</v>
      </c>
      <c r="AR11" s="264">
        <f t="shared" ref="AR11:AR50" ca="1" si="23">IF($G11="2143",$F11,0)</f>
        <v>0</v>
      </c>
      <c r="AS11" s="264">
        <f t="shared" ref="AS11:AS50" ca="1" si="24">IF($H11="2143",$F11,0)</f>
        <v>0</v>
      </c>
      <c r="AT11" s="264">
        <f ca="1">IF($G11="2412",$F11,0)</f>
        <v>0</v>
      </c>
      <c r="AU11" s="264">
        <f ca="1">IF($H11="2412",$F11,0)</f>
        <v>0</v>
      </c>
      <c r="AV11" s="264">
        <f t="shared" ref="AV11:AV50" ca="1" si="25">IF($G11="331",$F11,0)</f>
        <v>0</v>
      </c>
      <c r="AW11" s="264">
        <f t="shared" ref="AW11:AW50" ca="1" si="26">IF($H11="331",$F11,0)</f>
        <v>0</v>
      </c>
      <c r="AX11" s="264">
        <f t="shared" ref="AX11:AX50" ca="1" si="27">IF($G11="33311",$F11,0)</f>
        <v>0</v>
      </c>
      <c r="AY11" s="264">
        <f t="shared" ref="AY11:AY50" ca="1" si="28">IF($H11="33311",$F11,0)</f>
        <v>0</v>
      </c>
      <c r="AZ11" s="264">
        <f t="shared" ref="AZ11:AZ50" ca="1" si="29">IF($G11="33312",$F11,0)</f>
        <v>0</v>
      </c>
      <c r="BA11" s="264">
        <f t="shared" ref="BA11:BA50" ca="1" si="30">IF($H11="33312",$F11,0)</f>
        <v>0</v>
      </c>
      <c r="BB11" s="264">
        <f t="shared" ref="BB11:BB50" ca="1" si="31">IF($G11="3333",$F11,0)</f>
        <v>0</v>
      </c>
      <c r="BC11" s="264">
        <f t="shared" ref="BC11:BC50" ca="1" si="32">IF($H11="3333",$F11,0)</f>
        <v>0</v>
      </c>
      <c r="BD11" s="264">
        <f t="shared" ref="BD11:BD50" ca="1" si="33">IF($G11="3334",$F11,0)</f>
        <v>0</v>
      </c>
      <c r="BE11" s="264">
        <f t="shared" ref="BE11:BE50" ca="1" si="34">IF($H11="3334",$F11,0)</f>
        <v>0</v>
      </c>
      <c r="BF11" s="264">
        <f t="shared" ref="BF11:BF50" ca="1" si="35">IF($G11="3335",$F11,0)</f>
        <v>0</v>
      </c>
      <c r="BG11" s="264">
        <f t="shared" ref="BG11:BG50" ca="1" si="36">IF($H11="3335",$F11,0)</f>
        <v>0</v>
      </c>
      <c r="BH11" s="264">
        <f ca="1">IF($G11="33382",$F11,0)</f>
        <v>0</v>
      </c>
      <c r="BI11" s="264">
        <f ca="1">IF($H11="33382",$F11,0)</f>
        <v>0</v>
      </c>
      <c r="BJ11" s="264">
        <f t="shared" ref="BJ11:BJ50" ca="1" si="37">IF($G11="3341",$F11,0)</f>
        <v>0</v>
      </c>
      <c r="BK11" s="264">
        <f t="shared" ref="BK11:BK50" ca="1" si="38">IF($H11="3341",$F11,0)</f>
        <v>0</v>
      </c>
      <c r="BL11" s="264">
        <f t="shared" ref="BL11:BL50" ca="1" si="39">IF($G11="3383",$F11,0)</f>
        <v>0</v>
      </c>
      <c r="BM11" s="264">
        <f t="shared" ref="BM11:BM50" ca="1" si="40">IF($H11="3383",$F11,0)</f>
        <v>0</v>
      </c>
      <c r="BN11" s="264">
        <f t="shared" ref="BN11:BN50" ca="1" si="41">IF($G11="3384",$F11,0)</f>
        <v>0</v>
      </c>
      <c r="BO11" s="264">
        <f t="shared" ref="BO11:BO50" ca="1" si="42">IF($H11="3384",$F11,0)</f>
        <v>0</v>
      </c>
      <c r="BP11" s="264">
        <f ca="1">IF($G11="3386",$F11,0)</f>
        <v>0</v>
      </c>
      <c r="BQ11" s="264">
        <f ca="1">IF($H11="3386",$F11,0)</f>
        <v>0</v>
      </c>
      <c r="BR11" s="264">
        <f t="shared" ref="BR11:BR50" ca="1" si="43">IF($G11="3388",$F11,0)</f>
        <v>0</v>
      </c>
      <c r="BS11" s="264">
        <f t="shared" ref="BS11:BS50" ca="1" si="44">IF($H11="3388",$F11,0)</f>
        <v>0</v>
      </c>
      <c r="BT11" s="264">
        <f ca="1">IF($G11="3411",$F11,0)</f>
        <v>0</v>
      </c>
      <c r="BU11" s="264">
        <f ca="1">IF($H11="3411",$F11,0)</f>
        <v>0</v>
      </c>
      <c r="BV11" s="264">
        <f ca="1">IF($G11="3412",$F11,0)</f>
        <v>0</v>
      </c>
      <c r="BW11" s="264">
        <f ca="1">IF($H11="3412",$F11,0)</f>
        <v>0</v>
      </c>
      <c r="BX11" s="264">
        <f t="shared" ref="BX11:BX50" ca="1" si="45">IF($G11="4111",$F11,0)</f>
        <v>0</v>
      </c>
      <c r="BY11" s="264">
        <f t="shared" ref="BY11:BY50" ca="1" si="46">IF($H11="4111",$F11,0)</f>
        <v>0</v>
      </c>
      <c r="BZ11" s="264">
        <f t="shared" ref="BZ11:BZ50" ca="1" si="47">IF($G11="4211",$F11,0)</f>
        <v>0</v>
      </c>
      <c r="CA11" s="264">
        <f t="shared" ref="CA11:CA50" ca="1" si="48">IF($H11="4211",$F11,0)</f>
        <v>0</v>
      </c>
      <c r="CB11" s="264">
        <f t="shared" ref="CB11:CB50" ca="1" si="49">IF($G11="4212",$F11,0)</f>
        <v>0</v>
      </c>
      <c r="CC11" s="264">
        <f t="shared" ref="CC11:CC50" ca="1" si="50">IF($H11="4212",$F11,0)</f>
        <v>0</v>
      </c>
      <c r="CD11" s="264">
        <f ca="1">IF($G11="5112N",$F11,0)</f>
        <v>0</v>
      </c>
      <c r="CE11" s="264">
        <f ca="1">IF($H11="5112N",$F11,0)</f>
        <v>0</v>
      </c>
      <c r="CF11" s="264">
        <f ca="1">IF($G11="5112X",$F11,0)</f>
        <v>0</v>
      </c>
      <c r="CG11" s="264">
        <f ca="1">IF($H11="5112X",$F11,0)</f>
        <v>0</v>
      </c>
      <c r="CH11" s="264">
        <f t="shared" ref="CH11:CH50" ca="1" si="51">IF($G11="515",$F11,0)</f>
        <v>0</v>
      </c>
      <c r="CI11" s="264">
        <f t="shared" ref="CI11:CI50" ca="1" si="52">IF($H11="515",$F11,0)</f>
        <v>0</v>
      </c>
      <c r="CJ11" s="264">
        <f ca="1">IF($G11="5213",$F11,0)</f>
        <v>0</v>
      </c>
      <c r="CK11" s="264">
        <f ca="1">IF($H11="5213",$F11,0)</f>
        <v>0</v>
      </c>
      <c r="CL11" s="264">
        <f t="shared" ref="CL11:CL50" ca="1" si="53">IF($G11="632",$F11,0)</f>
        <v>0</v>
      </c>
      <c r="CM11" s="264">
        <f t="shared" ref="CM11:CM50" ca="1" si="54">IF($H11="632",$F11,0)</f>
        <v>0</v>
      </c>
      <c r="CN11" s="264">
        <f t="shared" ref="CN11:CN50" ca="1" si="55">IF($G11="635",$F11,0)</f>
        <v>0</v>
      </c>
      <c r="CO11" s="264">
        <f t="shared" ref="CO11:CO50" ca="1" si="56">IF($H11="635",$F11,0)</f>
        <v>0</v>
      </c>
      <c r="CP11" s="264">
        <f ca="1">IF($G11="641",$F11,0)</f>
        <v>0</v>
      </c>
      <c r="CQ11" s="264">
        <f ca="1">IF($H11="641",$F11,0)</f>
        <v>0</v>
      </c>
      <c r="CR11" s="264">
        <f ca="1">IF($G11="642",$F11,0)</f>
        <v>0</v>
      </c>
      <c r="CS11" s="264">
        <f ca="1">IF($H11="642",$F11,0)</f>
        <v>0</v>
      </c>
      <c r="CT11" s="264">
        <f t="shared" ref="CT11:CT50" ca="1" si="57">IF($G11="711",$F11,0)</f>
        <v>0</v>
      </c>
      <c r="CU11" s="264">
        <f t="shared" ref="CU11:CU50" ca="1" si="58">IF($H11="711",$F11,0)</f>
        <v>0</v>
      </c>
      <c r="CV11" s="264">
        <f t="shared" ref="CV11:CV50" ca="1" si="59">IF($G11="811",$F11,0)</f>
        <v>0</v>
      </c>
      <c r="CW11" s="264">
        <f t="shared" ref="CW11:CW50" ca="1" si="60">IF($H11="811",$F11,0)</f>
        <v>0</v>
      </c>
      <c r="CX11" s="264">
        <f ca="1">IF($G11="821",$F11,0)</f>
        <v>0</v>
      </c>
      <c r="CY11" s="264">
        <f ca="1">IF($H11="821",$F11,0)</f>
        <v>0</v>
      </c>
      <c r="CZ11" s="264">
        <f ca="1">IF($G11="911",$F11,0)</f>
        <v>0</v>
      </c>
      <c r="DA11" s="264">
        <f ca="1">IF($H11="911",$F11,0)</f>
        <v>0</v>
      </c>
    </row>
    <row r="12" spans="1:105" s="261" customFormat="1" ht="16.5" customHeight="1">
      <c r="A12" s="63" t="str">
        <f t="array" ref="A12">IF(C12&lt;&gt;0,SUM(($C$11:C12&lt;&gt;0)*1),"")</f>
        <v/>
      </c>
      <c r="B12" s="262"/>
      <c r="C12" s="262"/>
      <c r="D12" s="262"/>
      <c r="E12" s="344"/>
      <c r="F12" s="311"/>
      <c r="G12" s="313"/>
      <c r="H12" s="313"/>
      <c r="I12" s="63" t="str">
        <f t="shared" si="0"/>
        <v/>
      </c>
      <c r="J12" s="264">
        <f t="shared" ref="J12:J50" si="61">IF($G12="1111",$F12,0)</f>
        <v>0</v>
      </c>
      <c r="K12" s="264">
        <f t="shared" ref="K12:K50" si="62">IF($H12="1111",$F12,0)</f>
        <v>0</v>
      </c>
      <c r="L12" s="264">
        <f t="shared" si="1"/>
        <v>0</v>
      </c>
      <c r="M12" s="264">
        <f t="shared" si="2"/>
        <v>0</v>
      </c>
      <c r="N12" s="264">
        <f t="shared" si="3"/>
        <v>0</v>
      </c>
      <c r="O12" s="264">
        <f t="shared" si="4"/>
        <v>0</v>
      </c>
      <c r="P12" s="264">
        <f t="shared" si="5"/>
        <v>0</v>
      </c>
      <c r="Q12" s="264">
        <f t="shared" si="6"/>
        <v>0</v>
      </c>
      <c r="R12" s="264">
        <f t="shared" si="7"/>
        <v>0</v>
      </c>
      <c r="S12" s="264">
        <f t="shared" si="8"/>
        <v>0</v>
      </c>
      <c r="T12" s="264">
        <f t="shared" si="9"/>
        <v>0</v>
      </c>
      <c r="U12" s="264">
        <f t="shared" si="10"/>
        <v>0</v>
      </c>
      <c r="V12" s="264">
        <f t="shared" si="11"/>
        <v>0</v>
      </c>
      <c r="W12" s="264">
        <f t="shared" si="12"/>
        <v>0</v>
      </c>
      <c r="X12" s="264">
        <f t="shared" si="13"/>
        <v>0</v>
      </c>
      <c r="Y12" s="264">
        <f t="shared" si="14"/>
        <v>0</v>
      </c>
      <c r="Z12" s="264">
        <f t="shared" si="15"/>
        <v>0</v>
      </c>
      <c r="AA12" s="264">
        <f t="shared" si="16"/>
        <v>0</v>
      </c>
      <c r="AB12" s="264">
        <f t="shared" ref="AB12:AB50" si="63">IF($G12="153",$F12,0)</f>
        <v>0</v>
      </c>
      <c r="AC12" s="264">
        <f t="shared" ref="AC12:AC50" si="64">IF($H12="153",$F12,0)</f>
        <v>0</v>
      </c>
      <c r="AD12" s="264">
        <f t="shared" si="17"/>
        <v>0</v>
      </c>
      <c r="AE12" s="264">
        <f t="shared" si="18"/>
        <v>0</v>
      </c>
      <c r="AF12" s="264">
        <f t="shared" si="19"/>
        <v>0</v>
      </c>
      <c r="AG12" s="264">
        <f t="shared" si="20"/>
        <v>0</v>
      </c>
      <c r="AH12" s="264">
        <f t="shared" ref="AH12:AH50" si="65">IF($G12="2111",$F12,0)</f>
        <v>0</v>
      </c>
      <c r="AI12" s="264">
        <f t="shared" ref="AI12:AI50" si="66">IF($H12="2111",$F12,0)</f>
        <v>0</v>
      </c>
      <c r="AJ12" s="264">
        <f t="shared" ref="AJ12:AJ50" si="67">IF($G12="2112",$F12,0)</f>
        <v>0</v>
      </c>
      <c r="AK12" s="264">
        <f t="shared" ref="AK12:AK50" si="68">IF($H12="2112",$F12,0)</f>
        <v>0</v>
      </c>
      <c r="AL12" s="264">
        <f t="shared" ref="AL12:AL50" si="69">IF($G12="2113",$F12,0)</f>
        <v>0</v>
      </c>
      <c r="AM12" s="264">
        <f t="shared" ref="AM12:AM50" si="70">IF($H12="2113",$F12,0)</f>
        <v>0</v>
      </c>
      <c r="AN12" s="264">
        <f t="shared" ref="AN12:AN50" si="71">IF($G12="2131",$F12,0)</f>
        <v>0</v>
      </c>
      <c r="AO12" s="264">
        <f t="shared" ref="AO12:AO50" si="72">IF($H12="2131",$F12,0)</f>
        <v>0</v>
      </c>
      <c r="AP12" s="264">
        <f t="shared" si="21"/>
        <v>0</v>
      </c>
      <c r="AQ12" s="264">
        <f t="shared" si="22"/>
        <v>0</v>
      </c>
      <c r="AR12" s="264">
        <f t="shared" si="23"/>
        <v>0</v>
      </c>
      <c r="AS12" s="264">
        <f t="shared" si="24"/>
        <v>0</v>
      </c>
      <c r="AT12" s="264">
        <f t="shared" ref="AT12:AT50" si="73">IF($G12="2412",$F12,0)</f>
        <v>0</v>
      </c>
      <c r="AU12" s="264">
        <f t="shared" ref="AU12:AU50" si="74">IF($H12="2412",$F12,0)</f>
        <v>0</v>
      </c>
      <c r="AV12" s="264">
        <f t="shared" si="25"/>
        <v>0</v>
      </c>
      <c r="AW12" s="264">
        <f t="shared" si="26"/>
        <v>0</v>
      </c>
      <c r="AX12" s="264">
        <f t="shared" si="27"/>
        <v>0</v>
      </c>
      <c r="AY12" s="264">
        <f t="shared" si="28"/>
        <v>0</v>
      </c>
      <c r="AZ12" s="264">
        <f t="shared" si="29"/>
        <v>0</v>
      </c>
      <c r="BA12" s="264">
        <f t="shared" si="30"/>
        <v>0</v>
      </c>
      <c r="BB12" s="264">
        <f t="shared" si="31"/>
        <v>0</v>
      </c>
      <c r="BC12" s="264">
        <f t="shared" si="32"/>
        <v>0</v>
      </c>
      <c r="BD12" s="264">
        <f t="shared" si="33"/>
        <v>0</v>
      </c>
      <c r="BE12" s="264">
        <f t="shared" si="34"/>
        <v>0</v>
      </c>
      <c r="BF12" s="264">
        <f t="shared" si="35"/>
        <v>0</v>
      </c>
      <c r="BG12" s="264">
        <f t="shared" si="36"/>
        <v>0</v>
      </c>
      <c r="BH12" s="264">
        <f t="shared" ref="BH12:BH50" si="75">IF($G12="33382",$F12,0)</f>
        <v>0</v>
      </c>
      <c r="BI12" s="264">
        <f t="shared" ref="BI12:BI50" si="76">IF($H12="33382",$F12,0)</f>
        <v>0</v>
      </c>
      <c r="BJ12" s="264">
        <f t="shared" si="37"/>
        <v>0</v>
      </c>
      <c r="BK12" s="264">
        <f t="shared" si="38"/>
        <v>0</v>
      </c>
      <c r="BL12" s="264">
        <f t="shared" si="39"/>
        <v>0</v>
      </c>
      <c r="BM12" s="264">
        <f t="shared" si="40"/>
        <v>0</v>
      </c>
      <c r="BN12" s="264">
        <f t="shared" si="41"/>
        <v>0</v>
      </c>
      <c r="BO12" s="264">
        <f t="shared" si="42"/>
        <v>0</v>
      </c>
      <c r="BP12" s="264">
        <f t="shared" ref="BP12:BP50" si="77">IF($G12="3386",$F12,0)</f>
        <v>0</v>
      </c>
      <c r="BQ12" s="264">
        <f t="shared" ref="BQ12:BQ50" si="78">IF($H12="3386",$F12,0)</f>
        <v>0</v>
      </c>
      <c r="BR12" s="264">
        <f t="shared" si="43"/>
        <v>0</v>
      </c>
      <c r="BS12" s="264">
        <f t="shared" si="44"/>
        <v>0</v>
      </c>
      <c r="BT12" s="264">
        <f t="shared" ref="BT12:BT50" si="79">IF($G12="3411",$F12,0)</f>
        <v>0</v>
      </c>
      <c r="BU12" s="264">
        <f t="shared" ref="BU12:BU50" si="80">IF($H12="3411",$F12,0)</f>
        <v>0</v>
      </c>
      <c r="BV12" s="264">
        <f t="shared" ref="BV12:BV50" si="81">IF($G12="3412",$F12,0)</f>
        <v>0</v>
      </c>
      <c r="BW12" s="264">
        <f t="shared" ref="BW12:BW50" si="82">IF($H12="3412",$F12,0)</f>
        <v>0</v>
      </c>
      <c r="BX12" s="264">
        <f t="shared" si="45"/>
        <v>0</v>
      </c>
      <c r="BY12" s="264">
        <f t="shared" si="46"/>
        <v>0</v>
      </c>
      <c r="BZ12" s="264">
        <f t="shared" si="47"/>
        <v>0</v>
      </c>
      <c r="CA12" s="264">
        <f t="shared" si="48"/>
        <v>0</v>
      </c>
      <c r="CB12" s="264">
        <f t="shared" si="49"/>
        <v>0</v>
      </c>
      <c r="CC12" s="264">
        <f t="shared" si="50"/>
        <v>0</v>
      </c>
      <c r="CD12" s="264">
        <f t="shared" ref="CD12:CD50" si="83">IF($G12="5112N",$F12,0)</f>
        <v>0</v>
      </c>
      <c r="CE12" s="264">
        <f t="shared" ref="CE12:CE50" si="84">IF($H12="5112N",$F12,0)</f>
        <v>0</v>
      </c>
      <c r="CF12" s="264">
        <f t="shared" ref="CF12:CF50" si="85">IF($G12="5112X",$F12,0)</f>
        <v>0</v>
      </c>
      <c r="CG12" s="264">
        <f t="shared" ref="CG12:CG50" si="86">IF($H12="5112X",$F12,0)</f>
        <v>0</v>
      </c>
      <c r="CH12" s="264">
        <f t="shared" si="51"/>
        <v>0</v>
      </c>
      <c r="CI12" s="264">
        <f t="shared" si="52"/>
        <v>0</v>
      </c>
      <c r="CJ12" s="264">
        <f t="shared" ref="CJ12:CJ50" si="87">IF($G12="5213",$F12,0)</f>
        <v>0</v>
      </c>
      <c r="CK12" s="264">
        <f t="shared" ref="CK12:CK50" si="88">IF($H12="5213",$F12,0)</f>
        <v>0</v>
      </c>
      <c r="CL12" s="264">
        <f t="shared" si="53"/>
        <v>0</v>
      </c>
      <c r="CM12" s="264">
        <f t="shared" si="54"/>
        <v>0</v>
      </c>
      <c r="CN12" s="264">
        <f t="shared" si="55"/>
        <v>0</v>
      </c>
      <c r="CO12" s="264">
        <f t="shared" si="56"/>
        <v>0</v>
      </c>
      <c r="CP12" s="264">
        <f t="shared" ref="CP12:CP50" si="89">IF($G12="641",$F12,0)</f>
        <v>0</v>
      </c>
      <c r="CQ12" s="264">
        <f t="shared" ref="CQ12:CQ50" si="90">IF($H12="641",$F12,0)</f>
        <v>0</v>
      </c>
      <c r="CR12" s="264">
        <f t="shared" ref="CR12:CR50" si="91">IF($G12="642",$F12,0)</f>
        <v>0</v>
      </c>
      <c r="CS12" s="264">
        <f t="shared" ref="CS12:CS50" si="92">IF($H12="642",$F12,0)</f>
        <v>0</v>
      </c>
      <c r="CT12" s="264">
        <f t="shared" si="57"/>
        <v>0</v>
      </c>
      <c r="CU12" s="264">
        <f t="shared" si="58"/>
        <v>0</v>
      </c>
      <c r="CV12" s="264">
        <f t="shared" si="59"/>
        <v>0</v>
      </c>
      <c r="CW12" s="264">
        <f t="shared" si="60"/>
        <v>0</v>
      </c>
      <c r="CX12" s="264">
        <f t="shared" ref="CX12:CX50" si="93">IF($G12="821",$F12,0)</f>
        <v>0</v>
      </c>
      <c r="CY12" s="264">
        <f t="shared" ref="CY12:CY50" si="94">IF($H12="821",$F12,0)</f>
        <v>0</v>
      </c>
      <c r="CZ12" s="264">
        <f t="shared" ref="CZ12:CZ50" si="95">IF($G12="911",$F12,0)</f>
        <v>0</v>
      </c>
      <c r="DA12" s="264">
        <f t="shared" ref="DA12:DA50" si="96">IF($H12="911",$F12,0)</f>
        <v>0</v>
      </c>
    </row>
    <row r="13" spans="1:105" s="261" customFormat="1" ht="16.5" customHeight="1">
      <c r="A13" s="63" t="str">
        <f t="array" ref="A13">IF(C13&lt;&gt;0,SUM(($C$11:C13&lt;&gt;0)*1),"")</f>
        <v/>
      </c>
      <c r="B13" s="262"/>
      <c r="C13" s="262"/>
      <c r="D13" s="262"/>
      <c r="E13" s="344"/>
      <c r="F13" s="311"/>
      <c r="G13" s="313"/>
      <c r="H13" s="313"/>
      <c r="I13" s="63" t="str">
        <f t="shared" si="0"/>
        <v/>
      </c>
      <c r="J13" s="264">
        <f t="shared" si="61"/>
        <v>0</v>
      </c>
      <c r="K13" s="264">
        <f t="shared" si="62"/>
        <v>0</v>
      </c>
      <c r="L13" s="264">
        <f t="shared" si="1"/>
        <v>0</v>
      </c>
      <c r="M13" s="264">
        <f t="shared" si="2"/>
        <v>0</v>
      </c>
      <c r="N13" s="264">
        <f t="shared" si="3"/>
        <v>0</v>
      </c>
      <c r="O13" s="264">
        <f t="shared" si="4"/>
        <v>0</v>
      </c>
      <c r="P13" s="264">
        <f t="shared" si="5"/>
        <v>0</v>
      </c>
      <c r="Q13" s="264">
        <f t="shared" si="6"/>
        <v>0</v>
      </c>
      <c r="R13" s="264">
        <f t="shared" si="7"/>
        <v>0</v>
      </c>
      <c r="S13" s="264">
        <f t="shared" si="8"/>
        <v>0</v>
      </c>
      <c r="T13" s="264">
        <f t="shared" si="9"/>
        <v>0</v>
      </c>
      <c r="U13" s="264">
        <f t="shared" si="10"/>
        <v>0</v>
      </c>
      <c r="V13" s="264">
        <f t="shared" si="11"/>
        <v>0</v>
      </c>
      <c r="W13" s="264">
        <f t="shared" si="12"/>
        <v>0</v>
      </c>
      <c r="X13" s="264">
        <f t="shared" si="13"/>
        <v>0</v>
      </c>
      <c r="Y13" s="264">
        <f t="shared" si="14"/>
        <v>0</v>
      </c>
      <c r="Z13" s="264">
        <f t="shared" si="15"/>
        <v>0</v>
      </c>
      <c r="AA13" s="264">
        <f t="shared" si="16"/>
        <v>0</v>
      </c>
      <c r="AB13" s="264">
        <f t="shared" si="63"/>
        <v>0</v>
      </c>
      <c r="AC13" s="264">
        <f t="shared" si="64"/>
        <v>0</v>
      </c>
      <c r="AD13" s="264">
        <f t="shared" si="17"/>
        <v>0</v>
      </c>
      <c r="AE13" s="264">
        <f t="shared" si="18"/>
        <v>0</v>
      </c>
      <c r="AF13" s="264">
        <f t="shared" si="19"/>
        <v>0</v>
      </c>
      <c r="AG13" s="264">
        <f t="shared" si="20"/>
        <v>0</v>
      </c>
      <c r="AH13" s="264">
        <f t="shared" si="65"/>
        <v>0</v>
      </c>
      <c r="AI13" s="264">
        <f t="shared" si="66"/>
        <v>0</v>
      </c>
      <c r="AJ13" s="264">
        <f t="shared" si="67"/>
        <v>0</v>
      </c>
      <c r="AK13" s="264">
        <f t="shared" si="68"/>
        <v>0</v>
      </c>
      <c r="AL13" s="264">
        <f t="shared" si="69"/>
        <v>0</v>
      </c>
      <c r="AM13" s="264">
        <f t="shared" si="70"/>
        <v>0</v>
      </c>
      <c r="AN13" s="264">
        <f t="shared" si="71"/>
        <v>0</v>
      </c>
      <c r="AO13" s="264">
        <f t="shared" si="72"/>
        <v>0</v>
      </c>
      <c r="AP13" s="264">
        <f t="shared" si="21"/>
        <v>0</v>
      </c>
      <c r="AQ13" s="264">
        <f t="shared" si="22"/>
        <v>0</v>
      </c>
      <c r="AR13" s="264">
        <f t="shared" si="23"/>
        <v>0</v>
      </c>
      <c r="AS13" s="264">
        <f t="shared" si="24"/>
        <v>0</v>
      </c>
      <c r="AT13" s="264">
        <f t="shared" si="73"/>
        <v>0</v>
      </c>
      <c r="AU13" s="264">
        <f t="shared" si="74"/>
        <v>0</v>
      </c>
      <c r="AV13" s="264">
        <f t="shared" si="25"/>
        <v>0</v>
      </c>
      <c r="AW13" s="264">
        <f t="shared" si="26"/>
        <v>0</v>
      </c>
      <c r="AX13" s="264">
        <f t="shared" si="27"/>
        <v>0</v>
      </c>
      <c r="AY13" s="264">
        <f t="shared" si="28"/>
        <v>0</v>
      </c>
      <c r="AZ13" s="264">
        <f t="shared" si="29"/>
        <v>0</v>
      </c>
      <c r="BA13" s="264">
        <f t="shared" si="30"/>
        <v>0</v>
      </c>
      <c r="BB13" s="264">
        <f t="shared" si="31"/>
        <v>0</v>
      </c>
      <c r="BC13" s="264">
        <f t="shared" si="32"/>
        <v>0</v>
      </c>
      <c r="BD13" s="264">
        <f t="shared" si="33"/>
        <v>0</v>
      </c>
      <c r="BE13" s="264">
        <f t="shared" si="34"/>
        <v>0</v>
      </c>
      <c r="BF13" s="264">
        <f t="shared" si="35"/>
        <v>0</v>
      </c>
      <c r="BG13" s="264">
        <f t="shared" si="36"/>
        <v>0</v>
      </c>
      <c r="BH13" s="264">
        <f t="shared" si="75"/>
        <v>0</v>
      </c>
      <c r="BI13" s="264">
        <f t="shared" si="76"/>
        <v>0</v>
      </c>
      <c r="BJ13" s="264">
        <f t="shared" si="37"/>
        <v>0</v>
      </c>
      <c r="BK13" s="264">
        <f t="shared" si="38"/>
        <v>0</v>
      </c>
      <c r="BL13" s="264">
        <f t="shared" si="39"/>
        <v>0</v>
      </c>
      <c r="BM13" s="264">
        <f t="shared" si="40"/>
        <v>0</v>
      </c>
      <c r="BN13" s="264">
        <f t="shared" si="41"/>
        <v>0</v>
      </c>
      <c r="BO13" s="264">
        <f t="shared" si="42"/>
        <v>0</v>
      </c>
      <c r="BP13" s="264">
        <f t="shared" si="77"/>
        <v>0</v>
      </c>
      <c r="BQ13" s="264">
        <f t="shared" si="78"/>
        <v>0</v>
      </c>
      <c r="BR13" s="264">
        <f t="shared" si="43"/>
        <v>0</v>
      </c>
      <c r="BS13" s="264">
        <f t="shared" si="44"/>
        <v>0</v>
      </c>
      <c r="BT13" s="264">
        <f t="shared" si="79"/>
        <v>0</v>
      </c>
      <c r="BU13" s="264">
        <f t="shared" si="80"/>
        <v>0</v>
      </c>
      <c r="BV13" s="264">
        <f t="shared" si="81"/>
        <v>0</v>
      </c>
      <c r="BW13" s="264">
        <f t="shared" si="82"/>
        <v>0</v>
      </c>
      <c r="BX13" s="264">
        <f t="shared" si="45"/>
        <v>0</v>
      </c>
      <c r="BY13" s="264">
        <f t="shared" si="46"/>
        <v>0</v>
      </c>
      <c r="BZ13" s="264">
        <f t="shared" si="47"/>
        <v>0</v>
      </c>
      <c r="CA13" s="264">
        <f t="shared" si="48"/>
        <v>0</v>
      </c>
      <c r="CB13" s="264">
        <f t="shared" si="49"/>
        <v>0</v>
      </c>
      <c r="CC13" s="264">
        <f t="shared" si="50"/>
        <v>0</v>
      </c>
      <c r="CD13" s="264">
        <f t="shared" si="83"/>
        <v>0</v>
      </c>
      <c r="CE13" s="264">
        <f t="shared" si="84"/>
        <v>0</v>
      </c>
      <c r="CF13" s="264">
        <f t="shared" si="85"/>
        <v>0</v>
      </c>
      <c r="CG13" s="264">
        <f t="shared" si="86"/>
        <v>0</v>
      </c>
      <c r="CH13" s="264">
        <f t="shared" si="51"/>
        <v>0</v>
      </c>
      <c r="CI13" s="264">
        <f t="shared" si="52"/>
        <v>0</v>
      </c>
      <c r="CJ13" s="264">
        <f t="shared" si="87"/>
        <v>0</v>
      </c>
      <c r="CK13" s="264">
        <f t="shared" si="88"/>
        <v>0</v>
      </c>
      <c r="CL13" s="264">
        <f t="shared" si="53"/>
        <v>0</v>
      </c>
      <c r="CM13" s="264">
        <f t="shared" si="54"/>
        <v>0</v>
      </c>
      <c r="CN13" s="264">
        <f t="shared" si="55"/>
        <v>0</v>
      </c>
      <c r="CO13" s="264">
        <f t="shared" si="56"/>
        <v>0</v>
      </c>
      <c r="CP13" s="264">
        <f t="shared" si="89"/>
        <v>0</v>
      </c>
      <c r="CQ13" s="264">
        <f t="shared" si="90"/>
        <v>0</v>
      </c>
      <c r="CR13" s="264">
        <f t="shared" si="91"/>
        <v>0</v>
      </c>
      <c r="CS13" s="264">
        <f t="shared" si="92"/>
        <v>0</v>
      </c>
      <c r="CT13" s="264">
        <f t="shared" si="57"/>
        <v>0</v>
      </c>
      <c r="CU13" s="264">
        <f t="shared" si="58"/>
        <v>0</v>
      </c>
      <c r="CV13" s="264">
        <f t="shared" si="59"/>
        <v>0</v>
      </c>
      <c r="CW13" s="264">
        <f t="shared" si="60"/>
        <v>0</v>
      </c>
      <c r="CX13" s="264">
        <f t="shared" si="93"/>
        <v>0</v>
      </c>
      <c r="CY13" s="264">
        <f t="shared" si="94"/>
        <v>0</v>
      </c>
      <c r="CZ13" s="264">
        <f t="shared" si="95"/>
        <v>0</v>
      </c>
      <c r="DA13" s="264">
        <f t="shared" si="96"/>
        <v>0</v>
      </c>
    </row>
    <row r="14" spans="1:105" s="261" customFormat="1" ht="16.5" customHeight="1">
      <c r="A14" s="63" t="str">
        <f t="array" ref="A14">IF(C14&lt;&gt;0,SUM(($C$11:C14&lt;&gt;0)*1),"")</f>
        <v/>
      </c>
      <c r="B14" s="262"/>
      <c r="C14" s="262"/>
      <c r="D14" s="262"/>
      <c r="E14" s="344"/>
      <c r="F14" s="311"/>
      <c r="G14" s="313"/>
      <c r="H14" s="313"/>
      <c r="I14" s="63" t="str">
        <f t="shared" si="0"/>
        <v/>
      </c>
      <c r="J14" s="264">
        <f t="shared" si="61"/>
        <v>0</v>
      </c>
      <c r="K14" s="264">
        <f t="shared" si="62"/>
        <v>0</v>
      </c>
      <c r="L14" s="264">
        <f t="shared" si="1"/>
        <v>0</v>
      </c>
      <c r="M14" s="264">
        <f t="shared" si="2"/>
        <v>0</v>
      </c>
      <c r="N14" s="264">
        <f t="shared" si="3"/>
        <v>0</v>
      </c>
      <c r="O14" s="264">
        <f t="shared" si="4"/>
        <v>0</v>
      </c>
      <c r="P14" s="264">
        <f t="shared" si="5"/>
        <v>0</v>
      </c>
      <c r="Q14" s="264">
        <f t="shared" si="6"/>
        <v>0</v>
      </c>
      <c r="R14" s="264">
        <f t="shared" si="7"/>
        <v>0</v>
      </c>
      <c r="S14" s="264">
        <f t="shared" si="8"/>
        <v>0</v>
      </c>
      <c r="T14" s="264">
        <f t="shared" si="9"/>
        <v>0</v>
      </c>
      <c r="U14" s="264">
        <f t="shared" si="10"/>
        <v>0</v>
      </c>
      <c r="V14" s="264">
        <f t="shared" si="11"/>
        <v>0</v>
      </c>
      <c r="W14" s="264">
        <f t="shared" si="12"/>
        <v>0</v>
      </c>
      <c r="X14" s="264">
        <f t="shared" si="13"/>
        <v>0</v>
      </c>
      <c r="Y14" s="264">
        <f t="shared" si="14"/>
        <v>0</v>
      </c>
      <c r="Z14" s="264">
        <f t="shared" si="15"/>
        <v>0</v>
      </c>
      <c r="AA14" s="264">
        <f t="shared" si="16"/>
        <v>0</v>
      </c>
      <c r="AB14" s="264">
        <f t="shared" si="63"/>
        <v>0</v>
      </c>
      <c r="AC14" s="264">
        <f t="shared" si="64"/>
        <v>0</v>
      </c>
      <c r="AD14" s="264">
        <f t="shared" si="17"/>
        <v>0</v>
      </c>
      <c r="AE14" s="264">
        <f t="shared" si="18"/>
        <v>0</v>
      </c>
      <c r="AF14" s="264">
        <f t="shared" si="19"/>
        <v>0</v>
      </c>
      <c r="AG14" s="264">
        <f t="shared" si="20"/>
        <v>0</v>
      </c>
      <c r="AH14" s="264">
        <f t="shared" si="65"/>
        <v>0</v>
      </c>
      <c r="AI14" s="264">
        <f t="shared" si="66"/>
        <v>0</v>
      </c>
      <c r="AJ14" s="264">
        <f t="shared" si="67"/>
        <v>0</v>
      </c>
      <c r="AK14" s="264">
        <f t="shared" si="68"/>
        <v>0</v>
      </c>
      <c r="AL14" s="264">
        <f t="shared" si="69"/>
        <v>0</v>
      </c>
      <c r="AM14" s="264">
        <f t="shared" si="70"/>
        <v>0</v>
      </c>
      <c r="AN14" s="264">
        <f t="shared" si="71"/>
        <v>0</v>
      </c>
      <c r="AO14" s="264">
        <f t="shared" si="72"/>
        <v>0</v>
      </c>
      <c r="AP14" s="264">
        <f t="shared" si="21"/>
        <v>0</v>
      </c>
      <c r="AQ14" s="264">
        <f t="shared" si="22"/>
        <v>0</v>
      </c>
      <c r="AR14" s="264">
        <f t="shared" si="23"/>
        <v>0</v>
      </c>
      <c r="AS14" s="264">
        <f t="shared" si="24"/>
        <v>0</v>
      </c>
      <c r="AT14" s="264">
        <f t="shared" si="73"/>
        <v>0</v>
      </c>
      <c r="AU14" s="264">
        <f t="shared" si="74"/>
        <v>0</v>
      </c>
      <c r="AV14" s="264">
        <f t="shared" si="25"/>
        <v>0</v>
      </c>
      <c r="AW14" s="264">
        <f t="shared" si="26"/>
        <v>0</v>
      </c>
      <c r="AX14" s="264">
        <f t="shared" si="27"/>
        <v>0</v>
      </c>
      <c r="AY14" s="264">
        <f t="shared" si="28"/>
        <v>0</v>
      </c>
      <c r="AZ14" s="264">
        <f t="shared" si="29"/>
        <v>0</v>
      </c>
      <c r="BA14" s="264">
        <f t="shared" si="30"/>
        <v>0</v>
      </c>
      <c r="BB14" s="264">
        <f t="shared" si="31"/>
        <v>0</v>
      </c>
      <c r="BC14" s="264">
        <f t="shared" si="32"/>
        <v>0</v>
      </c>
      <c r="BD14" s="264">
        <f t="shared" si="33"/>
        <v>0</v>
      </c>
      <c r="BE14" s="264">
        <f t="shared" si="34"/>
        <v>0</v>
      </c>
      <c r="BF14" s="264">
        <f t="shared" si="35"/>
        <v>0</v>
      </c>
      <c r="BG14" s="264">
        <f t="shared" si="36"/>
        <v>0</v>
      </c>
      <c r="BH14" s="264">
        <f t="shared" si="75"/>
        <v>0</v>
      </c>
      <c r="BI14" s="264">
        <f t="shared" si="76"/>
        <v>0</v>
      </c>
      <c r="BJ14" s="264">
        <f t="shared" si="37"/>
        <v>0</v>
      </c>
      <c r="BK14" s="264">
        <f t="shared" si="38"/>
        <v>0</v>
      </c>
      <c r="BL14" s="264">
        <f t="shared" si="39"/>
        <v>0</v>
      </c>
      <c r="BM14" s="264">
        <f t="shared" si="40"/>
        <v>0</v>
      </c>
      <c r="BN14" s="264">
        <f t="shared" si="41"/>
        <v>0</v>
      </c>
      <c r="BO14" s="264">
        <f t="shared" si="42"/>
        <v>0</v>
      </c>
      <c r="BP14" s="264">
        <f t="shared" si="77"/>
        <v>0</v>
      </c>
      <c r="BQ14" s="264">
        <f t="shared" si="78"/>
        <v>0</v>
      </c>
      <c r="BR14" s="264">
        <f t="shared" si="43"/>
        <v>0</v>
      </c>
      <c r="BS14" s="264">
        <f t="shared" si="44"/>
        <v>0</v>
      </c>
      <c r="BT14" s="264">
        <f t="shared" si="79"/>
        <v>0</v>
      </c>
      <c r="BU14" s="264">
        <f t="shared" si="80"/>
        <v>0</v>
      </c>
      <c r="BV14" s="264">
        <f t="shared" si="81"/>
        <v>0</v>
      </c>
      <c r="BW14" s="264">
        <f t="shared" si="82"/>
        <v>0</v>
      </c>
      <c r="BX14" s="264">
        <f t="shared" si="45"/>
        <v>0</v>
      </c>
      <c r="BY14" s="264">
        <f t="shared" si="46"/>
        <v>0</v>
      </c>
      <c r="BZ14" s="264">
        <f t="shared" si="47"/>
        <v>0</v>
      </c>
      <c r="CA14" s="264">
        <f t="shared" si="48"/>
        <v>0</v>
      </c>
      <c r="CB14" s="264">
        <f t="shared" si="49"/>
        <v>0</v>
      </c>
      <c r="CC14" s="264">
        <f t="shared" si="50"/>
        <v>0</v>
      </c>
      <c r="CD14" s="264">
        <f t="shared" si="83"/>
        <v>0</v>
      </c>
      <c r="CE14" s="264">
        <f t="shared" si="84"/>
        <v>0</v>
      </c>
      <c r="CF14" s="264">
        <f t="shared" si="85"/>
        <v>0</v>
      </c>
      <c r="CG14" s="264">
        <f t="shared" si="86"/>
        <v>0</v>
      </c>
      <c r="CH14" s="264">
        <f t="shared" si="51"/>
        <v>0</v>
      </c>
      <c r="CI14" s="264">
        <f t="shared" si="52"/>
        <v>0</v>
      </c>
      <c r="CJ14" s="264">
        <f t="shared" si="87"/>
        <v>0</v>
      </c>
      <c r="CK14" s="264">
        <f t="shared" si="88"/>
        <v>0</v>
      </c>
      <c r="CL14" s="264">
        <f t="shared" si="53"/>
        <v>0</v>
      </c>
      <c r="CM14" s="264">
        <f t="shared" si="54"/>
        <v>0</v>
      </c>
      <c r="CN14" s="264">
        <f t="shared" si="55"/>
        <v>0</v>
      </c>
      <c r="CO14" s="264">
        <f t="shared" si="56"/>
        <v>0</v>
      </c>
      <c r="CP14" s="264">
        <f t="shared" si="89"/>
        <v>0</v>
      </c>
      <c r="CQ14" s="264">
        <f t="shared" si="90"/>
        <v>0</v>
      </c>
      <c r="CR14" s="264">
        <f t="shared" si="91"/>
        <v>0</v>
      </c>
      <c r="CS14" s="264">
        <f t="shared" si="92"/>
        <v>0</v>
      </c>
      <c r="CT14" s="264">
        <f t="shared" si="57"/>
        <v>0</v>
      </c>
      <c r="CU14" s="264">
        <f t="shared" si="58"/>
        <v>0</v>
      </c>
      <c r="CV14" s="264">
        <f t="shared" si="59"/>
        <v>0</v>
      </c>
      <c r="CW14" s="264">
        <f t="shared" si="60"/>
        <v>0</v>
      </c>
      <c r="CX14" s="264">
        <f t="shared" si="93"/>
        <v>0</v>
      </c>
      <c r="CY14" s="264">
        <f t="shared" si="94"/>
        <v>0</v>
      </c>
      <c r="CZ14" s="264">
        <f t="shared" si="95"/>
        <v>0</v>
      </c>
      <c r="DA14" s="264">
        <f t="shared" si="96"/>
        <v>0</v>
      </c>
    </row>
    <row r="15" spans="1:105" s="261" customFormat="1" ht="16.5" customHeight="1">
      <c r="A15" s="63" t="str">
        <f t="array" ref="A15">IF(C15&lt;&gt;0,SUM(($C$11:C15&lt;&gt;0)*1),"")</f>
        <v/>
      </c>
      <c r="B15" s="262"/>
      <c r="C15" s="262"/>
      <c r="D15" s="262"/>
      <c r="E15" s="344"/>
      <c r="F15" s="311"/>
      <c r="G15" s="313"/>
      <c r="H15" s="313"/>
      <c r="I15" s="63" t="str">
        <f t="shared" si="0"/>
        <v/>
      </c>
      <c r="J15" s="264">
        <f t="shared" si="61"/>
        <v>0</v>
      </c>
      <c r="K15" s="264">
        <f t="shared" si="62"/>
        <v>0</v>
      </c>
      <c r="L15" s="264">
        <f t="shared" si="1"/>
        <v>0</v>
      </c>
      <c r="M15" s="264">
        <f t="shared" si="2"/>
        <v>0</v>
      </c>
      <c r="N15" s="264">
        <f t="shared" si="3"/>
        <v>0</v>
      </c>
      <c r="O15" s="264">
        <f t="shared" si="4"/>
        <v>0</v>
      </c>
      <c r="P15" s="264">
        <f t="shared" si="5"/>
        <v>0</v>
      </c>
      <c r="Q15" s="264">
        <f t="shared" si="6"/>
        <v>0</v>
      </c>
      <c r="R15" s="264">
        <f t="shared" si="7"/>
        <v>0</v>
      </c>
      <c r="S15" s="264">
        <f t="shared" si="8"/>
        <v>0</v>
      </c>
      <c r="T15" s="264">
        <f t="shared" si="9"/>
        <v>0</v>
      </c>
      <c r="U15" s="264">
        <f t="shared" si="10"/>
        <v>0</v>
      </c>
      <c r="V15" s="264">
        <f t="shared" si="11"/>
        <v>0</v>
      </c>
      <c r="W15" s="264">
        <f t="shared" si="12"/>
        <v>0</v>
      </c>
      <c r="X15" s="264">
        <f t="shared" si="13"/>
        <v>0</v>
      </c>
      <c r="Y15" s="264">
        <f t="shared" si="14"/>
        <v>0</v>
      </c>
      <c r="Z15" s="264">
        <f t="shared" si="15"/>
        <v>0</v>
      </c>
      <c r="AA15" s="264">
        <f t="shared" si="16"/>
        <v>0</v>
      </c>
      <c r="AB15" s="264">
        <f t="shared" si="63"/>
        <v>0</v>
      </c>
      <c r="AC15" s="264">
        <f t="shared" si="64"/>
        <v>0</v>
      </c>
      <c r="AD15" s="264">
        <f t="shared" si="17"/>
        <v>0</v>
      </c>
      <c r="AE15" s="264">
        <f t="shared" si="18"/>
        <v>0</v>
      </c>
      <c r="AF15" s="264">
        <f t="shared" si="19"/>
        <v>0</v>
      </c>
      <c r="AG15" s="264">
        <f t="shared" si="20"/>
        <v>0</v>
      </c>
      <c r="AH15" s="264">
        <f t="shared" si="65"/>
        <v>0</v>
      </c>
      <c r="AI15" s="264">
        <f t="shared" si="66"/>
        <v>0</v>
      </c>
      <c r="AJ15" s="264">
        <f t="shared" si="67"/>
        <v>0</v>
      </c>
      <c r="AK15" s="264">
        <f t="shared" si="68"/>
        <v>0</v>
      </c>
      <c r="AL15" s="264">
        <f t="shared" si="69"/>
        <v>0</v>
      </c>
      <c r="AM15" s="264">
        <f t="shared" si="70"/>
        <v>0</v>
      </c>
      <c r="AN15" s="264">
        <f t="shared" si="71"/>
        <v>0</v>
      </c>
      <c r="AO15" s="264">
        <f t="shared" si="72"/>
        <v>0</v>
      </c>
      <c r="AP15" s="264">
        <f t="shared" si="21"/>
        <v>0</v>
      </c>
      <c r="AQ15" s="264">
        <f t="shared" si="22"/>
        <v>0</v>
      </c>
      <c r="AR15" s="264">
        <f t="shared" si="23"/>
        <v>0</v>
      </c>
      <c r="AS15" s="264">
        <f t="shared" si="24"/>
        <v>0</v>
      </c>
      <c r="AT15" s="264">
        <f t="shared" si="73"/>
        <v>0</v>
      </c>
      <c r="AU15" s="264">
        <f t="shared" si="74"/>
        <v>0</v>
      </c>
      <c r="AV15" s="264">
        <f t="shared" si="25"/>
        <v>0</v>
      </c>
      <c r="AW15" s="264">
        <f t="shared" si="26"/>
        <v>0</v>
      </c>
      <c r="AX15" s="264">
        <f t="shared" si="27"/>
        <v>0</v>
      </c>
      <c r="AY15" s="264">
        <f t="shared" si="28"/>
        <v>0</v>
      </c>
      <c r="AZ15" s="264">
        <f t="shared" si="29"/>
        <v>0</v>
      </c>
      <c r="BA15" s="264">
        <f t="shared" si="30"/>
        <v>0</v>
      </c>
      <c r="BB15" s="264">
        <f t="shared" si="31"/>
        <v>0</v>
      </c>
      <c r="BC15" s="264">
        <f t="shared" si="32"/>
        <v>0</v>
      </c>
      <c r="BD15" s="264">
        <f t="shared" si="33"/>
        <v>0</v>
      </c>
      <c r="BE15" s="264">
        <f t="shared" si="34"/>
        <v>0</v>
      </c>
      <c r="BF15" s="264">
        <f t="shared" si="35"/>
        <v>0</v>
      </c>
      <c r="BG15" s="264">
        <f t="shared" si="36"/>
        <v>0</v>
      </c>
      <c r="BH15" s="264">
        <f t="shared" si="75"/>
        <v>0</v>
      </c>
      <c r="BI15" s="264">
        <f t="shared" si="76"/>
        <v>0</v>
      </c>
      <c r="BJ15" s="264">
        <f t="shared" si="37"/>
        <v>0</v>
      </c>
      <c r="BK15" s="264">
        <f t="shared" si="38"/>
        <v>0</v>
      </c>
      <c r="BL15" s="264">
        <f t="shared" si="39"/>
        <v>0</v>
      </c>
      <c r="BM15" s="264">
        <f t="shared" si="40"/>
        <v>0</v>
      </c>
      <c r="BN15" s="264">
        <f t="shared" si="41"/>
        <v>0</v>
      </c>
      <c r="BO15" s="264">
        <f t="shared" si="42"/>
        <v>0</v>
      </c>
      <c r="BP15" s="264">
        <f t="shared" si="77"/>
        <v>0</v>
      </c>
      <c r="BQ15" s="264">
        <f t="shared" si="78"/>
        <v>0</v>
      </c>
      <c r="BR15" s="264">
        <f t="shared" si="43"/>
        <v>0</v>
      </c>
      <c r="BS15" s="264">
        <f t="shared" si="44"/>
        <v>0</v>
      </c>
      <c r="BT15" s="264">
        <f t="shared" si="79"/>
        <v>0</v>
      </c>
      <c r="BU15" s="264">
        <f t="shared" si="80"/>
        <v>0</v>
      </c>
      <c r="BV15" s="264">
        <f t="shared" si="81"/>
        <v>0</v>
      </c>
      <c r="BW15" s="264">
        <f t="shared" si="82"/>
        <v>0</v>
      </c>
      <c r="BX15" s="264">
        <f t="shared" si="45"/>
        <v>0</v>
      </c>
      <c r="BY15" s="264">
        <f t="shared" si="46"/>
        <v>0</v>
      </c>
      <c r="BZ15" s="264">
        <f t="shared" si="47"/>
        <v>0</v>
      </c>
      <c r="CA15" s="264">
        <f t="shared" si="48"/>
        <v>0</v>
      </c>
      <c r="CB15" s="264">
        <f t="shared" si="49"/>
        <v>0</v>
      </c>
      <c r="CC15" s="264">
        <f t="shared" si="50"/>
        <v>0</v>
      </c>
      <c r="CD15" s="264">
        <f t="shared" si="83"/>
        <v>0</v>
      </c>
      <c r="CE15" s="264">
        <f t="shared" si="84"/>
        <v>0</v>
      </c>
      <c r="CF15" s="264">
        <f t="shared" si="85"/>
        <v>0</v>
      </c>
      <c r="CG15" s="264">
        <f t="shared" si="86"/>
        <v>0</v>
      </c>
      <c r="CH15" s="264">
        <f t="shared" si="51"/>
        <v>0</v>
      </c>
      <c r="CI15" s="264">
        <f t="shared" si="52"/>
        <v>0</v>
      </c>
      <c r="CJ15" s="264">
        <f t="shared" si="87"/>
        <v>0</v>
      </c>
      <c r="CK15" s="264">
        <f t="shared" si="88"/>
        <v>0</v>
      </c>
      <c r="CL15" s="264">
        <f t="shared" si="53"/>
        <v>0</v>
      </c>
      <c r="CM15" s="264">
        <f t="shared" si="54"/>
        <v>0</v>
      </c>
      <c r="CN15" s="264">
        <f t="shared" si="55"/>
        <v>0</v>
      </c>
      <c r="CO15" s="264">
        <f t="shared" si="56"/>
        <v>0</v>
      </c>
      <c r="CP15" s="264">
        <f t="shared" si="89"/>
        <v>0</v>
      </c>
      <c r="CQ15" s="264">
        <f t="shared" si="90"/>
        <v>0</v>
      </c>
      <c r="CR15" s="264">
        <f t="shared" si="91"/>
        <v>0</v>
      </c>
      <c r="CS15" s="264">
        <f t="shared" si="92"/>
        <v>0</v>
      </c>
      <c r="CT15" s="264">
        <f t="shared" si="57"/>
        <v>0</v>
      </c>
      <c r="CU15" s="264">
        <f t="shared" si="58"/>
        <v>0</v>
      </c>
      <c r="CV15" s="264">
        <f t="shared" si="59"/>
        <v>0</v>
      </c>
      <c r="CW15" s="264">
        <f t="shared" si="60"/>
        <v>0</v>
      </c>
      <c r="CX15" s="264">
        <f t="shared" si="93"/>
        <v>0</v>
      </c>
      <c r="CY15" s="264">
        <f t="shared" si="94"/>
        <v>0</v>
      </c>
      <c r="CZ15" s="264">
        <f t="shared" si="95"/>
        <v>0</v>
      </c>
      <c r="DA15" s="264">
        <f t="shared" si="96"/>
        <v>0</v>
      </c>
    </row>
    <row r="16" spans="1:105" s="261" customFormat="1" ht="16.5" customHeight="1">
      <c r="A16" s="63" t="str">
        <f t="array" ref="A16">IF(C16&lt;&gt;0,SUM(($C$11:C16&lt;&gt;0)*1),"")</f>
        <v/>
      </c>
      <c r="B16" s="262"/>
      <c r="C16" s="262"/>
      <c r="D16" s="262"/>
      <c r="E16" s="344"/>
      <c r="F16" s="311"/>
      <c r="G16" s="313"/>
      <c r="H16" s="313"/>
      <c r="I16" s="63" t="str">
        <f t="shared" si="0"/>
        <v/>
      </c>
      <c r="J16" s="264">
        <f t="shared" si="61"/>
        <v>0</v>
      </c>
      <c r="K16" s="264">
        <f t="shared" si="62"/>
        <v>0</v>
      </c>
      <c r="L16" s="264">
        <f t="shared" si="1"/>
        <v>0</v>
      </c>
      <c r="M16" s="264">
        <f t="shared" si="2"/>
        <v>0</v>
      </c>
      <c r="N16" s="264">
        <f t="shared" si="3"/>
        <v>0</v>
      </c>
      <c r="O16" s="264">
        <f t="shared" si="4"/>
        <v>0</v>
      </c>
      <c r="P16" s="264">
        <f t="shared" si="5"/>
        <v>0</v>
      </c>
      <c r="Q16" s="264">
        <f t="shared" si="6"/>
        <v>0</v>
      </c>
      <c r="R16" s="264">
        <f t="shared" si="7"/>
        <v>0</v>
      </c>
      <c r="S16" s="264">
        <f t="shared" si="8"/>
        <v>0</v>
      </c>
      <c r="T16" s="264">
        <f t="shared" si="9"/>
        <v>0</v>
      </c>
      <c r="U16" s="264">
        <f t="shared" si="10"/>
        <v>0</v>
      </c>
      <c r="V16" s="264">
        <f t="shared" si="11"/>
        <v>0</v>
      </c>
      <c r="W16" s="264">
        <f t="shared" si="12"/>
        <v>0</v>
      </c>
      <c r="X16" s="264">
        <f t="shared" si="13"/>
        <v>0</v>
      </c>
      <c r="Y16" s="264">
        <f t="shared" si="14"/>
        <v>0</v>
      </c>
      <c r="Z16" s="264">
        <f t="shared" si="15"/>
        <v>0</v>
      </c>
      <c r="AA16" s="264">
        <f t="shared" si="16"/>
        <v>0</v>
      </c>
      <c r="AB16" s="264">
        <f t="shared" si="63"/>
        <v>0</v>
      </c>
      <c r="AC16" s="264">
        <f t="shared" si="64"/>
        <v>0</v>
      </c>
      <c r="AD16" s="264">
        <f t="shared" si="17"/>
        <v>0</v>
      </c>
      <c r="AE16" s="264">
        <f t="shared" si="18"/>
        <v>0</v>
      </c>
      <c r="AF16" s="264">
        <f t="shared" si="19"/>
        <v>0</v>
      </c>
      <c r="AG16" s="264">
        <f t="shared" si="20"/>
        <v>0</v>
      </c>
      <c r="AH16" s="264">
        <f t="shared" si="65"/>
        <v>0</v>
      </c>
      <c r="AI16" s="264">
        <f t="shared" si="66"/>
        <v>0</v>
      </c>
      <c r="AJ16" s="264">
        <f t="shared" si="67"/>
        <v>0</v>
      </c>
      <c r="AK16" s="264">
        <f t="shared" si="68"/>
        <v>0</v>
      </c>
      <c r="AL16" s="264">
        <f t="shared" si="69"/>
        <v>0</v>
      </c>
      <c r="AM16" s="264">
        <f t="shared" si="70"/>
        <v>0</v>
      </c>
      <c r="AN16" s="264">
        <f t="shared" si="71"/>
        <v>0</v>
      </c>
      <c r="AO16" s="264">
        <f t="shared" si="72"/>
        <v>0</v>
      </c>
      <c r="AP16" s="264">
        <f t="shared" si="21"/>
        <v>0</v>
      </c>
      <c r="AQ16" s="264">
        <f t="shared" si="22"/>
        <v>0</v>
      </c>
      <c r="AR16" s="264">
        <f t="shared" si="23"/>
        <v>0</v>
      </c>
      <c r="AS16" s="264">
        <f t="shared" si="24"/>
        <v>0</v>
      </c>
      <c r="AT16" s="264">
        <f t="shared" si="73"/>
        <v>0</v>
      </c>
      <c r="AU16" s="264">
        <f t="shared" si="74"/>
        <v>0</v>
      </c>
      <c r="AV16" s="264">
        <f t="shared" si="25"/>
        <v>0</v>
      </c>
      <c r="AW16" s="264">
        <f t="shared" si="26"/>
        <v>0</v>
      </c>
      <c r="AX16" s="264">
        <f t="shared" si="27"/>
        <v>0</v>
      </c>
      <c r="AY16" s="264">
        <f t="shared" si="28"/>
        <v>0</v>
      </c>
      <c r="AZ16" s="264">
        <f t="shared" si="29"/>
        <v>0</v>
      </c>
      <c r="BA16" s="264">
        <f t="shared" si="30"/>
        <v>0</v>
      </c>
      <c r="BB16" s="264">
        <f t="shared" si="31"/>
        <v>0</v>
      </c>
      <c r="BC16" s="264">
        <f t="shared" si="32"/>
        <v>0</v>
      </c>
      <c r="BD16" s="264">
        <f t="shared" si="33"/>
        <v>0</v>
      </c>
      <c r="BE16" s="264">
        <f t="shared" si="34"/>
        <v>0</v>
      </c>
      <c r="BF16" s="264">
        <f t="shared" si="35"/>
        <v>0</v>
      </c>
      <c r="BG16" s="264">
        <f t="shared" si="36"/>
        <v>0</v>
      </c>
      <c r="BH16" s="264">
        <f t="shared" si="75"/>
        <v>0</v>
      </c>
      <c r="BI16" s="264">
        <f t="shared" si="76"/>
        <v>0</v>
      </c>
      <c r="BJ16" s="264">
        <f t="shared" si="37"/>
        <v>0</v>
      </c>
      <c r="BK16" s="264">
        <f t="shared" si="38"/>
        <v>0</v>
      </c>
      <c r="BL16" s="264">
        <f t="shared" si="39"/>
        <v>0</v>
      </c>
      <c r="BM16" s="264">
        <f t="shared" si="40"/>
        <v>0</v>
      </c>
      <c r="BN16" s="264">
        <f t="shared" si="41"/>
        <v>0</v>
      </c>
      <c r="BO16" s="264">
        <f t="shared" si="42"/>
        <v>0</v>
      </c>
      <c r="BP16" s="264">
        <f t="shared" si="77"/>
        <v>0</v>
      </c>
      <c r="BQ16" s="264">
        <f t="shared" si="78"/>
        <v>0</v>
      </c>
      <c r="BR16" s="264">
        <f t="shared" si="43"/>
        <v>0</v>
      </c>
      <c r="BS16" s="264">
        <f t="shared" si="44"/>
        <v>0</v>
      </c>
      <c r="BT16" s="264">
        <f t="shared" si="79"/>
        <v>0</v>
      </c>
      <c r="BU16" s="264">
        <f t="shared" si="80"/>
        <v>0</v>
      </c>
      <c r="BV16" s="264">
        <f t="shared" si="81"/>
        <v>0</v>
      </c>
      <c r="BW16" s="264">
        <f t="shared" si="82"/>
        <v>0</v>
      </c>
      <c r="BX16" s="264">
        <f t="shared" si="45"/>
        <v>0</v>
      </c>
      <c r="BY16" s="264">
        <f t="shared" si="46"/>
        <v>0</v>
      </c>
      <c r="BZ16" s="264">
        <f t="shared" si="47"/>
        <v>0</v>
      </c>
      <c r="CA16" s="264">
        <f t="shared" si="48"/>
        <v>0</v>
      </c>
      <c r="CB16" s="264">
        <f t="shared" si="49"/>
        <v>0</v>
      </c>
      <c r="CC16" s="264">
        <f t="shared" si="50"/>
        <v>0</v>
      </c>
      <c r="CD16" s="264">
        <f t="shared" si="83"/>
        <v>0</v>
      </c>
      <c r="CE16" s="264">
        <f t="shared" si="84"/>
        <v>0</v>
      </c>
      <c r="CF16" s="264">
        <f t="shared" si="85"/>
        <v>0</v>
      </c>
      <c r="CG16" s="264">
        <f t="shared" si="86"/>
        <v>0</v>
      </c>
      <c r="CH16" s="264">
        <f t="shared" si="51"/>
        <v>0</v>
      </c>
      <c r="CI16" s="264">
        <f t="shared" si="52"/>
        <v>0</v>
      </c>
      <c r="CJ16" s="264">
        <f t="shared" si="87"/>
        <v>0</v>
      </c>
      <c r="CK16" s="264">
        <f t="shared" si="88"/>
        <v>0</v>
      </c>
      <c r="CL16" s="264">
        <f t="shared" si="53"/>
        <v>0</v>
      </c>
      <c r="CM16" s="264">
        <f t="shared" si="54"/>
        <v>0</v>
      </c>
      <c r="CN16" s="264">
        <f t="shared" si="55"/>
        <v>0</v>
      </c>
      <c r="CO16" s="264">
        <f t="shared" si="56"/>
        <v>0</v>
      </c>
      <c r="CP16" s="264">
        <f t="shared" si="89"/>
        <v>0</v>
      </c>
      <c r="CQ16" s="264">
        <f t="shared" si="90"/>
        <v>0</v>
      </c>
      <c r="CR16" s="264">
        <f t="shared" si="91"/>
        <v>0</v>
      </c>
      <c r="CS16" s="264">
        <f t="shared" si="92"/>
        <v>0</v>
      </c>
      <c r="CT16" s="264">
        <f t="shared" si="57"/>
        <v>0</v>
      </c>
      <c r="CU16" s="264">
        <f t="shared" si="58"/>
        <v>0</v>
      </c>
      <c r="CV16" s="264">
        <f t="shared" si="59"/>
        <v>0</v>
      </c>
      <c r="CW16" s="264">
        <f t="shared" si="60"/>
        <v>0</v>
      </c>
      <c r="CX16" s="264">
        <f t="shared" si="93"/>
        <v>0</v>
      </c>
      <c r="CY16" s="264">
        <f t="shared" si="94"/>
        <v>0</v>
      </c>
      <c r="CZ16" s="264">
        <f t="shared" si="95"/>
        <v>0</v>
      </c>
      <c r="DA16" s="264">
        <f t="shared" si="96"/>
        <v>0</v>
      </c>
    </row>
    <row r="17" spans="1:105" s="261" customFormat="1" ht="16.5" customHeight="1">
      <c r="A17" s="63" t="str">
        <f t="array" ref="A17">IF(C17&lt;&gt;0,SUM(($C$11:C17&lt;&gt;0)*1),"")</f>
        <v/>
      </c>
      <c r="B17" s="262"/>
      <c r="C17" s="262"/>
      <c r="D17" s="262"/>
      <c r="E17" s="344"/>
      <c r="F17" s="311"/>
      <c r="G17" s="313"/>
      <c r="H17" s="313"/>
      <c r="I17" s="63" t="str">
        <f t="shared" si="0"/>
        <v/>
      </c>
      <c r="J17" s="264">
        <f t="shared" si="61"/>
        <v>0</v>
      </c>
      <c r="K17" s="264">
        <f t="shared" si="62"/>
        <v>0</v>
      </c>
      <c r="L17" s="264">
        <f t="shared" si="1"/>
        <v>0</v>
      </c>
      <c r="M17" s="264">
        <f t="shared" si="2"/>
        <v>0</v>
      </c>
      <c r="N17" s="264">
        <f t="shared" si="3"/>
        <v>0</v>
      </c>
      <c r="O17" s="264">
        <f t="shared" si="4"/>
        <v>0</v>
      </c>
      <c r="P17" s="264">
        <f t="shared" si="5"/>
        <v>0</v>
      </c>
      <c r="Q17" s="264">
        <f t="shared" si="6"/>
        <v>0</v>
      </c>
      <c r="R17" s="264">
        <f t="shared" si="7"/>
        <v>0</v>
      </c>
      <c r="S17" s="264">
        <f t="shared" si="8"/>
        <v>0</v>
      </c>
      <c r="T17" s="264">
        <f t="shared" si="9"/>
        <v>0</v>
      </c>
      <c r="U17" s="264">
        <f t="shared" si="10"/>
        <v>0</v>
      </c>
      <c r="V17" s="264">
        <f t="shared" si="11"/>
        <v>0</v>
      </c>
      <c r="W17" s="264">
        <f t="shared" si="12"/>
        <v>0</v>
      </c>
      <c r="X17" s="264">
        <f t="shared" si="13"/>
        <v>0</v>
      </c>
      <c r="Y17" s="264">
        <f t="shared" si="14"/>
        <v>0</v>
      </c>
      <c r="Z17" s="264">
        <f t="shared" si="15"/>
        <v>0</v>
      </c>
      <c r="AA17" s="264">
        <f t="shared" si="16"/>
        <v>0</v>
      </c>
      <c r="AB17" s="264">
        <f t="shared" si="63"/>
        <v>0</v>
      </c>
      <c r="AC17" s="264">
        <f t="shared" si="64"/>
        <v>0</v>
      </c>
      <c r="AD17" s="264">
        <f t="shared" si="17"/>
        <v>0</v>
      </c>
      <c r="AE17" s="264">
        <f t="shared" si="18"/>
        <v>0</v>
      </c>
      <c r="AF17" s="264">
        <f t="shared" si="19"/>
        <v>0</v>
      </c>
      <c r="AG17" s="264">
        <f t="shared" si="20"/>
        <v>0</v>
      </c>
      <c r="AH17" s="264">
        <f t="shared" si="65"/>
        <v>0</v>
      </c>
      <c r="AI17" s="264">
        <f t="shared" si="66"/>
        <v>0</v>
      </c>
      <c r="AJ17" s="264">
        <f t="shared" si="67"/>
        <v>0</v>
      </c>
      <c r="AK17" s="264">
        <f t="shared" si="68"/>
        <v>0</v>
      </c>
      <c r="AL17" s="264">
        <f t="shared" si="69"/>
        <v>0</v>
      </c>
      <c r="AM17" s="264">
        <f t="shared" si="70"/>
        <v>0</v>
      </c>
      <c r="AN17" s="264">
        <f t="shared" si="71"/>
        <v>0</v>
      </c>
      <c r="AO17" s="264">
        <f t="shared" si="72"/>
        <v>0</v>
      </c>
      <c r="AP17" s="264">
        <f t="shared" si="21"/>
        <v>0</v>
      </c>
      <c r="AQ17" s="264">
        <f t="shared" si="22"/>
        <v>0</v>
      </c>
      <c r="AR17" s="264">
        <f t="shared" si="23"/>
        <v>0</v>
      </c>
      <c r="AS17" s="264">
        <f t="shared" si="24"/>
        <v>0</v>
      </c>
      <c r="AT17" s="264">
        <f t="shared" si="73"/>
        <v>0</v>
      </c>
      <c r="AU17" s="264">
        <f t="shared" si="74"/>
        <v>0</v>
      </c>
      <c r="AV17" s="264">
        <f t="shared" si="25"/>
        <v>0</v>
      </c>
      <c r="AW17" s="264">
        <f t="shared" si="26"/>
        <v>0</v>
      </c>
      <c r="AX17" s="264">
        <f t="shared" si="27"/>
        <v>0</v>
      </c>
      <c r="AY17" s="264">
        <f t="shared" si="28"/>
        <v>0</v>
      </c>
      <c r="AZ17" s="264">
        <f t="shared" si="29"/>
        <v>0</v>
      </c>
      <c r="BA17" s="264">
        <f t="shared" si="30"/>
        <v>0</v>
      </c>
      <c r="BB17" s="264">
        <f t="shared" si="31"/>
        <v>0</v>
      </c>
      <c r="BC17" s="264">
        <f t="shared" si="32"/>
        <v>0</v>
      </c>
      <c r="BD17" s="264">
        <f t="shared" si="33"/>
        <v>0</v>
      </c>
      <c r="BE17" s="264">
        <f t="shared" si="34"/>
        <v>0</v>
      </c>
      <c r="BF17" s="264">
        <f t="shared" si="35"/>
        <v>0</v>
      </c>
      <c r="BG17" s="264">
        <f t="shared" si="36"/>
        <v>0</v>
      </c>
      <c r="BH17" s="264">
        <f t="shared" si="75"/>
        <v>0</v>
      </c>
      <c r="BI17" s="264">
        <f t="shared" si="76"/>
        <v>0</v>
      </c>
      <c r="BJ17" s="264">
        <f t="shared" si="37"/>
        <v>0</v>
      </c>
      <c r="BK17" s="264">
        <f t="shared" si="38"/>
        <v>0</v>
      </c>
      <c r="BL17" s="264">
        <f t="shared" si="39"/>
        <v>0</v>
      </c>
      <c r="BM17" s="264">
        <f t="shared" si="40"/>
        <v>0</v>
      </c>
      <c r="BN17" s="264">
        <f t="shared" si="41"/>
        <v>0</v>
      </c>
      <c r="BO17" s="264">
        <f t="shared" si="42"/>
        <v>0</v>
      </c>
      <c r="BP17" s="264">
        <f t="shared" si="77"/>
        <v>0</v>
      </c>
      <c r="BQ17" s="264">
        <f t="shared" si="78"/>
        <v>0</v>
      </c>
      <c r="BR17" s="264">
        <f t="shared" si="43"/>
        <v>0</v>
      </c>
      <c r="BS17" s="264">
        <f t="shared" si="44"/>
        <v>0</v>
      </c>
      <c r="BT17" s="264">
        <f t="shared" si="79"/>
        <v>0</v>
      </c>
      <c r="BU17" s="264">
        <f t="shared" si="80"/>
        <v>0</v>
      </c>
      <c r="BV17" s="264">
        <f t="shared" si="81"/>
        <v>0</v>
      </c>
      <c r="BW17" s="264">
        <f t="shared" si="82"/>
        <v>0</v>
      </c>
      <c r="BX17" s="264">
        <f t="shared" si="45"/>
        <v>0</v>
      </c>
      <c r="BY17" s="264">
        <f t="shared" si="46"/>
        <v>0</v>
      </c>
      <c r="BZ17" s="264">
        <f t="shared" si="47"/>
        <v>0</v>
      </c>
      <c r="CA17" s="264">
        <f t="shared" si="48"/>
        <v>0</v>
      </c>
      <c r="CB17" s="264">
        <f t="shared" si="49"/>
        <v>0</v>
      </c>
      <c r="CC17" s="264">
        <f t="shared" si="50"/>
        <v>0</v>
      </c>
      <c r="CD17" s="264">
        <f t="shared" si="83"/>
        <v>0</v>
      </c>
      <c r="CE17" s="264">
        <f t="shared" si="84"/>
        <v>0</v>
      </c>
      <c r="CF17" s="264">
        <f t="shared" si="85"/>
        <v>0</v>
      </c>
      <c r="CG17" s="264">
        <f t="shared" si="86"/>
        <v>0</v>
      </c>
      <c r="CH17" s="264">
        <f t="shared" si="51"/>
        <v>0</v>
      </c>
      <c r="CI17" s="264">
        <f t="shared" si="52"/>
        <v>0</v>
      </c>
      <c r="CJ17" s="264">
        <f t="shared" si="87"/>
        <v>0</v>
      </c>
      <c r="CK17" s="264">
        <f t="shared" si="88"/>
        <v>0</v>
      </c>
      <c r="CL17" s="264">
        <f t="shared" si="53"/>
        <v>0</v>
      </c>
      <c r="CM17" s="264">
        <f t="shared" si="54"/>
        <v>0</v>
      </c>
      <c r="CN17" s="264">
        <f t="shared" si="55"/>
        <v>0</v>
      </c>
      <c r="CO17" s="264">
        <f t="shared" si="56"/>
        <v>0</v>
      </c>
      <c r="CP17" s="264">
        <f t="shared" si="89"/>
        <v>0</v>
      </c>
      <c r="CQ17" s="264">
        <f t="shared" si="90"/>
        <v>0</v>
      </c>
      <c r="CR17" s="264">
        <f t="shared" si="91"/>
        <v>0</v>
      </c>
      <c r="CS17" s="264">
        <f t="shared" si="92"/>
        <v>0</v>
      </c>
      <c r="CT17" s="264">
        <f t="shared" si="57"/>
        <v>0</v>
      </c>
      <c r="CU17" s="264">
        <f t="shared" si="58"/>
        <v>0</v>
      </c>
      <c r="CV17" s="264">
        <f t="shared" si="59"/>
        <v>0</v>
      </c>
      <c r="CW17" s="264">
        <f t="shared" si="60"/>
        <v>0</v>
      </c>
      <c r="CX17" s="264">
        <f t="shared" si="93"/>
        <v>0</v>
      </c>
      <c r="CY17" s="264">
        <f t="shared" si="94"/>
        <v>0</v>
      </c>
      <c r="CZ17" s="264">
        <f t="shared" si="95"/>
        <v>0</v>
      </c>
      <c r="DA17" s="264">
        <f t="shared" si="96"/>
        <v>0</v>
      </c>
    </row>
    <row r="18" spans="1:105" s="261" customFormat="1" ht="16.5" customHeight="1">
      <c r="A18" s="63" t="str">
        <f t="array" ref="A18">IF(C18&lt;&gt;0,SUM(($C$11:C18&lt;&gt;0)*1),"")</f>
        <v/>
      </c>
      <c r="B18" s="262"/>
      <c r="C18" s="262"/>
      <c r="D18" s="262"/>
      <c r="E18" s="344"/>
      <c r="F18" s="311"/>
      <c r="G18" s="313"/>
      <c r="H18" s="313"/>
      <c r="I18" s="63" t="str">
        <f t="shared" si="0"/>
        <v/>
      </c>
      <c r="J18" s="264">
        <f t="shared" si="61"/>
        <v>0</v>
      </c>
      <c r="K18" s="264">
        <f t="shared" si="62"/>
        <v>0</v>
      </c>
      <c r="L18" s="264">
        <f t="shared" si="1"/>
        <v>0</v>
      </c>
      <c r="M18" s="264">
        <f t="shared" si="2"/>
        <v>0</v>
      </c>
      <c r="N18" s="264">
        <f t="shared" si="3"/>
        <v>0</v>
      </c>
      <c r="O18" s="264">
        <f t="shared" si="4"/>
        <v>0</v>
      </c>
      <c r="P18" s="264">
        <f t="shared" si="5"/>
        <v>0</v>
      </c>
      <c r="Q18" s="264">
        <f t="shared" si="6"/>
        <v>0</v>
      </c>
      <c r="R18" s="264">
        <f t="shared" si="7"/>
        <v>0</v>
      </c>
      <c r="S18" s="264">
        <f t="shared" si="8"/>
        <v>0</v>
      </c>
      <c r="T18" s="264">
        <f t="shared" si="9"/>
        <v>0</v>
      </c>
      <c r="U18" s="264">
        <f t="shared" si="10"/>
        <v>0</v>
      </c>
      <c r="V18" s="264">
        <f t="shared" si="11"/>
        <v>0</v>
      </c>
      <c r="W18" s="264">
        <f t="shared" si="12"/>
        <v>0</v>
      </c>
      <c r="X18" s="264">
        <f t="shared" si="13"/>
        <v>0</v>
      </c>
      <c r="Y18" s="264">
        <f t="shared" si="14"/>
        <v>0</v>
      </c>
      <c r="Z18" s="264">
        <f t="shared" si="15"/>
        <v>0</v>
      </c>
      <c r="AA18" s="264">
        <f t="shared" si="16"/>
        <v>0</v>
      </c>
      <c r="AB18" s="264">
        <f t="shared" si="63"/>
        <v>0</v>
      </c>
      <c r="AC18" s="264">
        <f t="shared" si="64"/>
        <v>0</v>
      </c>
      <c r="AD18" s="264">
        <f t="shared" si="17"/>
        <v>0</v>
      </c>
      <c r="AE18" s="264">
        <f t="shared" si="18"/>
        <v>0</v>
      </c>
      <c r="AF18" s="264">
        <f t="shared" si="19"/>
        <v>0</v>
      </c>
      <c r="AG18" s="264">
        <f t="shared" si="20"/>
        <v>0</v>
      </c>
      <c r="AH18" s="264">
        <f t="shared" si="65"/>
        <v>0</v>
      </c>
      <c r="AI18" s="264">
        <f t="shared" si="66"/>
        <v>0</v>
      </c>
      <c r="AJ18" s="264">
        <f t="shared" si="67"/>
        <v>0</v>
      </c>
      <c r="AK18" s="264">
        <f t="shared" si="68"/>
        <v>0</v>
      </c>
      <c r="AL18" s="264">
        <f t="shared" si="69"/>
        <v>0</v>
      </c>
      <c r="AM18" s="264">
        <f t="shared" si="70"/>
        <v>0</v>
      </c>
      <c r="AN18" s="264">
        <f t="shared" si="71"/>
        <v>0</v>
      </c>
      <c r="AO18" s="264">
        <f t="shared" si="72"/>
        <v>0</v>
      </c>
      <c r="AP18" s="264">
        <f t="shared" si="21"/>
        <v>0</v>
      </c>
      <c r="AQ18" s="264">
        <f t="shared" si="22"/>
        <v>0</v>
      </c>
      <c r="AR18" s="264">
        <f t="shared" si="23"/>
        <v>0</v>
      </c>
      <c r="AS18" s="264">
        <f t="shared" si="24"/>
        <v>0</v>
      </c>
      <c r="AT18" s="264">
        <f t="shared" si="73"/>
        <v>0</v>
      </c>
      <c r="AU18" s="264">
        <f t="shared" si="74"/>
        <v>0</v>
      </c>
      <c r="AV18" s="264">
        <f t="shared" si="25"/>
        <v>0</v>
      </c>
      <c r="AW18" s="264">
        <f t="shared" si="26"/>
        <v>0</v>
      </c>
      <c r="AX18" s="264">
        <f t="shared" si="27"/>
        <v>0</v>
      </c>
      <c r="AY18" s="264">
        <f t="shared" si="28"/>
        <v>0</v>
      </c>
      <c r="AZ18" s="264">
        <f t="shared" si="29"/>
        <v>0</v>
      </c>
      <c r="BA18" s="264">
        <f t="shared" si="30"/>
        <v>0</v>
      </c>
      <c r="BB18" s="264">
        <f t="shared" si="31"/>
        <v>0</v>
      </c>
      <c r="BC18" s="264">
        <f t="shared" si="32"/>
        <v>0</v>
      </c>
      <c r="BD18" s="264">
        <f t="shared" si="33"/>
        <v>0</v>
      </c>
      <c r="BE18" s="264">
        <f t="shared" si="34"/>
        <v>0</v>
      </c>
      <c r="BF18" s="264">
        <f t="shared" si="35"/>
        <v>0</v>
      </c>
      <c r="BG18" s="264">
        <f t="shared" si="36"/>
        <v>0</v>
      </c>
      <c r="BH18" s="264">
        <f t="shared" si="75"/>
        <v>0</v>
      </c>
      <c r="BI18" s="264">
        <f t="shared" si="76"/>
        <v>0</v>
      </c>
      <c r="BJ18" s="264">
        <f t="shared" si="37"/>
        <v>0</v>
      </c>
      <c r="BK18" s="264">
        <f t="shared" si="38"/>
        <v>0</v>
      </c>
      <c r="BL18" s="264">
        <f t="shared" si="39"/>
        <v>0</v>
      </c>
      <c r="BM18" s="264">
        <f t="shared" si="40"/>
        <v>0</v>
      </c>
      <c r="BN18" s="264">
        <f t="shared" si="41"/>
        <v>0</v>
      </c>
      <c r="BO18" s="264">
        <f t="shared" si="42"/>
        <v>0</v>
      </c>
      <c r="BP18" s="264">
        <f t="shared" si="77"/>
        <v>0</v>
      </c>
      <c r="BQ18" s="264">
        <f t="shared" si="78"/>
        <v>0</v>
      </c>
      <c r="BR18" s="264">
        <f t="shared" si="43"/>
        <v>0</v>
      </c>
      <c r="BS18" s="264">
        <f t="shared" si="44"/>
        <v>0</v>
      </c>
      <c r="BT18" s="264">
        <f t="shared" si="79"/>
        <v>0</v>
      </c>
      <c r="BU18" s="264">
        <f t="shared" si="80"/>
        <v>0</v>
      </c>
      <c r="BV18" s="264">
        <f t="shared" si="81"/>
        <v>0</v>
      </c>
      <c r="BW18" s="264">
        <f t="shared" si="82"/>
        <v>0</v>
      </c>
      <c r="BX18" s="264">
        <f t="shared" si="45"/>
        <v>0</v>
      </c>
      <c r="BY18" s="264">
        <f t="shared" si="46"/>
        <v>0</v>
      </c>
      <c r="BZ18" s="264">
        <f t="shared" si="47"/>
        <v>0</v>
      </c>
      <c r="CA18" s="264">
        <f t="shared" si="48"/>
        <v>0</v>
      </c>
      <c r="CB18" s="264">
        <f t="shared" si="49"/>
        <v>0</v>
      </c>
      <c r="CC18" s="264">
        <f t="shared" si="50"/>
        <v>0</v>
      </c>
      <c r="CD18" s="264">
        <f t="shared" si="83"/>
        <v>0</v>
      </c>
      <c r="CE18" s="264">
        <f t="shared" si="84"/>
        <v>0</v>
      </c>
      <c r="CF18" s="264">
        <f t="shared" si="85"/>
        <v>0</v>
      </c>
      <c r="CG18" s="264">
        <f t="shared" si="86"/>
        <v>0</v>
      </c>
      <c r="CH18" s="264">
        <f t="shared" si="51"/>
        <v>0</v>
      </c>
      <c r="CI18" s="264">
        <f t="shared" si="52"/>
        <v>0</v>
      </c>
      <c r="CJ18" s="264">
        <f t="shared" si="87"/>
        <v>0</v>
      </c>
      <c r="CK18" s="264">
        <f t="shared" si="88"/>
        <v>0</v>
      </c>
      <c r="CL18" s="264">
        <f t="shared" si="53"/>
        <v>0</v>
      </c>
      <c r="CM18" s="264">
        <f t="shared" si="54"/>
        <v>0</v>
      </c>
      <c r="CN18" s="264">
        <f t="shared" si="55"/>
        <v>0</v>
      </c>
      <c r="CO18" s="264">
        <f t="shared" si="56"/>
        <v>0</v>
      </c>
      <c r="CP18" s="264">
        <f t="shared" si="89"/>
        <v>0</v>
      </c>
      <c r="CQ18" s="264">
        <f t="shared" si="90"/>
        <v>0</v>
      </c>
      <c r="CR18" s="264">
        <f t="shared" si="91"/>
        <v>0</v>
      </c>
      <c r="CS18" s="264">
        <f t="shared" si="92"/>
        <v>0</v>
      </c>
      <c r="CT18" s="264">
        <f t="shared" si="57"/>
        <v>0</v>
      </c>
      <c r="CU18" s="264">
        <f t="shared" si="58"/>
        <v>0</v>
      </c>
      <c r="CV18" s="264">
        <f t="shared" si="59"/>
        <v>0</v>
      </c>
      <c r="CW18" s="264">
        <f t="shared" si="60"/>
        <v>0</v>
      </c>
      <c r="CX18" s="264">
        <f t="shared" si="93"/>
        <v>0</v>
      </c>
      <c r="CY18" s="264">
        <f t="shared" si="94"/>
        <v>0</v>
      </c>
      <c r="CZ18" s="264">
        <f t="shared" si="95"/>
        <v>0</v>
      </c>
      <c r="DA18" s="264">
        <f t="shared" si="96"/>
        <v>0</v>
      </c>
    </row>
    <row r="19" spans="1:105" s="261" customFormat="1" ht="16.5" customHeight="1">
      <c r="A19" s="63" t="str">
        <f t="array" ref="A19">IF(C19&lt;&gt;0,SUM(($C$11:C19&lt;&gt;0)*1),"")</f>
        <v/>
      </c>
      <c r="B19" s="262"/>
      <c r="C19" s="262"/>
      <c r="D19" s="262"/>
      <c r="E19" s="344"/>
      <c r="F19" s="311"/>
      <c r="G19" s="313"/>
      <c r="H19" s="313"/>
      <c r="I19" s="63" t="str">
        <f t="shared" si="0"/>
        <v/>
      </c>
      <c r="J19" s="264">
        <f t="shared" si="61"/>
        <v>0</v>
      </c>
      <c r="K19" s="264">
        <f t="shared" si="62"/>
        <v>0</v>
      </c>
      <c r="L19" s="264">
        <f t="shared" si="1"/>
        <v>0</v>
      </c>
      <c r="M19" s="264">
        <f t="shared" si="2"/>
        <v>0</v>
      </c>
      <c r="N19" s="264">
        <f t="shared" si="3"/>
        <v>0</v>
      </c>
      <c r="O19" s="264">
        <f t="shared" si="4"/>
        <v>0</v>
      </c>
      <c r="P19" s="264">
        <f t="shared" si="5"/>
        <v>0</v>
      </c>
      <c r="Q19" s="264">
        <f t="shared" si="6"/>
        <v>0</v>
      </c>
      <c r="R19" s="264">
        <f t="shared" si="7"/>
        <v>0</v>
      </c>
      <c r="S19" s="264">
        <f t="shared" si="8"/>
        <v>0</v>
      </c>
      <c r="T19" s="264">
        <f t="shared" si="9"/>
        <v>0</v>
      </c>
      <c r="U19" s="264">
        <f t="shared" si="10"/>
        <v>0</v>
      </c>
      <c r="V19" s="264">
        <f t="shared" si="11"/>
        <v>0</v>
      </c>
      <c r="W19" s="264">
        <f t="shared" si="12"/>
        <v>0</v>
      </c>
      <c r="X19" s="264">
        <f t="shared" si="13"/>
        <v>0</v>
      </c>
      <c r="Y19" s="264">
        <f t="shared" si="14"/>
        <v>0</v>
      </c>
      <c r="Z19" s="264">
        <f t="shared" si="15"/>
        <v>0</v>
      </c>
      <c r="AA19" s="264">
        <f t="shared" si="16"/>
        <v>0</v>
      </c>
      <c r="AB19" s="264">
        <f t="shared" si="63"/>
        <v>0</v>
      </c>
      <c r="AC19" s="264">
        <f t="shared" si="64"/>
        <v>0</v>
      </c>
      <c r="AD19" s="264">
        <f t="shared" si="17"/>
        <v>0</v>
      </c>
      <c r="AE19" s="264">
        <f t="shared" si="18"/>
        <v>0</v>
      </c>
      <c r="AF19" s="264">
        <f t="shared" si="19"/>
        <v>0</v>
      </c>
      <c r="AG19" s="264">
        <f t="shared" si="20"/>
        <v>0</v>
      </c>
      <c r="AH19" s="264">
        <f t="shared" si="65"/>
        <v>0</v>
      </c>
      <c r="AI19" s="264">
        <f t="shared" si="66"/>
        <v>0</v>
      </c>
      <c r="AJ19" s="264">
        <f t="shared" si="67"/>
        <v>0</v>
      </c>
      <c r="AK19" s="264">
        <f t="shared" si="68"/>
        <v>0</v>
      </c>
      <c r="AL19" s="264">
        <f t="shared" si="69"/>
        <v>0</v>
      </c>
      <c r="AM19" s="264">
        <f t="shared" si="70"/>
        <v>0</v>
      </c>
      <c r="AN19" s="264">
        <f t="shared" si="71"/>
        <v>0</v>
      </c>
      <c r="AO19" s="264">
        <f t="shared" si="72"/>
        <v>0</v>
      </c>
      <c r="AP19" s="264">
        <f t="shared" si="21"/>
        <v>0</v>
      </c>
      <c r="AQ19" s="264">
        <f t="shared" si="22"/>
        <v>0</v>
      </c>
      <c r="AR19" s="264">
        <f t="shared" si="23"/>
        <v>0</v>
      </c>
      <c r="AS19" s="264">
        <f t="shared" si="24"/>
        <v>0</v>
      </c>
      <c r="AT19" s="264">
        <f t="shared" si="73"/>
        <v>0</v>
      </c>
      <c r="AU19" s="264">
        <f t="shared" si="74"/>
        <v>0</v>
      </c>
      <c r="AV19" s="264">
        <f t="shared" si="25"/>
        <v>0</v>
      </c>
      <c r="AW19" s="264">
        <f t="shared" si="26"/>
        <v>0</v>
      </c>
      <c r="AX19" s="264">
        <f t="shared" si="27"/>
        <v>0</v>
      </c>
      <c r="AY19" s="264">
        <f t="shared" si="28"/>
        <v>0</v>
      </c>
      <c r="AZ19" s="264">
        <f t="shared" si="29"/>
        <v>0</v>
      </c>
      <c r="BA19" s="264">
        <f t="shared" si="30"/>
        <v>0</v>
      </c>
      <c r="BB19" s="264">
        <f t="shared" si="31"/>
        <v>0</v>
      </c>
      <c r="BC19" s="264">
        <f t="shared" si="32"/>
        <v>0</v>
      </c>
      <c r="BD19" s="264">
        <f t="shared" si="33"/>
        <v>0</v>
      </c>
      <c r="BE19" s="264">
        <f t="shared" si="34"/>
        <v>0</v>
      </c>
      <c r="BF19" s="264">
        <f t="shared" si="35"/>
        <v>0</v>
      </c>
      <c r="BG19" s="264">
        <f t="shared" si="36"/>
        <v>0</v>
      </c>
      <c r="BH19" s="264">
        <f t="shared" si="75"/>
        <v>0</v>
      </c>
      <c r="BI19" s="264">
        <f t="shared" si="76"/>
        <v>0</v>
      </c>
      <c r="BJ19" s="264">
        <f t="shared" si="37"/>
        <v>0</v>
      </c>
      <c r="BK19" s="264">
        <f t="shared" si="38"/>
        <v>0</v>
      </c>
      <c r="BL19" s="264">
        <f t="shared" si="39"/>
        <v>0</v>
      </c>
      <c r="BM19" s="264">
        <f t="shared" si="40"/>
        <v>0</v>
      </c>
      <c r="BN19" s="264">
        <f t="shared" si="41"/>
        <v>0</v>
      </c>
      <c r="BO19" s="264">
        <f t="shared" si="42"/>
        <v>0</v>
      </c>
      <c r="BP19" s="264">
        <f t="shared" si="77"/>
        <v>0</v>
      </c>
      <c r="BQ19" s="264">
        <f t="shared" si="78"/>
        <v>0</v>
      </c>
      <c r="BR19" s="264">
        <f t="shared" si="43"/>
        <v>0</v>
      </c>
      <c r="BS19" s="264">
        <f t="shared" si="44"/>
        <v>0</v>
      </c>
      <c r="BT19" s="264">
        <f t="shared" si="79"/>
        <v>0</v>
      </c>
      <c r="BU19" s="264">
        <f t="shared" si="80"/>
        <v>0</v>
      </c>
      <c r="BV19" s="264">
        <f t="shared" si="81"/>
        <v>0</v>
      </c>
      <c r="BW19" s="264">
        <f t="shared" si="82"/>
        <v>0</v>
      </c>
      <c r="BX19" s="264">
        <f t="shared" si="45"/>
        <v>0</v>
      </c>
      <c r="BY19" s="264">
        <f t="shared" si="46"/>
        <v>0</v>
      </c>
      <c r="BZ19" s="264">
        <f t="shared" si="47"/>
        <v>0</v>
      </c>
      <c r="CA19" s="264">
        <f t="shared" si="48"/>
        <v>0</v>
      </c>
      <c r="CB19" s="264">
        <f t="shared" si="49"/>
        <v>0</v>
      </c>
      <c r="CC19" s="264">
        <f t="shared" si="50"/>
        <v>0</v>
      </c>
      <c r="CD19" s="264">
        <f t="shared" si="83"/>
        <v>0</v>
      </c>
      <c r="CE19" s="264">
        <f t="shared" si="84"/>
        <v>0</v>
      </c>
      <c r="CF19" s="264">
        <f t="shared" si="85"/>
        <v>0</v>
      </c>
      <c r="CG19" s="264">
        <f t="shared" si="86"/>
        <v>0</v>
      </c>
      <c r="CH19" s="264">
        <f t="shared" si="51"/>
        <v>0</v>
      </c>
      <c r="CI19" s="264">
        <f t="shared" si="52"/>
        <v>0</v>
      </c>
      <c r="CJ19" s="264">
        <f t="shared" si="87"/>
        <v>0</v>
      </c>
      <c r="CK19" s="264">
        <f t="shared" si="88"/>
        <v>0</v>
      </c>
      <c r="CL19" s="264">
        <f t="shared" si="53"/>
        <v>0</v>
      </c>
      <c r="CM19" s="264">
        <f t="shared" si="54"/>
        <v>0</v>
      </c>
      <c r="CN19" s="264">
        <f t="shared" si="55"/>
        <v>0</v>
      </c>
      <c r="CO19" s="264">
        <f t="shared" si="56"/>
        <v>0</v>
      </c>
      <c r="CP19" s="264">
        <f t="shared" si="89"/>
        <v>0</v>
      </c>
      <c r="CQ19" s="264">
        <f t="shared" si="90"/>
        <v>0</v>
      </c>
      <c r="CR19" s="264">
        <f t="shared" si="91"/>
        <v>0</v>
      </c>
      <c r="CS19" s="264">
        <f t="shared" si="92"/>
        <v>0</v>
      </c>
      <c r="CT19" s="264">
        <f t="shared" si="57"/>
        <v>0</v>
      </c>
      <c r="CU19" s="264">
        <f t="shared" si="58"/>
        <v>0</v>
      </c>
      <c r="CV19" s="264">
        <f t="shared" si="59"/>
        <v>0</v>
      </c>
      <c r="CW19" s="264">
        <f t="shared" si="60"/>
        <v>0</v>
      </c>
      <c r="CX19" s="264">
        <f t="shared" si="93"/>
        <v>0</v>
      </c>
      <c r="CY19" s="264">
        <f t="shared" si="94"/>
        <v>0</v>
      </c>
      <c r="CZ19" s="264">
        <f t="shared" si="95"/>
        <v>0</v>
      </c>
      <c r="DA19" s="264">
        <f t="shared" si="96"/>
        <v>0</v>
      </c>
    </row>
    <row r="20" spans="1:105" s="261" customFormat="1" ht="16.5" customHeight="1">
      <c r="A20" s="63" t="str">
        <f t="array" ref="A20">IF(C20&lt;&gt;0,SUM(($C$11:C20&lt;&gt;0)*1),"")</f>
        <v/>
      </c>
      <c r="B20" s="262"/>
      <c r="C20" s="262"/>
      <c r="D20" s="262"/>
      <c r="E20" s="344"/>
      <c r="F20" s="311"/>
      <c r="G20" s="313"/>
      <c r="H20" s="313"/>
      <c r="I20" s="63" t="str">
        <f t="shared" si="0"/>
        <v/>
      </c>
      <c r="J20" s="264">
        <f t="shared" si="61"/>
        <v>0</v>
      </c>
      <c r="K20" s="264">
        <f t="shared" si="62"/>
        <v>0</v>
      </c>
      <c r="L20" s="264">
        <f t="shared" si="1"/>
        <v>0</v>
      </c>
      <c r="M20" s="264">
        <f t="shared" si="2"/>
        <v>0</v>
      </c>
      <c r="N20" s="264">
        <f t="shared" si="3"/>
        <v>0</v>
      </c>
      <c r="O20" s="264">
        <f t="shared" si="4"/>
        <v>0</v>
      </c>
      <c r="P20" s="264">
        <f t="shared" si="5"/>
        <v>0</v>
      </c>
      <c r="Q20" s="264">
        <f t="shared" si="6"/>
        <v>0</v>
      </c>
      <c r="R20" s="264">
        <f t="shared" si="7"/>
        <v>0</v>
      </c>
      <c r="S20" s="264">
        <f t="shared" si="8"/>
        <v>0</v>
      </c>
      <c r="T20" s="264">
        <f t="shared" si="9"/>
        <v>0</v>
      </c>
      <c r="U20" s="264">
        <f t="shared" si="10"/>
        <v>0</v>
      </c>
      <c r="V20" s="264">
        <f t="shared" si="11"/>
        <v>0</v>
      </c>
      <c r="W20" s="264">
        <f t="shared" si="12"/>
        <v>0</v>
      </c>
      <c r="X20" s="264">
        <f t="shared" si="13"/>
        <v>0</v>
      </c>
      <c r="Y20" s="264">
        <f t="shared" si="14"/>
        <v>0</v>
      </c>
      <c r="Z20" s="264">
        <f t="shared" si="15"/>
        <v>0</v>
      </c>
      <c r="AA20" s="264">
        <f t="shared" si="16"/>
        <v>0</v>
      </c>
      <c r="AB20" s="264">
        <f t="shared" si="63"/>
        <v>0</v>
      </c>
      <c r="AC20" s="264">
        <f t="shared" si="64"/>
        <v>0</v>
      </c>
      <c r="AD20" s="264">
        <f t="shared" si="17"/>
        <v>0</v>
      </c>
      <c r="AE20" s="264">
        <f t="shared" si="18"/>
        <v>0</v>
      </c>
      <c r="AF20" s="264">
        <f t="shared" si="19"/>
        <v>0</v>
      </c>
      <c r="AG20" s="264">
        <f t="shared" si="20"/>
        <v>0</v>
      </c>
      <c r="AH20" s="264">
        <f t="shared" si="65"/>
        <v>0</v>
      </c>
      <c r="AI20" s="264">
        <f t="shared" si="66"/>
        <v>0</v>
      </c>
      <c r="AJ20" s="264">
        <f t="shared" si="67"/>
        <v>0</v>
      </c>
      <c r="AK20" s="264">
        <f t="shared" si="68"/>
        <v>0</v>
      </c>
      <c r="AL20" s="264">
        <f t="shared" si="69"/>
        <v>0</v>
      </c>
      <c r="AM20" s="264">
        <f t="shared" si="70"/>
        <v>0</v>
      </c>
      <c r="AN20" s="264">
        <f t="shared" si="71"/>
        <v>0</v>
      </c>
      <c r="AO20" s="264">
        <f t="shared" si="72"/>
        <v>0</v>
      </c>
      <c r="AP20" s="264">
        <f t="shared" si="21"/>
        <v>0</v>
      </c>
      <c r="AQ20" s="264">
        <f t="shared" si="22"/>
        <v>0</v>
      </c>
      <c r="AR20" s="264">
        <f t="shared" si="23"/>
        <v>0</v>
      </c>
      <c r="AS20" s="264">
        <f t="shared" si="24"/>
        <v>0</v>
      </c>
      <c r="AT20" s="264">
        <f t="shared" si="73"/>
        <v>0</v>
      </c>
      <c r="AU20" s="264">
        <f t="shared" si="74"/>
        <v>0</v>
      </c>
      <c r="AV20" s="264">
        <f t="shared" si="25"/>
        <v>0</v>
      </c>
      <c r="AW20" s="264">
        <f t="shared" si="26"/>
        <v>0</v>
      </c>
      <c r="AX20" s="264">
        <f t="shared" si="27"/>
        <v>0</v>
      </c>
      <c r="AY20" s="264">
        <f t="shared" si="28"/>
        <v>0</v>
      </c>
      <c r="AZ20" s="264">
        <f t="shared" si="29"/>
        <v>0</v>
      </c>
      <c r="BA20" s="264">
        <f t="shared" si="30"/>
        <v>0</v>
      </c>
      <c r="BB20" s="264">
        <f t="shared" si="31"/>
        <v>0</v>
      </c>
      <c r="BC20" s="264">
        <f t="shared" si="32"/>
        <v>0</v>
      </c>
      <c r="BD20" s="264">
        <f t="shared" si="33"/>
        <v>0</v>
      </c>
      <c r="BE20" s="264">
        <f t="shared" si="34"/>
        <v>0</v>
      </c>
      <c r="BF20" s="264">
        <f t="shared" si="35"/>
        <v>0</v>
      </c>
      <c r="BG20" s="264">
        <f t="shared" si="36"/>
        <v>0</v>
      </c>
      <c r="BH20" s="264">
        <f t="shared" si="75"/>
        <v>0</v>
      </c>
      <c r="BI20" s="264">
        <f t="shared" si="76"/>
        <v>0</v>
      </c>
      <c r="BJ20" s="264">
        <f t="shared" si="37"/>
        <v>0</v>
      </c>
      <c r="BK20" s="264">
        <f t="shared" si="38"/>
        <v>0</v>
      </c>
      <c r="BL20" s="264">
        <f t="shared" si="39"/>
        <v>0</v>
      </c>
      <c r="BM20" s="264">
        <f t="shared" si="40"/>
        <v>0</v>
      </c>
      <c r="BN20" s="264">
        <f t="shared" si="41"/>
        <v>0</v>
      </c>
      <c r="BO20" s="264">
        <f t="shared" si="42"/>
        <v>0</v>
      </c>
      <c r="BP20" s="264">
        <f t="shared" si="77"/>
        <v>0</v>
      </c>
      <c r="BQ20" s="264">
        <f t="shared" si="78"/>
        <v>0</v>
      </c>
      <c r="BR20" s="264">
        <f t="shared" si="43"/>
        <v>0</v>
      </c>
      <c r="BS20" s="264">
        <f t="shared" si="44"/>
        <v>0</v>
      </c>
      <c r="BT20" s="264">
        <f t="shared" si="79"/>
        <v>0</v>
      </c>
      <c r="BU20" s="264">
        <f t="shared" si="80"/>
        <v>0</v>
      </c>
      <c r="BV20" s="264">
        <f t="shared" si="81"/>
        <v>0</v>
      </c>
      <c r="BW20" s="264">
        <f t="shared" si="82"/>
        <v>0</v>
      </c>
      <c r="BX20" s="264">
        <f t="shared" si="45"/>
        <v>0</v>
      </c>
      <c r="BY20" s="264">
        <f t="shared" si="46"/>
        <v>0</v>
      </c>
      <c r="BZ20" s="264">
        <f t="shared" si="47"/>
        <v>0</v>
      </c>
      <c r="CA20" s="264">
        <f t="shared" si="48"/>
        <v>0</v>
      </c>
      <c r="CB20" s="264">
        <f t="shared" si="49"/>
        <v>0</v>
      </c>
      <c r="CC20" s="264">
        <f t="shared" si="50"/>
        <v>0</v>
      </c>
      <c r="CD20" s="264">
        <f t="shared" si="83"/>
        <v>0</v>
      </c>
      <c r="CE20" s="264">
        <f t="shared" si="84"/>
        <v>0</v>
      </c>
      <c r="CF20" s="264">
        <f t="shared" si="85"/>
        <v>0</v>
      </c>
      <c r="CG20" s="264">
        <f t="shared" si="86"/>
        <v>0</v>
      </c>
      <c r="CH20" s="264">
        <f t="shared" si="51"/>
        <v>0</v>
      </c>
      <c r="CI20" s="264">
        <f t="shared" si="52"/>
        <v>0</v>
      </c>
      <c r="CJ20" s="264">
        <f t="shared" si="87"/>
        <v>0</v>
      </c>
      <c r="CK20" s="264">
        <f t="shared" si="88"/>
        <v>0</v>
      </c>
      <c r="CL20" s="264">
        <f t="shared" si="53"/>
        <v>0</v>
      </c>
      <c r="CM20" s="264">
        <f t="shared" si="54"/>
        <v>0</v>
      </c>
      <c r="CN20" s="264">
        <f t="shared" si="55"/>
        <v>0</v>
      </c>
      <c r="CO20" s="264">
        <f t="shared" si="56"/>
        <v>0</v>
      </c>
      <c r="CP20" s="264">
        <f t="shared" si="89"/>
        <v>0</v>
      </c>
      <c r="CQ20" s="264">
        <f t="shared" si="90"/>
        <v>0</v>
      </c>
      <c r="CR20" s="264">
        <f t="shared" si="91"/>
        <v>0</v>
      </c>
      <c r="CS20" s="264">
        <f t="shared" si="92"/>
        <v>0</v>
      </c>
      <c r="CT20" s="264">
        <f t="shared" si="57"/>
        <v>0</v>
      </c>
      <c r="CU20" s="264">
        <f t="shared" si="58"/>
        <v>0</v>
      </c>
      <c r="CV20" s="264">
        <f t="shared" si="59"/>
        <v>0</v>
      </c>
      <c r="CW20" s="264">
        <f t="shared" si="60"/>
        <v>0</v>
      </c>
      <c r="CX20" s="264">
        <f t="shared" si="93"/>
        <v>0</v>
      </c>
      <c r="CY20" s="264">
        <f t="shared" si="94"/>
        <v>0</v>
      </c>
      <c r="CZ20" s="264">
        <f t="shared" si="95"/>
        <v>0</v>
      </c>
      <c r="DA20" s="264">
        <f t="shared" si="96"/>
        <v>0</v>
      </c>
    </row>
    <row r="21" spans="1:105" s="261" customFormat="1" ht="16.5" customHeight="1">
      <c r="A21" s="63" t="str">
        <f t="array" ref="A21">IF(C21&lt;&gt;0,SUM(($C$11:C21&lt;&gt;0)*1),"")</f>
        <v/>
      </c>
      <c r="B21" s="262"/>
      <c r="C21" s="262"/>
      <c r="D21" s="262"/>
      <c r="E21" s="344"/>
      <c r="F21" s="311"/>
      <c r="G21" s="313"/>
      <c r="H21" s="313"/>
      <c r="I21" s="63" t="str">
        <f t="shared" si="0"/>
        <v/>
      </c>
      <c r="J21" s="264">
        <f t="shared" si="61"/>
        <v>0</v>
      </c>
      <c r="K21" s="264">
        <f t="shared" si="62"/>
        <v>0</v>
      </c>
      <c r="L21" s="264">
        <f t="shared" si="1"/>
        <v>0</v>
      </c>
      <c r="M21" s="264">
        <f t="shared" si="2"/>
        <v>0</v>
      </c>
      <c r="N21" s="264">
        <f t="shared" si="3"/>
        <v>0</v>
      </c>
      <c r="O21" s="264">
        <f t="shared" si="4"/>
        <v>0</v>
      </c>
      <c r="P21" s="264">
        <f t="shared" si="5"/>
        <v>0</v>
      </c>
      <c r="Q21" s="264">
        <f t="shared" si="6"/>
        <v>0</v>
      </c>
      <c r="R21" s="264">
        <f t="shared" si="7"/>
        <v>0</v>
      </c>
      <c r="S21" s="264">
        <f t="shared" si="8"/>
        <v>0</v>
      </c>
      <c r="T21" s="264">
        <f t="shared" si="9"/>
        <v>0</v>
      </c>
      <c r="U21" s="264">
        <f t="shared" si="10"/>
        <v>0</v>
      </c>
      <c r="V21" s="264">
        <f t="shared" si="11"/>
        <v>0</v>
      </c>
      <c r="W21" s="264">
        <f t="shared" si="12"/>
        <v>0</v>
      </c>
      <c r="X21" s="264">
        <f t="shared" si="13"/>
        <v>0</v>
      </c>
      <c r="Y21" s="264">
        <f t="shared" si="14"/>
        <v>0</v>
      </c>
      <c r="Z21" s="264">
        <f t="shared" si="15"/>
        <v>0</v>
      </c>
      <c r="AA21" s="264">
        <f t="shared" si="16"/>
        <v>0</v>
      </c>
      <c r="AB21" s="264">
        <f t="shared" si="63"/>
        <v>0</v>
      </c>
      <c r="AC21" s="264">
        <f t="shared" si="64"/>
        <v>0</v>
      </c>
      <c r="AD21" s="264">
        <f t="shared" si="17"/>
        <v>0</v>
      </c>
      <c r="AE21" s="264">
        <f t="shared" si="18"/>
        <v>0</v>
      </c>
      <c r="AF21" s="264">
        <f t="shared" si="19"/>
        <v>0</v>
      </c>
      <c r="AG21" s="264">
        <f t="shared" si="20"/>
        <v>0</v>
      </c>
      <c r="AH21" s="264">
        <f t="shared" si="65"/>
        <v>0</v>
      </c>
      <c r="AI21" s="264">
        <f t="shared" si="66"/>
        <v>0</v>
      </c>
      <c r="AJ21" s="264">
        <f t="shared" si="67"/>
        <v>0</v>
      </c>
      <c r="AK21" s="264">
        <f t="shared" si="68"/>
        <v>0</v>
      </c>
      <c r="AL21" s="264">
        <f t="shared" si="69"/>
        <v>0</v>
      </c>
      <c r="AM21" s="264">
        <f t="shared" si="70"/>
        <v>0</v>
      </c>
      <c r="AN21" s="264">
        <f t="shared" si="71"/>
        <v>0</v>
      </c>
      <c r="AO21" s="264">
        <f t="shared" si="72"/>
        <v>0</v>
      </c>
      <c r="AP21" s="264">
        <f t="shared" si="21"/>
        <v>0</v>
      </c>
      <c r="AQ21" s="264">
        <f t="shared" si="22"/>
        <v>0</v>
      </c>
      <c r="AR21" s="264">
        <f t="shared" si="23"/>
        <v>0</v>
      </c>
      <c r="AS21" s="264">
        <f t="shared" si="24"/>
        <v>0</v>
      </c>
      <c r="AT21" s="264">
        <f t="shared" si="73"/>
        <v>0</v>
      </c>
      <c r="AU21" s="264">
        <f t="shared" si="74"/>
        <v>0</v>
      </c>
      <c r="AV21" s="264">
        <f t="shared" si="25"/>
        <v>0</v>
      </c>
      <c r="AW21" s="264">
        <f t="shared" si="26"/>
        <v>0</v>
      </c>
      <c r="AX21" s="264">
        <f t="shared" si="27"/>
        <v>0</v>
      </c>
      <c r="AY21" s="264">
        <f t="shared" si="28"/>
        <v>0</v>
      </c>
      <c r="AZ21" s="264">
        <f t="shared" si="29"/>
        <v>0</v>
      </c>
      <c r="BA21" s="264">
        <f t="shared" si="30"/>
        <v>0</v>
      </c>
      <c r="BB21" s="264">
        <f t="shared" si="31"/>
        <v>0</v>
      </c>
      <c r="BC21" s="264">
        <f t="shared" si="32"/>
        <v>0</v>
      </c>
      <c r="BD21" s="264">
        <f t="shared" si="33"/>
        <v>0</v>
      </c>
      <c r="BE21" s="264">
        <f t="shared" si="34"/>
        <v>0</v>
      </c>
      <c r="BF21" s="264">
        <f t="shared" si="35"/>
        <v>0</v>
      </c>
      <c r="BG21" s="264">
        <f t="shared" si="36"/>
        <v>0</v>
      </c>
      <c r="BH21" s="264">
        <f t="shared" si="75"/>
        <v>0</v>
      </c>
      <c r="BI21" s="264">
        <f t="shared" si="76"/>
        <v>0</v>
      </c>
      <c r="BJ21" s="264">
        <f t="shared" si="37"/>
        <v>0</v>
      </c>
      <c r="BK21" s="264">
        <f t="shared" si="38"/>
        <v>0</v>
      </c>
      <c r="BL21" s="264">
        <f t="shared" si="39"/>
        <v>0</v>
      </c>
      <c r="BM21" s="264">
        <f t="shared" si="40"/>
        <v>0</v>
      </c>
      <c r="BN21" s="264">
        <f t="shared" si="41"/>
        <v>0</v>
      </c>
      <c r="BO21" s="264">
        <f t="shared" si="42"/>
        <v>0</v>
      </c>
      <c r="BP21" s="264">
        <f t="shared" si="77"/>
        <v>0</v>
      </c>
      <c r="BQ21" s="264">
        <f t="shared" si="78"/>
        <v>0</v>
      </c>
      <c r="BR21" s="264">
        <f t="shared" si="43"/>
        <v>0</v>
      </c>
      <c r="BS21" s="264">
        <f t="shared" si="44"/>
        <v>0</v>
      </c>
      <c r="BT21" s="264">
        <f t="shared" si="79"/>
        <v>0</v>
      </c>
      <c r="BU21" s="264">
        <f t="shared" si="80"/>
        <v>0</v>
      </c>
      <c r="BV21" s="264">
        <f t="shared" si="81"/>
        <v>0</v>
      </c>
      <c r="BW21" s="264">
        <f t="shared" si="82"/>
        <v>0</v>
      </c>
      <c r="BX21" s="264">
        <f t="shared" si="45"/>
        <v>0</v>
      </c>
      <c r="BY21" s="264">
        <f t="shared" si="46"/>
        <v>0</v>
      </c>
      <c r="BZ21" s="264">
        <f t="shared" si="47"/>
        <v>0</v>
      </c>
      <c r="CA21" s="264">
        <f t="shared" si="48"/>
        <v>0</v>
      </c>
      <c r="CB21" s="264">
        <f t="shared" si="49"/>
        <v>0</v>
      </c>
      <c r="CC21" s="264">
        <f t="shared" si="50"/>
        <v>0</v>
      </c>
      <c r="CD21" s="264">
        <f t="shared" si="83"/>
        <v>0</v>
      </c>
      <c r="CE21" s="264">
        <f t="shared" si="84"/>
        <v>0</v>
      </c>
      <c r="CF21" s="264">
        <f t="shared" si="85"/>
        <v>0</v>
      </c>
      <c r="CG21" s="264">
        <f t="shared" si="86"/>
        <v>0</v>
      </c>
      <c r="CH21" s="264">
        <f t="shared" si="51"/>
        <v>0</v>
      </c>
      <c r="CI21" s="264">
        <f t="shared" si="52"/>
        <v>0</v>
      </c>
      <c r="CJ21" s="264">
        <f t="shared" si="87"/>
        <v>0</v>
      </c>
      <c r="CK21" s="264">
        <f t="shared" si="88"/>
        <v>0</v>
      </c>
      <c r="CL21" s="264">
        <f t="shared" si="53"/>
        <v>0</v>
      </c>
      <c r="CM21" s="264">
        <f t="shared" si="54"/>
        <v>0</v>
      </c>
      <c r="CN21" s="264">
        <f t="shared" si="55"/>
        <v>0</v>
      </c>
      <c r="CO21" s="264">
        <f t="shared" si="56"/>
        <v>0</v>
      </c>
      <c r="CP21" s="264">
        <f t="shared" si="89"/>
        <v>0</v>
      </c>
      <c r="CQ21" s="264">
        <f t="shared" si="90"/>
        <v>0</v>
      </c>
      <c r="CR21" s="264">
        <f t="shared" si="91"/>
        <v>0</v>
      </c>
      <c r="CS21" s="264">
        <f t="shared" si="92"/>
        <v>0</v>
      </c>
      <c r="CT21" s="264">
        <f t="shared" si="57"/>
        <v>0</v>
      </c>
      <c r="CU21" s="264">
        <f t="shared" si="58"/>
        <v>0</v>
      </c>
      <c r="CV21" s="264">
        <f t="shared" si="59"/>
        <v>0</v>
      </c>
      <c r="CW21" s="264">
        <f t="shared" si="60"/>
        <v>0</v>
      </c>
      <c r="CX21" s="264">
        <f t="shared" si="93"/>
        <v>0</v>
      </c>
      <c r="CY21" s="264">
        <f t="shared" si="94"/>
        <v>0</v>
      </c>
      <c r="CZ21" s="264">
        <f t="shared" si="95"/>
        <v>0</v>
      </c>
      <c r="DA21" s="264">
        <f t="shared" si="96"/>
        <v>0</v>
      </c>
    </row>
    <row r="22" spans="1:105" s="261" customFormat="1" ht="16.5" customHeight="1">
      <c r="A22" s="63" t="str">
        <f t="array" ref="A22">IF(C22&lt;&gt;0,SUM(($C$11:C22&lt;&gt;0)*1),"")</f>
        <v/>
      </c>
      <c r="B22" s="262"/>
      <c r="C22" s="262"/>
      <c r="D22" s="262"/>
      <c r="E22" s="344"/>
      <c r="F22" s="311"/>
      <c r="G22" s="313"/>
      <c r="H22" s="313"/>
      <c r="I22" s="63" t="str">
        <f t="shared" si="0"/>
        <v/>
      </c>
      <c r="J22" s="264">
        <f t="shared" si="61"/>
        <v>0</v>
      </c>
      <c r="K22" s="264">
        <f t="shared" si="62"/>
        <v>0</v>
      </c>
      <c r="L22" s="264">
        <f t="shared" si="1"/>
        <v>0</v>
      </c>
      <c r="M22" s="264">
        <f t="shared" si="2"/>
        <v>0</v>
      </c>
      <c r="N22" s="264">
        <f t="shared" si="3"/>
        <v>0</v>
      </c>
      <c r="O22" s="264">
        <f t="shared" si="4"/>
        <v>0</v>
      </c>
      <c r="P22" s="264">
        <f t="shared" si="5"/>
        <v>0</v>
      </c>
      <c r="Q22" s="264">
        <f t="shared" si="6"/>
        <v>0</v>
      </c>
      <c r="R22" s="264">
        <f t="shared" si="7"/>
        <v>0</v>
      </c>
      <c r="S22" s="264">
        <f t="shared" si="8"/>
        <v>0</v>
      </c>
      <c r="T22" s="264">
        <f t="shared" si="9"/>
        <v>0</v>
      </c>
      <c r="U22" s="264">
        <f t="shared" si="10"/>
        <v>0</v>
      </c>
      <c r="V22" s="264">
        <f t="shared" si="11"/>
        <v>0</v>
      </c>
      <c r="W22" s="264">
        <f t="shared" si="12"/>
        <v>0</v>
      </c>
      <c r="X22" s="264">
        <f t="shared" si="13"/>
        <v>0</v>
      </c>
      <c r="Y22" s="264">
        <f t="shared" si="14"/>
        <v>0</v>
      </c>
      <c r="Z22" s="264">
        <f t="shared" si="15"/>
        <v>0</v>
      </c>
      <c r="AA22" s="264">
        <f t="shared" si="16"/>
        <v>0</v>
      </c>
      <c r="AB22" s="264">
        <f t="shared" si="63"/>
        <v>0</v>
      </c>
      <c r="AC22" s="264">
        <f t="shared" si="64"/>
        <v>0</v>
      </c>
      <c r="AD22" s="264">
        <f t="shared" si="17"/>
        <v>0</v>
      </c>
      <c r="AE22" s="264">
        <f t="shared" si="18"/>
        <v>0</v>
      </c>
      <c r="AF22" s="264">
        <f t="shared" si="19"/>
        <v>0</v>
      </c>
      <c r="AG22" s="264">
        <f t="shared" si="20"/>
        <v>0</v>
      </c>
      <c r="AH22" s="264">
        <f t="shared" si="65"/>
        <v>0</v>
      </c>
      <c r="AI22" s="264">
        <f t="shared" si="66"/>
        <v>0</v>
      </c>
      <c r="AJ22" s="264">
        <f t="shared" si="67"/>
        <v>0</v>
      </c>
      <c r="AK22" s="264">
        <f t="shared" si="68"/>
        <v>0</v>
      </c>
      <c r="AL22" s="264">
        <f t="shared" si="69"/>
        <v>0</v>
      </c>
      <c r="AM22" s="264">
        <f t="shared" si="70"/>
        <v>0</v>
      </c>
      <c r="AN22" s="264">
        <f t="shared" si="71"/>
        <v>0</v>
      </c>
      <c r="AO22" s="264">
        <f t="shared" si="72"/>
        <v>0</v>
      </c>
      <c r="AP22" s="264">
        <f t="shared" si="21"/>
        <v>0</v>
      </c>
      <c r="AQ22" s="264">
        <f t="shared" si="22"/>
        <v>0</v>
      </c>
      <c r="AR22" s="264">
        <f t="shared" si="23"/>
        <v>0</v>
      </c>
      <c r="AS22" s="264">
        <f t="shared" si="24"/>
        <v>0</v>
      </c>
      <c r="AT22" s="264">
        <f t="shared" si="73"/>
        <v>0</v>
      </c>
      <c r="AU22" s="264">
        <f t="shared" si="74"/>
        <v>0</v>
      </c>
      <c r="AV22" s="264">
        <f t="shared" si="25"/>
        <v>0</v>
      </c>
      <c r="AW22" s="264">
        <f t="shared" si="26"/>
        <v>0</v>
      </c>
      <c r="AX22" s="264">
        <f t="shared" si="27"/>
        <v>0</v>
      </c>
      <c r="AY22" s="264">
        <f t="shared" si="28"/>
        <v>0</v>
      </c>
      <c r="AZ22" s="264">
        <f t="shared" si="29"/>
        <v>0</v>
      </c>
      <c r="BA22" s="264">
        <f t="shared" si="30"/>
        <v>0</v>
      </c>
      <c r="BB22" s="264">
        <f t="shared" si="31"/>
        <v>0</v>
      </c>
      <c r="BC22" s="264">
        <f t="shared" si="32"/>
        <v>0</v>
      </c>
      <c r="BD22" s="264">
        <f t="shared" si="33"/>
        <v>0</v>
      </c>
      <c r="BE22" s="264">
        <f t="shared" si="34"/>
        <v>0</v>
      </c>
      <c r="BF22" s="264">
        <f t="shared" si="35"/>
        <v>0</v>
      </c>
      <c r="BG22" s="264">
        <f t="shared" si="36"/>
        <v>0</v>
      </c>
      <c r="BH22" s="264">
        <f t="shared" si="75"/>
        <v>0</v>
      </c>
      <c r="BI22" s="264">
        <f t="shared" si="76"/>
        <v>0</v>
      </c>
      <c r="BJ22" s="264">
        <f t="shared" si="37"/>
        <v>0</v>
      </c>
      <c r="BK22" s="264">
        <f t="shared" si="38"/>
        <v>0</v>
      </c>
      <c r="BL22" s="264">
        <f t="shared" si="39"/>
        <v>0</v>
      </c>
      <c r="BM22" s="264">
        <f t="shared" si="40"/>
        <v>0</v>
      </c>
      <c r="BN22" s="264">
        <f t="shared" si="41"/>
        <v>0</v>
      </c>
      <c r="BO22" s="264">
        <f t="shared" si="42"/>
        <v>0</v>
      </c>
      <c r="BP22" s="264">
        <f t="shared" si="77"/>
        <v>0</v>
      </c>
      <c r="BQ22" s="264">
        <f t="shared" si="78"/>
        <v>0</v>
      </c>
      <c r="BR22" s="264">
        <f t="shared" si="43"/>
        <v>0</v>
      </c>
      <c r="BS22" s="264">
        <f t="shared" si="44"/>
        <v>0</v>
      </c>
      <c r="BT22" s="264">
        <f t="shared" si="79"/>
        <v>0</v>
      </c>
      <c r="BU22" s="264">
        <f t="shared" si="80"/>
        <v>0</v>
      </c>
      <c r="BV22" s="264">
        <f t="shared" si="81"/>
        <v>0</v>
      </c>
      <c r="BW22" s="264">
        <f t="shared" si="82"/>
        <v>0</v>
      </c>
      <c r="BX22" s="264">
        <f t="shared" si="45"/>
        <v>0</v>
      </c>
      <c r="BY22" s="264">
        <f t="shared" si="46"/>
        <v>0</v>
      </c>
      <c r="BZ22" s="264">
        <f t="shared" si="47"/>
        <v>0</v>
      </c>
      <c r="CA22" s="264">
        <f t="shared" si="48"/>
        <v>0</v>
      </c>
      <c r="CB22" s="264">
        <f t="shared" si="49"/>
        <v>0</v>
      </c>
      <c r="CC22" s="264">
        <f t="shared" si="50"/>
        <v>0</v>
      </c>
      <c r="CD22" s="264">
        <f t="shared" si="83"/>
        <v>0</v>
      </c>
      <c r="CE22" s="264">
        <f t="shared" si="84"/>
        <v>0</v>
      </c>
      <c r="CF22" s="264">
        <f t="shared" si="85"/>
        <v>0</v>
      </c>
      <c r="CG22" s="264">
        <f t="shared" si="86"/>
        <v>0</v>
      </c>
      <c r="CH22" s="264">
        <f t="shared" si="51"/>
        <v>0</v>
      </c>
      <c r="CI22" s="264">
        <f t="shared" si="52"/>
        <v>0</v>
      </c>
      <c r="CJ22" s="264">
        <f t="shared" si="87"/>
        <v>0</v>
      </c>
      <c r="CK22" s="264">
        <f t="shared" si="88"/>
        <v>0</v>
      </c>
      <c r="CL22" s="264">
        <f t="shared" si="53"/>
        <v>0</v>
      </c>
      <c r="CM22" s="264">
        <f t="shared" si="54"/>
        <v>0</v>
      </c>
      <c r="CN22" s="264">
        <f t="shared" si="55"/>
        <v>0</v>
      </c>
      <c r="CO22" s="264">
        <f t="shared" si="56"/>
        <v>0</v>
      </c>
      <c r="CP22" s="264">
        <f t="shared" si="89"/>
        <v>0</v>
      </c>
      <c r="CQ22" s="264">
        <f t="shared" si="90"/>
        <v>0</v>
      </c>
      <c r="CR22" s="264">
        <f t="shared" si="91"/>
        <v>0</v>
      </c>
      <c r="CS22" s="264">
        <f t="shared" si="92"/>
        <v>0</v>
      </c>
      <c r="CT22" s="264">
        <f t="shared" si="57"/>
        <v>0</v>
      </c>
      <c r="CU22" s="264">
        <f t="shared" si="58"/>
        <v>0</v>
      </c>
      <c r="CV22" s="264">
        <f t="shared" si="59"/>
        <v>0</v>
      </c>
      <c r="CW22" s="264">
        <f t="shared" si="60"/>
        <v>0</v>
      </c>
      <c r="CX22" s="264">
        <f t="shared" si="93"/>
        <v>0</v>
      </c>
      <c r="CY22" s="264">
        <f t="shared" si="94"/>
        <v>0</v>
      </c>
      <c r="CZ22" s="264">
        <f t="shared" si="95"/>
        <v>0</v>
      </c>
      <c r="DA22" s="264">
        <f t="shared" si="96"/>
        <v>0</v>
      </c>
    </row>
    <row r="23" spans="1:105" s="261" customFormat="1" ht="16.5" customHeight="1">
      <c r="A23" s="63" t="str">
        <f t="array" ref="A23">IF(C23&lt;&gt;0,SUM(($C$11:C23&lt;&gt;0)*1),"")</f>
        <v/>
      </c>
      <c r="B23" s="262"/>
      <c r="C23" s="262"/>
      <c r="D23" s="262"/>
      <c r="E23" s="344"/>
      <c r="F23" s="311"/>
      <c r="G23" s="313"/>
      <c r="H23" s="313"/>
      <c r="I23" s="63" t="str">
        <f t="shared" si="0"/>
        <v/>
      </c>
      <c r="J23" s="264">
        <f t="shared" si="61"/>
        <v>0</v>
      </c>
      <c r="K23" s="264">
        <f t="shared" si="62"/>
        <v>0</v>
      </c>
      <c r="L23" s="264">
        <f t="shared" si="1"/>
        <v>0</v>
      </c>
      <c r="M23" s="264">
        <f t="shared" si="2"/>
        <v>0</v>
      </c>
      <c r="N23" s="264">
        <f t="shared" si="3"/>
        <v>0</v>
      </c>
      <c r="O23" s="264">
        <f t="shared" si="4"/>
        <v>0</v>
      </c>
      <c r="P23" s="264">
        <f t="shared" si="5"/>
        <v>0</v>
      </c>
      <c r="Q23" s="264">
        <f t="shared" si="6"/>
        <v>0</v>
      </c>
      <c r="R23" s="264">
        <f t="shared" si="7"/>
        <v>0</v>
      </c>
      <c r="S23" s="264">
        <f t="shared" si="8"/>
        <v>0</v>
      </c>
      <c r="T23" s="264">
        <f t="shared" si="9"/>
        <v>0</v>
      </c>
      <c r="U23" s="264">
        <f t="shared" si="10"/>
        <v>0</v>
      </c>
      <c r="V23" s="264">
        <f t="shared" si="11"/>
        <v>0</v>
      </c>
      <c r="W23" s="264">
        <f t="shared" si="12"/>
        <v>0</v>
      </c>
      <c r="X23" s="264">
        <f t="shared" si="13"/>
        <v>0</v>
      </c>
      <c r="Y23" s="264">
        <f t="shared" si="14"/>
        <v>0</v>
      </c>
      <c r="Z23" s="264">
        <f t="shared" si="15"/>
        <v>0</v>
      </c>
      <c r="AA23" s="264">
        <f t="shared" si="16"/>
        <v>0</v>
      </c>
      <c r="AB23" s="264">
        <f t="shared" si="63"/>
        <v>0</v>
      </c>
      <c r="AC23" s="264">
        <f t="shared" si="64"/>
        <v>0</v>
      </c>
      <c r="AD23" s="264">
        <f t="shared" si="17"/>
        <v>0</v>
      </c>
      <c r="AE23" s="264">
        <f t="shared" si="18"/>
        <v>0</v>
      </c>
      <c r="AF23" s="264">
        <f t="shared" si="19"/>
        <v>0</v>
      </c>
      <c r="AG23" s="264">
        <f t="shared" si="20"/>
        <v>0</v>
      </c>
      <c r="AH23" s="264">
        <f t="shared" si="65"/>
        <v>0</v>
      </c>
      <c r="AI23" s="264">
        <f t="shared" si="66"/>
        <v>0</v>
      </c>
      <c r="AJ23" s="264">
        <f t="shared" si="67"/>
        <v>0</v>
      </c>
      <c r="AK23" s="264">
        <f t="shared" si="68"/>
        <v>0</v>
      </c>
      <c r="AL23" s="264">
        <f t="shared" si="69"/>
        <v>0</v>
      </c>
      <c r="AM23" s="264">
        <f t="shared" si="70"/>
        <v>0</v>
      </c>
      <c r="AN23" s="264">
        <f t="shared" si="71"/>
        <v>0</v>
      </c>
      <c r="AO23" s="264">
        <f t="shared" si="72"/>
        <v>0</v>
      </c>
      <c r="AP23" s="264">
        <f t="shared" si="21"/>
        <v>0</v>
      </c>
      <c r="AQ23" s="264">
        <f t="shared" si="22"/>
        <v>0</v>
      </c>
      <c r="AR23" s="264">
        <f t="shared" si="23"/>
        <v>0</v>
      </c>
      <c r="AS23" s="264">
        <f t="shared" si="24"/>
        <v>0</v>
      </c>
      <c r="AT23" s="264">
        <f t="shared" si="73"/>
        <v>0</v>
      </c>
      <c r="AU23" s="264">
        <f t="shared" si="74"/>
        <v>0</v>
      </c>
      <c r="AV23" s="264">
        <f t="shared" si="25"/>
        <v>0</v>
      </c>
      <c r="AW23" s="264">
        <f t="shared" si="26"/>
        <v>0</v>
      </c>
      <c r="AX23" s="264">
        <f t="shared" si="27"/>
        <v>0</v>
      </c>
      <c r="AY23" s="264">
        <f t="shared" si="28"/>
        <v>0</v>
      </c>
      <c r="AZ23" s="264">
        <f t="shared" si="29"/>
        <v>0</v>
      </c>
      <c r="BA23" s="264">
        <f t="shared" si="30"/>
        <v>0</v>
      </c>
      <c r="BB23" s="264">
        <f t="shared" si="31"/>
        <v>0</v>
      </c>
      <c r="BC23" s="264">
        <f t="shared" si="32"/>
        <v>0</v>
      </c>
      <c r="BD23" s="264">
        <f t="shared" si="33"/>
        <v>0</v>
      </c>
      <c r="BE23" s="264">
        <f t="shared" si="34"/>
        <v>0</v>
      </c>
      <c r="BF23" s="264">
        <f t="shared" si="35"/>
        <v>0</v>
      </c>
      <c r="BG23" s="264">
        <f t="shared" si="36"/>
        <v>0</v>
      </c>
      <c r="BH23" s="264">
        <f t="shared" si="75"/>
        <v>0</v>
      </c>
      <c r="BI23" s="264">
        <f t="shared" si="76"/>
        <v>0</v>
      </c>
      <c r="BJ23" s="264">
        <f t="shared" si="37"/>
        <v>0</v>
      </c>
      <c r="BK23" s="264">
        <f t="shared" si="38"/>
        <v>0</v>
      </c>
      <c r="BL23" s="264">
        <f t="shared" si="39"/>
        <v>0</v>
      </c>
      <c r="BM23" s="264">
        <f t="shared" si="40"/>
        <v>0</v>
      </c>
      <c r="BN23" s="264">
        <f t="shared" si="41"/>
        <v>0</v>
      </c>
      <c r="BO23" s="264">
        <f t="shared" si="42"/>
        <v>0</v>
      </c>
      <c r="BP23" s="264">
        <f t="shared" si="77"/>
        <v>0</v>
      </c>
      <c r="BQ23" s="264">
        <f t="shared" si="78"/>
        <v>0</v>
      </c>
      <c r="BR23" s="264">
        <f t="shared" si="43"/>
        <v>0</v>
      </c>
      <c r="BS23" s="264">
        <f t="shared" si="44"/>
        <v>0</v>
      </c>
      <c r="BT23" s="264">
        <f t="shared" si="79"/>
        <v>0</v>
      </c>
      <c r="BU23" s="264">
        <f t="shared" si="80"/>
        <v>0</v>
      </c>
      <c r="BV23" s="264">
        <f t="shared" si="81"/>
        <v>0</v>
      </c>
      <c r="BW23" s="264">
        <f t="shared" si="82"/>
        <v>0</v>
      </c>
      <c r="BX23" s="264">
        <f t="shared" si="45"/>
        <v>0</v>
      </c>
      <c r="BY23" s="264">
        <f t="shared" si="46"/>
        <v>0</v>
      </c>
      <c r="BZ23" s="264">
        <f t="shared" si="47"/>
        <v>0</v>
      </c>
      <c r="CA23" s="264">
        <f t="shared" si="48"/>
        <v>0</v>
      </c>
      <c r="CB23" s="264">
        <f t="shared" si="49"/>
        <v>0</v>
      </c>
      <c r="CC23" s="264">
        <f t="shared" si="50"/>
        <v>0</v>
      </c>
      <c r="CD23" s="264">
        <f t="shared" si="83"/>
        <v>0</v>
      </c>
      <c r="CE23" s="264">
        <f t="shared" si="84"/>
        <v>0</v>
      </c>
      <c r="CF23" s="264">
        <f t="shared" si="85"/>
        <v>0</v>
      </c>
      <c r="CG23" s="264">
        <f t="shared" si="86"/>
        <v>0</v>
      </c>
      <c r="CH23" s="264">
        <f t="shared" si="51"/>
        <v>0</v>
      </c>
      <c r="CI23" s="264">
        <f t="shared" si="52"/>
        <v>0</v>
      </c>
      <c r="CJ23" s="264">
        <f t="shared" si="87"/>
        <v>0</v>
      </c>
      <c r="CK23" s="264">
        <f t="shared" si="88"/>
        <v>0</v>
      </c>
      <c r="CL23" s="264">
        <f t="shared" si="53"/>
        <v>0</v>
      </c>
      <c r="CM23" s="264">
        <f t="shared" si="54"/>
        <v>0</v>
      </c>
      <c r="CN23" s="264">
        <f t="shared" si="55"/>
        <v>0</v>
      </c>
      <c r="CO23" s="264">
        <f t="shared" si="56"/>
        <v>0</v>
      </c>
      <c r="CP23" s="264">
        <f t="shared" si="89"/>
        <v>0</v>
      </c>
      <c r="CQ23" s="264">
        <f t="shared" si="90"/>
        <v>0</v>
      </c>
      <c r="CR23" s="264">
        <f t="shared" si="91"/>
        <v>0</v>
      </c>
      <c r="CS23" s="264">
        <f t="shared" si="92"/>
        <v>0</v>
      </c>
      <c r="CT23" s="264">
        <f t="shared" si="57"/>
        <v>0</v>
      </c>
      <c r="CU23" s="264">
        <f t="shared" si="58"/>
        <v>0</v>
      </c>
      <c r="CV23" s="264">
        <f t="shared" si="59"/>
        <v>0</v>
      </c>
      <c r="CW23" s="264">
        <f t="shared" si="60"/>
        <v>0</v>
      </c>
      <c r="CX23" s="264">
        <f t="shared" si="93"/>
        <v>0</v>
      </c>
      <c r="CY23" s="264">
        <f t="shared" si="94"/>
        <v>0</v>
      </c>
      <c r="CZ23" s="264">
        <f t="shared" si="95"/>
        <v>0</v>
      </c>
      <c r="DA23" s="264">
        <f t="shared" si="96"/>
        <v>0</v>
      </c>
    </row>
    <row r="24" spans="1:105" s="261" customFormat="1" ht="16.5" customHeight="1">
      <c r="A24" s="63" t="str">
        <f t="array" ref="A24">IF(C24&lt;&gt;0,SUM(($C$11:C24&lt;&gt;0)*1),"")</f>
        <v/>
      </c>
      <c r="B24" s="262"/>
      <c r="C24" s="262"/>
      <c r="D24" s="262"/>
      <c r="E24" s="344"/>
      <c r="F24" s="311"/>
      <c r="G24" s="313"/>
      <c r="H24" s="313"/>
      <c r="I24" s="63" t="str">
        <f t="shared" si="0"/>
        <v/>
      </c>
      <c r="J24" s="264">
        <f t="shared" si="61"/>
        <v>0</v>
      </c>
      <c r="K24" s="264">
        <f t="shared" si="62"/>
        <v>0</v>
      </c>
      <c r="L24" s="264">
        <f t="shared" si="1"/>
        <v>0</v>
      </c>
      <c r="M24" s="264">
        <f t="shared" si="2"/>
        <v>0</v>
      </c>
      <c r="N24" s="264">
        <f t="shared" si="3"/>
        <v>0</v>
      </c>
      <c r="O24" s="264">
        <f t="shared" si="4"/>
        <v>0</v>
      </c>
      <c r="P24" s="264">
        <f t="shared" si="5"/>
        <v>0</v>
      </c>
      <c r="Q24" s="264">
        <f t="shared" si="6"/>
        <v>0</v>
      </c>
      <c r="R24" s="264">
        <f t="shared" si="7"/>
        <v>0</v>
      </c>
      <c r="S24" s="264">
        <f t="shared" si="8"/>
        <v>0</v>
      </c>
      <c r="T24" s="264">
        <f t="shared" si="9"/>
        <v>0</v>
      </c>
      <c r="U24" s="264">
        <f t="shared" si="10"/>
        <v>0</v>
      </c>
      <c r="V24" s="264">
        <f t="shared" si="11"/>
        <v>0</v>
      </c>
      <c r="W24" s="264">
        <f t="shared" si="12"/>
        <v>0</v>
      </c>
      <c r="X24" s="264">
        <f t="shared" si="13"/>
        <v>0</v>
      </c>
      <c r="Y24" s="264">
        <f t="shared" si="14"/>
        <v>0</v>
      </c>
      <c r="Z24" s="264">
        <f t="shared" si="15"/>
        <v>0</v>
      </c>
      <c r="AA24" s="264">
        <f t="shared" si="16"/>
        <v>0</v>
      </c>
      <c r="AB24" s="264">
        <f t="shared" si="63"/>
        <v>0</v>
      </c>
      <c r="AC24" s="264">
        <f t="shared" si="64"/>
        <v>0</v>
      </c>
      <c r="AD24" s="264">
        <f t="shared" si="17"/>
        <v>0</v>
      </c>
      <c r="AE24" s="264">
        <f t="shared" si="18"/>
        <v>0</v>
      </c>
      <c r="AF24" s="264">
        <f t="shared" si="19"/>
        <v>0</v>
      </c>
      <c r="AG24" s="264">
        <f t="shared" si="20"/>
        <v>0</v>
      </c>
      <c r="AH24" s="264">
        <f t="shared" si="65"/>
        <v>0</v>
      </c>
      <c r="AI24" s="264">
        <f t="shared" si="66"/>
        <v>0</v>
      </c>
      <c r="AJ24" s="264">
        <f t="shared" si="67"/>
        <v>0</v>
      </c>
      <c r="AK24" s="264">
        <f t="shared" si="68"/>
        <v>0</v>
      </c>
      <c r="AL24" s="264">
        <f t="shared" si="69"/>
        <v>0</v>
      </c>
      <c r="AM24" s="264">
        <f t="shared" si="70"/>
        <v>0</v>
      </c>
      <c r="AN24" s="264">
        <f t="shared" si="71"/>
        <v>0</v>
      </c>
      <c r="AO24" s="264">
        <f t="shared" si="72"/>
        <v>0</v>
      </c>
      <c r="AP24" s="264">
        <f t="shared" si="21"/>
        <v>0</v>
      </c>
      <c r="AQ24" s="264">
        <f t="shared" si="22"/>
        <v>0</v>
      </c>
      <c r="AR24" s="264">
        <f t="shared" si="23"/>
        <v>0</v>
      </c>
      <c r="AS24" s="264">
        <f t="shared" si="24"/>
        <v>0</v>
      </c>
      <c r="AT24" s="264">
        <f t="shared" si="73"/>
        <v>0</v>
      </c>
      <c r="AU24" s="264">
        <f t="shared" si="74"/>
        <v>0</v>
      </c>
      <c r="AV24" s="264">
        <f t="shared" si="25"/>
        <v>0</v>
      </c>
      <c r="AW24" s="264">
        <f t="shared" si="26"/>
        <v>0</v>
      </c>
      <c r="AX24" s="264">
        <f t="shared" si="27"/>
        <v>0</v>
      </c>
      <c r="AY24" s="264">
        <f t="shared" si="28"/>
        <v>0</v>
      </c>
      <c r="AZ24" s="264">
        <f t="shared" si="29"/>
        <v>0</v>
      </c>
      <c r="BA24" s="264">
        <f t="shared" si="30"/>
        <v>0</v>
      </c>
      <c r="BB24" s="264">
        <f t="shared" si="31"/>
        <v>0</v>
      </c>
      <c r="BC24" s="264">
        <f t="shared" si="32"/>
        <v>0</v>
      </c>
      <c r="BD24" s="264">
        <f t="shared" si="33"/>
        <v>0</v>
      </c>
      <c r="BE24" s="264">
        <f t="shared" si="34"/>
        <v>0</v>
      </c>
      <c r="BF24" s="264">
        <f t="shared" si="35"/>
        <v>0</v>
      </c>
      <c r="BG24" s="264">
        <f t="shared" si="36"/>
        <v>0</v>
      </c>
      <c r="BH24" s="264">
        <f t="shared" si="75"/>
        <v>0</v>
      </c>
      <c r="BI24" s="264">
        <f t="shared" si="76"/>
        <v>0</v>
      </c>
      <c r="BJ24" s="264">
        <f t="shared" si="37"/>
        <v>0</v>
      </c>
      <c r="BK24" s="264">
        <f t="shared" si="38"/>
        <v>0</v>
      </c>
      <c r="BL24" s="264">
        <f t="shared" si="39"/>
        <v>0</v>
      </c>
      <c r="BM24" s="264">
        <f t="shared" si="40"/>
        <v>0</v>
      </c>
      <c r="BN24" s="264">
        <f t="shared" si="41"/>
        <v>0</v>
      </c>
      <c r="BO24" s="264">
        <f t="shared" si="42"/>
        <v>0</v>
      </c>
      <c r="BP24" s="264">
        <f t="shared" si="77"/>
        <v>0</v>
      </c>
      <c r="BQ24" s="264">
        <f t="shared" si="78"/>
        <v>0</v>
      </c>
      <c r="BR24" s="264">
        <f t="shared" si="43"/>
        <v>0</v>
      </c>
      <c r="BS24" s="264">
        <f t="shared" si="44"/>
        <v>0</v>
      </c>
      <c r="BT24" s="264">
        <f t="shared" si="79"/>
        <v>0</v>
      </c>
      <c r="BU24" s="264">
        <f t="shared" si="80"/>
        <v>0</v>
      </c>
      <c r="BV24" s="264">
        <f t="shared" si="81"/>
        <v>0</v>
      </c>
      <c r="BW24" s="264">
        <f t="shared" si="82"/>
        <v>0</v>
      </c>
      <c r="BX24" s="264">
        <f t="shared" si="45"/>
        <v>0</v>
      </c>
      <c r="BY24" s="264">
        <f t="shared" si="46"/>
        <v>0</v>
      </c>
      <c r="BZ24" s="264">
        <f t="shared" si="47"/>
        <v>0</v>
      </c>
      <c r="CA24" s="264">
        <f t="shared" si="48"/>
        <v>0</v>
      </c>
      <c r="CB24" s="264">
        <f t="shared" si="49"/>
        <v>0</v>
      </c>
      <c r="CC24" s="264">
        <f t="shared" si="50"/>
        <v>0</v>
      </c>
      <c r="CD24" s="264">
        <f t="shared" si="83"/>
        <v>0</v>
      </c>
      <c r="CE24" s="264">
        <f t="shared" si="84"/>
        <v>0</v>
      </c>
      <c r="CF24" s="264">
        <f t="shared" si="85"/>
        <v>0</v>
      </c>
      <c r="CG24" s="264">
        <f t="shared" si="86"/>
        <v>0</v>
      </c>
      <c r="CH24" s="264">
        <f t="shared" si="51"/>
        <v>0</v>
      </c>
      <c r="CI24" s="264">
        <f t="shared" si="52"/>
        <v>0</v>
      </c>
      <c r="CJ24" s="264">
        <f t="shared" si="87"/>
        <v>0</v>
      </c>
      <c r="CK24" s="264">
        <f t="shared" si="88"/>
        <v>0</v>
      </c>
      <c r="CL24" s="264">
        <f t="shared" si="53"/>
        <v>0</v>
      </c>
      <c r="CM24" s="264">
        <f t="shared" si="54"/>
        <v>0</v>
      </c>
      <c r="CN24" s="264">
        <f t="shared" si="55"/>
        <v>0</v>
      </c>
      <c r="CO24" s="264">
        <f t="shared" si="56"/>
        <v>0</v>
      </c>
      <c r="CP24" s="264">
        <f t="shared" si="89"/>
        <v>0</v>
      </c>
      <c r="CQ24" s="264">
        <f t="shared" si="90"/>
        <v>0</v>
      </c>
      <c r="CR24" s="264">
        <f t="shared" si="91"/>
        <v>0</v>
      </c>
      <c r="CS24" s="264">
        <f t="shared" si="92"/>
        <v>0</v>
      </c>
      <c r="CT24" s="264">
        <f t="shared" si="57"/>
        <v>0</v>
      </c>
      <c r="CU24" s="264">
        <f t="shared" si="58"/>
        <v>0</v>
      </c>
      <c r="CV24" s="264">
        <f t="shared" si="59"/>
        <v>0</v>
      </c>
      <c r="CW24" s="264">
        <f t="shared" si="60"/>
        <v>0</v>
      </c>
      <c r="CX24" s="264">
        <f t="shared" si="93"/>
        <v>0</v>
      </c>
      <c r="CY24" s="264">
        <f t="shared" si="94"/>
        <v>0</v>
      </c>
      <c r="CZ24" s="264">
        <f t="shared" si="95"/>
        <v>0</v>
      </c>
      <c r="DA24" s="264">
        <f t="shared" si="96"/>
        <v>0</v>
      </c>
    </row>
    <row r="25" spans="1:105" s="261" customFormat="1" ht="16.5" customHeight="1">
      <c r="A25" s="63" t="str">
        <f t="array" ref="A25">IF(C25&lt;&gt;0,SUM(($C$11:C25&lt;&gt;0)*1),"")</f>
        <v/>
      </c>
      <c r="B25" s="262"/>
      <c r="C25" s="262"/>
      <c r="D25" s="262"/>
      <c r="E25" s="344"/>
      <c r="F25" s="311"/>
      <c r="G25" s="313"/>
      <c r="H25" s="313"/>
      <c r="I25" s="63" t="str">
        <f t="shared" si="0"/>
        <v/>
      </c>
      <c r="J25" s="264">
        <f t="shared" si="61"/>
        <v>0</v>
      </c>
      <c r="K25" s="264">
        <f t="shared" si="62"/>
        <v>0</v>
      </c>
      <c r="L25" s="264">
        <f t="shared" si="1"/>
        <v>0</v>
      </c>
      <c r="M25" s="264">
        <f t="shared" si="2"/>
        <v>0</v>
      </c>
      <c r="N25" s="264">
        <f t="shared" si="3"/>
        <v>0</v>
      </c>
      <c r="O25" s="264">
        <f t="shared" si="4"/>
        <v>0</v>
      </c>
      <c r="P25" s="264">
        <f t="shared" si="5"/>
        <v>0</v>
      </c>
      <c r="Q25" s="264">
        <f t="shared" si="6"/>
        <v>0</v>
      </c>
      <c r="R25" s="264">
        <f t="shared" si="7"/>
        <v>0</v>
      </c>
      <c r="S25" s="264">
        <f t="shared" si="8"/>
        <v>0</v>
      </c>
      <c r="T25" s="264">
        <f t="shared" si="9"/>
        <v>0</v>
      </c>
      <c r="U25" s="264">
        <f t="shared" si="10"/>
        <v>0</v>
      </c>
      <c r="V25" s="264">
        <f t="shared" si="11"/>
        <v>0</v>
      </c>
      <c r="W25" s="264">
        <f t="shared" si="12"/>
        <v>0</v>
      </c>
      <c r="X25" s="264">
        <f t="shared" si="13"/>
        <v>0</v>
      </c>
      <c r="Y25" s="264">
        <f t="shared" si="14"/>
        <v>0</v>
      </c>
      <c r="Z25" s="264">
        <f t="shared" si="15"/>
        <v>0</v>
      </c>
      <c r="AA25" s="264">
        <f t="shared" si="16"/>
        <v>0</v>
      </c>
      <c r="AB25" s="264">
        <f t="shared" si="63"/>
        <v>0</v>
      </c>
      <c r="AC25" s="264">
        <f t="shared" si="64"/>
        <v>0</v>
      </c>
      <c r="AD25" s="264">
        <f t="shared" si="17"/>
        <v>0</v>
      </c>
      <c r="AE25" s="264">
        <f t="shared" si="18"/>
        <v>0</v>
      </c>
      <c r="AF25" s="264">
        <f t="shared" si="19"/>
        <v>0</v>
      </c>
      <c r="AG25" s="264">
        <f t="shared" si="20"/>
        <v>0</v>
      </c>
      <c r="AH25" s="264">
        <f t="shared" si="65"/>
        <v>0</v>
      </c>
      <c r="AI25" s="264">
        <f t="shared" si="66"/>
        <v>0</v>
      </c>
      <c r="AJ25" s="264">
        <f t="shared" si="67"/>
        <v>0</v>
      </c>
      <c r="AK25" s="264">
        <f t="shared" si="68"/>
        <v>0</v>
      </c>
      <c r="AL25" s="264">
        <f t="shared" si="69"/>
        <v>0</v>
      </c>
      <c r="AM25" s="264">
        <f t="shared" si="70"/>
        <v>0</v>
      </c>
      <c r="AN25" s="264">
        <f t="shared" si="71"/>
        <v>0</v>
      </c>
      <c r="AO25" s="264">
        <f t="shared" si="72"/>
        <v>0</v>
      </c>
      <c r="AP25" s="264">
        <f t="shared" si="21"/>
        <v>0</v>
      </c>
      <c r="AQ25" s="264">
        <f t="shared" si="22"/>
        <v>0</v>
      </c>
      <c r="AR25" s="264">
        <f t="shared" si="23"/>
        <v>0</v>
      </c>
      <c r="AS25" s="264">
        <f t="shared" si="24"/>
        <v>0</v>
      </c>
      <c r="AT25" s="264">
        <f t="shared" si="73"/>
        <v>0</v>
      </c>
      <c r="AU25" s="264">
        <f t="shared" si="74"/>
        <v>0</v>
      </c>
      <c r="AV25" s="264">
        <f t="shared" si="25"/>
        <v>0</v>
      </c>
      <c r="AW25" s="264">
        <f t="shared" si="26"/>
        <v>0</v>
      </c>
      <c r="AX25" s="264">
        <f t="shared" si="27"/>
        <v>0</v>
      </c>
      <c r="AY25" s="264">
        <f t="shared" si="28"/>
        <v>0</v>
      </c>
      <c r="AZ25" s="264">
        <f t="shared" si="29"/>
        <v>0</v>
      </c>
      <c r="BA25" s="264">
        <f t="shared" si="30"/>
        <v>0</v>
      </c>
      <c r="BB25" s="264">
        <f t="shared" si="31"/>
        <v>0</v>
      </c>
      <c r="BC25" s="264">
        <f t="shared" si="32"/>
        <v>0</v>
      </c>
      <c r="BD25" s="264">
        <f t="shared" si="33"/>
        <v>0</v>
      </c>
      <c r="BE25" s="264">
        <f t="shared" si="34"/>
        <v>0</v>
      </c>
      <c r="BF25" s="264">
        <f t="shared" si="35"/>
        <v>0</v>
      </c>
      <c r="BG25" s="264">
        <f t="shared" si="36"/>
        <v>0</v>
      </c>
      <c r="BH25" s="264">
        <f t="shared" si="75"/>
        <v>0</v>
      </c>
      <c r="BI25" s="264">
        <f t="shared" si="76"/>
        <v>0</v>
      </c>
      <c r="BJ25" s="264">
        <f t="shared" si="37"/>
        <v>0</v>
      </c>
      <c r="BK25" s="264">
        <f t="shared" si="38"/>
        <v>0</v>
      </c>
      <c r="BL25" s="264">
        <f t="shared" si="39"/>
        <v>0</v>
      </c>
      <c r="BM25" s="264">
        <f t="shared" si="40"/>
        <v>0</v>
      </c>
      <c r="BN25" s="264">
        <f t="shared" si="41"/>
        <v>0</v>
      </c>
      <c r="BO25" s="264">
        <f t="shared" si="42"/>
        <v>0</v>
      </c>
      <c r="BP25" s="264">
        <f t="shared" si="77"/>
        <v>0</v>
      </c>
      <c r="BQ25" s="264">
        <f t="shared" si="78"/>
        <v>0</v>
      </c>
      <c r="BR25" s="264">
        <f t="shared" si="43"/>
        <v>0</v>
      </c>
      <c r="BS25" s="264">
        <f t="shared" si="44"/>
        <v>0</v>
      </c>
      <c r="BT25" s="264">
        <f t="shared" si="79"/>
        <v>0</v>
      </c>
      <c r="BU25" s="264">
        <f t="shared" si="80"/>
        <v>0</v>
      </c>
      <c r="BV25" s="264">
        <f t="shared" si="81"/>
        <v>0</v>
      </c>
      <c r="BW25" s="264">
        <f t="shared" si="82"/>
        <v>0</v>
      </c>
      <c r="BX25" s="264">
        <f t="shared" si="45"/>
        <v>0</v>
      </c>
      <c r="BY25" s="264">
        <f t="shared" si="46"/>
        <v>0</v>
      </c>
      <c r="BZ25" s="264">
        <f t="shared" si="47"/>
        <v>0</v>
      </c>
      <c r="CA25" s="264">
        <f t="shared" si="48"/>
        <v>0</v>
      </c>
      <c r="CB25" s="264">
        <f t="shared" si="49"/>
        <v>0</v>
      </c>
      <c r="CC25" s="264">
        <f t="shared" si="50"/>
        <v>0</v>
      </c>
      <c r="CD25" s="264">
        <f t="shared" si="83"/>
        <v>0</v>
      </c>
      <c r="CE25" s="264">
        <f t="shared" si="84"/>
        <v>0</v>
      </c>
      <c r="CF25" s="264">
        <f t="shared" si="85"/>
        <v>0</v>
      </c>
      <c r="CG25" s="264">
        <f t="shared" si="86"/>
        <v>0</v>
      </c>
      <c r="CH25" s="264">
        <f t="shared" si="51"/>
        <v>0</v>
      </c>
      <c r="CI25" s="264">
        <f t="shared" si="52"/>
        <v>0</v>
      </c>
      <c r="CJ25" s="264">
        <f t="shared" si="87"/>
        <v>0</v>
      </c>
      <c r="CK25" s="264">
        <f t="shared" si="88"/>
        <v>0</v>
      </c>
      <c r="CL25" s="264">
        <f t="shared" si="53"/>
        <v>0</v>
      </c>
      <c r="CM25" s="264">
        <f t="shared" si="54"/>
        <v>0</v>
      </c>
      <c r="CN25" s="264">
        <f t="shared" si="55"/>
        <v>0</v>
      </c>
      <c r="CO25" s="264">
        <f t="shared" si="56"/>
        <v>0</v>
      </c>
      <c r="CP25" s="264">
        <f t="shared" si="89"/>
        <v>0</v>
      </c>
      <c r="CQ25" s="264">
        <f t="shared" si="90"/>
        <v>0</v>
      </c>
      <c r="CR25" s="264">
        <f t="shared" si="91"/>
        <v>0</v>
      </c>
      <c r="CS25" s="264">
        <f t="shared" si="92"/>
        <v>0</v>
      </c>
      <c r="CT25" s="264">
        <f t="shared" si="57"/>
        <v>0</v>
      </c>
      <c r="CU25" s="264">
        <f t="shared" si="58"/>
        <v>0</v>
      </c>
      <c r="CV25" s="264">
        <f t="shared" si="59"/>
        <v>0</v>
      </c>
      <c r="CW25" s="264">
        <f t="shared" si="60"/>
        <v>0</v>
      </c>
      <c r="CX25" s="264">
        <f t="shared" si="93"/>
        <v>0</v>
      </c>
      <c r="CY25" s="264">
        <f t="shared" si="94"/>
        <v>0</v>
      </c>
      <c r="CZ25" s="264">
        <f t="shared" si="95"/>
        <v>0</v>
      </c>
      <c r="DA25" s="264">
        <f t="shared" si="96"/>
        <v>0</v>
      </c>
    </row>
    <row r="26" spans="1:105" s="261" customFormat="1" ht="16.5" customHeight="1">
      <c r="A26" s="63" t="str">
        <f t="array" ref="A26">IF(C26&lt;&gt;0,SUM(($C$11:C26&lt;&gt;0)*1),"")</f>
        <v/>
      </c>
      <c r="B26" s="262"/>
      <c r="C26" s="262"/>
      <c r="D26" s="262"/>
      <c r="E26" s="344"/>
      <c r="F26" s="311"/>
      <c r="G26" s="313"/>
      <c r="H26" s="313"/>
      <c r="I26" s="63" t="str">
        <f t="shared" si="0"/>
        <v/>
      </c>
      <c r="J26" s="264">
        <f t="shared" si="61"/>
        <v>0</v>
      </c>
      <c r="K26" s="264">
        <f t="shared" si="62"/>
        <v>0</v>
      </c>
      <c r="L26" s="264">
        <f t="shared" si="1"/>
        <v>0</v>
      </c>
      <c r="M26" s="264">
        <f t="shared" si="2"/>
        <v>0</v>
      </c>
      <c r="N26" s="264">
        <f t="shared" si="3"/>
        <v>0</v>
      </c>
      <c r="O26" s="264">
        <f t="shared" si="4"/>
        <v>0</v>
      </c>
      <c r="P26" s="264">
        <f t="shared" si="5"/>
        <v>0</v>
      </c>
      <c r="Q26" s="264">
        <f t="shared" si="6"/>
        <v>0</v>
      </c>
      <c r="R26" s="264">
        <f t="shared" si="7"/>
        <v>0</v>
      </c>
      <c r="S26" s="264">
        <f t="shared" si="8"/>
        <v>0</v>
      </c>
      <c r="T26" s="264">
        <f t="shared" si="9"/>
        <v>0</v>
      </c>
      <c r="U26" s="264">
        <f t="shared" si="10"/>
        <v>0</v>
      </c>
      <c r="V26" s="264">
        <f t="shared" si="11"/>
        <v>0</v>
      </c>
      <c r="W26" s="264">
        <f t="shared" si="12"/>
        <v>0</v>
      </c>
      <c r="X26" s="264">
        <f t="shared" si="13"/>
        <v>0</v>
      </c>
      <c r="Y26" s="264">
        <f t="shared" si="14"/>
        <v>0</v>
      </c>
      <c r="Z26" s="264">
        <f t="shared" si="15"/>
        <v>0</v>
      </c>
      <c r="AA26" s="264">
        <f t="shared" si="16"/>
        <v>0</v>
      </c>
      <c r="AB26" s="264">
        <f t="shared" si="63"/>
        <v>0</v>
      </c>
      <c r="AC26" s="264">
        <f t="shared" si="64"/>
        <v>0</v>
      </c>
      <c r="AD26" s="264">
        <f t="shared" si="17"/>
        <v>0</v>
      </c>
      <c r="AE26" s="264">
        <f t="shared" si="18"/>
        <v>0</v>
      </c>
      <c r="AF26" s="264">
        <f t="shared" si="19"/>
        <v>0</v>
      </c>
      <c r="AG26" s="264">
        <f t="shared" si="20"/>
        <v>0</v>
      </c>
      <c r="AH26" s="264">
        <f t="shared" si="65"/>
        <v>0</v>
      </c>
      <c r="AI26" s="264">
        <f t="shared" si="66"/>
        <v>0</v>
      </c>
      <c r="AJ26" s="264">
        <f t="shared" si="67"/>
        <v>0</v>
      </c>
      <c r="AK26" s="264">
        <f t="shared" si="68"/>
        <v>0</v>
      </c>
      <c r="AL26" s="264">
        <f t="shared" si="69"/>
        <v>0</v>
      </c>
      <c r="AM26" s="264">
        <f t="shared" si="70"/>
        <v>0</v>
      </c>
      <c r="AN26" s="264">
        <f t="shared" si="71"/>
        <v>0</v>
      </c>
      <c r="AO26" s="264">
        <f t="shared" si="72"/>
        <v>0</v>
      </c>
      <c r="AP26" s="264">
        <f t="shared" si="21"/>
        <v>0</v>
      </c>
      <c r="AQ26" s="264">
        <f t="shared" si="22"/>
        <v>0</v>
      </c>
      <c r="AR26" s="264">
        <f t="shared" si="23"/>
        <v>0</v>
      </c>
      <c r="AS26" s="264">
        <f t="shared" si="24"/>
        <v>0</v>
      </c>
      <c r="AT26" s="264">
        <f t="shared" si="73"/>
        <v>0</v>
      </c>
      <c r="AU26" s="264">
        <f t="shared" si="74"/>
        <v>0</v>
      </c>
      <c r="AV26" s="264">
        <f t="shared" si="25"/>
        <v>0</v>
      </c>
      <c r="AW26" s="264">
        <f t="shared" si="26"/>
        <v>0</v>
      </c>
      <c r="AX26" s="264">
        <f t="shared" si="27"/>
        <v>0</v>
      </c>
      <c r="AY26" s="264">
        <f t="shared" si="28"/>
        <v>0</v>
      </c>
      <c r="AZ26" s="264">
        <f t="shared" si="29"/>
        <v>0</v>
      </c>
      <c r="BA26" s="264">
        <f t="shared" si="30"/>
        <v>0</v>
      </c>
      <c r="BB26" s="264">
        <f t="shared" si="31"/>
        <v>0</v>
      </c>
      <c r="BC26" s="264">
        <f t="shared" si="32"/>
        <v>0</v>
      </c>
      <c r="BD26" s="264">
        <f t="shared" si="33"/>
        <v>0</v>
      </c>
      <c r="BE26" s="264">
        <f t="shared" si="34"/>
        <v>0</v>
      </c>
      <c r="BF26" s="264">
        <f t="shared" si="35"/>
        <v>0</v>
      </c>
      <c r="BG26" s="264">
        <f t="shared" si="36"/>
        <v>0</v>
      </c>
      <c r="BH26" s="264">
        <f t="shared" si="75"/>
        <v>0</v>
      </c>
      <c r="BI26" s="264">
        <f t="shared" si="76"/>
        <v>0</v>
      </c>
      <c r="BJ26" s="264">
        <f t="shared" si="37"/>
        <v>0</v>
      </c>
      <c r="BK26" s="264">
        <f t="shared" si="38"/>
        <v>0</v>
      </c>
      <c r="BL26" s="264">
        <f t="shared" si="39"/>
        <v>0</v>
      </c>
      <c r="BM26" s="264">
        <f t="shared" si="40"/>
        <v>0</v>
      </c>
      <c r="BN26" s="264">
        <f t="shared" si="41"/>
        <v>0</v>
      </c>
      <c r="BO26" s="264">
        <f t="shared" si="42"/>
        <v>0</v>
      </c>
      <c r="BP26" s="264">
        <f t="shared" si="77"/>
        <v>0</v>
      </c>
      <c r="BQ26" s="264">
        <f t="shared" si="78"/>
        <v>0</v>
      </c>
      <c r="BR26" s="264">
        <f t="shared" si="43"/>
        <v>0</v>
      </c>
      <c r="BS26" s="264">
        <f t="shared" si="44"/>
        <v>0</v>
      </c>
      <c r="BT26" s="264">
        <f t="shared" si="79"/>
        <v>0</v>
      </c>
      <c r="BU26" s="264">
        <f t="shared" si="80"/>
        <v>0</v>
      </c>
      <c r="BV26" s="264">
        <f t="shared" si="81"/>
        <v>0</v>
      </c>
      <c r="BW26" s="264">
        <f t="shared" si="82"/>
        <v>0</v>
      </c>
      <c r="BX26" s="264">
        <f t="shared" si="45"/>
        <v>0</v>
      </c>
      <c r="BY26" s="264">
        <f t="shared" si="46"/>
        <v>0</v>
      </c>
      <c r="BZ26" s="264">
        <f t="shared" si="47"/>
        <v>0</v>
      </c>
      <c r="CA26" s="264">
        <f t="shared" si="48"/>
        <v>0</v>
      </c>
      <c r="CB26" s="264">
        <f t="shared" si="49"/>
        <v>0</v>
      </c>
      <c r="CC26" s="264">
        <f t="shared" si="50"/>
        <v>0</v>
      </c>
      <c r="CD26" s="264">
        <f t="shared" si="83"/>
        <v>0</v>
      </c>
      <c r="CE26" s="264">
        <f t="shared" si="84"/>
        <v>0</v>
      </c>
      <c r="CF26" s="264">
        <f t="shared" si="85"/>
        <v>0</v>
      </c>
      <c r="CG26" s="264">
        <f t="shared" si="86"/>
        <v>0</v>
      </c>
      <c r="CH26" s="264">
        <f t="shared" si="51"/>
        <v>0</v>
      </c>
      <c r="CI26" s="264">
        <f t="shared" si="52"/>
        <v>0</v>
      </c>
      <c r="CJ26" s="264">
        <f t="shared" si="87"/>
        <v>0</v>
      </c>
      <c r="CK26" s="264">
        <f t="shared" si="88"/>
        <v>0</v>
      </c>
      <c r="CL26" s="264">
        <f t="shared" si="53"/>
        <v>0</v>
      </c>
      <c r="CM26" s="264">
        <f t="shared" si="54"/>
        <v>0</v>
      </c>
      <c r="CN26" s="264">
        <f t="shared" si="55"/>
        <v>0</v>
      </c>
      <c r="CO26" s="264">
        <f t="shared" si="56"/>
        <v>0</v>
      </c>
      <c r="CP26" s="264">
        <f t="shared" si="89"/>
        <v>0</v>
      </c>
      <c r="CQ26" s="264">
        <f t="shared" si="90"/>
        <v>0</v>
      </c>
      <c r="CR26" s="264">
        <f t="shared" si="91"/>
        <v>0</v>
      </c>
      <c r="CS26" s="264">
        <f t="shared" si="92"/>
        <v>0</v>
      </c>
      <c r="CT26" s="264">
        <f t="shared" si="57"/>
        <v>0</v>
      </c>
      <c r="CU26" s="264">
        <f t="shared" si="58"/>
        <v>0</v>
      </c>
      <c r="CV26" s="264">
        <f t="shared" si="59"/>
        <v>0</v>
      </c>
      <c r="CW26" s="264">
        <f t="shared" si="60"/>
        <v>0</v>
      </c>
      <c r="CX26" s="264">
        <f t="shared" si="93"/>
        <v>0</v>
      </c>
      <c r="CY26" s="264">
        <f t="shared" si="94"/>
        <v>0</v>
      </c>
      <c r="CZ26" s="264">
        <f t="shared" si="95"/>
        <v>0</v>
      </c>
      <c r="DA26" s="264">
        <f t="shared" si="96"/>
        <v>0</v>
      </c>
    </row>
    <row r="27" spans="1:105" s="261" customFormat="1" ht="16.5" customHeight="1">
      <c r="A27" s="63" t="str">
        <f t="array" ref="A27">IF(C27&lt;&gt;0,SUM(($C$11:C27&lt;&gt;0)*1),"")</f>
        <v/>
      </c>
      <c r="B27" s="262"/>
      <c r="C27" s="262"/>
      <c r="D27" s="262"/>
      <c r="E27" s="344"/>
      <c r="F27" s="311"/>
      <c r="G27" s="313"/>
      <c r="H27" s="313"/>
      <c r="I27" s="63" t="str">
        <f t="shared" si="0"/>
        <v/>
      </c>
      <c r="J27" s="264">
        <f t="shared" si="61"/>
        <v>0</v>
      </c>
      <c r="K27" s="264">
        <f t="shared" si="62"/>
        <v>0</v>
      </c>
      <c r="L27" s="264">
        <f t="shared" si="1"/>
        <v>0</v>
      </c>
      <c r="M27" s="264">
        <f t="shared" si="2"/>
        <v>0</v>
      </c>
      <c r="N27" s="264">
        <f t="shared" si="3"/>
        <v>0</v>
      </c>
      <c r="O27" s="264">
        <f t="shared" si="4"/>
        <v>0</v>
      </c>
      <c r="P27" s="264">
        <f t="shared" si="5"/>
        <v>0</v>
      </c>
      <c r="Q27" s="264">
        <f t="shared" si="6"/>
        <v>0</v>
      </c>
      <c r="R27" s="264">
        <f t="shared" si="7"/>
        <v>0</v>
      </c>
      <c r="S27" s="264">
        <f t="shared" si="8"/>
        <v>0</v>
      </c>
      <c r="T27" s="264">
        <f t="shared" si="9"/>
        <v>0</v>
      </c>
      <c r="U27" s="264">
        <f t="shared" si="10"/>
        <v>0</v>
      </c>
      <c r="V27" s="264">
        <f t="shared" si="11"/>
        <v>0</v>
      </c>
      <c r="W27" s="264">
        <f t="shared" si="12"/>
        <v>0</v>
      </c>
      <c r="X27" s="264">
        <f t="shared" si="13"/>
        <v>0</v>
      </c>
      <c r="Y27" s="264">
        <f t="shared" si="14"/>
        <v>0</v>
      </c>
      <c r="Z27" s="264">
        <f t="shared" si="15"/>
        <v>0</v>
      </c>
      <c r="AA27" s="264">
        <f t="shared" si="16"/>
        <v>0</v>
      </c>
      <c r="AB27" s="264">
        <f t="shared" si="63"/>
        <v>0</v>
      </c>
      <c r="AC27" s="264">
        <f t="shared" si="64"/>
        <v>0</v>
      </c>
      <c r="AD27" s="264">
        <f t="shared" si="17"/>
        <v>0</v>
      </c>
      <c r="AE27" s="264">
        <f t="shared" si="18"/>
        <v>0</v>
      </c>
      <c r="AF27" s="264">
        <f t="shared" si="19"/>
        <v>0</v>
      </c>
      <c r="AG27" s="264">
        <f t="shared" si="20"/>
        <v>0</v>
      </c>
      <c r="AH27" s="264">
        <f t="shared" si="65"/>
        <v>0</v>
      </c>
      <c r="AI27" s="264">
        <f t="shared" si="66"/>
        <v>0</v>
      </c>
      <c r="AJ27" s="264">
        <f t="shared" si="67"/>
        <v>0</v>
      </c>
      <c r="AK27" s="264">
        <f t="shared" si="68"/>
        <v>0</v>
      </c>
      <c r="AL27" s="264">
        <f t="shared" si="69"/>
        <v>0</v>
      </c>
      <c r="AM27" s="264">
        <f t="shared" si="70"/>
        <v>0</v>
      </c>
      <c r="AN27" s="264">
        <f t="shared" si="71"/>
        <v>0</v>
      </c>
      <c r="AO27" s="264">
        <f t="shared" si="72"/>
        <v>0</v>
      </c>
      <c r="AP27" s="264">
        <f t="shared" si="21"/>
        <v>0</v>
      </c>
      <c r="AQ27" s="264">
        <f t="shared" si="22"/>
        <v>0</v>
      </c>
      <c r="AR27" s="264">
        <f t="shared" si="23"/>
        <v>0</v>
      </c>
      <c r="AS27" s="264">
        <f t="shared" si="24"/>
        <v>0</v>
      </c>
      <c r="AT27" s="264">
        <f t="shared" si="73"/>
        <v>0</v>
      </c>
      <c r="AU27" s="264">
        <f t="shared" si="74"/>
        <v>0</v>
      </c>
      <c r="AV27" s="264">
        <f t="shared" si="25"/>
        <v>0</v>
      </c>
      <c r="AW27" s="264">
        <f t="shared" si="26"/>
        <v>0</v>
      </c>
      <c r="AX27" s="264">
        <f t="shared" si="27"/>
        <v>0</v>
      </c>
      <c r="AY27" s="264">
        <f t="shared" si="28"/>
        <v>0</v>
      </c>
      <c r="AZ27" s="264">
        <f t="shared" si="29"/>
        <v>0</v>
      </c>
      <c r="BA27" s="264">
        <f t="shared" si="30"/>
        <v>0</v>
      </c>
      <c r="BB27" s="264">
        <f t="shared" si="31"/>
        <v>0</v>
      </c>
      <c r="BC27" s="264">
        <f t="shared" si="32"/>
        <v>0</v>
      </c>
      <c r="BD27" s="264">
        <f t="shared" si="33"/>
        <v>0</v>
      </c>
      <c r="BE27" s="264">
        <f t="shared" si="34"/>
        <v>0</v>
      </c>
      <c r="BF27" s="264">
        <f t="shared" si="35"/>
        <v>0</v>
      </c>
      <c r="BG27" s="264">
        <f t="shared" si="36"/>
        <v>0</v>
      </c>
      <c r="BH27" s="264">
        <f t="shared" si="75"/>
        <v>0</v>
      </c>
      <c r="BI27" s="264">
        <f t="shared" si="76"/>
        <v>0</v>
      </c>
      <c r="BJ27" s="264">
        <f t="shared" si="37"/>
        <v>0</v>
      </c>
      <c r="BK27" s="264">
        <f t="shared" si="38"/>
        <v>0</v>
      </c>
      <c r="BL27" s="264">
        <f t="shared" si="39"/>
        <v>0</v>
      </c>
      <c r="BM27" s="264">
        <f t="shared" si="40"/>
        <v>0</v>
      </c>
      <c r="BN27" s="264">
        <f t="shared" si="41"/>
        <v>0</v>
      </c>
      <c r="BO27" s="264">
        <f t="shared" si="42"/>
        <v>0</v>
      </c>
      <c r="BP27" s="264">
        <f t="shared" si="77"/>
        <v>0</v>
      </c>
      <c r="BQ27" s="264">
        <f t="shared" si="78"/>
        <v>0</v>
      </c>
      <c r="BR27" s="264">
        <f t="shared" si="43"/>
        <v>0</v>
      </c>
      <c r="BS27" s="264">
        <f t="shared" si="44"/>
        <v>0</v>
      </c>
      <c r="BT27" s="264">
        <f t="shared" si="79"/>
        <v>0</v>
      </c>
      <c r="BU27" s="264">
        <f t="shared" si="80"/>
        <v>0</v>
      </c>
      <c r="BV27" s="264">
        <f t="shared" si="81"/>
        <v>0</v>
      </c>
      <c r="BW27" s="264">
        <f t="shared" si="82"/>
        <v>0</v>
      </c>
      <c r="BX27" s="264">
        <f t="shared" si="45"/>
        <v>0</v>
      </c>
      <c r="BY27" s="264">
        <f t="shared" si="46"/>
        <v>0</v>
      </c>
      <c r="BZ27" s="264">
        <f t="shared" si="47"/>
        <v>0</v>
      </c>
      <c r="CA27" s="264">
        <f t="shared" si="48"/>
        <v>0</v>
      </c>
      <c r="CB27" s="264">
        <f t="shared" si="49"/>
        <v>0</v>
      </c>
      <c r="CC27" s="264">
        <f t="shared" si="50"/>
        <v>0</v>
      </c>
      <c r="CD27" s="264">
        <f t="shared" si="83"/>
        <v>0</v>
      </c>
      <c r="CE27" s="264">
        <f t="shared" si="84"/>
        <v>0</v>
      </c>
      <c r="CF27" s="264">
        <f t="shared" si="85"/>
        <v>0</v>
      </c>
      <c r="CG27" s="264">
        <f t="shared" si="86"/>
        <v>0</v>
      </c>
      <c r="CH27" s="264">
        <f t="shared" si="51"/>
        <v>0</v>
      </c>
      <c r="CI27" s="264">
        <f t="shared" si="52"/>
        <v>0</v>
      </c>
      <c r="CJ27" s="264">
        <f t="shared" si="87"/>
        <v>0</v>
      </c>
      <c r="CK27" s="264">
        <f t="shared" si="88"/>
        <v>0</v>
      </c>
      <c r="CL27" s="264">
        <f t="shared" si="53"/>
        <v>0</v>
      </c>
      <c r="CM27" s="264">
        <f t="shared" si="54"/>
        <v>0</v>
      </c>
      <c r="CN27" s="264">
        <f t="shared" si="55"/>
        <v>0</v>
      </c>
      <c r="CO27" s="264">
        <f t="shared" si="56"/>
        <v>0</v>
      </c>
      <c r="CP27" s="264">
        <f t="shared" si="89"/>
        <v>0</v>
      </c>
      <c r="CQ27" s="264">
        <f t="shared" si="90"/>
        <v>0</v>
      </c>
      <c r="CR27" s="264">
        <f t="shared" si="91"/>
        <v>0</v>
      </c>
      <c r="CS27" s="264">
        <f t="shared" si="92"/>
        <v>0</v>
      </c>
      <c r="CT27" s="264">
        <f t="shared" si="57"/>
        <v>0</v>
      </c>
      <c r="CU27" s="264">
        <f t="shared" si="58"/>
        <v>0</v>
      </c>
      <c r="CV27" s="264">
        <f t="shared" si="59"/>
        <v>0</v>
      </c>
      <c r="CW27" s="264">
        <f t="shared" si="60"/>
        <v>0</v>
      </c>
      <c r="CX27" s="264">
        <f t="shared" si="93"/>
        <v>0</v>
      </c>
      <c r="CY27" s="264">
        <f t="shared" si="94"/>
        <v>0</v>
      </c>
      <c r="CZ27" s="264">
        <f t="shared" si="95"/>
        <v>0</v>
      </c>
      <c r="DA27" s="264">
        <f t="shared" si="96"/>
        <v>0</v>
      </c>
    </row>
    <row r="28" spans="1:105" s="261" customFormat="1" ht="16.5" customHeight="1">
      <c r="A28" s="63" t="str">
        <f t="array" ref="A28">IF(C28&lt;&gt;0,SUM(($C$11:C28&lt;&gt;0)*1),"")</f>
        <v/>
      </c>
      <c r="B28" s="262"/>
      <c r="C28" s="262"/>
      <c r="D28" s="262"/>
      <c r="E28" s="344"/>
      <c r="F28" s="311"/>
      <c r="G28" s="313"/>
      <c r="H28" s="313"/>
      <c r="I28" s="63" t="str">
        <f t="shared" si="0"/>
        <v/>
      </c>
      <c r="J28" s="264">
        <f t="shared" si="61"/>
        <v>0</v>
      </c>
      <c r="K28" s="264">
        <f t="shared" si="62"/>
        <v>0</v>
      </c>
      <c r="L28" s="264">
        <f t="shared" si="1"/>
        <v>0</v>
      </c>
      <c r="M28" s="264">
        <f t="shared" si="2"/>
        <v>0</v>
      </c>
      <c r="N28" s="264">
        <f t="shared" si="3"/>
        <v>0</v>
      </c>
      <c r="O28" s="264">
        <f t="shared" si="4"/>
        <v>0</v>
      </c>
      <c r="P28" s="264">
        <f t="shared" si="5"/>
        <v>0</v>
      </c>
      <c r="Q28" s="264">
        <f t="shared" si="6"/>
        <v>0</v>
      </c>
      <c r="R28" s="264">
        <f t="shared" si="7"/>
        <v>0</v>
      </c>
      <c r="S28" s="264">
        <f t="shared" si="8"/>
        <v>0</v>
      </c>
      <c r="T28" s="264">
        <f t="shared" si="9"/>
        <v>0</v>
      </c>
      <c r="U28" s="264">
        <f t="shared" si="10"/>
        <v>0</v>
      </c>
      <c r="V28" s="264">
        <f t="shared" si="11"/>
        <v>0</v>
      </c>
      <c r="W28" s="264">
        <f t="shared" si="12"/>
        <v>0</v>
      </c>
      <c r="X28" s="264">
        <f t="shared" si="13"/>
        <v>0</v>
      </c>
      <c r="Y28" s="264">
        <f t="shared" si="14"/>
        <v>0</v>
      </c>
      <c r="Z28" s="264">
        <f t="shared" si="15"/>
        <v>0</v>
      </c>
      <c r="AA28" s="264">
        <f t="shared" si="16"/>
        <v>0</v>
      </c>
      <c r="AB28" s="264">
        <f t="shared" si="63"/>
        <v>0</v>
      </c>
      <c r="AC28" s="264">
        <f t="shared" si="64"/>
        <v>0</v>
      </c>
      <c r="AD28" s="264">
        <f t="shared" si="17"/>
        <v>0</v>
      </c>
      <c r="AE28" s="264">
        <f t="shared" si="18"/>
        <v>0</v>
      </c>
      <c r="AF28" s="264">
        <f t="shared" si="19"/>
        <v>0</v>
      </c>
      <c r="AG28" s="264">
        <f t="shared" si="20"/>
        <v>0</v>
      </c>
      <c r="AH28" s="264">
        <f t="shared" si="65"/>
        <v>0</v>
      </c>
      <c r="AI28" s="264">
        <f t="shared" si="66"/>
        <v>0</v>
      </c>
      <c r="AJ28" s="264">
        <f t="shared" si="67"/>
        <v>0</v>
      </c>
      <c r="AK28" s="264">
        <f t="shared" si="68"/>
        <v>0</v>
      </c>
      <c r="AL28" s="264">
        <f t="shared" si="69"/>
        <v>0</v>
      </c>
      <c r="AM28" s="264">
        <f t="shared" si="70"/>
        <v>0</v>
      </c>
      <c r="AN28" s="264">
        <f t="shared" si="71"/>
        <v>0</v>
      </c>
      <c r="AO28" s="264">
        <f t="shared" si="72"/>
        <v>0</v>
      </c>
      <c r="AP28" s="264">
        <f t="shared" si="21"/>
        <v>0</v>
      </c>
      <c r="AQ28" s="264">
        <f t="shared" si="22"/>
        <v>0</v>
      </c>
      <c r="AR28" s="264">
        <f t="shared" si="23"/>
        <v>0</v>
      </c>
      <c r="AS28" s="264">
        <f t="shared" si="24"/>
        <v>0</v>
      </c>
      <c r="AT28" s="264">
        <f t="shared" si="73"/>
        <v>0</v>
      </c>
      <c r="AU28" s="264">
        <f t="shared" si="74"/>
        <v>0</v>
      </c>
      <c r="AV28" s="264">
        <f t="shared" si="25"/>
        <v>0</v>
      </c>
      <c r="AW28" s="264">
        <f t="shared" si="26"/>
        <v>0</v>
      </c>
      <c r="AX28" s="264">
        <f t="shared" si="27"/>
        <v>0</v>
      </c>
      <c r="AY28" s="264">
        <f t="shared" si="28"/>
        <v>0</v>
      </c>
      <c r="AZ28" s="264">
        <f t="shared" si="29"/>
        <v>0</v>
      </c>
      <c r="BA28" s="264">
        <f t="shared" si="30"/>
        <v>0</v>
      </c>
      <c r="BB28" s="264">
        <f t="shared" si="31"/>
        <v>0</v>
      </c>
      <c r="BC28" s="264">
        <f t="shared" si="32"/>
        <v>0</v>
      </c>
      <c r="BD28" s="264">
        <f t="shared" si="33"/>
        <v>0</v>
      </c>
      <c r="BE28" s="264">
        <f t="shared" si="34"/>
        <v>0</v>
      </c>
      <c r="BF28" s="264">
        <f t="shared" si="35"/>
        <v>0</v>
      </c>
      <c r="BG28" s="264">
        <f t="shared" si="36"/>
        <v>0</v>
      </c>
      <c r="BH28" s="264">
        <f t="shared" si="75"/>
        <v>0</v>
      </c>
      <c r="BI28" s="264">
        <f t="shared" si="76"/>
        <v>0</v>
      </c>
      <c r="BJ28" s="264">
        <f t="shared" si="37"/>
        <v>0</v>
      </c>
      <c r="BK28" s="264">
        <f t="shared" si="38"/>
        <v>0</v>
      </c>
      <c r="BL28" s="264">
        <f t="shared" si="39"/>
        <v>0</v>
      </c>
      <c r="BM28" s="264">
        <f t="shared" si="40"/>
        <v>0</v>
      </c>
      <c r="BN28" s="264">
        <f t="shared" si="41"/>
        <v>0</v>
      </c>
      <c r="BO28" s="264">
        <f t="shared" si="42"/>
        <v>0</v>
      </c>
      <c r="BP28" s="264">
        <f t="shared" si="77"/>
        <v>0</v>
      </c>
      <c r="BQ28" s="264">
        <f t="shared" si="78"/>
        <v>0</v>
      </c>
      <c r="BR28" s="264">
        <f t="shared" si="43"/>
        <v>0</v>
      </c>
      <c r="BS28" s="264">
        <f t="shared" si="44"/>
        <v>0</v>
      </c>
      <c r="BT28" s="264">
        <f t="shared" si="79"/>
        <v>0</v>
      </c>
      <c r="BU28" s="264">
        <f t="shared" si="80"/>
        <v>0</v>
      </c>
      <c r="BV28" s="264">
        <f t="shared" si="81"/>
        <v>0</v>
      </c>
      <c r="BW28" s="264">
        <f t="shared" si="82"/>
        <v>0</v>
      </c>
      <c r="BX28" s="264">
        <f t="shared" si="45"/>
        <v>0</v>
      </c>
      <c r="BY28" s="264">
        <f t="shared" si="46"/>
        <v>0</v>
      </c>
      <c r="BZ28" s="264">
        <f t="shared" si="47"/>
        <v>0</v>
      </c>
      <c r="CA28" s="264">
        <f t="shared" si="48"/>
        <v>0</v>
      </c>
      <c r="CB28" s="264">
        <f t="shared" si="49"/>
        <v>0</v>
      </c>
      <c r="CC28" s="264">
        <f t="shared" si="50"/>
        <v>0</v>
      </c>
      <c r="CD28" s="264">
        <f t="shared" si="83"/>
        <v>0</v>
      </c>
      <c r="CE28" s="264">
        <f t="shared" si="84"/>
        <v>0</v>
      </c>
      <c r="CF28" s="264">
        <f t="shared" si="85"/>
        <v>0</v>
      </c>
      <c r="CG28" s="264">
        <f t="shared" si="86"/>
        <v>0</v>
      </c>
      <c r="CH28" s="264">
        <f t="shared" si="51"/>
        <v>0</v>
      </c>
      <c r="CI28" s="264">
        <f t="shared" si="52"/>
        <v>0</v>
      </c>
      <c r="CJ28" s="264">
        <f t="shared" si="87"/>
        <v>0</v>
      </c>
      <c r="CK28" s="264">
        <f t="shared" si="88"/>
        <v>0</v>
      </c>
      <c r="CL28" s="264">
        <f t="shared" si="53"/>
        <v>0</v>
      </c>
      <c r="CM28" s="264">
        <f t="shared" si="54"/>
        <v>0</v>
      </c>
      <c r="CN28" s="264">
        <f t="shared" si="55"/>
        <v>0</v>
      </c>
      <c r="CO28" s="264">
        <f t="shared" si="56"/>
        <v>0</v>
      </c>
      <c r="CP28" s="264">
        <f t="shared" si="89"/>
        <v>0</v>
      </c>
      <c r="CQ28" s="264">
        <f t="shared" si="90"/>
        <v>0</v>
      </c>
      <c r="CR28" s="264">
        <f t="shared" si="91"/>
        <v>0</v>
      </c>
      <c r="CS28" s="264">
        <f t="shared" si="92"/>
        <v>0</v>
      </c>
      <c r="CT28" s="264">
        <f t="shared" si="57"/>
        <v>0</v>
      </c>
      <c r="CU28" s="264">
        <f t="shared" si="58"/>
        <v>0</v>
      </c>
      <c r="CV28" s="264">
        <f t="shared" si="59"/>
        <v>0</v>
      </c>
      <c r="CW28" s="264">
        <f t="shared" si="60"/>
        <v>0</v>
      </c>
      <c r="CX28" s="264">
        <f t="shared" si="93"/>
        <v>0</v>
      </c>
      <c r="CY28" s="264">
        <f t="shared" si="94"/>
        <v>0</v>
      </c>
      <c r="CZ28" s="264">
        <f t="shared" si="95"/>
        <v>0</v>
      </c>
      <c r="DA28" s="264">
        <f t="shared" si="96"/>
        <v>0</v>
      </c>
    </row>
    <row r="29" spans="1:105" s="261" customFormat="1" ht="16.5" customHeight="1">
      <c r="A29" s="63" t="str">
        <f t="array" ref="A29">IF(C29&lt;&gt;0,SUM(($C$11:C29&lt;&gt;0)*1),"")</f>
        <v/>
      </c>
      <c r="B29" s="262"/>
      <c r="C29" s="262"/>
      <c r="D29" s="262"/>
      <c r="E29" s="344"/>
      <c r="F29" s="311"/>
      <c r="G29" s="313"/>
      <c r="H29" s="313"/>
      <c r="I29" s="63" t="str">
        <f t="shared" si="0"/>
        <v/>
      </c>
      <c r="J29" s="264">
        <f t="shared" si="61"/>
        <v>0</v>
      </c>
      <c r="K29" s="264">
        <f t="shared" si="62"/>
        <v>0</v>
      </c>
      <c r="L29" s="264">
        <f t="shared" si="1"/>
        <v>0</v>
      </c>
      <c r="M29" s="264">
        <f t="shared" si="2"/>
        <v>0</v>
      </c>
      <c r="N29" s="264">
        <f t="shared" si="3"/>
        <v>0</v>
      </c>
      <c r="O29" s="264">
        <f t="shared" si="4"/>
        <v>0</v>
      </c>
      <c r="P29" s="264">
        <f t="shared" si="5"/>
        <v>0</v>
      </c>
      <c r="Q29" s="264">
        <f t="shared" si="6"/>
        <v>0</v>
      </c>
      <c r="R29" s="264">
        <f t="shared" si="7"/>
        <v>0</v>
      </c>
      <c r="S29" s="264">
        <f t="shared" si="8"/>
        <v>0</v>
      </c>
      <c r="T29" s="264">
        <f t="shared" si="9"/>
        <v>0</v>
      </c>
      <c r="U29" s="264">
        <f t="shared" si="10"/>
        <v>0</v>
      </c>
      <c r="V29" s="264">
        <f t="shared" si="11"/>
        <v>0</v>
      </c>
      <c r="W29" s="264">
        <f t="shared" si="12"/>
        <v>0</v>
      </c>
      <c r="X29" s="264">
        <f t="shared" si="13"/>
        <v>0</v>
      </c>
      <c r="Y29" s="264">
        <f t="shared" si="14"/>
        <v>0</v>
      </c>
      <c r="Z29" s="264">
        <f t="shared" si="15"/>
        <v>0</v>
      </c>
      <c r="AA29" s="264">
        <f t="shared" si="16"/>
        <v>0</v>
      </c>
      <c r="AB29" s="264">
        <f t="shared" si="63"/>
        <v>0</v>
      </c>
      <c r="AC29" s="264">
        <f t="shared" si="64"/>
        <v>0</v>
      </c>
      <c r="AD29" s="264">
        <f t="shared" si="17"/>
        <v>0</v>
      </c>
      <c r="AE29" s="264">
        <f t="shared" si="18"/>
        <v>0</v>
      </c>
      <c r="AF29" s="264">
        <f t="shared" si="19"/>
        <v>0</v>
      </c>
      <c r="AG29" s="264">
        <f t="shared" si="20"/>
        <v>0</v>
      </c>
      <c r="AH29" s="264">
        <f t="shared" si="65"/>
        <v>0</v>
      </c>
      <c r="AI29" s="264">
        <f t="shared" si="66"/>
        <v>0</v>
      </c>
      <c r="AJ29" s="264">
        <f t="shared" si="67"/>
        <v>0</v>
      </c>
      <c r="AK29" s="264">
        <f t="shared" si="68"/>
        <v>0</v>
      </c>
      <c r="AL29" s="264">
        <f t="shared" si="69"/>
        <v>0</v>
      </c>
      <c r="AM29" s="264">
        <f t="shared" si="70"/>
        <v>0</v>
      </c>
      <c r="AN29" s="264">
        <f t="shared" si="71"/>
        <v>0</v>
      </c>
      <c r="AO29" s="264">
        <f t="shared" si="72"/>
        <v>0</v>
      </c>
      <c r="AP29" s="264">
        <f t="shared" si="21"/>
        <v>0</v>
      </c>
      <c r="AQ29" s="264">
        <f t="shared" si="22"/>
        <v>0</v>
      </c>
      <c r="AR29" s="264">
        <f t="shared" si="23"/>
        <v>0</v>
      </c>
      <c r="AS29" s="264">
        <f t="shared" si="24"/>
        <v>0</v>
      </c>
      <c r="AT29" s="264">
        <f t="shared" si="73"/>
        <v>0</v>
      </c>
      <c r="AU29" s="264">
        <f t="shared" si="74"/>
        <v>0</v>
      </c>
      <c r="AV29" s="264">
        <f t="shared" si="25"/>
        <v>0</v>
      </c>
      <c r="AW29" s="264">
        <f t="shared" si="26"/>
        <v>0</v>
      </c>
      <c r="AX29" s="264">
        <f t="shared" si="27"/>
        <v>0</v>
      </c>
      <c r="AY29" s="264">
        <f t="shared" si="28"/>
        <v>0</v>
      </c>
      <c r="AZ29" s="264">
        <f t="shared" si="29"/>
        <v>0</v>
      </c>
      <c r="BA29" s="264">
        <f t="shared" si="30"/>
        <v>0</v>
      </c>
      <c r="BB29" s="264">
        <f t="shared" si="31"/>
        <v>0</v>
      </c>
      <c r="BC29" s="264">
        <f t="shared" si="32"/>
        <v>0</v>
      </c>
      <c r="BD29" s="264">
        <f t="shared" si="33"/>
        <v>0</v>
      </c>
      <c r="BE29" s="264">
        <f t="shared" si="34"/>
        <v>0</v>
      </c>
      <c r="BF29" s="264">
        <f t="shared" si="35"/>
        <v>0</v>
      </c>
      <c r="BG29" s="264">
        <f t="shared" si="36"/>
        <v>0</v>
      </c>
      <c r="BH29" s="264">
        <f t="shared" si="75"/>
        <v>0</v>
      </c>
      <c r="BI29" s="264">
        <f t="shared" si="76"/>
        <v>0</v>
      </c>
      <c r="BJ29" s="264">
        <f t="shared" si="37"/>
        <v>0</v>
      </c>
      <c r="BK29" s="264">
        <f t="shared" si="38"/>
        <v>0</v>
      </c>
      <c r="BL29" s="264">
        <f t="shared" si="39"/>
        <v>0</v>
      </c>
      <c r="BM29" s="264">
        <f t="shared" si="40"/>
        <v>0</v>
      </c>
      <c r="BN29" s="264">
        <f t="shared" si="41"/>
        <v>0</v>
      </c>
      <c r="BO29" s="264">
        <f t="shared" si="42"/>
        <v>0</v>
      </c>
      <c r="BP29" s="264">
        <f t="shared" si="77"/>
        <v>0</v>
      </c>
      <c r="BQ29" s="264">
        <f t="shared" si="78"/>
        <v>0</v>
      </c>
      <c r="BR29" s="264">
        <f t="shared" si="43"/>
        <v>0</v>
      </c>
      <c r="BS29" s="264">
        <f t="shared" si="44"/>
        <v>0</v>
      </c>
      <c r="BT29" s="264">
        <f t="shared" si="79"/>
        <v>0</v>
      </c>
      <c r="BU29" s="264">
        <f t="shared" si="80"/>
        <v>0</v>
      </c>
      <c r="BV29" s="264">
        <f t="shared" si="81"/>
        <v>0</v>
      </c>
      <c r="BW29" s="264">
        <f t="shared" si="82"/>
        <v>0</v>
      </c>
      <c r="BX29" s="264">
        <f t="shared" si="45"/>
        <v>0</v>
      </c>
      <c r="BY29" s="264">
        <f t="shared" si="46"/>
        <v>0</v>
      </c>
      <c r="BZ29" s="264">
        <f t="shared" si="47"/>
        <v>0</v>
      </c>
      <c r="CA29" s="264">
        <f t="shared" si="48"/>
        <v>0</v>
      </c>
      <c r="CB29" s="264">
        <f t="shared" si="49"/>
        <v>0</v>
      </c>
      <c r="CC29" s="264">
        <f t="shared" si="50"/>
        <v>0</v>
      </c>
      <c r="CD29" s="264">
        <f t="shared" si="83"/>
        <v>0</v>
      </c>
      <c r="CE29" s="264">
        <f t="shared" si="84"/>
        <v>0</v>
      </c>
      <c r="CF29" s="264">
        <f t="shared" si="85"/>
        <v>0</v>
      </c>
      <c r="CG29" s="264">
        <f t="shared" si="86"/>
        <v>0</v>
      </c>
      <c r="CH29" s="264">
        <f t="shared" si="51"/>
        <v>0</v>
      </c>
      <c r="CI29" s="264">
        <f t="shared" si="52"/>
        <v>0</v>
      </c>
      <c r="CJ29" s="264">
        <f t="shared" si="87"/>
        <v>0</v>
      </c>
      <c r="CK29" s="264">
        <f t="shared" si="88"/>
        <v>0</v>
      </c>
      <c r="CL29" s="264">
        <f t="shared" si="53"/>
        <v>0</v>
      </c>
      <c r="CM29" s="264">
        <f t="shared" si="54"/>
        <v>0</v>
      </c>
      <c r="CN29" s="264">
        <f t="shared" si="55"/>
        <v>0</v>
      </c>
      <c r="CO29" s="264">
        <f t="shared" si="56"/>
        <v>0</v>
      </c>
      <c r="CP29" s="264">
        <f t="shared" si="89"/>
        <v>0</v>
      </c>
      <c r="CQ29" s="264">
        <f t="shared" si="90"/>
        <v>0</v>
      </c>
      <c r="CR29" s="264">
        <f t="shared" si="91"/>
        <v>0</v>
      </c>
      <c r="CS29" s="264">
        <f t="shared" si="92"/>
        <v>0</v>
      </c>
      <c r="CT29" s="264">
        <f t="shared" si="57"/>
        <v>0</v>
      </c>
      <c r="CU29" s="264">
        <f t="shared" si="58"/>
        <v>0</v>
      </c>
      <c r="CV29" s="264">
        <f t="shared" si="59"/>
        <v>0</v>
      </c>
      <c r="CW29" s="264">
        <f t="shared" si="60"/>
        <v>0</v>
      </c>
      <c r="CX29" s="264">
        <f t="shared" si="93"/>
        <v>0</v>
      </c>
      <c r="CY29" s="264">
        <f t="shared" si="94"/>
        <v>0</v>
      </c>
      <c r="CZ29" s="264">
        <f t="shared" si="95"/>
        <v>0</v>
      </c>
      <c r="DA29" s="264">
        <f t="shared" si="96"/>
        <v>0</v>
      </c>
    </row>
    <row r="30" spans="1:105" s="261" customFormat="1" ht="16.5" customHeight="1">
      <c r="A30" s="63" t="str">
        <f t="array" ref="A30">IF(C30&lt;&gt;0,SUM(($C$11:C30&lt;&gt;0)*1),"")</f>
        <v/>
      </c>
      <c r="B30" s="262"/>
      <c r="C30" s="262"/>
      <c r="D30" s="262"/>
      <c r="E30" s="344"/>
      <c r="F30" s="311"/>
      <c r="G30" s="313"/>
      <c r="H30" s="313"/>
      <c r="I30" s="63" t="str">
        <f t="shared" si="0"/>
        <v/>
      </c>
      <c r="J30" s="264">
        <f t="shared" si="61"/>
        <v>0</v>
      </c>
      <c r="K30" s="264">
        <f t="shared" si="62"/>
        <v>0</v>
      </c>
      <c r="L30" s="264">
        <f t="shared" si="1"/>
        <v>0</v>
      </c>
      <c r="M30" s="264">
        <f t="shared" si="2"/>
        <v>0</v>
      </c>
      <c r="N30" s="264">
        <f t="shared" si="3"/>
        <v>0</v>
      </c>
      <c r="O30" s="264">
        <f t="shared" si="4"/>
        <v>0</v>
      </c>
      <c r="P30" s="264">
        <f t="shared" si="5"/>
        <v>0</v>
      </c>
      <c r="Q30" s="264">
        <f t="shared" si="6"/>
        <v>0</v>
      </c>
      <c r="R30" s="264">
        <f t="shared" si="7"/>
        <v>0</v>
      </c>
      <c r="S30" s="264">
        <f t="shared" si="8"/>
        <v>0</v>
      </c>
      <c r="T30" s="264">
        <f t="shared" si="9"/>
        <v>0</v>
      </c>
      <c r="U30" s="264">
        <f t="shared" si="10"/>
        <v>0</v>
      </c>
      <c r="V30" s="264">
        <f t="shared" si="11"/>
        <v>0</v>
      </c>
      <c r="W30" s="264">
        <f t="shared" si="12"/>
        <v>0</v>
      </c>
      <c r="X30" s="264">
        <f t="shared" si="13"/>
        <v>0</v>
      </c>
      <c r="Y30" s="264">
        <f t="shared" si="14"/>
        <v>0</v>
      </c>
      <c r="Z30" s="264">
        <f t="shared" si="15"/>
        <v>0</v>
      </c>
      <c r="AA30" s="264">
        <f t="shared" si="16"/>
        <v>0</v>
      </c>
      <c r="AB30" s="264">
        <f t="shared" si="63"/>
        <v>0</v>
      </c>
      <c r="AC30" s="264">
        <f t="shared" si="64"/>
        <v>0</v>
      </c>
      <c r="AD30" s="264">
        <f t="shared" si="17"/>
        <v>0</v>
      </c>
      <c r="AE30" s="264">
        <f t="shared" si="18"/>
        <v>0</v>
      </c>
      <c r="AF30" s="264">
        <f t="shared" si="19"/>
        <v>0</v>
      </c>
      <c r="AG30" s="264">
        <f t="shared" si="20"/>
        <v>0</v>
      </c>
      <c r="AH30" s="264">
        <f t="shared" si="65"/>
        <v>0</v>
      </c>
      <c r="AI30" s="264">
        <f t="shared" si="66"/>
        <v>0</v>
      </c>
      <c r="AJ30" s="264">
        <f t="shared" si="67"/>
        <v>0</v>
      </c>
      <c r="AK30" s="264">
        <f t="shared" si="68"/>
        <v>0</v>
      </c>
      <c r="AL30" s="264">
        <f t="shared" si="69"/>
        <v>0</v>
      </c>
      <c r="AM30" s="264">
        <f t="shared" si="70"/>
        <v>0</v>
      </c>
      <c r="AN30" s="264">
        <f t="shared" si="71"/>
        <v>0</v>
      </c>
      <c r="AO30" s="264">
        <f t="shared" si="72"/>
        <v>0</v>
      </c>
      <c r="AP30" s="264">
        <f t="shared" si="21"/>
        <v>0</v>
      </c>
      <c r="AQ30" s="264">
        <f t="shared" si="22"/>
        <v>0</v>
      </c>
      <c r="AR30" s="264">
        <f t="shared" si="23"/>
        <v>0</v>
      </c>
      <c r="AS30" s="264">
        <f t="shared" si="24"/>
        <v>0</v>
      </c>
      <c r="AT30" s="264">
        <f t="shared" si="73"/>
        <v>0</v>
      </c>
      <c r="AU30" s="264">
        <f t="shared" si="74"/>
        <v>0</v>
      </c>
      <c r="AV30" s="264">
        <f t="shared" si="25"/>
        <v>0</v>
      </c>
      <c r="AW30" s="264">
        <f t="shared" si="26"/>
        <v>0</v>
      </c>
      <c r="AX30" s="264">
        <f t="shared" si="27"/>
        <v>0</v>
      </c>
      <c r="AY30" s="264">
        <f t="shared" si="28"/>
        <v>0</v>
      </c>
      <c r="AZ30" s="264">
        <f t="shared" si="29"/>
        <v>0</v>
      </c>
      <c r="BA30" s="264">
        <f t="shared" si="30"/>
        <v>0</v>
      </c>
      <c r="BB30" s="264">
        <f t="shared" si="31"/>
        <v>0</v>
      </c>
      <c r="BC30" s="264">
        <f t="shared" si="32"/>
        <v>0</v>
      </c>
      <c r="BD30" s="264">
        <f t="shared" si="33"/>
        <v>0</v>
      </c>
      <c r="BE30" s="264">
        <f t="shared" si="34"/>
        <v>0</v>
      </c>
      <c r="BF30" s="264">
        <f t="shared" si="35"/>
        <v>0</v>
      </c>
      <c r="BG30" s="264">
        <f t="shared" si="36"/>
        <v>0</v>
      </c>
      <c r="BH30" s="264">
        <f t="shared" si="75"/>
        <v>0</v>
      </c>
      <c r="BI30" s="264">
        <f t="shared" si="76"/>
        <v>0</v>
      </c>
      <c r="BJ30" s="264">
        <f t="shared" si="37"/>
        <v>0</v>
      </c>
      <c r="BK30" s="264">
        <f t="shared" si="38"/>
        <v>0</v>
      </c>
      <c r="BL30" s="264">
        <f t="shared" si="39"/>
        <v>0</v>
      </c>
      <c r="BM30" s="264">
        <f t="shared" si="40"/>
        <v>0</v>
      </c>
      <c r="BN30" s="264">
        <f t="shared" si="41"/>
        <v>0</v>
      </c>
      <c r="BO30" s="264">
        <f t="shared" si="42"/>
        <v>0</v>
      </c>
      <c r="BP30" s="264">
        <f t="shared" si="77"/>
        <v>0</v>
      </c>
      <c r="BQ30" s="264">
        <f t="shared" si="78"/>
        <v>0</v>
      </c>
      <c r="BR30" s="264">
        <f t="shared" si="43"/>
        <v>0</v>
      </c>
      <c r="BS30" s="264">
        <f t="shared" si="44"/>
        <v>0</v>
      </c>
      <c r="BT30" s="264">
        <f t="shared" si="79"/>
        <v>0</v>
      </c>
      <c r="BU30" s="264">
        <f t="shared" si="80"/>
        <v>0</v>
      </c>
      <c r="BV30" s="264">
        <f t="shared" si="81"/>
        <v>0</v>
      </c>
      <c r="BW30" s="264">
        <f t="shared" si="82"/>
        <v>0</v>
      </c>
      <c r="BX30" s="264">
        <f t="shared" si="45"/>
        <v>0</v>
      </c>
      <c r="BY30" s="264">
        <f t="shared" si="46"/>
        <v>0</v>
      </c>
      <c r="BZ30" s="264">
        <f t="shared" si="47"/>
        <v>0</v>
      </c>
      <c r="CA30" s="264">
        <f t="shared" si="48"/>
        <v>0</v>
      </c>
      <c r="CB30" s="264">
        <f t="shared" si="49"/>
        <v>0</v>
      </c>
      <c r="CC30" s="264">
        <f t="shared" si="50"/>
        <v>0</v>
      </c>
      <c r="CD30" s="264">
        <f t="shared" si="83"/>
        <v>0</v>
      </c>
      <c r="CE30" s="264">
        <f t="shared" si="84"/>
        <v>0</v>
      </c>
      <c r="CF30" s="264">
        <f t="shared" si="85"/>
        <v>0</v>
      </c>
      <c r="CG30" s="264">
        <f t="shared" si="86"/>
        <v>0</v>
      </c>
      <c r="CH30" s="264">
        <f t="shared" si="51"/>
        <v>0</v>
      </c>
      <c r="CI30" s="264">
        <f t="shared" si="52"/>
        <v>0</v>
      </c>
      <c r="CJ30" s="264">
        <f t="shared" si="87"/>
        <v>0</v>
      </c>
      <c r="CK30" s="264">
        <f t="shared" si="88"/>
        <v>0</v>
      </c>
      <c r="CL30" s="264">
        <f t="shared" si="53"/>
        <v>0</v>
      </c>
      <c r="CM30" s="264">
        <f t="shared" si="54"/>
        <v>0</v>
      </c>
      <c r="CN30" s="264">
        <f t="shared" si="55"/>
        <v>0</v>
      </c>
      <c r="CO30" s="264">
        <f t="shared" si="56"/>
        <v>0</v>
      </c>
      <c r="CP30" s="264">
        <f t="shared" si="89"/>
        <v>0</v>
      </c>
      <c r="CQ30" s="264">
        <f t="shared" si="90"/>
        <v>0</v>
      </c>
      <c r="CR30" s="264">
        <f t="shared" si="91"/>
        <v>0</v>
      </c>
      <c r="CS30" s="264">
        <f t="shared" si="92"/>
        <v>0</v>
      </c>
      <c r="CT30" s="264">
        <f t="shared" si="57"/>
        <v>0</v>
      </c>
      <c r="CU30" s="264">
        <f t="shared" si="58"/>
        <v>0</v>
      </c>
      <c r="CV30" s="264">
        <f t="shared" si="59"/>
        <v>0</v>
      </c>
      <c r="CW30" s="264">
        <f t="shared" si="60"/>
        <v>0</v>
      </c>
      <c r="CX30" s="264">
        <f t="shared" si="93"/>
        <v>0</v>
      </c>
      <c r="CY30" s="264">
        <f t="shared" si="94"/>
        <v>0</v>
      </c>
      <c r="CZ30" s="264">
        <f t="shared" si="95"/>
        <v>0</v>
      </c>
      <c r="DA30" s="264">
        <f t="shared" si="96"/>
        <v>0</v>
      </c>
    </row>
    <row r="31" spans="1:105" s="261" customFormat="1" ht="16.5" customHeight="1">
      <c r="A31" s="63" t="str">
        <f t="array" ref="A31">IF(C31&lt;&gt;0,SUM(($C$11:C31&lt;&gt;0)*1),"")</f>
        <v/>
      </c>
      <c r="B31" s="262"/>
      <c r="C31" s="262"/>
      <c r="D31" s="262"/>
      <c r="E31" s="344"/>
      <c r="F31" s="311"/>
      <c r="G31" s="313"/>
      <c r="H31" s="313"/>
      <c r="I31" s="63" t="str">
        <f t="shared" si="0"/>
        <v/>
      </c>
      <c r="J31" s="264">
        <f t="shared" si="61"/>
        <v>0</v>
      </c>
      <c r="K31" s="264">
        <f t="shared" si="62"/>
        <v>0</v>
      </c>
      <c r="L31" s="264">
        <f t="shared" si="1"/>
        <v>0</v>
      </c>
      <c r="M31" s="264">
        <f t="shared" si="2"/>
        <v>0</v>
      </c>
      <c r="N31" s="264">
        <f t="shared" si="3"/>
        <v>0</v>
      </c>
      <c r="O31" s="264">
        <f t="shared" si="4"/>
        <v>0</v>
      </c>
      <c r="P31" s="264">
        <f t="shared" si="5"/>
        <v>0</v>
      </c>
      <c r="Q31" s="264">
        <f t="shared" si="6"/>
        <v>0</v>
      </c>
      <c r="R31" s="264">
        <f t="shared" si="7"/>
        <v>0</v>
      </c>
      <c r="S31" s="264">
        <f t="shared" si="8"/>
        <v>0</v>
      </c>
      <c r="T31" s="264">
        <f t="shared" si="9"/>
        <v>0</v>
      </c>
      <c r="U31" s="264">
        <f t="shared" si="10"/>
        <v>0</v>
      </c>
      <c r="V31" s="264">
        <f t="shared" si="11"/>
        <v>0</v>
      </c>
      <c r="W31" s="264">
        <f t="shared" si="12"/>
        <v>0</v>
      </c>
      <c r="X31" s="264">
        <f t="shared" si="13"/>
        <v>0</v>
      </c>
      <c r="Y31" s="264">
        <f t="shared" si="14"/>
        <v>0</v>
      </c>
      <c r="Z31" s="264">
        <f t="shared" si="15"/>
        <v>0</v>
      </c>
      <c r="AA31" s="264">
        <f t="shared" si="16"/>
        <v>0</v>
      </c>
      <c r="AB31" s="264">
        <f t="shared" si="63"/>
        <v>0</v>
      </c>
      <c r="AC31" s="264">
        <f t="shared" si="64"/>
        <v>0</v>
      </c>
      <c r="AD31" s="264">
        <f t="shared" si="17"/>
        <v>0</v>
      </c>
      <c r="AE31" s="264">
        <f t="shared" si="18"/>
        <v>0</v>
      </c>
      <c r="AF31" s="264">
        <f t="shared" si="19"/>
        <v>0</v>
      </c>
      <c r="AG31" s="264">
        <f t="shared" si="20"/>
        <v>0</v>
      </c>
      <c r="AH31" s="264">
        <f t="shared" si="65"/>
        <v>0</v>
      </c>
      <c r="AI31" s="264">
        <f t="shared" si="66"/>
        <v>0</v>
      </c>
      <c r="AJ31" s="264">
        <f t="shared" si="67"/>
        <v>0</v>
      </c>
      <c r="AK31" s="264">
        <f t="shared" si="68"/>
        <v>0</v>
      </c>
      <c r="AL31" s="264">
        <f t="shared" si="69"/>
        <v>0</v>
      </c>
      <c r="AM31" s="264">
        <f t="shared" si="70"/>
        <v>0</v>
      </c>
      <c r="AN31" s="264">
        <f t="shared" si="71"/>
        <v>0</v>
      </c>
      <c r="AO31" s="264">
        <f t="shared" si="72"/>
        <v>0</v>
      </c>
      <c r="AP31" s="264">
        <f t="shared" si="21"/>
        <v>0</v>
      </c>
      <c r="AQ31" s="264">
        <f t="shared" si="22"/>
        <v>0</v>
      </c>
      <c r="AR31" s="264">
        <f t="shared" si="23"/>
        <v>0</v>
      </c>
      <c r="AS31" s="264">
        <f t="shared" si="24"/>
        <v>0</v>
      </c>
      <c r="AT31" s="264">
        <f t="shared" si="73"/>
        <v>0</v>
      </c>
      <c r="AU31" s="264">
        <f t="shared" si="74"/>
        <v>0</v>
      </c>
      <c r="AV31" s="264">
        <f t="shared" si="25"/>
        <v>0</v>
      </c>
      <c r="AW31" s="264">
        <f t="shared" si="26"/>
        <v>0</v>
      </c>
      <c r="AX31" s="264">
        <f t="shared" si="27"/>
        <v>0</v>
      </c>
      <c r="AY31" s="264">
        <f t="shared" si="28"/>
        <v>0</v>
      </c>
      <c r="AZ31" s="264">
        <f t="shared" si="29"/>
        <v>0</v>
      </c>
      <c r="BA31" s="264">
        <f t="shared" si="30"/>
        <v>0</v>
      </c>
      <c r="BB31" s="264">
        <f t="shared" si="31"/>
        <v>0</v>
      </c>
      <c r="BC31" s="264">
        <f t="shared" si="32"/>
        <v>0</v>
      </c>
      <c r="BD31" s="264">
        <f t="shared" si="33"/>
        <v>0</v>
      </c>
      <c r="BE31" s="264">
        <f t="shared" si="34"/>
        <v>0</v>
      </c>
      <c r="BF31" s="264">
        <f t="shared" si="35"/>
        <v>0</v>
      </c>
      <c r="BG31" s="264">
        <f t="shared" si="36"/>
        <v>0</v>
      </c>
      <c r="BH31" s="264">
        <f t="shared" si="75"/>
        <v>0</v>
      </c>
      <c r="BI31" s="264">
        <f t="shared" si="76"/>
        <v>0</v>
      </c>
      <c r="BJ31" s="264">
        <f t="shared" si="37"/>
        <v>0</v>
      </c>
      <c r="BK31" s="264">
        <f t="shared" si="38"/>
        <v>0</v>
      </c>
      <c r="BL31" s="264">
        <f t="shared" si="39"/>
        <v>0</v>
      </c>
      <c r="BM31" s="264">
        <f t="shared" si="40"/>
        <v>0</v>
      </c>
      <c r="BN31" s="264">
        <f t="shared" si="41"/>
        <v>0</v>
      </c>
      <c r="BO31" s="264">
        <f t="shared" si="42"/>
        <v>0</v>
      </c>
      <c r="BP31" s="264">
        <f t="shared" si="77"/>
        <v>0</v>
      </c>
      <c r="BQ31" s="264">
        <f t="shared" si="78"/>
        <v>0</v>
      </c>
      <c r="BR31" s="264">
        <f t="shared" si="43"/>
        <v>0</v>
      </c>
      <c r="BS31" s="264">
        <f t="shared" si="44"/>
        <v>0</v>
      </c>
      <c r="BT31" s="264">
        <f t="shared" si="79"/>
        <v>0</v>
      </c>
      <c r="BU31" s="264">
        <f t="shared" si="80"/>
        <v>0</v>
      </c>
      <c r="BV31" s="264">
        <f t="shared" si="81"/>
        <v>0</v>
      </c>
      <c r="BW31" s="264">
        <f t="shared" si="82"/>
        <v>0</v>
      </c>
      <c r="BX31" s="264">
        <f t="shared" si="45"/>
        <v>0</v>
      </c>
      <c r="BY31" s="264">
        <f t="shared" si="46"/>
        <v>0</v>
      </c>
      <c r="BZ31" s="264">
        <f t="shared" si="47"/>
        <v>0</v>
      </c>
      <c r="CA31" s="264">
        <f t="shared" si="48"/>
        <v>0</v>
      </c>
      <c r="CB31" s="264">
        <f t="shared" si="49"/>
        <v>0</v>
      </c>
      <c r="CC31" s="264">
        <f t="shared" si="50"/>
        <v>0</v>
      </c>
      <c r="CD31" s="264">
        <f t="shared" si="83"/>
        <v>0</v>
      </c>
      <c r="CE31" s="264">
        <f t="shared" si="84"/>
        <v>0</v>
      </c>
      <c r="CF31" s="264">
        <f t="shared" si="85"/>
        <v>0</v>
      </c>
      <c r="CG31" s="264">
        <f t="shared" si="86"/>
        <v>0</v>
      </c>
      <c r="CH31" s="264">
        <f t="shared" si="51"/>
        <v>0</v>
      </c>
      <c r="CI31" s="264">
        <f t="shared" si="52"/>
        <v>0</v>
      </c>
      <c r="CJ31" s="264">
        <f t="shared" si="87"/>
        <v>0</v>
      </c>
      <c r="CK31" s="264">
        <f t="shared" si="88"/>
        <v>0</v>
      </c>
      <c r="CL31" s="264">
        <f t="shared" si="53"/>
        <v>0</v>
      </c>
      <c r="CM31" s="264">
        <f t="shared" si="54"/>
        <v>0</v>
      </c>
      <c r="CN31" s="264">
        <f t="shared" si="55"/>
        <v>0</v>
      </c>
      <c r="CO31" s="264">
        <f t="shared" si="56"/>
        <v>0</v>
      </c>
      <c r="CP31" s="264">
        <f t="shared" si="89"/>
        <v>0</v>
      </c>
      <c r="CQ31" s="264">
        <f t="shared" si="90"/>
        <v>0</v>
      </c>
      <c r="CR31" s="264">
        <f t="shared" si="91"/>
        <v>0</v>
      </c>
      <c r="CS31" s="264">
        <f t="shared" si="92"/>
        <v>0</v>
      </c>
      <c r="CT31" s="264">
        <f t="shared" si="57"/>
        <v>0</v>
      </c>
      <c r="CU31" s="264">
        <f t="shared" si="58"/>
        <v>0</v>
      </c>
      <c r="CV31" s="264">
        <f t="shared" si="59"/>
        <v>0</v>
      </c>
      <c r="CW31" s="264">
        <f t="shared" si="60"/>
        <v>0</v>
      </c>
      <c r="CX31" s="264">
        <f t="shared" si="93"/>
        <v>0</v>
      </c>
      <c r="CY31" s="264">
        <f t="shared" si="94"/>
        <v>0</v>
      </c>
      <c r="CZ31" s="264">
        <f t="shared" si="95"/>
        <v>0</v>
      </c>
      <c r="DA31" s="264">
        <f t="shared" si="96"/>
        <v>0</v>
      </c>
    </row>
    <row r="32" spans="1:105" s="261" customFormat="1" ht="16.5" customHeight="1">
      <c r="A32" s="63" t="str">
        <f t="array" ref="A32">IF(C32&lt;&gt;0,SUM(($C$11:C32&lt;&gt;0)*1),"")</f>
        <v/>
      </c>
      <c r="B32" s="262"/>
      <c r="C32" s="262"/>
      <c r="D32" s="262"/>
      <c r="E32" s="344"/>
      <c r="F32" s="311"/>
      <c r="G32" s="313"/>
      <c r="H32" s="313"/>
      <c r="I32" s="63" t="str">
        <f t="shared" si="0"/>
        <v/>
      </c>
      <c r="J32" s="264">
        <f t="shared" si="61"/>
        <v>0</v>
      </c>
      <c r="K32" s="264">
        <f t="shared" si="62"/>
        <v>0</v>
      </c>
      <c r="L32" s="264">
        <f t="shared" si="1"/>
        <v>0</v>
      </c>
      <c r="M32" s="264">
        <f t="shared" si="2"/>
        <v>0</v>
      </c>
      <c r="N32" s="264">
        <f t="shared" si="3"/>
        <v>0</v>
      </c>
      <c r="O32" s="264">
        <f t="shared" si="4"/>
        <v>0</v>
      </c>
      <c r="P32" s="264">
        <f t="shared" si="5"/>
        <v>0</v>
      </c>
      <c r="Q32" s="264">
        <f t="shared" si="6"/>
        <v>0</v>
      </c>
      <c r="R32" s="264">
        <f t="shared" si="7"/>
        <v>0</v>
      </c>
      <c r="S32" s="264">
        <f t="shared" si="8"/>
        <v>0</v>
      </c>
      <c r="T32" s="264">
        <f t="shared" si="9"/>
        <v>0</v>
      </c>
      <c r="U32" s="264">
        <f t="shared" si="10"/>
        <v>0</v>
      </c>
      <c r="V32" s="264">
        <f t="shared" si="11"/>
        <v>0</v>
      </c>
      <c r="W32" s="264">
        <f t="shared" si="12"/>
        <v>0</v>
      </c>
      <c r="X32" s="264">
        <f t="shared" si="13"/>
        <v>0</v>
      </c>
      <c r="Y32" s="264">
        <f t="shared" si="14"/>
        <v>0</v>
      </c>
      <c r="Z32" s="264">
        <f t="shared" si="15"/>
        <v>0</v>
      </c>
      <c r="AA32" s="264">
        <f t="shared" si="16"/>
        <v>0</v>
      </c>
      <c r="AB32" s="264">
        <f t="shared" si="63"/>
        <v>0</v>
      </c>
      <c r="AC32" s="264">
        <f t="shared" si="64"/>
        <v>0</v>
      </c>
      <c r="AD32" s="264">
        <f t="shared" si="17"/>
        <v>0</v>
      </c>
      <c r="AE32" s="264">
        <f t="shared" si="18"/>
        <v>0</v>
      </c>
      <c r="AF32" s="264">
        <f t="shared" si="19"/>
        <v>0</v>
      </c>
      <c r="AG32" s="264">
        <f t="shared" si="20"/>
        <v>0</v>
      </c>
      <c r="AH32" s="264">
        <f t="shared" si="65"/>
        <v>0</v>
      </c>
      <c r="AI32" s="264">
        <f t="shared" si="66"/>
        <v>0</v>
      </c>
      <c r="AJ32" s="264">
        <f t="shared" si="67"/>
        <v>0</v>
      </c>
      <c r="AK32" s="264">
        <f t="shared" si="68"/>
        <v>0</v>
      </c>
      <c r="AL32" s="264">
        <f t="shared" si="69"/>
        <v>0</v>
      </c>
      <c r="AM32" s="264">
        <f t="shared" si="70"/>
        <v>0</v>
      </c>
      <c r="AN32" s="264">
        <f t="shared" si="71"/>
        <v>0</v>
      </c>
      <c r="AO32" s="264">
        <f t="shared" si="72"/>
        <v>0</v>
      </c>
      <c r="AP32" s="264">
        <f t="shared" si="21"/>
        <v>0</v>
      </c>
      <c r="AQ32" s="264">
        <f t="shared" si="22"/>
        <v>0</v>
      </c>
      <c r="AR32" s="264">
        <f t="shared" si="23"/>
        <v>0</v>
      </c>
      <c r="AS32" s="264">
        <f t="shared" si="24"/>
        <v>0</v>
      </c>
      <c r="AT32" s="264">
        <f t="shared" si="73"/>
        <v>0</v>
      </c>
      <c r="AU32" s="264">
        <f t="shared" si="74"/>
        <v>0</v>
      </c>
      <c r="AV32" s="264">
        <f t="shared" si="25"/>
        <v>0</v>
      </c>
      <c r="AW32" s="264">
        <f t="shared" si="26"/>
        <v>0</v>
      </c>
      <c r="AX32" s="264">
        <f t="shared" si="27"/>
        <v>0</v>
      </c>
      <c r="AY32" s="264">
        <f t="shared" si="28"/>
        <v>0</v>
      </c>
      <c r="AZ32" s="264">
        <f t="shared" si="29"/>
        <v>0</v>
      </c>
      <c r="BA32" s="264">
        <f t="shared" si="30"/>
        <v>0</v>
      </c>
      <c r="BB32" s="264">
        <f t="shared" si="31"/>
        <v>0</v>
      </c>
      <c r="BC32" s="264">
        <f t="shared" si="32"/>
        <v>0</v>
      </c>
      <c r="BD32" s="264">
        <f t="shared" si="33"/>
        <v>0</v>
      </c>
      <c r="BE32" s="264">
        <f t="shared" si="34"/>
        <v>0</v>
      </c>
      <c r="BF32" s="264">
        <f t="shared" si="35"/>
        <v>0</v>
      </c>
      <c r="BG32" s="264">
        <f t="shared" si="36"/>
        <v>0</v>
      </c>
      <c r="BH32" s="264">
        <f t="shared" si="75"/>
        <v>0</v>
      </c>
      <c r="BI32" s="264">
        <f t="shared" si="76"/>
        <v>0</v>
      </c>
      <c r="BJ32" s="264">
        <f t="shared" si="37"/>
        <v>0</v>
      </c>
      <c r="BK32" s="264">
        <f t="shared" si="38"/>
        <v>0</v>
      </c>
      <c r="BL32" s="264">
        <f t="shared" si="39"/>
        <v>0</v>
      </c>
      <c r="BM32" s="264">
        <f t="shared" si="40"/>
        <v>0</v>
      </c>
      <c r="BN32" s="264">
        <f t="shared" si="41"/>
        <v>0</v>
      </c>
      <c r="BO32" s="264">
        <f t="shared" si="42"/>
        <v>0</v>
      </c>
      <c r="BP32" s="264">
        <f t="shared" si="77"/>
        <v>0</v>
      </c>
      <c r="BQ32" s="264">
        <f t="shared" si="78"/>
        <v>0</v>
      </c>
      <c r="BR32" s="264">
        <f t="shared" si="43"/>
        <v>0</v>
      </c>
      <c r="BS32" s="264">
        <f t="shared" si="44"/>
        <v>0</v>
      </c>
      <c r="BT32" s="264">
        <f t="shared" si="79"/>
        <v>0</v>
      </c>
      <c r="BU32" s="264">
        <f t="shared" si="80"/>
        <v>0</v>
      </c>
      <c r="BV32" s="264">
        <f t="shared" si="81"/>
        <v>0</v>
      </c>
      <c r="BW32" s="264">
        <f t="shared" si="82"/>
        <v>0</v>
      </c>
      <c r="BX32" s="264">
        <f t="shared" si="45"/>
        <v>0</v>
      </c>
      <c r="BY32" s="264">
        <f t="shared" si="46"/>
        <v>0</v>
      </c>
      <c r="BZ32" s="264">
        <f t="shared" si="47"/>
        <v>0</v>
      </c>
      <c r="CA32" s="264">
        <f t="shared" si="48"/>
        <v>0</v>
      </c>
      <c r="CB32" s="264">
        <f t="shared" si="49"/>
        <v>0</v>
      </c>
      <c r="CC32" s="264">
        <f t="shared" si="50"/>
        <v>0</v>
      </c>
      <c r="CD32" s="264">
        <f t="shared" si="83"/>
        <v>0</v>
      </c>
      <c r="CE32" s="264">
        <f t="shared" si="84"/>
        <v>0</v>
      </c>
      <c r="CF32" s="264">
        <f t="shared" si="85"/>
        <v>0</v>
      </c>
      <c r="CG32" s="264">
        <f t="shared" si="86"/>
        <v>0</v>
      </c>
      <c r="CH32" s="264">
        <f t="shared" si="51"/>
        <v>0</v>
      </c>
      <c r="CI32" s="264">
        <f t="shared" si="52"/>
        <v>0</v>
      </c>
      <c r="CJ32" s="264">
        <f t="shared" si="87"/>
        <v>0</v>
      </c>
      <c r="CK32" s="264">
        <f t="shared" si="88"/>
        <v>0</v>
      </c>
      <c r="CL32" s="264">
        <f t="shared" si="53"/>
        <v>0</v>
      </c>
      <c r="CM32" s="264">
        <f t="shared" si="54"/>
        <v>0</v>
      </c>
      <c r="CN32" s="264">
        <f t="shared" si="55"/>
        <v>0</v>
      </c>
      <c r="CO32" s="264">
        <f t="shared" si="56"/>
        <v>0</v>
      </c>
      <c r="CP32" s="264">
        <f t="shared" si="89"/>
        <v>0</v>
      </c>
      <c r="CQ32" s="264">
        <f t="shared" si="90"/>
        <v>0</v>
      </c>
      <c r="CR32" s="264">
        <f t="shared" si="91"/>
        <v>0</v>
      </c>
      <c r="CS32" s="264">
        <f t="shared" si="92"/>
        <v>0</v>
      </c>
      <c r="CT32" s="264">
        <f t="shared" si="57"/>
        <v>0</v>
      </c>
      <c r="CU32" s="264">
        <f t="shared" si="58"/>
        <v>0</v>
      </c>
      <c r="CV32" s="264">
        <f t="shared" si="59"/>
        <v>0</v>
      </c>
      <c r="CW32" s="264">
        <f t="shared" si="60"/>
        <v>0</v>
      </c>
      <c r="CX32" s="264">
        <f t="shared" si="93"/>
        <v>0</v>
      </c>
      <c r="CY32" s="264">
        <f t="shared" si="94"/>
        <v>0</v>
      </c>
      <c r="CZ32" s="264">
        <f t="shared" si="95"/>
        <v>0</v>
      </c>
      <c r="DA32" s="264">
        <f t="shared" si="96"/>
        <v>0</v>
      </c>
    </row>
    <row r="33" spans="1:105" s="261" customFormat="1" ht="16.5" customHeight="1">
      <c r="A33" s="63" t="str">
        <f t="array" ref="A33">IF(C33&lt;&gt;0,SUM(($C$11:C33&lt;&gt;0)*1),"")</f>
        <v/>
      </c>
      <c r="B33" s="262"/>
      <c r="C33" s="262"/>
      <c r="D33" s="262"/>
      <c r="E33" s="344"/>
      <c r="F33" s="311"/>
      <c r="G33" s="313"/>
      <c r="H33" s="313"/>
      <c r="I33" s="63" t="str">
        <f t="shared" si="0"/>
        <v/>
      </c>
      <c r="J33" s="264">
        <f t="shared" si="61"/>
        <v>0</v>
      </c>
      <c r="K33" s="264">
        <f t="shared" si="62"/>
        <v>0</v>
      </c>
      <c r="L33" s="264">
        <f t="shared" si="1"/>
        <v>0</v>
      </c>
      <c r="M33" s="264">
        <f t="shared" si="2"/>
        <v>0</v>
      </c>
      <c r="N33" s="264">
        <f t="shared" si="3"/>
        <v>0</v>
      </c>
      <c r="O33" s="264">
        <f t="shared" si="4"/>
        <v>0</v>
      </c>
      <c r="P33" s="264">
        <f t="shared" si="5"/>
        <v>0</v>
      </c>
      <c r="Q33" s="264">
        <f t="shared" si="6"/>
        <v>0</v>
      </c>
      <c r="R33" s="264">
        <f t="shared" si="7"/>
        <v>0</v>
      </c>
      <c r="S33" s="264">
        <f t="shared" si="8"/>
        <v>0</v>
      </c>
      <c r="T33" s="264">
        <f t="shared" si="9"/>
        <v>0</v>
      </c>
      <c r="U33" s="264">
        <f t="shared" si="10"/>
        <v>0</v>
      </c>
      <c r="V33" s="264">
        <f t="shared" si="11"/>
        <v>0</v>
      </c>
      <c r="W33" s="264">
        <f t="shared" si="12"/>
        <v>0</v>
      </c>
      <c r="X33" s="264">
        <f t="shared" si="13"/>
        <v>0</v>
      </c>
      <c r="Y33" s="264">
        <f t="shared" si="14"/>
        <v>0</v>
      </c>
      <c r="Z33" s="264">
        <f t="shared" si="15"/>
        <v>0</v>
      </c>
      <c r="AA33" s="264">
        <f t="shared" si="16"/>
        <v>0</v>
      </c>
      <c r="AB33" s="264">
        <f t="shared" si="63"/>
        <v>0</v>
      </c>
      <c r="AC33" s="264">
        <f t="shared" si="64"/>
        <v>0</v>
      </c>
      <c r="AD33" s="264">
        <f t="shared" si="17"/>
        <v>0</v>
      </c>
      <c r="AE33" s="264">
        <f t="shared" si="18"/>
        <v>0</v>
      </c>
      <c r="AF33" s="264">
        <f t="shared" si="19"/>
        <v>0</v>
      </c>
      <c r="AG33" s="264">
        <f t="shared" si="20"/>
        <v>0</v>
      </c>
      <c r="AH33" s="264">
        <f t="shared" si="65"/>
        <v>0</v>
      </c>
      <c r="AI33" s="264">
        <f t="shared" si="66"/>
        <v>0</v>
      </c>
      <c r="AJ33" s="264">
        <f t="shared" si="67"/>
        <v>0</v>
      </c>
      <c r="AK33" s="264">
        <f t="shared" si="68"/>
        <v>0</v>
      </c>
      <c r="AL33" s="264">
        <f t="shared" si="69"/>
        <v>0</v>
      </c>
      <c r="AM33" s="264">
        <f t="shared" si="70"/>
        <v>0</v>
      </c>
      <c r="AN33" s="264">
        <f t="shared" si="71"/>
        <v>0</v>
      </c>
      <c r="AO33" s="264">
        <f t="shared" si="72"/>
        <v>0</v>
      </c>
      <c r="AP33" s="264">
        <f t="shared" si="21"/>
        <v>0</v>
      </c>
      <c r="AQ33" s="264">
        <f t="shared" si="22"/>
        <v>0</v>
      </c>
      <c r="AR33" s="264">
        <f t="shared" si="23"/>
        <v>0</v>
      </c>
      <c r="AS33" s="264">
        <f t="shared" si="24"/>
        <v>0</v>
      </c>
      <c r="AT33" s="264">
        <f t="shared" si="73"/>
        <v>0</v>
      </c>
      <c r="AU33" s="264">
        <f t="shared" si="74"/>
        <v>0</v>
      </c>
      <c r="AV33" s="264">
        <f t="shared" si="25"/>
        <v>0</v>
      </c>
      <c r="AW33" s="264">
        <f t="shared" si="26"/>
        <v>0</v>
      </c>
      <c r="AX33" s="264">
        <f t="shared" si="27"/>
        <v>0</v>
      </c>
      <c r="AY33" s="264">
        <f t="shared" si="28"/>
        <v>0</v>
      </c>
      <c r="AZ33" s="264">
        <f t="shared" si="29"/>
        <v>0</v>
      </c>
      <c r="BA33" s="264">
        <f t="shared" si="30"/>
        <v>0</v>
      </c>
      <c r="BB33" s="264">
        <f t="shared" si="31"/>
        <v>0</v>
      </c>
      <c r="BC33" s="264">
        <f t="shared" si="32"/>
        <v>0</v>
      </c>
      <c r="BD33" s="264">
        <f t="shared" si="33"/>
        <v>0</v>
      </c>
      <c r="BE33" s="264">
        <f t="shared" si="34"/>
        <v>0</v>
      </c>
      <c r="BF33" s="264">
        <f t="shared" si="35"/>
        <v>0</v>
      </c>
      <c r="BG33" s="264">
        <f t="shared" si="36"/>
        <v>0</v>
      </c>
      <c r="BH33" s="264">
        <f t="shared" si="75"/>
        <v>0</v>
      </c>
      <c r="BI33" s="264">
        <f t="shared" si="76"/>
        <v>0</v>
      </c>
      <c r="BJ33" s="264">
        <f t="shared" si="37"/>
        <v>0</v>
      </c>
      <c r="BK33" s="264">
        <f t="shared" si="38"/>
        <v>0</v>
      </c>
      <c r="BL33" s="264">
        <f t="shared" si="39"/>
        <v>0</v>
      </c>
      <c r="BM33" s="264">
        <f t="shared" si="40"/>
        <v>0</v>
      </c>
      <c r="BN33" s="264">
        <f t="shared" si="41"/>
        <v>0</v>
      </c>
      <c r="BO33" s="264">
        <f t="shared" si="42"/>
        <v>0</v>
      </c>
      <c r="BP33" s="264">
        <f t="shared" si="77"/>
        <v>0</v>
      </c>
      <c r="BQ33" s="264">
        <f t="shared" si="78"/>
        <v>0</v>
      </c>
      <c r="BR33" s="264">
        <f t="shared" si="43"/>
        <v>0</v>
      </c>
      <c r="BS33" s="264">
        <f t="shared" si="44"/>
        <v>0</v>
      </c>
      <c r="BT33" s="264">
        <f t="shared" si="79"/>
        <v>0</v>
      </c>
      <c r="BU33" s="264">
        <f t="shared" si="80"/>
        <v>0</v>
      </c>
      <c r="BV33" s="264">
        <f t="shared" si="81"/>
        <v>0</v>
      </c>
      <c r="BW33" s="264">
        <f t="shared" si="82"/>
        <v>0</v>
      </c>
      <c r="BX33" s="264">
        <f t="shared" si="45"/>
        <v>0</v>
      </c>
      <c r="BY33" s="264">
        <f t="shared" si="46"/>
        <v>0</v>
      </c>
      <c r="BZ33" s="264">
        <f t="shared" si="47"/>
        <v>0</v>
      </c>
      <c r="CA33" s="264">
        <f t="shared" si="48"/>
        <v>0</v>
      </c>
      <c r="CB33" s="264">
        <f t="shared" si="49"/>
        <v>0</v>
      </c>
      <c r="CC33" s="264">
        <f t="shared" si="50"/>
        <v>0</v>
      </c>
      <c r="CD33" s="264">
        <f t="shared" si="83"/>
        <v>0</v>
      </c>
      <c r="CE33" s="264">
        <f t="shared" si="84"/>
        <v>0</v>
      </c>
      <c r="CF33" s="264">
        <f t="shared" si="85"/>
        <v>0</v>
      </c>
      <c r="CG33" s="264">
        <f t="shared" si="86"/>
        <v>0</v>
      </c>
      <c r="CH33" s="264">
        <f t="shared" si="51"/>
        <v>0</v>
      </c>
      <c r="CI33" s="264">
        <f t="shared" si="52"/>
        <v>0</v>
      </c>
      <c r="CJ33" s="264">
        <f t="shared" si="87"/>
        <v>0</v>
      </c>
      <c r="CK33" s="264">
        <f t="shared" si="88"/>
        <v>0</v>
      </c>
      <c r="CL33" s="264">
        <f t="shared" si="53"/>
        <v>0</v>
      </c>
      <c r="CM33" s="264">
        <f t="shared" si="54"/>
        <v>0</v>
      </c>
      <c r="CN33" s="264">
        <f t="shared" si="55"/>
        <v>0</v>
      </c>
      <c r="CO33" s="264">
        <f t="shared" si="56"/>
        <v>0</v>
      </c>
      <c r="CP33" s="264">
        <f t="shared" si="89"/>
        <v>0</v>
      </c>
      <c r="CQ33" s="264">
        <f t="shared" si="90"/>
        <v>0</v>
      </c>
      <c r="CR33" s="264">
        <f t="shared" si="91"/>
        <v>0</v>
      </c>
      <c r="CS33" s="264">
        <f t="shared" si="92"/>
        <v>0</v>
      </c>
      <c r="CT33" s="264">
        <f t="shared" si="57"/>
        <v>0</v>
      </c>
      <c r="CU33" s="264">
        <f t="shared" si="58"/>
        <v>0</v>
      </c>
      <c r="CV33" s="264">
        <f t="shared" si="59"/>
        <v>0</v>
      </c>
      <c r="CW33" s="264">
        <f t="shared" si="60"/>
        <v>0</v>
      </c>
      <c r="CX33" s="264">
        <f t="shared" si="93"/>
        <v>0</v>
      </c>
      <c r="CY33" s="264">
        <f t="shared" si="94"/>
        <v>0</v>
      </c>
      <c r="CZ33" s="264">
        <f t="shared" si="95"/>
        <v>0</v>
      </c>
      <c r="DA33" s="264">
        <f t="shared" si="96"/>
        <v>0</v>
      </c>
    </row>
    <row r="34" spans="1:105" s="261" customFormat="1" ht="16.5" customHeight="1">
      <c r="A34" s="63" t="str">
        <f t="array" ref="A34">IF(C34&lt;&gt;0,SUM(($C$11:C34&lt;&gt;0)*1),"")</f>
        <v/>
      </c>
      <c r="B34" s="262"/>
      <c r="C34" s="262"/>
      <c r="D34" s="262"/>
      <c r="E34" s="344"/>
      <c r="F34" s="311"/>
      <c r="G34" s="313"/>
      <c r="H34" s="313"/>
      <c r="I34" s="63" t="str">
        <f t="shared" si="0"/>
        <v/>
      </c>
      <c r="J34" s="264">
        <f t="shared" si="61"/>
        <v>0</v>
      </c>
      <c r="K34" s="264">
        <f t="shared" si="62"/>
        <v>0</v>
      </c>
      <c r="L34" s="264">
        <f t="shared" si="1"/>
        <v>0</v>
      </c>
      <c r="M34" s="264">
        <f t="shared" si="2"/>
        <v>0</v>
      </c>
      <c r="N34" s="264">
        <f t="shared" si="3"/>
        <v>0</v>
      </c>
      <c r="O34" s="264">
        <f t="shared" si="4"/>
        <v>0</v>
      </c>
      <c r="P34" s="264">
        <f t="shared" si="5"/>
        <v>0</v>
      </c>
      <c r="Q34" s="264">
        <f t="shared" si="6"/>
        <v>0</v>
      </c>
      <c r="R34" s="264">
        <f t="shared" si="7"/>
        <v>0</v>
      </c>
      <c r="S34" s="264">
        <f t="shared" si="8"/>
        <v>0</v>
      </c>
      <c r="T34" s="264">
        <f t="shared" si="9"/>
        <v>0</v>
      </c>
      <c r="U34" s="264">
        <f t="shared" si="10"/>
        <v>0</v>
      </c>
      <c r="V34" s="264">
        <f t="shared" si="11"/>
        <v>0</v>
      </c>
      <c r="W34" s="264">
        <f t="shared" si="12"/>
        <v>0</v>
      </c>
      <c r="X34" s="264">
        <f t="shared" si="13"/>
        <v>0</v>
      </c>
      <c r="Y34" s="264">
        <f t="shared" si="14"/>
        <v>0</v>
      </c>
      <c r="Z34" s="264">
        <f t="shared" si="15"/>
        <v>0</v>
      </c>
      <c r="AA34" s="264">
        <f t="shared" si="16"/>
        <v>0</v>
      </c>
      <c r="AB34" s="264">
        <f t="shared" si="63"/>
        <v>0</v>
      </c>
      <c r="AC34" s="264">
        <f t="shared" si="64"/>
        <v>0</v>
      </c>
      <c r="AD34" s="264">
        <f t="shared" si="17"/>
        <v>0</v>
      </c>
      <c r="AE34" s="264">
        <f t="shared" si="18"/>
        <v>0</v>
      </c>
      <c r="AF34" s="264">
        <f t="shared" si="19"/>
        <v>0</v>
      </c>
      <c r="AG34" s="264">
        <f t="shared" si="20"/>
        <v>0</v>
      </c>
      <c r="AH34" s="264">
        <f t="shared" si="65"/>
        <v>0</v>
      </c>
      <c r="AI34" s="264">
        <f t="shared" si="66"/>
        <v>0</v>
      </c>
      <c r="AJ34" s="264">
        <f t="shared" si="67"/>
        <v>0</v>
      </c>
      <c r="AK34" s="264">
        <f t="shared" si="68"/>
        <v>0</v>
      </c>
      <c r="AL34" s="264">
        <f t="shared" si="69"/>
        <v>0</v>
      </c>
      <c r="AM34" s="264">
        <f t="shared" si="70"/>
        <v>0</v>
      </c>
      <c r="AN34" s="264">
        <f t="shared" si="71"/>
        <v>0</v>
      </c>
      <c r="AO34" s="264">
        <f t="shared" si="72"/>
        <v>0</v>
      </c>
      <c r="AP34" s="264">
        <f t="shared" si="21"/>
        <v>0</v>
      </c>
      <c r="AQ34" s="264">
        <f t="shared" si="22"/>
        <v>0</v>
      </c>
      <c r="AR34" s="264">
        <f t="shared" si="23"/>
        <v>0</v>
      </c>
      <c r="AS34" s="264">
        <f t="shared" si="24"/>
        <v>0</v>
      </c>
      <c r="AT34" s="264">
        <f t="shared" si="73"/>
        <v>0</v>
      </c>
      <c r="AU34" s="264">
        <f t="shared" si="74"/>
        <v>0</v>
      </c>
      <c r="AV34" s="264">
        <f t="shared" si="25"/>
        <v>0</v>
      </c>
      <c r="AW34" s="264">
        <f t="shared" si="26"/>
        <v>0</v>
      </c>
      <c r="AX34" s="264">
        <f t="shared" si="27"/>
        <v>0</v>
      </c>
      <c r="AY34" s="264">
        <f t="shared" si="28"/>
        <v>0</v>
      </c>
      <c r="AZ34" s="264">
        <f t="shared" si="29"/>
        <v>0</v>
      </c>
      <c r="BA34" s="264">
        <f t="shared" si="30"/>
        <v>0</v>
      </c>
      <c r="BB34" s="264">
        <f t="shared" si="31"/>
        <v>0</v>
      </c>
      <c r="BC34" s="264">
        <f t="shared" si="32"/>
        <v>0</v>
      </c>
      <c r="BD34" s="264">
        <f t="shared" si="33"/>
        <v>0</v>
      </c>
      <c r="BE34" s="264">
        <f t="shared" si="34"/>
        <v>0</v>
      </c>
      <c r="BF34" s="264">
        <f t="shared" si="35"/>
        <v>0</v>
      </c>
      <c r="BG34" s="264">
        <f t="shared" si="36"/>
        <v>0</v>
      </c>
      <c r="BH34" s="264">
        <f t="shared" si="75"/>
        <v>0</v>
      </c>
      <c r="BI34" s="264">
        <f t="shared" si="76"/>
        <v>0</v>
      </c>
      <c r="BJ34" s="264">
        <f t="shared" si="37"/>
        <v>0</v>
      </c>
      <c r="BK34" s="264">
        <f t="shared" si="38"/>
        <v>0</v>
      </c>
      <c r="BL34" s="264">
        <f t="shared" si="39"/>
        <v>0</v>
      </c>
      <c r="BM34" s="264">
        <f t="shared" si="40"/>
        <v>0</v>
      </c>
      <c r="BN34" s="264">
        <f t="shared" si="41"/>
        <v>0</v>
      </c>
      <c r="BO34" s="264">
        <f t="shared" si="42"/>
        <v>0</v>
      </c>
      <c r="BP34" s="264">
        <f t="shared" si="77"/>
        <v>0</v>
      </c>
      <c r="BQ34" s="264">
        <f t="shared" si="78"/>
        <v>0</v>
      </c>
      <c r="BR34" s="264">
        <f t="shared" si="43"/>
        <v>0</v>
      </c>
      <c r="BS34" s="264">
        <f t="shared" si="44"/>
        <v>0</v>
      </c>
      <c r="BT34" s="264">
        <f t="shared" si="79"/>
        <v>0</v>
      </c>
      <c r="BU34" s="264">
        <f t="shared" si="80"/>
        <v>0</v>
      </c>
      <c r="BV34" s="264">
        <f t="shared" si="81"/>
        <v>0</v>
      </c>
      <c r="BW34" s="264">
        <f t="shared" si="82"/>
        <v>0</v>
      </c>
      <c r="BX34" s="264">
        <f t="shared" si="45"/>
        <v>0</v>
      </c>
      <c r="BY34" s="264">
        <f t="shared" si="46"/>
        <v>0</v>
      </c>
      <c r="BZ34" s="264">
        <f t="shared" si="47"/>
        <v>0</v>
      </c>
      <c r="CA34" s="264">
        <f t="shared" si="48"/>
        <v>0</v>
      </c>
      <c r="CB34" s="264">
        <f t="shared" si="49"/>
        <v>0</v>
      </c>
      <c r="CC34" s="264">
        <f t="shared" si="50"/>
        <v>0</v>
      </c>
      <c r="CD34" s="264">
        <f t="shared" si="83"/>
        <v>0</v>
      </c>
      <c r="CE34" s="264">
        <f t="shared" si="84"/>
        <v>0</v>
      </c>
      <c r="CF34" s="264">
        <f t="shared" si="85"/>
        <v>0</v>
      </c>
      <c r="CG34" s="264">
        <f t="shared" si="86"/>
        <v>0</v>
      </c>
      <c r="CH34" s="264">
        <f t="shared" si="51"/>
        <v>0</v>
      </c>
      <c r="CI34" s="264">
        <f t="shared" si="52"/>
        <v>0</v>
      </c>
      <c r="CJ34" s="264">
        <f t="shared" si="87"/>
        <v>0</v>
      </c>
      <c r="CK34" s="264">
        <f t="shared" si="88"/>
        <v>0</v>
      </c>
      <c r="CL34" s="264">
        <f t="shared" si="53"/>
        <v>0</v>
      </c>
      <c r="CM34" s="264">
        <f t="shared" si="54"/>
        <v>0</v>
      </c>
      <c r="CN34" s="264">
        <f t="shared" si="55"/>
        <v>0</v>
      </c>
      <c r="CO34" s="264">
        <f t="shared" si="56"/>
        <v>0</v>
      </c>
      <c r="CP34" s="264">
        <f t="shared" si="89"/>
        <v>0</v>
      </c>
      <c r="CQ34" s="264">
        <f t="shared" si="90"/>
        <v>0</v>
      </c>
      <c r="CR34" s="264">
        <f t="shared" si="91"/>
        <v>0</v>
      </c>
      <c r="CS34" s="264">
        <f t="shared" si="92"/>
        <v>0</v>
      </c>
      <c r="CT34" s="264">
        <f t="shared" si="57"/>
        <v>0</v>
      </c>
      <c r="CU34" s="264">
        <f t="shared" si="58"/>
        <v>0</v>
      </c>
      <c r="CV34" s="264">
        <f t="shared" si="59"/>
        <v>0</v>
      </c>
      <c r="CW34" s="264">
        <f t="shared" si="60"/>
        <v>0</v>
      </c>
      <c r="CX34" s="264">
        <f t="shared" si="93"/>
        <v>0</v>
      </c>
      <c r="CY34" s="264">
        <f t="shared" si="94"/>
        <v>0</v>
      </c>
      <c r="CZ34" s="264">
        <f t="shared" si="95"/>
        <v>0</v>
      </c>
      <c r="DA34" s="264">
        <f t="shared" si="96"/>
        <v>0</v>
      </c>
    </row>
    <row r="35" spans="1:105" s="261" customFormat="1" ht="16.5" customHeight="1">
      <c r="A35" s="63" t="str">
        <f t="array" ref="A35">IF(C35&lt;&gt;0,SUM(($C$11:C35&lt;&gt;0)*1),"")</f>
        <v/>
      </c>
      <c r="B35" s="262"/>
      <c r="C35" s="262"/>
      <c r="D35" s="262"/>
      <c r="E35" s="344"/>
      <c r="F35" s="311"/>
      <c r="G35" s="313"/>
      <c r="H35" s="313"/>
      <c r="I35" s="63" t="str">
        <f t="shared" si="0"/>
        <v/>
      </c>
      <c r="J35" s="264">
        <f t="shared" si="61"/>
        <v>0</v>
      </c>
      <c r="K35" s="264">
        <f t="shared" si="62"/>
        <v>0</v>
      </c>
      <c r="L35" s="264">
        <f t="shared" si="1"/>
        <v>0</v>
      </c>
      <c r="M35" s="264">
        <f t="shared" si="2"/>
        <v>0</v>
      </c>
      <c r="N35" s="264">
        <f t="shared" si="3"/>
        <v>0</v>
      </c>
      <c r="O35" s="264">
        <f t="shared" si="4"/>
        <v>0</v>
      </c>
      <c r="P35" s="264">
        <f t="shared" si="5"/>
        <v>0</v>
      </c>
      <c r="Q35" s="264">
        <f t="shared" si="6"/>
        <v>0</v>
      </c>
      <c r="R35" s="264">
        <f t="shared" si="7"/>
        <v>0</v>
      </c>
      <c r="S35" s="264">
        <f t="shared" si="8"/>
        <v>0</v>
      </c>
      <c r="T35" s="264">
        <f t="shared" si="9"/>
        <v>0</v>
      </c>
      <c r="U35" s="264">
        <f t="shared" si="10"/>
        <v>0</v>
      </c>
      <c r="V35" s="264">
        <f t="shared" si="11"/>
        <v>0</v>
      </c>
      <c r="W35" s="264">
        <f t="shared" si="12"/>
        <v>0</v>
      </c>
      <c r="X35" s="264">
        <f t="shared" si="13"/>
        <v>0</v>
      </c>
      <c r="Y35" s="264">
        <f t="shared" si="14"/>
        <v>0</v>
      </c>
      <c r="Z35" s="264">
        <f t="shared" si="15"/>
        <v>0</v>
      </c>
      <c r="AA35" s="264">
        <f t="shared" si="16"/>
        <v>0</v>
      </c>
      <c r="AB35" s="264">
        <f t="shared" si="63"/>
        <v>0</v>
      </c>
      <c r="AC35" s="264">
        <f t="shared" si="64"/>
        <v>0</v>
      </c>
      <c r="AD35" s="264">
        <f t="shared" si="17"/>
        <v>0</v>
      </c>
      <c r="AE35" s="264">
        <f t="shared" si="18"/>
        <v>0</v>
      </c>
      <c r="AF35" s="264">
        <f t="shared" si="19"/>
        <v>0</v>
      </c>
      <c r="AG35" s="264">
        <f t="shared" si="20"/>
        <v>0</v>
      </c>
      <c r="AH35" s="264">
        <f t="shared" si="65"/>
        <v>0</v>
      </c>
      <c r="AI35" s="264">
        <f t="shared" si="66"/>
        <v>0</v>
      </c>
      <c r="AJ35" s="264">
        <f t="shared" si="67"/>
        <v>0</v>
      </c>
      <c r="AK35" s="264">
        <f t="shared" si="68"/>
        <v>0</v>
      </c>
      <c r="AL35" s="264">
        <f t="shared" si="69"/>
        <v>0</v>
      </c>
      <c r="AM35" s="264">
        <f t="shared" si="70"/>
        <v>0</v>
      </c>
      <c r="AN35" s="264">
        <f t="shared" si="71"/>
        <v>0</v>
      </c>
      <c r="AO35" s="264">
        <f t="shared" si="72"/>
        <v>0</v>
      </c>
      <c r="AP35" s="264">
        <f t="shared" si="21"/>
        <v>0</v>
      </c>
      <c r="AQ35" s="264">
        <f t="shared" si="22"/>
        <v>0</v>
      </c>
      <c r="AR35" s="264">
        <f t="shared" si="23"/>
        <v>0</v>
      </c>
      <c r="AS35" s="264">
        <f t="shared" si="24"/>
        <v>0</v>
      </c>
      <c r="AT35" s="264">
        <f t="shared" si="73"/>
        <v>0</v>
      </c>
      <c r="AU35" s="264">
        <f t="shared" si="74"/>
        <v>0</v>
      </c>
      <c r="AV35" s="264">
        <f t="shared" si="25"/>
        <v>0</v>
      </c>
      <c r="AW35" s="264">
        <f t="shared" si="26"/>
        <v>0</v>
      </c>
      <c r="AX35" s="264">
        <f t="shared" si="27"/>
        <v>0</v>
      </c>
      <c r="AY35" s="264">
        <f t="shared" si="28"/>
        <v>0</v>
      </c>
      <c r="AZ35" s="264">
        <f t="shared" si="29"/>
        <v>0</v>
      </c>
      <c r="BA35" s="264">
        <f t="shared" si="30"/>
        <v>0</v>
      </c>
      <c r="BB35" s="264">
        <f t="shared" si="31"/>
        <v>0</v>
      </c>
      <c r="BC35" s="264">
        <f t="shared" si="32"/>
        <v>0</v>
      </c>
      <c r="BD35" s="264">
        <f t="shared" si="33"/>
        <v>0</v>
      </c>
      <c r="BE35" s="264">
        <f t="shared" si="34"/>
        <v>0</v>
      </c>
      <c r="BF35" s="264">
        <f t="shared" si="35"/>
        <v>0</v>
      </c>
      <c r="BG35" s="264">
        <f t="shared" si="36"/>
        <v>0</v>
      </c>
      <c r="BH35" s="264">
        <f t="shared" si="75"/>
        <v>0</v>
      </c>
      <c r="BI35" s="264">
        <f t="shared" si="76"/>
        <v>0</v>
      </c>
      <c r="BJ35" s="264">
        <f t="shared" si="37"/>
        <v>0</v>
      </c>
      <c r="BK35" s="264">
        <f t="shared" si="38"/>
        <v>0</v>
      </c>
      <c r="BL35" s="264">
        <f t="shared" si="39"/>
        <v>0</v>
      </c>
      <c r="BM35" s="264">
        <f t="shared" si="40"/>
        <v>0</v>
      </c>
      <c r="BN35" s="264">
        <f t="shared" si="41"/>
        <v>0</v>
      </c>
      <c r="BO35" s="264">
        <f t="shared" si="42"/>
        <v>0</v>
      </c>
      <c r="BP35" s="264">
        <f t="shared" si="77"/>
        <v>0</v>
      </c>
      <c r="BQ35" s="264">
        <f t="shared" si="78"/>
        <v>0</v>
      </c>
      <c r="BR35" s="264">
        <f t="shared" si="43"/>
        <v>0</v>
      </c>
      <c r="BS35" s="264">
        <f t="shared" si="44"/>
        <v>0</v>
      </c>
      <c r="BT35" s="264">
        <f t="shared" si="79"/>
        <v>0</v>
      </c>
      <c r="BU35" s="264">
        <f t="shared" si="80"/>
        <v>0</v>
      </c>
      <c r="BV35" s="264">
        <f t="shared" si="81"/>
        <v>0</v>
      </c>
      <c r="BW35" s="264">
        <f t="shared" si="82"/>
        <v>0</v>
      </c>
      <c r="BX35" s="264">
        <f t="shared" si="45"/>
        <v>0</v>
      </c>
      <c r="BY35" s="264">
        <f t="shared" si="46"/>
        <v>0</v>
      </c>
      <c r="BZ35" s="264">
        <f t="shared" si="47"/>
        <v>0</v>
      </c>
      <c r="CA35" s="264">
        <f t="shared" si="48"/>
        <v>0</v>
      </c>
      <c r="CB35" s="264">
        <f t="shared" si="49"/>
        <v>0</v>
      </c>
      <c r="CC35" s="264">
        <f t="shared" si="50"/>
        <v>0</v>
      </c>
      <c r="CD35" s="264">
        <f t="shared" si="83"/>
        <v>0</v>
      </c>
      <c r="CE35" s="264">
        <f t="shared" si="84"/>
        <v>0</v>
      </c>
      <c r="CF35" s="264">
        <f t="shared" si="85"/>
        <v>0</v>
      </c>
      <c r="CG35" s="264">
        <f t="shared" si="86"/>
        <v>0</v>
      </c>
      <c r="CH35" s="264">
        <f t="shared" si="51"/>
        <v>0</v>
      </c>
      <c r="CI35" s="264">
        <f t="shared" si="52"/>
        <v>0</v>
      </c>
      <c r="CJ35" s="264">
        <f t="shared" si="87"/>
        <v>0</v>
      </c>
      <c r="CK35" s="264">
        <f t="shared" si="88"/>
        <v>0</v>
      </c>
      <c r="CL35" s="264">
        <f t="shared" si="53"/>
        <v>0</v>
      </c>
      <c r="CM35" s="264">
        <f t="shared" si="54"/>
        <v>0</v>
      </c>
      <c r="CN35" s="264">
        <f t="shared" si="55"/>
        <v>0</v>
      </c>
      <c r="CO35" s="264">
        <f t="shared" si="56"/>
        <v>0</v>
      </c>
      <c r="CP35" s="264">
        <f t="shared" si="89"/>
        <v>0</v>
      </c>
      <c r="CQ35" s="264">
        <f t="shared" si="90"/>
        <v>0</v>
      </c>
      <c r="CR35" s="264">
        <f t="shared" si="91"/>
        <v>0</v>
      </c>
      <c r="CS35" s="264">
        <f t="shared" si="92"/>
        <v>0</v>
      </c>
      <c r="CT35" s="264">
        <f t="shared" si="57"/>
        <v>0</v>
      </c>
      <c r="CU35" s="264">
        <f t="shared" si="58"/>
        <v>0</v>
      </c>
      <c r="CV35" s="264">
        <f t="shared" si="59"/>
        <v>0</v>
      </c>
      <c r="CW35" s="264">
        <f t="shared" si="60"/>
        <v>0</v>
      </c>
      <c r="CX35" s="264">
        <f t="shared" si="93"/>
        <v>0</v>
      </c>
      <c r="CY35" s="264">
        <f t="shared" si="94"/>
        <v>0</v>
      </c>
      <c r="CZ35" s="264">
        <f t="shared" si="95"/>
        <v>0</v>
      </c>
      <c r="DA35" s="264">
        <f t="shared" si="96"/>
        <v>0</v>
      </c>
    </row>
    <row r="36" spans="1:105" s="261" customFormat="1" ht="16.5" customHeight="1">
      <c r="A36" s="63" t="str">
        <f t="array" ref="A36">IF(C36&lt;&gt;0,SUM(($C$11:C36&lt;&gt;0)*1),"")</f>
        <v/>
      </c>
      <c r="B36" s="262"/>
      <c r="C36" s="262"/>
      <c r="D36" s="262"/>
      <c r="E36" s="344"/>
      <c r="F36" s="311"/>
      <c r="G36" s="313"/>
      <c r="H36" s="313"/>
      <c r="I36" s="63" t="str">
        <f t="shared" si="0"/>
        <v/>
      </c>
      <c r="J36" s="264">
        <f t="shared" si="61"/>
        <v>0</v>
      </c>
      <c r="K36" s="264">
        <f t="shared" si="62"/>
        <v>0</v>
      </c>
      <c r="L36" s="264">
        <f t="shared" si="1"/>
        <v>0</v>
      </c>
      <c r="M36" s="264">
        <f t="shared" si="2"/>
        <v>0</v>
      </c>
      <c r="N36" s="264">
        <f t="shared" si="3"/>
        <v>0</v>
      </c>
      <c r="O36" s="264">
        <f t="shared" si="4"/>
        <v>0</v>
      </c>
      <c r="P36" s="264">
        <f t="shared" si="5"/>
        <v>0</v>
      </c>
      <c r="Q36" s="264">
        <f t="shared" si="6"/>
        <v>0</v>
      </c>
      <c r="R36" s="264">
        <f t="shared" si="7"/>
        <v>0</v>
      </c>
      <c r="S36" s="264">
        <f t="shared" si="8"/>
        <v>0</v>
      </c>
      <c r="T36" s="264">
        <f t="shared" si="9"/>
        <v>0</v>
      </c>
      <c r="U36" s="264">
        <f t="shared" si="10"/>
        <v>0</v>
      </c>
      <c r="V36" s="264">
        <f t="shared" si="11"/>
        <v>0</v>
      </c>
      <c r="W36" s="264">
        <f t="shared" si="12"/>
        <v>0</v>
      </c>
      <c r="X36" s="264">
        <f t="shared" si="13"/>
        <v>0</v>
      </c>
      <c r="Y36" s="264">
        <f t="shared" si="14"/>
        <v>0</v>
      </c>
      <c r="Z36" s="264">
        <f t="shared" si="15"/>
        <v>0</v>
      </c>
      <c r="AA36" s="264">
        <f t="shared" si="16"/>
        <v>0</v>
      </c>
      <c r="AB36" s="264">
        <f t="shared" si="63"/>
        <v>0</v>
      </c>
      <c r="AC36" s="264">
        <f t="shared" si="64"/>
        <v>0</v>
      </c>
      <c r="AD36" s="264">
        <f t="shared" si="17"/>
        <v>0</v>
      </c>
      <c r="AE36" s="264">
        <f t="shared" si="18"/>
        <v>0</v>
      </c>
      <c r="AF36" s="264">
        <f t="shared" si="19"/>
        <v>0</v>
      </c>
      <c r="AG36" s="264">
        <f t="shared" si="20"/>
        <v>0</v>
      </c>
      <c r="AH36" s="264">
        <f t="shared" si="65"/>
        <v>0</v>
      </c>
      <c r="AI36" s="264">
        <f t="shared" si="66"/>
        <v>0</v>
      </c>
      <c r="AJ36" s="264">
        <f t="shared" si="67"/>
        <v>0</v>
      </c>
      <c r="AK36" s="264">
        <f t="shared" si="68"/>
        <v>0</v>
      </c>
      <c r="AL36" s="264">
        <f t="shared" si="69"/>
        <v>0</v>
      </c>
      <c r="AM36" s="264">
        <f t="shared" si="70"/>
        <v>0</v>
      </c>
      <c r="AN36" s="264">
        <f t="shared" si="71"/>
        <v>0</v>
      </c>
      <c r="AO36" s="264">
        <f t="shared" si="72"/>
        <v>0</v>
      </c>
      <c r="AP36" s="264">
        <f t="shared" si="21"/>
        <v>0</v>
      </c>
      <c r="AQ36" s="264">
        <f t="shared" si="22"/>
        <v>0</v>
      </c>
      <c r="AR36" s="264">
        <f t="shared" si="23"/>
        <v>0</v>
      </c>
      <c r="AS36" s="264">
        <f t="shared" si="24"/>
        <v>0</v>
      </c>
      <c r="AT36" s="264">
        <f t="shared" si="73"/>
        <v>0</v>
      </c>
      <c r="AU36" s="264">
        <f t="shared" si="74"/>
        <v>0</v>
      </c>
      <c r="AV36" s="264">
        <f t="shared" si="25"/>
        <v>0</v>
      </c>
      <c r="AW36" s="264">
        <f t="shared" si="26"/>
        <v>0</v>
      </c>
      <c r="AX36" s="264">
        <f t="shared" si="27"/>
        <v>0</v>
      </c>
      <c r="AY36" s="264">
        <f t="shared" si="28"/>
        <v>0</v>
      </c>
      <c r="AZ36" s="264">
        <f t="shared" si="29"/>
        <v>0</v>
      </c>
      <c r="BA36" s="264">
        <f t="shared" si="30"/>
        <v>0</v>
      </c>
      <c r="BB36" s="264">
        <f t="shared" si="31"/>
        <v>0</v>
      </c>
      <c r="BC36" s="264">
        <f t="shared" si="32"/>
        <v>0</v>
      </c>
      <c r="BD36" s="264">
        <f t="shared" si="33"/>
        <v>0</v>
      </c>
      <c r="BE36" s="264">
        <f t="shared" si="34"/>
        <v>0</v>
      </c>
      <c r="BF36" s="264">
        <f t="shared" si="35"/>
        <v>0</v>
      </c>
      <c r="BG36" s="264">
        <f t="shared" si="36"/>
        <v>0</v>
      </c>
      <c r="BH36" s="264">
        <f t="shared" si="75"/>
        <v>0</v>
      </c>
      <c r="BI36" s="264">
        <f t="shared" si="76"/>
        <v>0</v>
      </c>
      <c r="BJ36" s="264">
        <f t="shared" si="37"/>
        <v>0</v>
      </c>
      <c r="BK36" s="264">
        <f t="shared" si="38"/>
        <v>0</v>
      </c>
      <c r="BL36" s="264">
        <f t="shared" si="39"/>
        <v>0</v>
      </c>
      <c r="BM36" s="264">
        <f t="shared" si="40"/>
        <v>0</v>
      </c>
      <c r="BN36" s="264">
        <f t="shared" si="41"/>
        <v>0</v>
      </c>
      <c r="BO36" s="264">
        <f t="shared" si="42"/>
        <v>0</v>
      </c>
      <c r="BP36" s="264">
        <f t="shared" si="77"/>
        <v>0</v>
      </c>
      <c r="BQ36" s="264">
        <f t="shared" si="78"/>
        <v>0</v>
      </c>
      <c r="BR36" s="264">
        <f t="shared" si="43"/>
        <v>0</v>
      </c>
      <c r="BS36" s="264">
        <f t="shared" si="44"/>
        <v>0</v>
      </c>
      <c r="BT36" s="264">
        <f t="shared" si="79"/>
        <v>0</v>
      </c>
      <c r="BU36" s="264">
        <f t="shared" si="80"/>
        <v>0</v>
      </c>
      <c r="BV36" s="264">
        <f t="shared" si="81"/>
        <v>0</v>
      </c>
      <c r="BW36" s="264">
        <f t="shared" si="82"/>
        <v>0</v>
      </c>
      <c r="BX36" s="264">
        <f t="shared" si="45"/>
        <v>0</v>
      </c>
      <c r="BY36" s="264">
        <f t="shared" si="46"/>
        <v>0</v>
      </c>
      <c r="BZ36" s="264">
        <f t="shared" si="47"/>
        <v>0</v>
      </c>
      <c r="CA36" s="264">
        <f t="shared" si="48"/>
        <v>0</v>
      </c>
      <c r="CB36" s="264">
        <f t="shared" si="49"/>
        <v>0</v>
      </c>
      <c r="CC36" s="264">
        <f t="shared" si="50"/>
        <v>0</v>
      </c>
      <c r="CD36" s="264">
        <f t="shared" si="83"/>
        <v>0</v>
      </c>
      <c r="CE36" s="264">
        <f t="shared" si="84"/>
        <v>0</v>
      </c>
      <c r="CF36" s="264">
        <f t="shared" si="85"/>
        <v>0</v>
      </c>
      <c r="CG36" s="264">
        <f t="shared" si="86"/>
        <v>0</v>
      </c>
      <c r="CH36" s="264">
        <f t="shared" si="51"/>
        <v>0</v>
      </c>
      <c r="CI36" s="264">
        <f t="shared" si="52"/>
        <v>0</v>
      </c>
      <c r="CJ36" s="264">
        <f t="shared" si="87"/>
        <v>0</v>
      </c>
      <c r="CK36" s="264">
        <f t="shared" si="88"/>
        <v>0</v>
      </c>
      <c r="CL36" s="264">
        <f t="shared" si="53"/>
        <v>0</v>
      </c>
      <c r="CM36" s="264">
        <f t="shared" si="54"/>
        <v>0</v>
      </c>
      <c r="CN36" s="264">
        <f t="shared" si="55"/>
        <v>0</v>
      </c>
      <c r="CO36" s="264">
        <f t="shared" si="56"/>
        <v>0</v>
      </c>
      <c r="CP36" s="264">
        <f t="shared" si="89"/>
        <v>0</v>
      </c>
      <c r="CQ36" s="264">
        <f t="shared" si="90"/>
        <v>0</v>
      </c>
      <c r="CR36" s="264">
        <f t="shared" si="91"/>
        <v>0</v>
      </c>
      <c r="CS36" s="264">
        <f t="shared" si="92"/>
        <v>0</v>
      </c>
      <c r="CT36" s="264">
        <f t="shared" si="57"/>
        <v>0</v>
      </c>
      <c r="CU36" s="264">
        <f t="shared" si="58"/>
        <v>0</v>
      </c>
      <c r="CV36" s="264">
        <f t="shared" si="59"/>
        <v>0</v>
      </c>
      <c r="CW36" s="264">
        <f t="shared" si="60"/>
        <v>0</v>
      </c>
      <c r="CX36" s="264">
        <f t="shared" si="93"/>
        <v>0</v>
      </c>
      <c r="CY36" s="264">
        <f t="shared" si="94"/>
        <v>0</v>
      </c>
      <c r="CZ36" s="264">
        <f t="shared" si="95"/>
        <v>0</v>
      </c>
      <c r="DA36" s="264">
        <f t="shared" si="96"/>
        <v>0</v>
      </c>
    </row>
    <row r="37" spans="1:105" s="261" customFormat="1" ht="16.5" customHeight="1">
      <c r="A37" s="63" t="str">
        <f t="array" ref="A37">IF(C37&lt;&gt;0,SUM(($C$11:C37&lt;&gt;0)*1),"")</f>
        <v/>
      </c>
      <c r="B37" s="262"/>
      <c r="C37" s="262"/>
      <c r="D37" s="262"/>
      <c r="E37" s="344"/>
      <c r="F37" s="311"/>
      <c r="G37" s="313"/>
      <c r="H37" s="313"/>
      <c r="I37" s="63" t="str">
        <f t="shared" si="0"/>
        <v/>
      </c>
      <c r="J37" s="264">
        <f t="shared" si="61"/>
        <v>0</v>
      </c>
      <c r="K37" s="264">
        <f t="shared" si="62"/>
        <v>0</v>
      </c>
      <c r="L37" s="264">
        <f t="shared" si="1"/>
        <v>0</v>
      </c>
      <c r="M37" s="264">
        <f t="shared" si="2"/>
        <v>0</v>
      </c>
      <c r="N37" s="264">
        <f t="shared" si="3"/>
        <v>0</v>
      </c>
      <c r="O37" s="264">
        <f t="shared" si="4"/>
        <v>0</v>
      </c>
      <c r="P37" s="264">
        <f t="shared" si="5"/>
        <v>0</v>
      </c>
      <c r="Q37" s="264">
        <f t="shared" si="6"/>
        <v>0</v>
      </c>
      <c r="R37" s="264">
        <f t="shared" si="7"/>
        <v>0</v>
      </c>
      <c r="S37" s="264">
        <f t="shared" si="8"/>
        <v>0</v>
      </c>
      <c r="T37" s="264">
        <f t="shared" si="9"/>
        <v>0</v>
      </c>
      <c r="U37" s="264">
        <f t="shared" si="10"/>
        <v>0</v>
      </c>
      <c r="V37" s="264">
        <f t="shared" si="11"/>
        <v>0</v>
      </c>
      <c r="W37" s="264">
        <f t="shared" si="12"/>
        <v>0</v>
      </c>
      <c r="X37" s="264">
        <f t="shared" si="13"/>
        <v>0</v>
      </c>
      <c r="Y37" s="264">
        <f t="shared" si="14"/>
        <v>0</v>
      </c>
      <c r="Z37" s="264">
        <f t="shared" si="15"/>
        <v>0</v>
      </c>
      <c r="AA37" s="264">
        <f t="shared" si="16"/>
        <v>0</v>
      </c>
      <c r="AB37" s="264">
        <f t="shared" si="63"/>
        <v>0</v>
      </c>
      <c r="AC37" s="264">
        <f t="shared" si="64"/>
        <v>0</v>
      </c>
      <c r="AD37" s="264">
        <f t="shared" si="17"/>
        <v>0</v>
      </c>
      <c r="AE37" s="264">
        <f t="shared" si="18"/>
        <v>0</v>
      </c>
      <c r="AF37" s="264">
        <f t="shared" si="19"/>
        <v>0</v>
      </c>
      <c r="AG37" s="264">
        <f t="shared" si="20"/>
        <v>0</v>
      </c>
      <c r="AH37" s="264">
        <f t="shared" si="65"/>
        <v>0</v>
      </c>
      <c r="AI37" s="264">
        <f t="shared" si="66"/>
        <v>0</v>
      </c>
      <c r="AJ37" s="264">
        <f t="shared" si="67"/>
        <v>0</v>
      </c>
      <c r="AK37" s="264">
        <f t="shared" si="68"/>
        <v>0</v>
      </c>
      <c r="AL37" s="264">
        <f t="shared" si="69"/>
        <v>0</v>
      </c>
      <c r="AM37" s="264">
        <f t="shared" si="70"/>
        <v>0</v>
      </c>
      <c r="AN37" s="264">
        <f t="shared" si="71"/>
        <v>0</v>
      </c>
      <c r="AO37" s="264">
        <f t="shared" si="72"/>
        <v>0</v>
      </c>
      <c r="AP37" s="264">
        <f t="shared" si="21"/>
        <v>0</v>
      </c>
      <c r="AQ37" s="264">
        <f t="shared" si="22"/>
        <v>0</v>
      </c>
      <c r="AR37" s="264">
        <f t="shared" si="23"/>
        <v>0</v>
      </c>
      <c r="AS37" s="264">
        <f t="shared" si="24"/>
        <v>0</v>
      </c>
      <c r="AT37" s="264">
        <f t="shared" si="73"/>
        <v>0</v>
      </c>
      <c r="AU37" s="264">
        <f t="shared" si="74"/>
        <v>0</v>
      </c>
      <c r="AV37" s="264">
        <f t="shared" si="25"/>
        <v>0</v>
      </c>
      <c r="AW37" s="264">
        <f t="shared" si="26"/>
        <v>0</v>
      </c>
      <c r="AX37" s="264">
        <f t="shared" si="27"/>
        <v>0</v>
      </c>
      <c r="AY37" s="264">
        <f t="shared" si="28"/>
        <v>0</v>
      </c>
      <c r="AZ37" s="264">
        <f t="shared" si="29"/>
        <v>0</v>
      </c>
      <c r="BA37" s="264">
        <f t="shared" si="30"/>
        <v>0</v>
      </c>
      <c r="BB37" s="264">
        <f t="shared" si="31"/>
        <v>0</v>
      </c>
      <c r="BC37" s="264">
        <f t="shared" si="32"/>
        <v>0</v>
      </c>
      <c r="BD37" s="264">
        <f t="shared" si="33"/>
        <v>0</v>
      </c>
      <c r="BE37" s="264">
        <f t="shared" si="34"/>
        <v>0</v>
      </c>
      <c r="BF37" s="264">
        <f t="shared" si="35"/>
        <v>0</v>
      </c>
      <c r="BG37" s="264">
        <f t="shared" si="36"/>
        <v>0</v>
      </c>
      <c r="BH37" s="264">
        <f t="shared" si="75"/>
        <v>0</v>
      </c>
      <c r="BI37" s="264">
        <f t="shared" si="76"/>
        <v>0</v>
      </c>
      <c r="BJ37" s="264">
        <f t="shared" si="37"/>
        <v>0</v>
      </c>
      <c r="BK37" s="264">
        <f t="shared" si="38"/>
        <v>0</v>
      </c>
      <c r="BL37" s="264">
        <f t="shared" si="39"/>
        <v>0</v>
      </c>
      <c r="BM37" s="264">
        <f t="shared" si="40"/>
        <v>0</v>
      </c>
      <c r="BN37" s="264">
        <f t="shared" si="41"/>
        <v>0</v>
      </c>
      <c r="BO37" s="264">
        <f t="shared" si="42"/>
        <v>0</v>
      </c>
      <c r="BP37" s="264">
        <f t="shared" si="77"/>
        <v>0</v>
      </c>
      <c r="BQ37" s="264">
        <f t="shared" si="78"/>
        <v>0</v>
      </c>
      <c r="BR37" s="264">
        <f t="shared" si="43"/>
        <v>0</v>
      </c>
      <c r="BS37" s="264">
        <f t="shared" si="44"/>
        <v>0</v>
      </c>
      <c r="BT37" s="264">
        <f t="shared" si="79"/>
        <v>0</v>
      </c>
      <c r="BU37" s="264">
        <f t="shared" si="80"/>
        <v>0</v>
      </c>
      <c r="BV37" s="264">
        <f t="shared" si="81"/>
        <v>0</v>
      </c>
      <c r="BW37" s="264">
        <f t="shared" si="82"/>
        <v>0</v>
      </c>
      <c r="BX37" s="264">
        <f t="shared" si="45"/>
        <v>0</v>
      </c>
      <c r="BY37" s="264">
        <f t="shared" si="46"/>
        <v>0</v>
      </c>
      <c r="BZ37" s="264">
        <f t="shared" si="47"/>
        <v>0</v>
      </c>
      <c r="CA37" s="264">
        <f t="shared" si="48"/>
        <v>0</v>
      </c>
      <c r="CB37" s="264">
        <f t="shared" si="49"/>
        <v>0</v>
      </c>
      <c r="CC37" s="264">
        <f t="shared" si="50"/>
        <v>0</v>
      </c>
      <c r="CD37" s="264">
        <f t="shared" si="83"/>
        <v>0</v>
      </c>
      <c r="CE37" s="264">
        <f t="shared" si="84"/>
        <v>0</v>
      </c>
      <c r="CF37" s="264">
        <f t="shared" si="85"/>
        <v>0</v>
      </c>
      <c r="CG37" s="264">
        <f t="shared" si="86"/>
        <v>0</v>
      </c>
      <c r="CH37" s="264">
        <f t="shared" si="51"/>
        <v>0</v>
      </c>
      <c r="CI37" s="264">
        <f t="shared" si="52"/>
        <v>0</v>
      </c>
      <c r="CJ37" s="264">
        <f t="shared" si="87"/>
        <v>0</v>
      </c>
      <c r="CK37" s="264">
        <f t="shared" si="88"/>
        <v>0</v>
      </c>
      <c r="CL37" s="264">
        <f t="shared" si="53"/>
        <v>0</v>
      </c>
      <c r="CM37" s="264">
        <f t="shared" si="54"/>
        <v>0</v>
      </c>
      <c r="CN37" s="264">
        <f t="shared" si="55"/>
        <v>0</v>
      </c>
      <c r="CO37" s="264">
        <f t="shared" si="56"/>
        <v>0</v>
      </c>
      <c r="CP37" s="264">
        <f t="shared" si="89"/>
        <v>0</v>
      </c>
      <c r="CQ37" s="264">
        <f t="shared" si="90"/>
        <v>0</v>
      </c>
      <c r="CR37" s="264">
        <f t="shared" si="91"/>
        <v>0</v>
      </c>
      <c r="CS37" s="264">
        <f t="shared" si="92"/>
        <v>0</v>
      </c>
      <c r="CT37" s="264">
        <f t="shared" si="57"/>
        <v>0</v>
      </c>
      <c r="CU37" s="264">
        <f t="shared" si="58"/>
        <v>0</v>
      </c>
      <c r="CV37" s="264">
        <f t="shared" si="59"/>
        <v>0</v>
      </c>
      <c r="CW37" s="264">
        <f t="shared" si="60"/>
        <v>0</v>
      </c>
      <c r="CX37" s="264">
        <f t="shared" si="93"/>
        <v>0</v>
      </c>
      <c r="CY37" s="264">
        <f t="shared" si="94"/>
        <v>0</v>
      </c>
      <c r="CZ37" s="264">
        <f t="shared" si="95"/>
        <v>0</v>
      </c>
      <c r="DA37" s="264">
        <f t="shared" si="96"/>
        <v>0</v>
      </c>
    </row>
    <row r="38" spans="1:105" s="261" customFormat="1" ht="16.5" customHeight="1">
      <c r="A38" s="63" t="str">
        <f t="array" ref="A38">IF(C38&lt;&gt;0,SUM(($C$11:C38&lt;&gt;0)*1),"")</f>
        <v/>
      </c>
      <c r="B38" s="262"/>
      <c r="C38" s="262"/>
      <c r="D38" s="262"/>
      <c r="E38" s="344"/>
      <c r="F38" s="311"/>
      <c r="G38" s="313"/>
      <c r="H38" s="313"/>
      <c r="I38" s="63" t="str">
        <f t="shared" si="0"/>
        <v/>
      </c>
      <c r="J38" s="264">
        <f t="shared" si="61"/>
        <v>0</v>
      </c>
      <c r="K38" s="264">
        <f t="shared" si="62"/>
        <v>0</v>
      </c>
      <c r="L38" s="264">
        <f t="shared" si="1"/>
        <v>0</v>
      </c>
      <c r="M38" s="264">
        <f t="shared" si="2"/>
        <v>0</v>
      </c>
      <c r="N38" s="264">
        <f t="shared" si="3"/>
        <v>0</v>
      </c>
      <c r="O38" s="264">
        <f t="shared" si="4"/>
        <v>0</v>
      </c>
      <c r="P38" s="264">
        <f t="shared" si="5"/>
        <v>0</v>
      </c>
      <c r="Q38" s="264">
        <f t="shared" si="6"/>
        <v>0</v>
      </c>
      <c r="R38" s="264">
        <f t="shared" si="7"/>
        <v>0</v>
      </c>
      <c r="S38" s="264">
        <f t="shared" si="8"/>
        <v>0</v>
      </c>
      <c r="T38" s="264">
        <f t="shared" si="9"/>
        <v>0</v>
      </c>
      <c r="U38" s="264">
        <f t="shared" si="10"/>
        <v>0</v>
      </c>
      <c r="V38" s="264">
        <f t="shared" si="11"/>
        <v>0</v>
      </c>
      <c r="W38" s="264">
        <f t="shared" si="12"/>
        <v>0</v>
      </c>
      <c r="X38" s="264">
        <f t="shared" si="13"/>
        <v>0</v>
      </c>
      <c r="Y38" s="264">
        <f t="shared" si="14"/>
        <v>0</v>
      </c>
      <c r="Z38" s="264">
        <f t="shared" si="15"/>
        <v>0</v>
      </c>
      <c r="AA38" s="264">
        <f t="shared" si="16"/>
        <v>0</v>
      </c>
      <c r="AB38" s="264">
        <f t="shared" si="63"/>
        <v>0</v>
      </c>
      <c r="AC38" s="264">
        <f t="shared" si="64"/>
        <v>0</v>
      </c>
      <c r="AD38" s="264">
        <f t="shared" si="17"/>
        <v>0</v>
      </c>
      <c r="AE38" s="264">
        <f t="shared" si="18"/>
        <v>0</v>
      </c>
      <c r="AF38" s="264">
        <f t="shared" si="19"/>
        <v>0</v>
      </c>
      <c r="AG38" s="264">
        <f t="shared" si="20"/>
        <v>0</v>
      </c>
      <c r="AH38" s="264">
        <f t="shared" si="65"/>
        <v>0</v>
      </c>
      <c r="AI38" s="264">
        <f t="shared" si="66"/>
        <v>0</v>
      </c>
      <c r="AJ38" s="264">
        <f t="shared" si="67"/>
        <v>0</v>
      </c>
      <c r="AK38" s="264">
        <f t="shared" si="68"/>
        <v>0</v>
      </c>
      <c r="AL38" s="264">
        <f t="shared" si="69"/>
        <v>0</v>
      </c>
      <c r="AM38" s="264">
        <f t="shared" si="70"/>
        <v>0</v>
      </c>
      <c r="AN38" s="264">
        <f t="shared" si="71"/>
        <v>0</v>
      </c>
      <c r="AO38" s="264">
        <f t="shared" si="72"/>
        <v>0</v>
      </c>
      <c r="AP38" s="264">
        <f t="shared" si="21"/>
        <v>0</v>
      </c>
      <c r="AQ38" s="264">
        <f t="shared" si="22"/>
        <v>0</v>
      </c>
      <c r="AR38" s="264">
        <f t="shared" si="23"/>
        <v>0</v>
      </c>
      <c r="AS38" s="264">
        <f t="shared" si="24"/>
        <v>0</v>
      </c>
      <c r="AT38" s="264">
        <f t="shared" si="73"/>
        <v>0</v>
      </c>
      <c r="AU38" s="264">
        <f t="shared" si="74"/>
        <v>0</v>
      </c>
      <c r="AV38" s="264">
        <f t="shared" si="25"/>
        <v>0</v>
      </c>
      <c r="AW38" s="264">
        <f t="shared" si="26"/>
        <v>0</v>
      </c>
      <c r="AX38" s="264">
        <f t="shared" si="27"/>
        <v>0</v>
      </c>
      <c r="AY38" s="264">
        <f t="shared" si="28"/>
        <v>0</v>
      </c>
      <c r="AZ38" s="264">
        <f t="shared" si="29"/>
        <v>0</v>
      </c>
      <c r="BA38" s="264">
        <f t="shared" si="30"/>
        <v>0</v>
      </c>
      <c r="BB38" s="264">
        <f t="shared" si="31"/>
        <v>0</v>
      </c>
      <c r="BC38" s="264">
        <f t="shared" si="32"/>
        <v>0</v>
      </c>
      <c r="BD38" s="264">
        <f t="shared" si="33"/>
        <v>0</v>
      </c>
      <c r="BE38" s="264">
        <f t="shared" si="34"/>
        <v>0</v>
      </c>
      <c r="BF38" s="264">
        <f t="shared" si="35"/>
        <v>0</v>
      </c>
      <c r="BG38" s="264">
        <f t="shared" si="36"/>
        <v>0</v>
      </c>
      <c r="BH38" s="264">
        <f t="shared" si="75"/>
        <v>0</v>
      </c>
      <c r="BI38" s="264">
        <f t="shared" si="76"/>
        <v>0</v>
      </c>
      <c r="BJ38" s="264">
        <f t="shared" si="37"/>
        <v>0</v>
      </c>
      <c r="BK38" s="264">
        <f t="shared" si="38"/>
        <v>0</v>
      </c>
      <c r="BL38" s="264">
        <f t="shared" si="39"/>
        <v>0</v>
      </c>
      <c r="BM38" s="264">
        <f t="shared" si="40"/>
        <v>0</v>
      </c>
      <c r="BN38" s="264">
        <f t="shared" si="41"/>
        <v>0</v>
      </c>
      <c r="BO38" s="264">
        <f t="shared" si="42"/>
        <v>0</v>
      </c>
      <c r="BP38" s="264">
        <f t="shared" si="77"/>
        <v>0</v>
      </c>
      <c r="BQ38" s="264">
        <f t="shared" si="78"/>
        <v>0</v>
      </c>
      <c r="BR38" s="264">
        <f t="shared" si="43"/>
        <v>0</v>
      </c>
      <c r="BS38" s="264">
        <f t="shared" si="44"/>
        <v>0</v>
      </c>
      <c r="BT38" s="264">
        <f t="shared" si="79"/>
        <v>0</v>
      </c>
      <c r="BU38" s="264">
        <f t="shared" si="80"/>
        <v>0</v>
      </c>
      <c r="BV38" s="264">
        <f t="shared" si="81"/>
        <v>0</v>
      </c>
      <c r="BW38" s="264">
        <f t="shared" si="82"/>
        <v>0</v>
      </c>
      <c r="BX38" s="264">
        <f t="shared" si="45"/>
        <v>0</v>
      </c>
      <c r="BY38" s="264">
        <f t="shared" si="46"/>
        <v>0</v>
      </c>
      <c r="BZ38" s="264">
        <f t="shared" si="47"/>
        <v>0</v>
      </c>
      <c r="CA38" s="264">
        <f t="shared" si="48"/>
        <v>0</v>
      </c>
      <c r="CB38" s="264">
        <f t="shared" si="49"/>
        <v>0</v>
      </c>
      <c r="CC38" s="264">
        <f t="shared" si="50"/>
        <v>0</v>
      </c>
      <c r="CD38" s="264">
        <f t="shared" si="83"/>
        <v>0</v>
      </c>
      <c r="CE38" s="264">
        <f t="shared" si="84"/>
        <v>0</v>
      </c>
      <c r="CF38" s="264">
        <f t="shared" si="85"/>
        <v>0</v>
      </c>
      <c r="CG38" s="264">
        <f t="shared" si="86"/>
        <v>0</v>
      </c>
      <c r="CH38" s="264">
        <f t="shared" si="51"/>
        <v>0</v>
      </c>
      <c r="CI38" s="264">
        <f t="shared" si="52"/>
        <v>0</v>
      </c>
      <c r="CJ38" s="264">
        <f t="shared" si="87"/>
        <v>0</v>
      </c>
      <c r="CK38" s="264">
        <f t="shared" si="88"/>
        <v>0</v>
      </c>
      <c r="CL38" s="264">
        <f t="shared" si="53"/>
        <v>0</v>
      </c>
      <c r="CM38" s="264">
        <f t="shared" si="54"/>
        <v>0</v>
      </c>
      <c r="CN38" s="264">
        <f t="shared" si="55"/>
        <v>0</v>
      </c>
      <c r="CO38" s="264">
        <f t="shared" si="56"/>
        <v>0</v>
      </c>
      <c r="CP38" s="264">
        <f t="shared" si="89"/>
        <v>0</v>
      </c>
      <c r="CQ38" s="264">
        <f t="shared" si="90"/>
        <v>0</v>
      </c>
      <c r="CR38" s="264">
        <f t="shared" si="91"/>
        <v>0</v>
      </c>
      <c r="CS38" s="264">
        <f t="shared" si="92"/>
        <v>0</v>
      </c>
      <c r="CT38" s="264">
        <f t="shared" si="57"/>
        <v>0</v>
      </c>
      <c r="CU38" s="264">
        <f t="shared" si="58"/>
        <v>0</v>
      </c>
      <c r="CV38" s="264">
        <f t="shared" si="59"/>
        <v>0</v>
      </c>
      <c r="CW38" s="264">
        <f t="shared" si="60"/>
        <v>0</v>
      </c>
      <c r="CX38" s="264">
        <f t="shared" si="93"/>
        <v>0</v>
      </c>
      <c r="CY38" s="264">
        <f t="shared" si="94"/>
        <v>0</v>
      </c>
      <c r="CZ38" s="264">
        <f t="shared" si="95"/>
        <v>0</v>
      </c>
      <c r="DA38" s="264">
        <f t="shared" si="96"/>
        <v>0</v>
      </c>
    </row>
    <row r="39" spans="1:105" s="261" customFormat="1" ht="16.5" customHeight="1">
      <c r="A39" s="63" t="str">
        <f t="array" ref="A39">IF(C39&lt;&gt;0,SUM(($C$11:C39&lt;&gt;0)*1),"")</f>
        <v/>
      </c>
      <c r="B39" s="262"/>
      <c r="C39" s="262"/>
      <c r="D39" s="262"/>
      <c r="E39" s="344"/>
      <c r="F39" s="311"/>
      <c r="G39" s="313"/>
      <c r="H39" s="313"/>
      <c r="I39" s="63" t="str">
        <f t="shared" si="0"/>
        <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si="73"/>
        <v>0</v>
      </c>
      <c r="AU39" s="264">
        <f t="shared" si="74"/>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si="81"/>
        <v>0</v>
      </c>
      <c r="BW39" s="264">
        <f t="shared" si="82"/>
        <v>0</v>
      </c>
      <c r="BX39" s="264">
        <f t="shared" si="45"/>
        <v>0</v>
      </c>
      <c r="BY39" s="264">
        <f t="shared" si="46"/>
        <v>0</v>
      </c>
      <c r="BZ39" s="264">
        <f t="shared" si="47"/>
        <v>0</v>
      </c>
      <c r="CA39" s="264">
        <f t="shared" si="48"/>
        <v>0</v>
      </c>
      <c r="CB39" s="264">
        <f t="shared" si="49"/>
        <v>0</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6.5" customHeight="1">
      <c r="A40" s="63">
        <f t="array" aca="1" ref="A40" ca="1">IF(C40&lt;&gt;0,SUM(($C$11:C40&lt;&gt;0)*1),"")</f>
        <v>2</v>
      </c>
      <c r="B40" s="262">
        <v>42735</v>
      </c>
      <c r="C40" s="265" t="s">
        <v>115</v>
      </c>
      <c r="D40" s="265">
        <f t="shared" ref="D40:D50" si="97">B40</f>
        <v>42735</v>
      </c>
      <c r="E40" s="915" t="s">
        <v>668</v>
      </c>
      <c r="F40" s="916">
        <f ca="1">AY52</f>
        <v>0</v>
      </c>
      <c r="G40" s="917" t="s">
        <v>673</v>
      </c>
      <c r="H40" s="917" t="s">
        <v>9</v>
      </c>
      <c r="I40" s="63">
        <f t="shared" ca="1" si="0"/>
        <v>2</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73"/>
        <v>0</v>
      </c>
      <c r="AU40" s="264">
        <f t="shared" si="74"/>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81"/>
        <v>0</v>
      </c>
      <c r="BW40" s="264">
        <f t="shared" si="8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6.5" customHeight="1">
      <c r="A41" s="63">
        <f t="array" aca="1" ref="A41" ca="1">IF(C41&lt;&gt;0,SUM(($C$11:C41&lt;&gt;0)*1),"")</f>
        <v>3</v>
      </c>
      <c r="B41" s="262">
        <v>42735</v>
      </c>
      <c r="C41" s="265" t="s">
        <v>115</v>
      </c>
      <c r="D41" s="265">
        <f t="shared" si="97"/>
        <v>42735</v>
      </c>
      <c r="E41" s="915" t="s">
        <v>669</v>
      </c>
      <c r="F41" s="916">
        <f ca="1">CL52</f>
        <v>0</v>
      </c>
      <c r="G41" s="917" t="s">
        <v>109</v>
      </c>
      <c r="H41" s="917" t="s">
        <v>295</v>
      </c>
      <c r="I41" s="63">
        <f t="shared" ca="1" si="0"/>
        <v>3</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73"/>
        <v>0</v>
      </c>
      <c r="AU41" s="264">
        <f t="shared" si="74"/>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81"/>
        <v>0</v>
      </c>
      <c r="BW41" s="264">
        <f t="shared" si="8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6.5" customHeight="1">
      <c r="A42" s="63">
        <f t="array" aca="1" ref="A42" ca="1">IF(C42&lt;&gt;0,SUM(($C$11:C42&lt;&gt;0)*1),"")</f>
        <v>4</v>
      </c>
      <c r="B42" s="262">
        <v>42735</v>
      </c>
      <c r="C42" s="265" t="s">
        <v>115</v>
      </c>
      <c r="D42" s="265">
        <f t="shared" si="97"/>
        <v>42735</v>
      </c>
      <c r="E42" s="915" t="s">
        <v>116</v>
      </c>
      <c r="F42" s="916">
        <f ca="1">CN52</f>
        <v>0</v>
      </c>
      <c r="G42" s="917" t="s">
        <v>109</v>
      </c>
      <c r="H42" s="917" t="s">
        <v>99</v>
      </c>
      <c r="I42" s="63">
        <f t="shared" ca="1" si="0"/>
        <v>4</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73"/>
        <v>0</v>
      </c>
      <c r="AU42" s="264">
        <f t="shared" si="74"/>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81"/>
        <v>0</v>
      </c>
      <c r="BW42" s="264">
        <f t="shared" si="8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6.5" customHeight="1">
      <c r="A43" s="63">
        <f t="array" aca="1" ref="A43" ca="1">IF(C43&lt;&gt;0,SUM(($C$11:C43&lt;&gt;0)*1),"")</f>
        <v>5</v>
      </c>
      <c r="B43" s="262">
        <v>42735</v>
      </c>
      <c r="C43" s="265" t="s">
        <v>115</v>
      </c>
      <c r="D43" s="265">
        <f t="shared" si="97"/>
        <v>42735</v>
      </c>
      <c r="E43" s="915" t="s">
        <v>670</v>
      </c>
      <c r="F43" s="916">
        <f ca="1">CP52</f>
        <v>0</v>
      </c>
      <c r="G43" s="917" t="s">
        <v>109</v>
      </c>
      <c r="H43" s="917" t="s">
        <v>584</v>
      </c>
      <c r="I43" s="63">
        <f t="shared" ca="1" si="0"/>
        <v>5</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73"/>
        <v>0</v>
      </c>
      <c r="AU43" s="264">
        <f t="shared" si="74"/>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81"/>
        <v>0</v>
      </c>
      <c r="BW43" s="264">
        <f t="shared" si="8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6.5" customHeight="1">
      <c r="A44" s="63">
        <f t="array" aca="1" ref="A44" ca="1">IF(C44&lt;&gt;0,SUM(($C$11:C44&lt;&gt;0)*1),"")</f>
        <v>6</v>
      </c>
      <c r="B44" s="262">
        <v>42735</v>
      </c>
      <c r="C44" s="265" t="s">
        <v>115</v>
      </c>
      <c r="D44" s="265">
        <f t="shared" si="97"/>
        <v>42735</v>
      </c>
      <c r="E44" s="915" t="s">
        <v>117</v>
      </c>
      <c r="F44" s="916">
        <f ca="1">CR52</f>
        <v>0</v>
      </c>
      <c r="G44" s="917" t="s">
        <v>109</v>
      </c>
      <c r="H44" s="917" t="s">
        <v>101</v>
      </c>
      <c r="I44" s="63">
        <f t="shared" ca="1" si="0"/>
        <v>6</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73"/>
        <v>0</v>
      </c>
      <c r="AU44" s="264">
        <f t="shared" si="74"/>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81"/>
        <v>0</v>
      </c>
      <c r="BW44" s="264">
        <f t="shared" si="8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6.5" customHeight="1">
      <c r="A45" s="63">
        <f t="array" aca="1" ref="A45" ca="1">IF(C45&lt;&gt;0,SUM(($C$11:C45&lt;&gt;0)*1),"")</f>
        <v>7</v>
      </c>
      <c r="B45" s="262">
        <v>42735</v>
      </c>
      <c r="C45" s="265" t="s">
        <v>115</v>
      </c>
      <c r="D45" s="265">
        <f t="shared" si="97"/>
        <v>42735</v>
      </c>
      <c r="E45" s="915" t="s">
        <v>215</v>
      </c>
      <c r="F45" s="916"/>
      <c r="G45" s="917" t="s">
        <v>109</v>
      </c>
      <c r="H45" s="917" t="s">
        <v>94</v>
      </c>
      <c r="I45" s="63">
        <f t="shared" ca="1" si="0"/>
        <v>7</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73"/>
        <v>0</v>
      </c>
      <c r="AU45" s="264">
        <f t="shared" si="74"/>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81"/>
        <v>0</v>
      </c>
      <c r="BW45" s="264">
        <f t="shared" si="8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6.5" customHeight="1">
      <c r="A46" s="63">
        <f t="array" aca="1" ref="A46" ca="1">IF(C46&lt;&gt;0,SUM(($C$11:C46&lt;&gt;0)*1),"")</f>
        <v>8</v>
      </c>
      <c r="B46" s="262">
        <v>42735</v>
      </c>
      <c r="C46" s="265" t="s">
        <v>115</v>
      </c>
      <c r="D46" s="265">
        <f t="shared" si="97"/>
        <v>42735</v>
      </c>
      <c r="E46" s="915" t="s">
        <v>118</v>
      </c>
      <c r="F46" s="916">
        <f ca="1">CI52</f>
        <v>0</v>
      </c>
      <c r="G46" s="917" t="s">
        <v>43</v>
      </c>
      <c r="H46" s="917" t="s">
        <v>109</v>
      </c>
      <c r="I46" s="63">
        <f t="shared" ca="1" si="0"/>
        <v>8</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73"/>
        <v>0</v>
      </c>
      <c r="AU46" s="264">
        <f t="shared" si="74"/>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81"/>
        <v>0</v>
      </c>
      <c r="BW46" s="264">
        <f t="shared" si="8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6.5" customHeight="1">
      <c r="A47" s="63">
        <f t="array" aca="1" ref="A47" ca="1">IF(C47&lt;&gt;0,SUM(($C$11:C47&lt;&gt;0)*1),"")</f>
        <v>9</v>
      </c>
      <c r="B47" s="262">
        <v>42735</v>
      </c>
      <c r="C47" s="265" t="s">
        <v>115</v>
      </c>
      <c r="D47" s="265">
        <f t="shared" si="97"/>
        <v>42735</v>
      </c>
      <c r="E47" s="915" t="s">
        <v>671</v>
      </c>
      <c r="F47" s="916">
        <f ca="1">CE52</f>
        <v>0</v>
      </c>
      <c r="G47" s="917" t="s">
        <v>297</v>
      </c>
      <c r="H47" s="917" t="s">
        <v>109</v>
      </c>
      <c r="I47" s="63">
        <f t="shared" ca="1" si="0"/>
        <v>9</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73"/>
        <v>0</v>
      </c>
      <c r="AU47" s="264">
        <f t="shared" si="74"/>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81"/>
        <v>0</v>
      </c>
      <c r="BW47" s="264">
        <f t="shared" si="8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6.5" customHeight="1">
      <c r="A48" s="63">
        <f t="array" aca="1" ref="A48" ca="1">IF(C48&lt;&gt;0,SUM(($C$11:C48&lt;&gt;0)*1),"")</f>
        <v>10</v>
      </c>
      <c r="B48" s="262">
        <v>42735</v>
      </c>
      <c r="C48" s="265" t="s">
        <v>115</v>
      </c>
      <c r="D48" s="265">
        <f t="shared" si="97"/>
        <v>42735</v>
      </c>
      <c r="E48" s="915" t="s">
        <v>672</v>
      </c>
      <c r="F48" s="916">
        <f ca="1">CG52</f>
        <v>0</v>
      </c>
      <c r="G48" s="917" t="s">
        <v>299</v>
      </c>
      <c r="H48" s="917" t="s">
        <v>109</v>
      </c>
      <c r="I48" s="63">
        <f t="shared" ca="1" si="0"/>
        <v>10</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73"/>
        <v>0</v>
      </c>
      <c r="AU48" s="264">
        <f t="shared" si="74"/>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81"/>
        <v>0</v>
      </c>
      <c r="BW48" s="264">
        <f t="shared" si="8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6.5" customHeight="1">
      <c r="A49" s="63">
        <f t="array" aca="1" ref="A49" ca="1">IF(C49&lt;&gt;0,SUM(($C$11:C49&lt;&gt;0)*1),"")</f>
        <v>11</v>
      </c>
      <c r="B49" s="262">
        <v>42735</v>
      </c>
      <c r="C49" s="265" t="s">
        <v>115</v>
      </c>
      <c r="D49" s="265">
        <f t="shared" si="97"/>
        <v>42735</v>
      </c>
      <c r="E49" s="915" t="s">
        <v>119</v>
      </c>
      <c r="F49" s="916">
        <f ca="1">CU52</f>
        <v>0</v>
      </c>
      <c r="G49" s="917" t="s">
        <v>103</v>
      </c>
      <c r="H49" s="917" t="s">
        <v>109</v>
      </c>
      <c r="I49" s="63">
        <f t="shared" ca="1" si="0"/>
        <v>11</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73"/>
        <v>0</v>
      </c>
      <c r="AU49" s="264">
        <f t="shared" si="74"/>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81"/>
        <v>0</v>
      </c>
      <c r="BW49" s="264">
        <f t="shared" si="8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6.5" customHeight="1">
      <c r="A50" s="63">
        <f t="array" aca="1" ref="A50" ca="1">IF(C50&lt;&gt;0,SUM(($C$11:C50&lt;&gt;0)*1),"")</f>
        <v>12</v>
      </c>
      <c r="B50" s="262">
        <v>42735</v>
      </c>
      <c r="C50" s="265" t="s">
        <v>115</v>
      </c>
      <c r="D50" s="265">
        <f t="shared" si="97"/>
        <v>42735</v>
      </c>
      <c r="E50" s="915" t="s">
        <v>120</v>
      </c>
      <c r="F50" s="916">
        <f ca="1">CV52</f>
        <v>0</v>
      </c>
      <c r="G50" s="917" t="s">
        <v>109</v>
      </c>
      <c r="H50" s="917" t="s">
        <v>105</v>
      </c>
      <c r="I50" s="63">
        <f t="shared" ca="1" si="0"/>
        <v>12</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73"/>
        <v>0</v>
      </c>
      <c r="AU50" s="264">
        <f t="shared" si="74"/>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81"/>
        <v>0</v>
      </c>
      <c r="BW50" s="264">
        <f t="shared" si="8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6.5" customHeight="1">
      <c r="A51" s="63" t="str">
        <f t="array" ref="A51">IF(C51&lt;&gt;0,SUM(($C$11:C51&lt;&gt;0)*1),"")</f>
        <v/>
      </c>
      <c r="B51" s="228"/>
      <c r="C51" s="228"/>
      <c r="D51" s="228"/>
      <c r="E51" s="263"/>
      <c r="F51" s="65"/>
      <c r="G51" s="267"/>
      <c r="H51" s="267"/>
      <c r="I51" s="63" t="str">
        <f>A51</f>
        <v/>
      </c>
      <c r="J51" s="264">
        <f>IF($G51="1111",$F51,0)</f>
        <v>0</v>
      </c>
      <c r="K51" s="264">
        <f>IF($H51="1111",$F51,0)</f>
        <v>0</v>
      </c>
      <c r="L51" s="264">
        <f>IF($G51="1121",$F51,0)</f>
        <v>0</v>
      </c>
      <c r="M51" s="264">
        <f>IF($H51="1121",$F51,0)</f>
        <v>0</v>
      </c>
      <c r="N51" s="264">
        <f>IF($G51="1122",$F51,0)</f>
        <v>0</v>
      </c>
      <c r="O51" s="264">
        <f>IF($H51="1122",$F51,0)</f>
        <v>0</v>
      </c>
      <c r="P51" s="264">
        <f>IF($G51="131",$F51,0)</f>
        <v>0</v>
      </c>
      <c r="Q51" s="264">
        <f>IF($H51="131",$F51,0)</f>
        <v>0</v>
      </c>
      <c r="R51" s="264">
        <f>IF($G51="1331",$F51,0)</f>
        <v>0</v>
      </c>
      <c r="S51" s="264">
        <f>IF($H51="1331",$F51,0)</f>
        <v>0</v>
      </c>
      <c r="T51" s="264">
        <f>IF($G51="1388",$F51,0)</f>
        <v>0</v>
      </c>
      <c r="U51" s="264">
        <f>IF($H51="1388",$F51,0)</f>
        <v>0</v>
      </c>
      <c r="V51" s="264">
        <f>IF($G51="141",$F51,0)</f>
        <v>0</v>
      </c>
      <c r="W51" s="264">
        <f>IF($H51="141",$F51,0)</f>
        <v>0</v>
      </c>
      <c r="X51" s="264">
        <f>IF($G51="1521",$F51,0)</f>
        <v>0</v>
      </c>
      <c r="Y51" s="264">
        <f>IF($H51="1521",$F51,0)</f>
        <v>0</v>
      </c>
      <c r="Z51" s="264">
        <f>IF($G51="1522",$F51,0)</f>
        <v>0</v>
      </c>
      <c r="AA51" s="264">
        <f>IF($H51="1522",$F51,0)</f>
        <v>0</v>
      </c>
      <c r="AB51" s="264">
        <f>IF($G51="153",$F51,0)</f>
        <v>0</v>
      </c>
      <c r="AC51" s="264">
        <f>IF($H51="153",$F51,0)</f>
        <v>0</v>
      </c>
      <c r="AD51" s="264">
        <f>IF($G51="154",$F51,0)</f>
        <v>0</v>
      </c>
      <c r="AE51" s="264">
        <f>IF($H51="154",$F51,0)</f>
        <v>0</v>
      </c>
      <c r="AF51" s="264">
        <f>IF($G51="155",$F51,0)</f>
        <v>0</v>
      </c>
      <c r="AG51" s="264">
        <f>IF($H51="155",$F51,0)</f>
        <v>0</v>
      </c>
      <c r="AH51" s="264">
        <f>IF($G51="2111",$F51,0)</f>
        <v>0</v>
      </c>
      <c r="AI51" s="264">
        <f>IF($H51="2111",$F51,0)</f>
        <v>0</v>
      </c>
      <c r="AJ51" s="264">
        <f>IF($G51="2112",$F51,0)</f>
        <v>0</v>
      </c>
      <c r="AK51" s="264">
        <f>IF($H51="2112",$F51,0)</f>
        <v>0</v>
      </c>
      <c r="AL51" s="264">
        <f>IF($G51="2113",$F51,0)</f>
        <v>0</v>
      </c>
      <c r="AM51" s="264">
        <f>IF($H51="2113",$F51,0)</f>
        <v>0</v>
      </c>
      <c r="AN51" s="264">
        <f>IF($G51="2131",$F51,0)</f>
        <v>0</v>
      </c>
      <c r="AO51" s="264">
        <f>IF($H51="2131",$F51,0)</f>
        <v>0</v>
      </c>
      <c r="AP51" s="264">
        <f>IF($G51="2141",$F51,0)</f>
        <v>0</v>
      </c>
      <c r="AQ51" s="264">
        <f>IF($H51="2141",$F51,0)</f>
        <v>0</v>
      </c>
      <c r="AR51" s="264">
        <f>IF($G51="2143",$F51,0)</f>
        <v>0</v>
      </c>
      <c r="AS51" s="264">
        <f>IF($H51="2143",$F51,0)</f>
        <v>0</v>
      </c>
      <c r="AT51" s="264">
        <f>IF($G51="2412",$F51,0)</f>
        <v>0</v>
      </c>
      <c r="AU51" s="264">
        <f>IF($H51="2412",$F51,0)</f>
        <v>0</v>
      </c>
      <c r="AV51" s="264">
        <f>IF($G51="331",$F51,0)</f>
        <v>0</v>
      </c>
      <c r="AW51" s="264">
        <f>IF($H51="331",$F51,0)</f>
        <v>0</v>
      </c>
      <c r="AX51" s="264">
        <f>IF($G51="33311",$F51,0)</f>
        <v>0</v>
      </c>
      <c r="AY51" s="264">
        <f>IF($H51="33311",$F51,0)</f>
        <v>0</v>
      </c>
      <c r="AZ51" s="264">
        <f>IF($G51="33312",$F51,0)</f>
        <v>0</v>
      </c>
      <c r="BA51" s="264">
        <f>IF($H51="33312",$F51,0)</f>
        <v>0</v>
      </c>
      <c r="BB51" s="264">
        <f>IF($G51="3333",$F51,0)</f>
        <v>0</v>
      </c>
      <c r="BC51" s="264">
        <f>IF($H51="3333",$F51,0)</f>
        <v>0</v>
      </c>
      <c r="BD51" s="264">
        <f>IF($G51="3334",$F51,0)</f>
        <v>0</v>
      </c>
      <c r="BE51" s="264">
        <f>IF($H51="3334",$F51,0)</f>
        <v>0</v>
      </c>
      <c r="BF51" s="264">
        <f>IF($G51="3335",$F51,0)</f>
        <v>0</v>
      </c>
      <c r="BG51" s="264">
        <f>IF($H51="3335",$F51,0)</f>
        <v>0</v>
      </c>
      <c r="BH51" s="264">
        <f>IF($G51="33382",$F51,0)</f>
        <v>0</v>
      </c>
      <c r="BI51" s="264">
        <f>IF($H51="33382",$F51,0)</f>
        <v>0</v>
      </c>
      <c r="BJ51" s="264">
        <f>IF($G51="3341",$F51,0)</f>
        <v>0</v>
      </c>
      <c r="BK51" s="264">
        <f>IF($H51="3341",$F51,0)</f>
        <v>0</v>
      </c>
      <c r="BL51" s="264">
        <f>IF($G51="3383",$F51,0)</f>
        <v>0</v>
      </c>
      <c r="BM51" s="264">
        <f>IF($H51="3383",$F51,0)</f>
        <v>0</v>
      </c>
      <c r="BN51" s="264">
        <f>IF($G51="3384",$F51,0)</f>
        <v>0</v>
      </c>
      <c r="BO51" s="264">
        <f>IF($H51="3384",$F51,0)</f>
        <v>0</v>
      </c>
      <c r="BP51" s="264">
        <f>IF($G51="3386",$F51,0)</f>
        <v>0</v>
      </c>
      <c r="BQ51" s="264">
        <f>IF($H51="3386",$F51,0)</f>
        <v>0</v>
      </c>
      <c r="BR51" s="264">
        <f>IF($G51="3388",$F51,0)</f>
        <v>0</v>
      </c>
      <c r="BS51" s="264">
        <f>IF($H51="3388",$F51,0)</f>
        <v>0</v>
      </c>
      <c r="BT51" s="264">
        <f>IF($G51="3411",$F51,0)</f>
        <v>0</v>
      </c>
      <c r="BU51" s="264">
        <f>IF($H51="3411",$F51,0)</f>
        <v>0</v>
      </c>
      <c r="BV51" s="264">
        <f>IF($G51="3412",$F51,0)</f>
        <v>0</v>
      </c>
      <c r="BW51" s="264">
        <f>IF($H51="3412",$F51,0)</f>
        <v>0</v>
      </c>
      <c r="BX51" s="264">
        <f>IF($G51="4111",$F51,0)</f>
        <v>0</v>
      </c>
      <c r="BY51" s="264">
        <f>IF($H51="4111",$F51,0)</f>
        <v>0</v>
      </c>
      <c r="BZ51" s="264">
        <f>IF($G51="4211",$F51,0)</f>
        <v>0</v>
      </c>
      <c r="CA51" s="264">
        <f>IF($H51="4211",$F51,0)</f>
        <v>0</v>
      </c>
      <c r="CB51" s="264">
        <f>IF($G51="4212",$F51,0)</f>
        <v>0</v>
      </c>
      <c r="CC51" s="264">
        <f>IF($H51="4212",$F51,0)</f>
        <v>0</v>
      </c>
      <c r="CD51" s="264">
        <f>IF($G51="5112N",$F51,0)</f>
        <v>0</v>
      </c>
      <c r="CE51" s="264">
        <f>IF($H51="5112N",$F51,0)</f>
        <v>0</v>
      </c>
      <c r="CF51" s="264">
        <f>IF($G51="5112X",$F51,0)</f>
        <v>0</v>
      </c>
      <c r="CG51" s="264">
        <f>IF($H51="5112X",$F51,0)</f>
        <v>0</v>
      </c>
      <c r="CH51" s="264">
        <f>IF($G51="515",$F51,0)</f>
        <v>0</v>
      </c>
      <c r="CI51" s="264">
        <f>IF($H51="515",$F51,0)</f>
        <v>0</v>
      </c>
      <c r="CJ51" s="264">
        <f>IF($G51="5213",$F51,0)</f>
        <v>0</v>
      </c>
      <c r="CK51" s="264">
        <f>IF($H51="5213",$F51,0)</f>
        <v>0</v>
      </c>
      <c r="CL51" s="264">
        <f>IF($G51="632",$F51,0)</f>
        <v>0</v>
      </c>
      <c r="CM51" s="264">
        <f>IF($H51="632",$F51,0)</f>
        <v>0</v>
      </c>
      <c r="CN51" s="264">
        <f>IF($G51="635",$F51,0)</f>
        <v>0</v>
      </c>
      <c r="CO51" s="264">
        <f>IF($H51="635",$F51,0)</f>
        <v>0</v>
      </c>
      <c r="CP51" s="264">
        <f>IF($G51="641",$F51,0)</f>
        <v>0</v>
      </c>
      <c r="CQ51" s="264">
        <f>IF($H51="641",$F51,0)</f>
        <v>0</v>
      </c>
      <c r="CR51" s="264">
        <f>IF($G51="642",$F51,0)</f>
        <v>0</v>
      </c>
      <c r="CS51" s="264">
        <f>IF($H51="642",$F51,0)</f>
        <v>0</v>
      </c>
      <c r="CT51" s="264">
        <f>IF($G51="711",$F51,0)</f>
        <v>0</v>
      </c>
      <c r="CU51" s="264">
        <f>IF($H51="711",$F51,0)</f>
        <v>0</v>
      </c>
      <c r="CV51" s="264">
        <f>IF($G51="811",$F51,0)</f>
        <v>0</v>
      </c>
      <c r="CW51" s="264">
        <f>IF($H51="811",$F51,0)</f>
        <v>0</v>
      </c>
      <c r="CX51" s="264">
        <f>IF($G51="821",$F51,0)</f>
        <v>0</v>
      </c>
      <c r="CY51" s="264">
        <f>IF($H51="821",$F51,0)</f>
        <v>0</v>
      </c>
      <c r="CZ51" s="264">
        <f>IF($G51="911",$F51,0)</f>
        <v>0</v>
      </c>
      <c r="DA51" s="264">
        <f>IF($H51="911",$F51,0)</f>
        <v>0</v>
      </c>
    </row>
    <row r="52" spans="1:105" s="261" customFormat="1" ht="16.5" customHeight="1">
      <c r="A52" s="268"/>
      <c r="B52" s="228"/>
      <c r="C52" s="297"/>
      <c r="D52" s="228"/>
      <c r="E52" s="263" t="s">
        <v>175</v>
      </c>
      <c r="F52" s="268"/>
      <c r="G52" s="267"/>
      <c r="H52" s="267"/>
      <c r="I52" s="268"/>
      <c r="J52" s="268">
        <f t="shared" ref="J52:AO52" ca="1" si="98">SUM(J11:J51)</f>
        <v>0</v>
      </c>
      <c r="K52" s="268">
        <f t="shared" ca="1" si="98"/>
        <v>0</v>
      </c>
      <c r="L52" s="268">
        <f t="shared" ca="1" si="98"/>
        <v>0</v>
      </c>
      <c r="M52" s="268">
        <f t="shared" ca="1" si="98"/>
        <v>0</v>
      </c>
      <c r="N52" s="268">
        <f t="shared" ca="1" si="98"/>
        <v>0</v>
      </c>
      <c r="O52" s="268">
        <f t="shared" ca="1" si="98"/>
        <v>0</v>
      </c>
      <c r="P52" s="268">
        <f t="shared" ca="1" si="98"/>
        <v>0</v>
      </c>
      <c r="Q52" s="268">
        <f t="shared" ca="1" si="98"/>
        <v>0</v>
      </c>
      <c r="R52" s="268">
        <f t="shared" ca="1" si="98"/>
        <v>0</v>
      </c>
      <c r="S52" s="268">
        <f t="shared" ca="1" si="98"/>
        <v>0</v>
      </c>
      <c r="T52" s="268">
        <f t="shared" ca="1" si="98"/>
        <v>0</v>
      </c>
      <c r="U52" s="268">
        <f t="shared" ca="1" si="98"/>
        <v>0</v>
      </c>
      <c r="V52" s="268">
        <f t="shared" ca="1" si="98"/>
        <v>0</v>
      </c>
      <c r="W52" s="268">
        <f t="shared" ca="1" si="98"/>
        <v>0</v>
      </c>
      <c r="X52" s="268">
        <f t="shared" ca="1" si="98"/>
        <v>0</v>
      </c>
      <c r="Y52" s="268">
        <f t="shared" ca="1" si="98"/>
        <v>0</v>
      </c>
      <c r="Z52" s="268">
        <f t="shared" ca="1" si="98"/>
        <v>0</v>
      </c>
      <c r="AA52" s="268">
        <f t="shared" ca="1" si="98"/>
        <v>0</v>
      </c>
      <c r="AB52" s="268">
        <f t="shared" ca="1" si="98"/>
        <v>0</v>
      </c>
      <c r="AC52" s="268">
        <f t="shared" ca="1" si="98"/>
        <v>0</v>
      </c>
      <c r="AD52" s="268">
        <f t="shared" ca="1" si="98"/>
        <v>0</v>
      </c>
      <c r="AE52" s="268">
        <f t="shared" ca="1" si="98"/>
        <v>0</v>
      </c>
      <c r="AF52" s="268">
        <f t="shared" ca="1" si="98"/>
        <v>0</v>
      </c>
      <c r="AG52" s="268">
        <f t="shared" ca="1" si="98"/>
        <v>0</v>
      </c>
      <c r="AH52" s="268">
        <f t="shared" ca="1" si="98"/>
        <v>0</v>
      </c>
      <c r="AI52" s="268">
        <f t="shared" ca="1" si="98"/>
        <v>0</v>
      </c>
      <c r="AJ52" s="268">
        <f t="shared" ca="1" si="98"/>
        <v>0</v>
      </c>
      <c r="AK52" s="268">
        <f t="shared" ca="1" si="98"/>
        <v>0</v>
      </c>
      <c r="AL52" s="268">
        <f t="shared" ca="1" si="98"/>
        <v>0</v>
      </c>
      <c r="AM52" s="268">
        <f t="shared" ca="1" si="98"/>
        <v>0</v>
      </c>
      <c r="AN52" s="268">
        <f t="shared" ca="1" si="98"/>
        <v>0</v>
      </c>
      <c r="AO52" s="268">
        <f t="shared" ca="1" si="98"/>
        <v>0</v>
      </c>
      <c r="AP52" s="268">
        <f t="shared" ref="AP52:BU52" ca="1" si="99">SUM(AP11:AP51)</f>
        <v>0</v>
      </c>
      <c r="AQ52" s="268">
        <f t="shared" ca="1" si="99"/>
        <v>0</v>
      </c>
      <c r="AR52" s="268">
        <f t="shared" ca="1" si="99"/>
        <v>0</v>
      </c>
      <c r="AS52" s="268">
        <f t="shared" ca="1" si="99"/>
        <v>0</v>
      </c>
      <c r="AT52" s="268">
        <f t="shared" ca="1" si="99"/>
        <v>0</v>
      </c>
      <c r="AU52" s="268">
        <f t="shared" ca="1" si="99"/>
        <v>0</v>
      </c>
      <c r="AV52" s="268">
        <f t="shared" ca="1" si="99"/>
        <v>0</v>
      </c>
      <c r="AW52" s="268">
        <f t="shared" ca="1" si="99"/>
        <v>0</v>
      </c>
      <c r="AX52" s="268">
        <f t="shared" ca="1" si="99"/>
        <v>0</v>
      </c>
      <c r="AY52" s="268">
        <f t="shared" ca="1" si="99"/>
        <v>0</v>
      </c>
      <c r="AZ52" s="268">
        <f t="shared" ca="1" si="99"/>
        <v>0</v>
      </c>
      <c r="BA52" s="268">
        <f t="shared" ca="1" si="99"/>
        <v>0</v>
      </c>
      <c r="BB52" s="268">
        <f t="shared" ca="1" si="99"/>
        <v>0</v>
      </c>
      <c r="BC52" s="268">
        <f t="shared" ca="1" si="99"/>
        <v>0</v>
      </c>
      <c r="BD52" s="268">
        <f t="shared" ca="1" si="99"/>
        <v>0</v>
      </c>
      <c r="BE52" s="268">
        <f t="shared" ca="1" si="99"/>
        <v>0</v>
      </c>
      <c r="BF52" s="268">
        <f t="shared" ca="1" si="99"/>
        <v>0</v>
      </c>
      <c r="BG52" s="268">
        <f t="shared" ca="1" si="99"/>
        <v>0</v>
      </c>
      <c r="BH52" s="268">
        <f t="shared" ca="1" si="99"/>
        <v>0</v>
      </c>
      <c r="BI52" s="268">
        <f t="shared" ca="1" si="99"/>
        <v>0</v>
      </c>
      <c r="BJ52" s="268">
        <f t="shared" ca="1" si="99"/>
        <v>0</v>
      </c>
      <c r="BK52" s="268">
        <f t="shared" ca="1" si="99"/>
        <v>0</v>
      </c>
      <c r="BL52" s="268">
        <f t="shared" ca="1" si="99"/>
        <v>0</v>
      </c>
      <c r="BM52" s="268">
        <f t="shared" ca="1" si="99"/>
        <v>0</v>
      </c>
      <c r="BN52" s="268">
        <f t="shared" ca="1" si="99"/>
        <v>0</v>
      </c>
      <c r="BO52" s="268">
        <f t="shared" ca="1" si="99"/>
        <v>0</v>
      </c>
      <c r="BP52" s="268">
        <f t="shared" ca="1" si="99"/>
        <v>0</v>
      </c>
      <c r="BQ52" s="268">
        <f t="shared" ca="1" si="99"/>
        <v>0</v>
      </c>
      <c r="BR52" s="268">
        <f t="shared" ca="1" si="99"/>
        <v>0</v>
      </c>
      <c r="BS52" s="268">
        <f t="shared" ca="1" si="99"/>
        <v>0</v>
      </c>
      <c r="BT52" s="268">
        <f t="shared" ca="1" si="99"/>
        <v>0</v>
      </c>
      <c r="BU52" s="268">
        <f t="shared" ca="1" si="99"/>
        <v>0</v>
      </c>
      <c r="BV52" s="268">
        <f t="shared" ref="BV52:DA52" ca="1" si="100">SUM(BV11:BV51)</f>
        <v>0</v>
      </c>
      <c r="BW52" s="268">
        <f t="shared" ca="1" si="100"/>
        <v>0</v>
      </c>
      <c r="BX52" s="268">
        <f t="shared" ca="1" si="100"/>
        <v>0</v>
      </c>
      <c r="BY52" s="268">
        <f t="shared" ca="1" si="100"/>
        <v>0</v>
      </c>
      <c r="BZ52" s="268">
        <f t="shared" ca="1" si="100"/>
        <v>0</v>
      </c>
      <c r="CA52" s="268">
        <f t="shared" ca="1" si="100"/>
        <v>0</v>
      </c>
      <c r="CB52" s="268">
        <f t="shared" ca="1" si="100"/>
        <v>0</v>
      </c>
      <c r="CC52" s="268">
        <f t="shared" ca="1" si="100"/>
        <v>0</v>
      </c>
      <c r="CD52" s="268">
        <f t="shared" ca="1" si="100"/>
        <v>0</v>
      </c>
      <c r="CE52" s="268">
        <f t="shared" ca="1" si="100"/>
        <v>0</v>
      </c>
      <c r="CF52" s="268">
        <f t="shared" ca="1" si="100"/>
        <v>0</v>
      </c>
      <c r="CG52" s="268">
        <f t="shared" ca="1" si="100"/>
        <v>0</v>
      </c>
      <c r="CH52" s="268">
        <f t="shared" ca="1" si="100"/>
        <v>0</v>
      </c>
      <c r="CI52" s="268">
        <f t="shared" ca="1" si="100"/>
        <v>0</v>
      </c>
      <c r="CJ52" s="268">
        <f t="shared" ca="1" si="100"/>
        <v>0</v>
      </c>
      <c r="CK52" s="268">
        <f t="shared" ca="1" si="100"/>
        <v>0</v>
      </c>
      <c r="CL52" s="268">
        <f t="shared" ca="1" si="100"/>
        <v>0</v>
      </c>
      <c r="CM52" s="268">
        <f t="shared" ca="1" si="100"/>
        <v>0</v>
      </c>
      <c r="CN52" s="268">
        <f t="shared" ca="1" si="100"/>
        <v>0</v>
      </c>
      <c r="CO52" s="268">
        <f t="shared" ca="1" si="100"/>
        <v>0</v>
      </c>
      <c r="CP52" s="268">
        <f t="shared" ca="1" si="100"/>
        <v>0</v>
      </c>
      <c r="CQ52" s="268">
        <f t="shared" ca="1" si="100"/>
        <v>0</v>
      </c>
      <c r="CR52" s="268">
        <f t="shared" ca="1" si="100"/>
        <v>0</v>
      </c>
      <c r="CS52" s="268">
        <f t="shared" ca="1" si="100"/>
        <v>0</v>
      </c>
      <c r="CT52" s="268">
        <f t="shared" ca="1" si="100"/>
        <v>0</v>
      </c>
      <c r="CU52" s="268">
        <f t="shared" ca="1" si="100"/>
        <v>0</v>
      </c>
      <c r="CV52" s="268">
        <f t="shared" ca="1" si="100"/>
        <v>0</v>
      </c>
      <c r="CW52" s="268">
        <f t="shared" ca="1" si="100"/>
        <v>0</v>
      </c>
      <c r="CX52" s="268">
        <f t="shared" ca="1" si="100"/>
        <v>0</v>
      </c>
      <c r="CY52" s="268">
        <f t="shared" ca="1" si="100"/>
        <v>0</v>
      </c>
      <c r="CZ52" s="268">
        <f t="shared" ca="1" si="100"/>
        <v>0</v>
      </c>
      <c r="DA52" s="268">
        <f t="shared" ca="1" si="100"/>
        <v>0</v>
      </c>
    </row>
    <row r="53" spans="1:105" s="261" customFormat="1" ht="16.5" customHeight="1">
      <c r="A53" s="269"/>
      <c r="B53" s="269"/>
      <c r="C53" s="269"/>
      <c r="D53" s="269"/>
      <c r="E53" s="270" t="s">
        <v>216</v>
      </c>
      <c r="F53" s="269"/>
      <c r="G53" s="271"/>
      <c r="H53" s="271"/>
      <c r="I53" s="269"/>
      <c r="J53" s="291">
        <f ca="1">MAX(J10+J52-K10-K52,0)</f>
        <v>3705039095</v>
      </c>
      <c r="K53" s="291">
        <f ca="1">MAX(K10+K52-J10-J52,0)</f>
        <v>0</v>
      </c>
      <c r="L53" s="291">
        <f ca="1">MAX(L10+L52-M10-M52,0)</f>
        <v>19829295</v>
      </c>
      <c r="M53" s="291">
        <f ca="1">MAX(M10+M52-L10-L52,0)</f>
        <v>0</v>
      </c>
      <c r="N53" s="291">
        <f ca="1">MAX(N10+N52-O10-O52,0)</f>
        <v>2236796790</v>
      </c>
      <c r="O53" s="291">
        <f ca="1">MAX(O10+O52-N10-N52,0)</f>
        <v>0</v>
      </c>
      <c r="P53" s="291">
        <f ca="1">MAX(P10+P52-Q10-Q52,0)</f>
        <v>3343381600</v>
      </c>
      <c r="Q53" s="291">
        <f ca="1">MAX(Q10+Q52-P10-P52,0)</f>
        <v>0</v>
      </c>
      <c r="R53" s="291">
        <f ca="1">MAX(R10+R52-S10-S52,0)</f>
        <v>162420936</v>
      </c>
      <c r="S53" s="291">
        <f ca="1">MAX(S10+S52-R10-R52,0)</f>
        <v>0</v>
      </c>
      <c r="T53" s="291">
        <f ca="1">MAX(T10+T52-U10-U52,0)</f>
        <v>1500000000</v>
      </c>
      <c r="U53" s="291">
        <f ca="1">MAX(U10+U52-T10-T52,0)</f>
        <v>0</v>
      </c>
      <c r="V53" s="291">
        <f ca="1">MAX(V10+V52-W10-W52,0)</f>
        <v>0</v>
      </c>
      <c r="W53" s="291">
        <f ca="1">MAX(W10+W52-V10-V52,0)</f>
        <v>0</v>
      </c>
      <c r="X53" s="291">
        <f ca="1">MAX(X10+X52-Y10-Y52,0)</f>
        <v>2772400000</v>
      </c>
      <c r="Y53" s="291">
        <f ca="1">MAX(Y10+Y52-X10-X52,0)</f>
        <v>0</v>
      </c>
      <c r="Z53" s="291">
        <f ca="1">MAX(Z10+Z52-AA10-AA52,0)</f>
        <v>526519887</v>
      </c>
      <c r="AA53" s="291">
        <f ca="1">MAX(AA10+AA52-Z10-Z52,0)</f>
        <v>0</v>
      </c>
      <c r="AB53" s="291">
        <f ca="1">MAX(AB10+AB52-AC10-AC52,0)</f>
        <v>0</v>
      </c>
      <c r="AC53" s="291">
        <f ca="1">MAX(AC10+AC52-AB10-AB52,0)</f>
        <v>0</v>
      </c>
      <c r="AD53" s="291">
        <f ca="1">MAX(AD10+AD52-AE10-AE52,0)</f>
        <v>0</v>
      </c>
      <c r="AE53" s="291">
        <f ca="1">MAX(AE10+AE52-AD10-AD52,0)</f>
        <v>0</v>
      </c>
      <c r="AF53" s="291">
        <f ca="1">MAX(AF10+AF52-AG10-AG52,0)</f>
        <v>9386323824</v>
      </c>
      <c r="AG53" s="291">
        <f ca="1">MAX(AG10+AG52-AF10-AF52,0)</f>
        <v>0</v>
      </c>
      <c r="AH53" s="291">
        <f ca="1">MAX(AH10+AH52-AI10-AI52,0)</f>
        <v>7490743648</v>
      </c>
      <c r="AI53" s="291">
        <f ca="1">MAX(AI10+AI52-AH10-AH52,0)</f>
        <v>0</v>
      </c>
      <c r="AJ53" s="291">
        <f ca="1">MAX(AJ10+AJ52-AK10-AK52,0)</f>
        <v>3807898863</v>
      </c>
      <c r="AK53" s="291">
        <f ca="1">MAX(AK10+AK52-AJ10-AJ52,0)</f>
        <v>0</v>
      </c>
      <c r="AL53" s="291">
        <f ca="1">MAX(AL10+AL52-AM10-AM52,0)</f>
        <v>3790918485</v>
      </c>
      <c r="AM53" s="291">
        <f ca="1">MAX(AM10+AM52-AL10-AL52,0)</f>
        <v>0</v>
      </c>
      <c r="AN53" s="291">
        <f ca="1">MAX(AN10+AN52-AO10-AO52,0)</f>
        <v>5405781300</v>
      </c>
      <c r="AO53" s="291">
        <f ca="1">MAX(AO10+AO52-AN10-AN52,0)</f>
        <v>0</v>
      </c>
      <c r="AP53" s="291">
        <f ca="1">MAX(AP10+AP52-AQ10-AQ52,0)</f>
        <v>0</v>
      </c>
      <c r="AQ53" s="291">
        <f ca="1">MAX(AQ10+AQ52-AP10-AP52,0)</f>
        <v>9132359256</v>
      </c>
      <c r="AR53" s="291">
        <f ca="1">MAX(AR10+AR52-AS10-AS52,0)</f>
        <v>0</v>
      </c>
      <c r="AS53" s="291">
        <f ca="1">MAX(AS10+AS52-AR10-AR52,0)</f>
        <v>600642360</v>
      </c>
      <c r="AT53" s="291">
        <f ca="1">MAX(AT10+AT52-AU10-AU52,0)</f>
        <v>0</v>
      </c>
      <c r="AU53" s="291">
        <f ca="1">MAX(AU10+AU52-AT10-AT52,0)</f>
        <v>0</v>
      </c>
      <c r="AV53" s="291">
        <f ca="1">MAX(AV10+AV52-AW10-AW52,0)</f>
        <v>0</v>
      </c>
      <c r="AW53" s="291">
        <f ca="1">MAX(AW10+AW52-AV10-AV52,0)</f>
        <v>476953252</v>
      </c>
      <c r="AX53" s="291">
        <f ca="1">MAX(AX10+AX52-AY10-AY52,0)</f>
        <v>0</v>
      </c>
      <c r="AY53" s="291">
        <f ca="1">MAX(AY10+AY52-AX10-AX52,0)</f>
        <v>0</v>
      </c>
      <c r="AZ53" s="291">
        <f ca="1">MAX(AZ10+AZ52-BA10-BA52,0)</f>
        <v>0</v>
      </c>
      <c r="BA53" s="291">
        <f ca="1">MAX(BA10+BA52-AZ10-AZ52,0)</f>
        <v>0</v>
      </c>
      <c r="BB53" s="291">
        <f ca="1">MAX(BB10+BB52-BC10-BC52,0)</f>
        <v>0</v>
      </c>
      <c r="BC53" s="291">
        <f ca="1">MAX(BC10+BC52-BB10-BB52,0)</f>
        <v>0</v>
      </c>
      <c r="BD53" s="291">
        <f ca="1">MAX(BD10+BD52-BE10-BE52,0)</f>
        <v>0</v>
      </c>
      <c r="BE53" s="291">
        <f ca="1">MAX(BE10+BE52-BD10-BD52,0)</f>
        <v>3313435</v>
      </c>
      <c r="BF53" s="291">
        <f ca="1">MAX(BF10+BF52-BG10-BG52,0)</f>
        <v>3389804</v>
      </c>
      <c r="BG53" s="291">
        <f ca="1">MAX(BG10+BG52-BF10-BF52,0)</f>
        <v>0</v>
      </c>
      <c r="BH53" s="291">
        <f ca="1">MAX(BH10+BH52-BI10-BI52,0)</f>
        <v>0</v>
      </c>
      <c r="BI53" s="291">
        <f ca="1">MAX(BI10+BI52-BH10-BH52,0)</f>
        <v>0</v>
      </c>
      <c r="BJ53" s="291">
        <f ca="1">MAX(BJ10+BJ52-BK10-BK52,0)</f>
        <v>0</v>
      </c>
      <c r="BK53" s="291">
        <f ca="1">MAX(BK10+BK52-BJ10-BJ52,0)</f>
        <v>0</v>
      </c>
      <c r="BL53" s="291">
        <f ca="1">MAX(BL10+BL52-BM10-BM52,0)</f>
        <v>0</v>
      </c>
      <c r="BM53" s="291">
        <f ca="1">MAX(BM10+BM52-BL10-BL52,0)</f>
        <v>40272309</v>
      </c>
      <c r="BN53" s="291">
        <f ca="1">MAX(BN10+BN52-BO10-BO52,0)</f>
        <v>0</v>
      </c>
      <c r="BO53" s="291">
        <f ca="1">MAX(BO10+BO52-BN10-BN52,0)</f>
        <v>6403142</v>
      </c>
      <c r="BP53" s="291">
        <f ca="1">MAX(BP10+BP52-BQ10-BQ52,0)</f>
        <v>0</v>
      </c>
      <c r="BQ53" s="291">
        <f ca="1">MAX(BQ10+BQ52-BP10-BP52,0)</f>
        <v>2761373</v>
      </c>
      <c r="BR53" s="291">
        <f ca="1">MAX(BR10+BR52-BS10-BS52,0)</f>
        <v>0</v>
      </c>
      <c r="BS53" s="291">
        <f ca="1">MAX(BS10+BS52-BR10-BR52,0)</f>
        <v>0</v>
      </c>
      <c r="BT53" s="291">
        <f ca="1">MAX(BT10+BT52-BU10-BU52,0)</f>
        <v>0</v>
      </c>
      <c r="BU53" s="291">
        <f ca="1">MAX(BU10+BU52-BT10-BT52,0)</f>
        <v>2169121879</v>
      </c>
      <c r="BV53" s="291">
        <f ca="1">MAX(BV10+BV52-BW10-BW52,0)</f>
        <v>0</v>
      </c>
      <c r="BW53" s="291">
        <f ca="1">MAX(BW10+BW52-BV10-BV52,0)</f>
        <v>21202920500</v>
      </c>
      <c r="BX53" s="291">
        <f ca="1">MAX(BX10+BX52-BY10-BY52,0)</f>
        <v>0</v>
      </c>
      <c r="BY53" s="291">
        <f ca="1">MAX(BY10+BY52-BX10-BX52,0)</f>
        <v>10000000000</v>
      </c>
      <c r="BZ53" s="291">
        <f ca="1">MAX(BZ10+BZ52-CA10-CA52,0)</f>
        <v>0</v>
      </c>
      <c r="CA53" s="291">
        <f ca="1">MAX(CA10+CA52-BZ10-BZ52,0)</f>
        <v>594397022.00000048</v>
      </c>
      <c r="CB53" s="291">
        <f ca="1">MAX(CB10+CB52-CC10-CC52,0)</f>
        <v>77701001</v>
      </c>
      <c r="CC53" s="291">
        <f ca="1">MAX(CC10+CC52-CB10-CB52,0)</f>
        <v>0</v>
      </c>
      <c r="CD53" s="291">
        <f ca="1">MAX(CD10+CD52-CE10-CE52,0)</f>
        <v>0</v>
      </c>
      <c r="CE53" s="291">
        <f ca="1">MAX(CE10+CE52-CD10-CD52,0)</f>
        <v>0</v>
      </c>
      <c r="CF53" s="291">
        <f ca="1">MAX(CF10+CF52-CG10-CG52,0)</f>
        <v>0</v>
      </c>
      <c r="CG53" s="291">
        <f ca="1">MAX(CG10+CG52-CF10-CF52,0)</f>
        <v>0</v>
      </c>
      <c r="CH53" s="291">
        <f ca="1">MAX(CH10+CH52-CI10-CI52,0)</f>
        <v>0</v>
      </c>
      <c r="CI53" s="291">
        <f ca="1">MAX(CI10+CI52-CH10-CH52,0)</f>
        <v>0</v>
      </c>
      <c r="CJ53" s="291">
        <f ca="1">MAX(CJ10+CJ52-CK10-CK52,0)</f>
        <v>0</v>
      </c>
      <c r="CK53" s="291">
        <f ca="1">MAX(CK10+CK52-CJ10-CJ52,0)</f>
        <v>0</v>
      </c>
      <c r="CL53" s="291">
        <f ca="1">MAX(CL10+CL52-CM10-CM52,0)</f>
        <v>0</v>
      </c>
      <c r="CM53" s="291">
        <f ca="1">MAX(CM10+CM52-CL10-CL52,0)</f>
        <v>0</v>
      </c>
      <c r="CN53" s="291">
        <f ca="1">MAX(CN10+CN52-CO10-CO52,0)</f>
        <v>0</v>
      </c>
      <c r="CO53" s="291">
        <f ca="1">MAX(CO10+CO52-CN10-CN52,0)</f>
        <v>0</v>
      </c>
      <c r="CP53" s="291">
        <f ca="1">MAX(CP10+CP52-CQ10-CQ52,0)</f>
        <v>0</v>
      </c>
      <c r="CQ53" s="291">
        <f ca="1">MAX(CQ10+CQ52-CP10-CP52,0)</f>
        <v>0</v>
      </c>
      <c r="CR53" s="291">
        <f ca="1">MAX(CR10+CR52-CS10-CS52,0)</f>
        <v>0</v>
      </c>
      <c r="CS53" s="291">
        <f ca="1">MAX(CS10+CS52-CR10-CR52,0)</f>
        <v>0</v>
      </c>
      <c r="CT53" s="291">
        <f ca="1">MAX(CT10+CT52-CU10-CU52,0)</f>
        <v>0</v>
      </c>
      <c r="CU53" s="291">
        <f ca="1">MAX(CU10+CU52-CT10-CT52,0)</f>
        <v>0</v>
      </c>
      <c r="CV53" s="291">
        <f ca="1">MAX(CV10+CV52-CW10-CW52,0)</f>
        <v>0</v>
      </c>
      <c r="CW53" s="291">
        <f ca="1">MAX(CW10+CW52-CV10-CV52,0)</f>
        <v>0</v>
      </c>
      <c r="CX53" s="291">
        <f ca="1">MAX(CX10+CX52-CY10-CY52,0)</f>
        <v>0</v>
      </c>
      <c r="CY53" s="291">
        <f ca="1">MAX(CY10+CY52-CX10-CX52,0)</f>
        <v>0</v>
      </c>
      <c r="CZ53" s="291">
        <f ca="1">MAX(CZ10+CZ52-DA10-DA52,0)</f>
        <v>0</v>
      </c>
      <c r="DA53" s="291">
        <f ca="1">MAX(DA10+DA52-CZ10-CZ52,0)</f>
        <v>0</v>
      </c>
    </row>
    <row r="54" spans="1:105" s="261" customFormat="1" ht="16.5" customHeight="1">
      <c r="A54" s="273"/>
      <c r="B54" s="273"/>
      <c r="C54" s="274"/>
      <c r="D54" s="273"/>
      <c r="E54" s="275" t="s">
        <v>217</v>
      </c>
      <c r="F54" s="273"/>
      <c r="G54" s="276"/>
      <c r="H54" s="276"/>
      <c r="I54" s="273"/>
      <c r="J54" s="273">
        <f ca="1">J52+'SC-III'!J54</f>
        <v>0</v>
      </c>
      <c r="K54" s="273">
        <f ca="1">K52+'SC-III'!K54</f>
        <v>0</v>
      </c>
      <c r="L54" s="273">
        <f ca="1">L52+'SC-III'!L54</f>
        <v>0</v>
      </c>
      <c r="M54" s="273">
        <f ca="1">M52+'SC-III'!M54</f>
        <v>0</v>
      </c>
      <c r="N54" s="273">
        <f ca="1">N52+'SC-III'!N54</f>
        <v>0</v>
      </c>
      <c r="O54" s="273">
        <f ca="1">O52+'SC-III'!O54</f>
        <v>0</v>
      </c>
      <c r="P54" s="273">
        <f ca="1">P52+'SC-III'!P54</f>
        <v>0</v>
      </c>
      <c r="Q54" s="273">
        <f ca="1">Q52+'SC-III'!Q54</f>
        <v>0</v>
      </c>
      <c r="R54" s="273">
        <f ca="1">R52+'SC-III'!R54</f>
        <v>0</v>
      </c>
      <c r="S54" s="273">
        <f ca="1">S52+'SC-III'!S54</f>
        <v>0</v>
      </c>
      <c r="T54" s="273">
        <f ca="1">T52+'SC-III'!T54</f>
        <v>0</v>
      </c>
      <c r="U54" s="273">
        <f ca="1">U52+'SC-III'!U54</f>
        <v>0</v>
      </c>
      <c r="V54" s="273">
        <f ca="1">V52+'SC-III'!V54</f>
        <v>0</v>
      </c>
      <c r="W54" s="273">
        <f ca="1">W52+'SC-III'!W54</f>
        <v>0</v>
      </c>
      <c r="X54" s="273">
        <f ca="1">X52+'SC-III'!X54</f>
        <v>0</v>
      </c>
      <c r="Y54" s="273">
        <f ca="1">Y52+'SC-III'!Y54</f>
        <v>0</v>
      </c>
      <c r="Z54" s="273">
        <f ca="1">Z52+'SC-III'!Z54</f>
        <v>0</v>
      </c>
      <c r="AA54" s="273">
        <f ca="1">AA52+'SC-III'!AA54</f>
        <v>0</v>
      </c>
      <c r="AB54" s="273">
        <f ca="1">AB52+'SC-III'!AB54</f>
        <v>0</v>
      </c>
      <c r="AC54" s="273">
        <f ca="1">AC52+'SC-III'!AC54</f>
        <v>0</v>
      </c>
      <c r="AD54" s="273">
        <f ca="1">AD52+'SC-III'!AD54</f>
        <v>0</v>
      </c>
      <c r="AE54" s="273">
        <f ca="1">AE52+'SC-III'!AE54</f>
        <v>0</v>
      </c>
      <c r="AF54" s="273">
        <f ca="1">AF52+'SC-III'!AF54</f>
        <v>0</v>
      </c>
      <c r="AG54" s="273">
        <f ca="1">AG52+'SC-III'!AG54</f>
        <v>0</v>
      </c>
      <c r="AH54" s="273">
        <f ca="1">AH52+'SC-III'!AH54</f>
        <v>0</v>
      </c>
      <c r="AI54" s="273">
        <f ca="1">AI52+'SC-III'!AI54</f>
        <v>0</v>
      </c>
      <c r="AJ54" s="273">
        <f ca="1">AJ52+'SC-III'!AJ54</f>
        <v>0</v>
      </c>
      <c r="AK54" s="273">
        <f ca="1">AK52+'SC-III'!AK54</f>
        <v>0</v>
      </c>
      <c r="AL54" s="273">
        <f ca="1">AL52+'SC-III'!AL54</f>
        <v>0</v>
      </c>
      <c r="AM54" s="273">
        <f ca="1">AM52+'SC-III'!AM54</f>
        <v>0</v>
      </c>
      <c r="AN54" s="273">
        <f ca="1">AN52+'SC-III'!AN54</f>
        <v>0</v>
      </c>
      <c r="AO54" s="273">
        <f ca="1">AO52+'SC-III'!AO54</f>
        <v>0</v>
      </c>
      <c r="AP54" s="273">
        <f ca="1">AP52+'SC-III'!AP54</f>
        <v>0</v>
      </c>
      <c r="AQ54" s="273">
        <f ca="1">AQ52+'SC-III'!AQ54</f>
        <v>0</v>
      </c>
      <c r="AR54" s="273">
        <f ca="1">AR52+'SC-III'!AR54</f>
        <v>0</v>
      </c>
      <c r="AS54" s="273">
        <f ca="1">AS52+'SC-III'!AS54</f>
        <v>0</v>
      </c>
      <c r="AT54" s="273">
        <f ca="1">AT52+'SC-III'!AT54</f>
        <v>0</v>
      </c>
      <c r="AU54" s="273">
        <f ca="1">AU52+'SC-III'!AU54</f>
        <v>0</v>
      </c>
      <c r="AV54" s="273">
        <f ca="1">AV52+'SC-III'!AV54</f>
        <v>0</v>
      </c>
      <c r="AW54" s="273">
        <f ca="1">AW52+'SC-III'!AW54</f>
        <v>0</v>
      </c>
      <c r="AX54" s="273">
        <f ca="1">AX52+'SC-III'!AX54</f>
        <v>0</v>
      </c>
      <c r="AY54" s="273">
        <f ca="1">AY52+'SC-III'!AY54</f>
        <v>0</v>
      </c>
      <c r="AZ54" s="273">
        <f ca="1">AZ52+'SC-III'!AZ54</f>
        <v>0</v>
      </c>
      <c r="BA54" s="273">
        <f ca="1">BA52+'SC-III'!BA54</f>
        <v>0</v>
      </c>
      <c r="BB54" s="273">
        <f ca="1">BB52+'SC-III'!BB54</f>
        <v>0</v>
      </c>
      <c r="BC54" s="273">
        <f ca="1">BC52+'SC-III'!BC54</f>
        <v>0</v>
      </c>
      <c r="BD54" s="273">
        <f ca="1">BD52+'SC-III'!BD54</f>
        <v>0</v>
      </c>
      <c r="BE54" s="273">
        <f ca="1">BE52+'SC-III'!BE54</f>
        <v>0</v>
      </c>
      <c r="BF54" s="273">
        <f ca="1">BF52+'SC-III'!BF54</f>
        <v>0</v>
      </c>
      <c r="BG54" s="273">
        <f ca="1">BG52+'SC-III'!BG54</f>
        <v>0</v>
      </c>
      <c r="BH54" s="273">
        <f ca="1">BH52+'SC-III'!BH54</f>
        <v>0</v>
      </c>
      <c r="BI54" s="273">
        <f ca="1">BI52+'SC-III'!BI54</f>
        <v>0</v>
      </c>
      <c r="BJ54" s="273">
        <f ca="1">BJ52+'SC-III'!BJ54</f>
        <v>0</v>
      </c>
      <c r="BK54" s="273">
        <f ca="1">BK52+'SC-III'!BK54</f>
        <v>0</v>
      </c>
      <c r="BL54" s="273">
        <f ca="1">BL52+'SC-III'!BL54</f>
        <v>0</v>
      </c>
      <c r="BM54" s="273">
        <f ca="1">BM52+'SC-III'!BM54</f>
        <v>0</v>
      </c>
      <c r="BN54" s="273">
        <f ca="1">BN52+'SC-III'!BN54</f>
        <v>0</v>
      </c>
      <c r="BO54" s="273">
        <f ca="1">BO52+'SC-III'!BO54</f>
        <v>0</v>
      </c>
      <c r="BP54" s="273">
        <f ca="1">BP52+'SC-III'!BP54</f>
        <v>0</v>
      </c>
      <c r="BQ54" s="273">
        <f ca="1">BQ52+'SC-III'!BQ54</f>
        <v>0</v>
      </c>
      <c r="BR54" s="273">
        <f ca="1">BR52+'SC-III'!BR54</f>
        <v>0</v>
      </c>
      <c r="BS54" s="273">
        <f ca="1">BS52+'SC-III'!BS54</f>
        <v>0</v>
      </c>
      <c r="BT54" s="273">
        <f ca="1">BT52+'SC-III'!BT54</f>
        <v>0</v>
      </c>
      <c r="BU54" s="273">
        <f ca="1">BU52+'SC-III'!BU54</f>
        <v>0</v>
      </c>
      <c r="BV54" s="273">
        <f ca="1">BV52+'SC-III'!BV54</f>
        <v>0</v>
      </c>
      <c r="BW54" s="273">
        <f ca="1">BW52+'SC-III'!BW54</f>
        <v>0</v>
      </c>
      <c r="BX54" s="273">
        <f ca="1">BX52+'SC-III'!BX54</f>
        <v>0</v>
      </c>
      <c r="BY54" s="273">
        <f ca="1">BY52+'SC-III'!BY54</f>
        <v>0</v>
      </c>
      <c r="BZ54" s="273">
        <f ca="1">BZ52+'SC-III'!BZ54</f>
        <v>0</v>
      </c>
      <c r="CA54" s="273">
        <f ca="1">CA52+'SC-III'!CA54</f>
        <v>107861885.00000048</v>
      </c>
      <c r="CB54" s="273">
        <f ca="1">CB52+'SC-III'!CB54</f>
        <v>107861885.00000048</v>
      </c>
      <c r="CC54" s="273">
        <f ca="1">CC52+'SC-III'!CC54</f>
        <v>0</v>
      </c>
      <c r="CD54" s="273">
        <f ca="1">CD52+'SC-III'!CD54</f>
        <v>0</v>
      </c>
      <c r="CE54" s="273">
        <f ca="1">CE52+'SC-III'!CE54</f>
        <v>0</v>
      </c>
      <c r="CF54" s="273">
        <f ca="1">CF52+'SC-III'!CF54</f>
        <v>0</v>
      </c>
      <c r="CG54" s="273">
        <f ca="1">CG52+'SC-III'!CG54</f>
        <v>0</v>
      </c>
      <c r="CH54" s="273">
        <f ca="1">CH52+'SC-III'!CH54</f>
        <v>0</v>
      </c>
      <c r="CI54" s="273">
        <f ca="1">CI52+'SC-III'!CI54</f>
        <v>0</v>
      </c>
      <c r="CJ54" s="273">
        <f ca="1">CJ52+'SC-III'!CJ54</f>
        <v>0</v>
      </c>
      <c r="CK54" s="273">
        <f ca="1">CK52+'SC-III'!CK54</f>
        <v>0</v>
      </c>
      <c r="CL54" s="273">
        <f ca="1">CL52+'SC-III'!CL54</f>
        <v>0</v>
      </c>
      <c r="CM54" s="273">
        <f ca="1">CM52+'SC-III'!CM54</f>
        <v>0</v>
      </c>
      <c r="CN54" s="273">
        <f ca="1">CN52+'SC-III'!CN54</f>
        <v>0</v>
      </c>
      <c r="CO54" s="273">
        <f ca="1">CO52+'SC-III'!CO54</f>
        <v>0</v>
      </c>
      <c r="CP54" s="273">
        <f ca="1">CP52+'SC-III'!CP54</f>
        <v>0</v>
      </c>
      <c r="CQ54" s="273">
        <f ca="1">CQ52+'SC-III'!CQ54</f>
        <v>0</v>
      </c>
      <c r="CR54" s="273">
        <f ca="1">CR52+'SC-III'!CR54</f>
        <v>0</v>
      </c>
      <c r="CS54" s="273">
        <f ca="1">CS52+'SC-III'!CS54</f>
        <v>0</v>
      </c>
      <c r="CT54" s="273">
        <f ca="1">CT52+'SC-III'!CT54</f>
        <v>0</v>
      </c>
      <c r="CU54" s="273">
        <f ca="1">CU52+'SC-III'!CU54</f>
        <v>0</v>
      </c>
      <c r="CV54" s="273">
        <f ca="1">CV52+'SC-III'!CV54</f>
        <v>0</v>
      </c>
      <c r="CW54" s="273">
        <f ca="1">CW52+'SC-III'!CW54</f>
        <v>0</v>
      </c>
      <c r="CX54" s="273">
        <f ca="1">CX52+'SC-III'!CX54</f>
        <v>0</v>
      </c>
      <c r="CY54" s="273">
        <f ca="1">CY52+'SC-III'!CY54</f>
        <v>0</v>
      </c>
      <c r="CZ54" s="273">
        <f ca="1">CZ52+'SC-III'!CZ54</f>
        <v>0</v>
      </c>
      <c r="DA54" s="273">
        <f ca="1">DA52+'SC-III'!DA54</f>
        <v>0</v>
      </c>
    </row>
    <row r="55" spans="1:105" ht="12" customHeight="1">
      <c r="B55" s="278"/>
      <c r="C55" s="279"/>
      <c r="D55" s="279"/>
      <c r="E55" s="279"/>
      <c r="F55" s="279"/>
      <c r="G55" s="280"/>
      <c r="H55" s="280"/>
      <c r="I55" s="279"/>
      <c r="J55" s="279"/>
      <c r="K55" s="279"/>
      <c r="AB55" s="279"/>
      <c r="AC55" s="279"/>
      <c r="AD55" s="279"/>
      <c r="AE55" s="280"/>
      <c r="AF55" s="279"/>
      <c r="AG55" s="280"/>
      <c r="AH55" s="280"/>
      <c r="AI55" s="280"/>
      <c r="AJ55" s="280"/>
      <c r="AK55" s="296"/>
      <c r="AL55" s="279"/>
      <c r="AM55" s="279"/>
      <c r="AN55" s="279"/>
      <c r="AO55" s="279"/>
      <c r="AR55" s="279"/>
      <c r="AS55" s="279"/>
      <c r="AT55" s="279"/>
      <c r="AU55" s="279"/>
      <c r="AV55" s="279"/>
      <c r="AW55" s="279"/>
      <c r="AZ55" s="279"/>
      <c r="BA55" s="279"/>
    </row>
    <row r="56" spans="1:105" ht="12" customHeight="1">
      <c r="B56" s="278"/>
      <c r="C56" s="279"/>
      <c r="D56" s="279"/>
      <c r="E56" s="279"/>
      <c r="F56" s="279"/>
      <c r="G56" s="280"/>
      <c r="H56" s="280"/>
      <c r="I56" s="279"/>
      <c r="J56" s="279"/>
      <c r="K56" s="279"/>
      <c r="AB56" s="279"/>
      <c r="AC56" s="279"/>
      <c r="AD56" s="279"/>
      <c r="AE56" s="280"/>
      <c r="AF56" s="279"/>
      <c r="AG56" s="280"/>
      <c r="AH56" s="280"/>
      <c r="AI56" s="280"/>
      <c r="AJ56" s="280"/>
      <c r="AK56" s="296"/>
      <c r="AL56" s="282" t="s">
        <v>252</v>
      </c>
      <c r="AM56" s="283"/>
      <c r="AN56" s="283"/>
      <c r="AO56" s="283"/>
      <c r="AP56" s="283"/>
      <c r="AQ56" s="283"/>
      <c r="AR56" s="284"/>
      <c r="AS56" s="284"/>
      <c r="AT56" s="283"/>
    </row>
    <row r="57" spans="1:105" ht="12" customHeight="1">
      <c r="J57" s="281"/>
      <c r="K57" s="281"/>
      <c r="L57" s="281"/>
      <c r="M57" s="298"/>
      <c r="N57" s="281"/>
      <c r="O57" s="298"/>
      <c r="P57" s="298"/>
      <c r="Q57" s="298"/>
      <c r="R57" s="281"/>
      <c r="AE57" s="243"/>
      <c r="AG57" s="243"/>
      <c r="AH57" s="243"/>
      <c r="AI57" s="243"/>
      <c r="AJ57" s="243"/>
      <c r="AK57" s="299"/>
      <c r="AL57" s="285" t="s">
        <v>233</v>
      </c>
      <c r="AM57" s="283"/>
      <c r="AN57" s="283"/>
      <c r="AO57" s="283"/>
      <c r="AP57" s="283"/>
      <c r="AQ57" s="283"/>
      <c r="AR57" s="284"/>
      <c r="AS57" s="284"/>
      <c r="AT57" s="283"/>
    </row>
    <row r="58" spans="1:105" s="249" customFormat="1" ht="12" customHeight="1">
      <c r="F58" s="300"/>
      <c r="G58" s="301"/>
      <c r="H58" s="301"/>
      <c r="R58" s="302"/>
      <c r="Z58" s="242"/>
      <c r="AA58" s="242"/>
      <c r="AE58" s="301"/>
      <c r="AG58" s="301"/>
      <c r="AH58" s="301"/>
      <c r="AI58" s="301"/>
      <c r="AJ58" s="301"/>
      <c r="AK58" s="303"/>
      <c r="AL58" s="283"/>
      <c r="AM58" s="283"/>
      <c r="AN58" s="283"/>
      <c r="AO58" s="283"/>
      <c r="AP58" s="283"/>
      <c r="AQ58" s="283"/>
      <c r="AR58" s="283"/>
      <c r="AS58" s="283"/>
      <c r="AT58" s="284"/>
      <c r="AU58" s="242"/>
      <c r="AV58" s="242"/>
      <c r="AW58" s="242"/>
      <c r="AX58" s="242"/>
      <c r="AY58" s="242"/>
      <c r="AZ58" s="242"/>
      <c r="BA58" s="242"/>
    </row>
    <row r="59" spans="1:105" ht="12" customHeight="1">
      <c r="L59" s="261"/>
      <c r="N59" s="261"/>
      <c r="AE59" s="243"/>
      <c r="AG59" s="243"/>
      <c r="AH59" s="243"/>
      <c r="AI59" s="243"/>
      <c r="AJ59" s="243"/>
      <c r="AK59" s="299"/>
      <c r="AL59" s="283"/>
      <c r="AM59" s="283"/>
      <c r="AN59" s="283"/>
      <c r="AO59" s="283"/>
      <c r="AP59" s="283"/>
      <c r="AQ59" s="283"/>
      <c r="AR59" s="283"/>
      <c r="AS59" s="283"/>
      <c r="AT59" s="284"/>
      <c r="AZ59" s="286" t="str">
        <f>"Ngày 31 tháng 12 năm 2015 "</f>
        <v xml:space="preserve">Ngày 31 tháng 12 năm 2015 </v>
      </c>
    </row>
    <row r="60" spans="1:105">
      <c r="J60" s="261"/>
      <c r="K60" s="261"/>
      <c r="AL60" s="283"/>
      <c r="AM60" s="287" t="s">
        <v>11</v>
      </c>
      <c r="AN60" s="283"/>
      <c r="AO60" s="283"/>
      <c r="AP60" s="283"/>
      <c r="AQ60" s="283"/>
      <c r="AR60" s="283"/>
      <c r="AS60" s="288" t="s">
        <v>12</v>
      </c>
      <c r="AT60" s="284"/>
      <c r="AZ60" s="287" t="s">
        <v>131</v>
      </c>
    </row>
    <row r="61" spans="1:105">
      <c r="T61" s="261"/>
      <c r="AL61" s="283"/>
      <c r="AM61" s="289" t="s">
        <v>13</v>
      </c>
      <c r="AN61" s="283"/>
      <c r="AO61" s="283"/>
      <c r="AP61" s="283"/>
      <c r="AQ61" s="283"/>
      <c r="AR61" s="283"/>
      <c r="AS61" s="290" t="s">
        <v>13</v>
      </c>
      <c r="AT61" s="284"/>
      <c r="AZ61" s="289" t="s">
        <v>161</v>
      </c>
    </row>
    <row r="62" spans="1:105">
      <c r="F62" s="261"/>
      <c r="T62" s="261"/>
      <c r="AL62" s="283"/>
      <c r="AM62" s="283"/>
      <c r="AN62" s="283"/>
      <c r="AO62" s="283"/>
      <c r="AP62" s="283"/>
      <c r="AQ62" s="283"/>
      <c r="AR62" s="283"/>
      <c r="AS62" s="283"/>
      <c r="AT62" s="284"/>
      <c r="AZ62" s="283"/>
    </row>
    <row r="63" spans="1:105">
      <c r="F63" s="261"/>
      <c r="T63" s="261"/>
      <c r="AZ63" s="283"/>
    </row>
    <row r="64" spans="1:105">
      <c r="F64" s="261"/>
      <c r="G64" s="261"/>
      <c r="T64" s="261"/>
    </row>
    <row r="65" spans="5:20">
      <c r="F65" s="261"/>
      <c r="T65" s="261"/>
    </row>
    <row r="66" spans="5:20">
      <c r="F66" s="261"/>
      <c r="T66" s="261"/>
    </row>
    <row r="67" spans="5:20">
      <c r="F67" s="261"/>
      <c r="M67" s="281"/>
      <c r="O67" s="281"/>
      <c r="P67" s="281"/>
      <c r="Q67" s="281"/>
      <c r="R67" s="281"/>
      <c r="T67" s="261"/>
    </row>
    <row r="68" spans="5:20">
      <c r="E68" s="292"/>
      <c r="F68" s="261"/>
      <c r="M68" s="281"/>
      <c r="O68" s="281"/>
      <c r="P68" s="281"/>
      <c r="Q68" s="281"/>
      <c r="R68" s="281"/>
    </row>
    <row r="69" spans="5:20">
      <c r="F69" s="281"/>
      <c r="M69" s="281"/>
      <c r="O69" s="281"/>
      <c r="P69" s="281"/>
      <c r="Q69" s="281"/>
      <c r="R69" s="281"/>
    </row>
    <row r="70" spans="5:20">
      <c r="F70" s="281"/>
      <c r="M70" s="281"/>
      <c r="O70" s="281"/>
      <c r="P70" s="281"/>
      <c r="Q70" s="281"/>
      <c r="R70" s="281"/>
    </row>
    <row r="71" spans="5:20">
      <c r="E71" s="281"/>
      <c r="F71" s="281"/>
      <c r="M71" s="281"/>
      <c r="O71" s="281"/>
      <c r="P71" s="281"/>
      <c r="Q71" s="281"/>
      <c r="R71" s="281"/>
    </row>
    <row r="72" spans="5:20">
      <c r="E72" s="281"/>
      <c r="F72" s="281"/>
      <c r="M72" s="281"/>
      <c r="O72" s="281"/>
      <c r="P72" s="281"/>
      <c r="Q72" s="281"/>
      <c r="R72" s="281"/>
    </row>
    <row r="73" spans="5:20">
      <c r="E73" s="281"/>
      <c r="F73" s="281"/>
      <c r="M73" s="281"/>
      <c r="O73" s="281"/>
      <c r="P73" s="281"/>
      <c r="Q73" s="281"/>
      <c r="R73" s="281"/>
    </row>
    <row r="74" spans="5:20">
      <c r="E74" s="281"/>
      <c r="F74" s="281"/>
      <c r="M74" s="281"/>
      <c r="O74" s="281"/>
      <c r="P74" s="281"/>
      <c r="Q74" s="281"/>
      <c r="R74" s="281"/>
    </row>
    <row r="75" spans="5:20">
      <c r="E75" s="281"/>
      <c r="F75" s="281"/>
      <c r="M75" s="281"/>
      <c r="O75" s="281"/>
      <c r="P75" s="281"/>
      <c r="Q75" s="281"/>
      <c r="R75" s="281"/>
    </row>
    <row r="76" spans="5:20">
      <c r="E76" s="281"/>
      <c r="F76" s="281"/>
      <c r="M76" s="281"/>
      <c r="O76" s="281"/>
      <c r="P76" s="281"/>
      <c r="Q76" s="281"/>
      <c r="R76" s="281"/>
    </row>
    <row r="77" spans="5:20">
      <c r="F77" s="281"/>
      <c r="M77" s="281"/>
      <c r="O77" s="281"/>
      <c r="P77" s="281"/>
      <c r="Q77" s="281"/>
      <c r="R77" s="281"/>
    </row>
    <row r="78" spans="5:20">
      <c r="F78" s="281"/>
      <c r="M78" s="281"/>
      <c r="O78" s="281"/>
      <c r="P78" s="281"/>
      <c r="Q78" s="281"/>
      <c r="R78" s="281"/>
    </row>
    <row r="79" spans="5:20">
      <c r="F79" s="281"/>
      <c r="M79" s="281"/>
      <c r="O79" s="281"/>
      <c r="P79" s="281"/>
      <c r="Q79" s="281"/>
      <c r="R79" s="281"/>
    </row>
    <row r="80" spans="5:20">
      <c r="F80" s="281"/>
      <c r="M80" s="281"/>
      <c r="O80" s="281"/>
      <c r="P80" s="281"/>
      <c r="Q80" s="281"/>
      <c r="R80" s="281"/>
    </row>
    <row r="81" spans="6:18">
      <c r="F81" s="281"/>
      <c r="M81" s="281"/>
      <c r="O81" s="281"/>
      <c r="P81" s="281"/>
      <c r="Q81" s="281"/>
      <c r="R81" s="281"/>
    </row>
    <row r="82" spans="6:18">
      <c r="F82" s="281"/>
      <c r="M82" s="281"/>
      <c r="O82" s="281"/>
      <c r="P82" s="281"/>
      <c r="Q82" s="281"/>
      <c r="R82" s="281"/>
    </row>
    <row r="83" spans="6:18">
      <c r="M83" s="281"/>
      <c r="O83" s="281"/>
      <c r="P83" s="281"/>
      <c r="Q83" s="281"/>
      <c r="R83" s="281"/>
    </row>
    <row r="85" spans="6:18">
      <c r="M85" s="281"/>
      <c r="O85" s="281"/>
      <c r="P85" s="281"/>
      <c r="Q85" s="281"/>
      <c r="R85" s="281"/>
    </row>
    <row r="86" spans="6:18">
      <c r="M86" s="281"/>
      <c r="O86" s="281"/>
      <c r="P86" s="281"/>
      <c r="Q86" s="281"/>
      <c r="R86" s="281"/>
    </row>
    <row r="87" spans="6:18">
      <c r="M87" s="281"/>
      <c r="O87" s="281"/>
      <c r="P87" s="281"/>
      <c r="Q87" s="281"/>
      <c r="R87" s="281"/>
    </row>
    <row r="88" spans="6:18">
      <c r="M88" s="281"/>
      <c r="O88" s="281"/>
      <c r="P88" s="281"/>
      <c r="Q88" s="281"/>
      <c r="R88" s="281"/>
    </row>
    <row r="89" spans="6:18">
      <c r="M89" s="281"/>
      <c r="O89" s="281"/>
      <c r="P89" s="281"/>
      <c r="Q89" s="281"/>
      <c r="R89" s="281"/>
    </row>
    <row r="90" spans="6:18">
      <c r="M90" s="281"/>
      <c r="O90" s="281"/>
      <c r="P90" s="281"/>
      <c r="Q90" s="281"/>
      <c r="R90" s="281"/>
    </row>
    <row r="103" spans="13:17">
      <c r="M103" s="281"/>
      <c r="O103" s="281"/>
      <c r="P103" s="281"/>
      <c r="Q103" s="281"/>
    </row>
    <row r="120" spans="13:18">
      <c r="R120" s="281"/>
    </row>
    <row r="121" spans="13:18">
      <c r="R121" s="281"/>
    </row>
    <row r="122" spans="13:18">
      <c r="M122" s="281"/>
      <c r="O122" s="281"/>
      <c r="P122" s="281"/>
      <c r="Q122" s="281"/>
      <c r="R122" s="281"/>
    </row>
    <row r="123" spans="13:18">
      <c r="M123" s="281"/>
      <c r="O123" s="281"/>
      <c r="P123" s="281"/>
      <c r="Q123" s="281"/>
      <c r="R123" s="281"/>
    </row>
    <row r="124" spans="13:18">
      <c r="M124" s="281"/>
      <c r="O124" s="281"/>
      <c r="P124" s="281"/>
      <c r="Q124" s="281"/>
    </row>
    <row r="125" spans="13:18">
      <c r="M125" s="281"/>
      <c r="O125" s="281"/>
      <c r="P125" s="281"/>
      <c r="Q125" s="281"/>
    </row>
    <row r="127" spans="13:18">
      <c r="M127" s="281"/>
      <c r="O127" s="281"/>
      <c r="P127" s="281"/>
      <c r="Q127" s="281"/>
      <c r="R127" s="281"/>
    </row>
    <row r="128" spans="13:18">
      <c r="M128" s="281"/>
      <c r="O128" s="281"/>
      <c r="P128" s="281"/>
      <c r="Q128" s="281"/>
      <c r="R128" s="281"/>
    </row>
    <row r="135" spans="13:18">
      <c r="M135" s="281"/>
      <c r="O135" s="281"/>
      <c r="P135" s="281"/>
      <c r="Q135" s="281"/>
      <c r="R135" s="281"/>
    </row>
    <row r="136" spans="13:18">
      <c r="M136" s="281"/>
      <c r="O136" s="281"/>
      <c r="P136" s="281"/>
      <c r="Q136" s="281"/>
      <c r="R136" s="281"/>
    </row>
    <row r="137" spans="13:18">
      <c r="M137" s="281"/>
      <c r="O137" s="281"/>
      <c r="P137" s="281"/>
      <c r="Q137" s="281"/>
      <c r="R137" s="281"/>
    </row>
    <row r="141" spans="13:18">
      <c r="M141" s="281"/>
      <c r="O141" s="281"/>
      <c r="P141" s="281"/>
      <c r="Q141" s="281"/>
      <c r="R141" s="281"/>
    </row>
    <row r="142" spans="13:18">
      <c r="M142" s="281"/>
      <c r="O142" s="281"/>
      <c r="P142" s="281"/>
      <c r="Q142" s="281"/>
      <c r="R142" s="281"/>
    </row>
    <row r="143" spans="13:18">
      <c r="M143" s="281"/>
      <c r="O143" s="281"/>
      <c r="P143" s="281"/>
      <c r="Q143" s="281"/>
      <c r="R143" s="281"/>
    </row>
    <row r="144" spans="13:18">
      <c r="M144" s="281"/>
      <c r="O144" s="281"/>
      <c r="P144" s="281"/>
      <c r="Q144" s="281"/>
      <c r="R144" s="281"/>
    </row>
    <row r="145" spans="13:18">
      <c r="M145" s="281"/>
      <c r="O145" s="281"/>
      <c r="P145" s="281"/>
      <c r="Q145" s="281"/>
      <c r="R145" s="281"/>
    </row>
    <row r="146" spans="13:18">
      <c r="M146" s="281"/>
      <c r="O146" s="281"/>
      <c r="P146" s="281"/>
      <c r="Q146" s="281"/>
      <c r="R146" s="281"/>
    </row>
    <row r="147" spans="13:18">
      <c r="M147" s="281"/>
      <c r="O147" s="281"/>
      <c r="P147" s="281"/>
      <c r="Q147" s="281"/>
      <c r="R147" s="281"/>
    </row>
    <row r="148" spans="13:18">
      <c r="M148" s="281"/>
      <c r="O148" s="281"/>
      <c r="P148" s="281"/>
      <c r="Q148" s="281"/>
      <c r="R148" s="281"/>
    </row>
    <row r="149" spans="13:18">
      <c r="M149" s="281"/>
      <c r="O149" s="281"/>
      <c r="P149" s="281"/>
      <c r="Q149" s="281"/>
      <c r="R149" s="281"/>
    </row>
    <row r="150" spans="13:18">
      <c r="M150" s="281"/>
      <c r="O150" s="281"/>
      <c r="P150" s="281"/>
      <c r="Q150" s="281"/>
      <c r="R150" s="281"/>
    </row>
    <row r="151" spans="13:18">
      <c r="M151" s="281"/>
      <c r="O151" s="281"/>
      <c r="P151" s="281"/>
      <c r="Q151" s="281"/>
      <c r="R151" s="281"/>
    </row>
    <row r="152" spans="13:18">
      <c r="M152" s="281"/>
      <c r="O152" s="281"/>
      <c r="P152" s="281"/>
      <c r="Q152" s="281"/>
      <c r="R152" s="281"/>
    </row>
    <row r="153" spans="13:18">
      <c r="M153" s="281"/>
      <c r="O153" s="281"/>
      <c r="P153" s="281"/>
      <c r="Q153" s="281"/>
      <c r="R153" s="281"/>
    </row>
    <row r="154" spans="13:18">
      <c r="M154" s="281"/>
      <c r="O154" s="281"/>
      <c r="P154" s="281"/>
      <c r="Q154" s="281"/>
      <c r="R154" s="281"/>
    </row>
    <row r="155" spans="13:18">
      <c r="M155" s="281"/>
      <c r="O155" s="281"/>
      <c r="P155" s="281"/>
      <c r="Q155" s="281"/>
      <c r="R155" s="281"/>
    </row>
    <row r="156" spans="13:18">
      <c r="M156" s="281"/>
      <c r="O156" s="281"/>
      <c r="P156" s="281"/>
      <c r="Q156" s="281"/>
      <c r="R156" s="281"/>
    </row>
    <row r="157" spans="13:18">
      <c r="M157" s="281"/>
      <c r="O157" s="281"/>
      <c r="P157" s="281"/>
      <c r="Q157" s="281"/>
      <c r="R157" s="281"/>
    </row>
    <row r="158" spans="13:18">
      <c r="M158" s="281"/>
      <c r="O158" s="281"/>
      <c r="P158" s="281"/>
      <c r="Q158" s="281"/>
      <c r="R158" s="281"/>
    </row>
    <row r="159" spans="13:18">
      <c r="M159" s="281"/>
      <c r="O159" s="281"/>
      <c r="P159" s="281"/>
      <c r="Q159" s="281"/>
      <c r="R159" s="281"/>
    </row>
    <row r="160" spans="13:18">
      <c r="M160" s="281"/>
      <c r="O160" s="281"/>
      <c r="P160" s="281"/>
      <c r="Q160" s="281"/>
      <c r="R160" s="281"/>
    </row>
    <row r="161" spans="13:18">
      <c r="M161" s="281"/>
      <c r="O161" s="281"/>
      <c r="P161" s="281"/>
      <c r="Q161" s="281"/>
      <c r="R161" s="281"/>
    </row>
    <row r="162" spans="13:18">
      <c r="M162" s="281"/>
      <c r="O162" s="281"/>
      <c r="P162" s="281"/>
      <c r="Q162" s="281"/>
      <c r="R162" s="281"/>
    </row>
    <row r="163" spans="13:18">
      <c r="M163" s="281"/>
      <c r="O163" s="281"/>
      <c r="P163" s="281"/>
      <c r="Q163" s="281"/>
      <c r="R163" s="281"/>
    </row>
    <row r="164" spans="13:18">
      <c r="M164" s="281"/>
      <c r="O164" s="281"/>
      <c r="P164" s="281"/>
      <c r="Q164" s="281"/>
      <c r="R164" s="281"/>
    </row>
    <row r="165" spans="13:18">
      <c r="M165" s="281"/>
      <c r="O165" s="281"/>
      <c r="P165" s="281"/>
      <c r="Q165" s="281"/>
      <c r="R165" s="281"/>
    </row>
    <row r="166" spans="13:18">
      <c r="M166" s="281"/>
      <c r="O166" s="281"/>
      <c r="P166" s="281"/>
      <c r="Q166" s="281"/>
      <c r="R166" s="281"/>
    </row>
    <row r="167" spans="13:18">
      <c r="M167" s="281"/>
      <c r="O167" s="281"/>
      <c r="P167" s="281"/>
      <c r="Q167" s="281"/>
      <c r="R167" s="281"/>
    </row>
    <row r="168" spans="13:18">
      <c r="M168" s="281"/>
      <c r="O168" s="281"/>
      <c r="P168" s="281"/>
      <c r="Q168" s="281"/>
      <c r="R168" s="281"/>
    </row>
    <row r="169" spans="13:18">
      <c r="M169" s="281"/>
      <c r="O169" s="281"/>
      <c r="P169" s="281"/>
      <c r="Q169" s="281"/>
      <c r="R169" s="281"/>
    </row>
    <row r="170" spans="13:18">
      <c r="M170" s="281"/>
      <c r="O170" s="281"/>
      <c r="P170" s="281"/>
      <c r="Q170" s="281"/>
      <c r="R170" s="281"/>
    </row>
    <row r="171" spans="13:18">
      <c r="M171" s="281"/>
      <c r="O171" s="281"/>
      <c r="P171" s="281"/>
      <c r="Q171" s="281"/>
      <c r="R171" s="281"/>
    </row>
    <row r="172" spans="13:18">
      <c r="M172" s="281"/>
      <c r="O172" s="281"/>
      <c r="P172" s="281"/>
      <c r="Q172" s="281"/>
      <c r="R172" s="281"/>
    </row>
    <row r="173" spans="13:18">
      <c r="M173" s="281"/>
      <c r="O173" s="281"/>
      <c r="P173" s="281"/>
      <c r="Q173" s="281"/>
      <c r="R173" s="281"/>
    </row>
    <row r="174" spans="13:18">
      <c r="M174" s="281"/>
      <c r="O174" s="281"/>
      <c r="P174" s="281"/>
      <c r="Q174" s="281"/>
      <c r="R174" s="281"/>
    </row>
    <row r="175" spans="13:18">
      <c r="M175" s="281"/>
      <c r="O175" s="281"/>
      <c r="P175" s="281"/>
      <c r="Q175" s="281"/>
      <c r="R175" s="281"/>
    </row>
    <row r="176" spans="13:18">
      <c r="M176" s="281"/>
      <c r="O176" s="281"/>
      <c r="P176" s="281"/>
      <c r="Q176" s="281"/>
      <c r="R176" s="281"/>
    </row>
    <row r="177" spans="13:18">
      <c r="M177" s="281"/>
      <c r="O177" s="281"/>
      <c r="P177" s="281"/>
      <c r="Q177" s="281"/>
      <c r="R177" s="281"/>
    </row>
    <row r="178" spans="13:18">
      <c r="M178" s="281"/>
      <c r="O178" s="281"/>
      <c r="P178" s="281"/>
      <c r="Q178" s="281"/>
      <c r="R178" s="281"/>
    </row>
    <row r="179" spans="13:18">
      <c r="M179" s="281"/>
      <c r="O179" s="281"/>
      <c r="P179" s="281"/>
      <c r="Q179" s="281"/>
      <c r="R179" s="281"/>
    </row>
    <row r="180" spans="13:18">
      <c r="M180" s="281"/>
      <c r="O180" s="281"/>
      <c r="P180" s="281"/>
      <c r="Q180" s="281"/>
      <c r="R180" s="281"/>
    </row>
    <row r="181" spans="13:18">
      <c r="M181" s="281"/>
      <c r="O181" s="281"/>
      <c r="P181" s="281"/>
      <c r="Q181" s="281"/>
      <c r="R181" s="281"/>
    </row>
    <row r="182" spans="13:18">
      <c r="M182" s="281"/>
      <c r="O182" s="281"/>
      <c r="P182" s="281"/>
      <c r="Q182" s="281"/>
      <c r="R182" s="281"/>
    </row>
    <row r="183" spans="13:18">
      <c r="M183" s="281"/>
      <c r="O183" s="281"/>
      <c r="P183" s="281"/>
      <c r="Q183" s="281"/>
      <c r="R183" s="281"/>
    </row>
    <row r="184" spans="13:18">
      <c r="M184" s="281"/>
      <c r="O184" s="281"/>
      <c r="P184" s="281"/>
      <c r="Q184" s="281"/>
      <c r="R184" s="281"/>
    </row>
    <row r="185" spans="13:18">
      <c r="M185" s="281"/>
      <c r="O185" s="281"/>
      <c r="P185" s="281"/>
      <c r="Q185" s="281"/>
      <c r="R185" s="281"/>
    </row>
    <row r="186" spans="13:18">
      <c r="M186" s="281"/>
      <c r="O186" s="281"/>
      <c r="P186" s="281"/>
      <c r="Q186" s="281"/>
      <c r="R186" s="281"/>
    </row>
    <row r="187" spans="13:18">
      <c r="M187" s="281"/>
      <c r="O187" s="281"/>
      <c r="P187" s="281"/>
      <c r="Q187" s="281"/>
      <c r="R187" s="281"/>
    </row>
    <row r="188" spans="13:18">
      <c r="M188" s="281"/>
      <c r="O188" s="281"/>
      <c r="P188" s="281"/>
      <c r="Q188" s="281"/>
      <c r="R188" s="281"/>
    </row>
    <row r="189" spans="13:18">
      <c r="M189" s="281"/>
      <c r="O189" s="281"/>
      <c r="P189" s="281"/>
      <c r="Q189" s="281"/>
      <c r="R189" s="281"/>
    </row>
    <row r="190" spans="13:18">
      <c r="M190" s="281"/>
      <c r="O190" s="281"/>
      <c r="P190" s="281"/>
      <c r="Q190" s="281"/>
      <c r="R190" s="281"/>
    </row>
    <row r="191" spans="13:18">
      <c r="M191" s="281"/>
      <c r="O191" s="281"/>
      <c r="P191" s="281"/>
      <c r="Q191" s="281"/>
      <c r="R191" s="281"/>
    </row>
    <row r="192" spans="13:18">
      <c r="M192" s="281"/>
      <c r="O192" s="281"/>
      <c r="P192" s="281"/>
      <c r="Q192" s="281"/>
      <c r="R192" s="281"/>
    </row>
    <row r="193" spans="13:18">
      <c r="M193" s="281"/>
      <c r="O193" s="281"/>
      <c r="P193" s="281"/>
      <c r="Q193" s="281"/>
      <c r="R193" s="281"/>
    </row>
    <row r="194" spans="13:18">
      <c r="M194" s="281"/>
      <c r="O194" s="281"/>
      <c r="P194" s="281"/>
      <c r="Q194" s="281"/>
      <c r="R194" s="281"/>
    </row>
    <row r="195" spans="13:18">
      <c r="M195" s="281"/>
      <c r="O195" s="281"/>
      <c r="P195" s="281"/>
      <c r="Q195" s="281"/>
      <c r="R195" s="281"/>
    </row>
    <row r="196" spans="13:18">
      <c r="M196" s="281"/>
      <c r="O196" s="281"/>
      <c r="P196" s="281"/>
      <c r="Q196" s="281"/>
      <c r="R196" s="281"/>
    </row>
    <row r="197" spans="13:18">
      <c r="M197" s="281"/>
      <c r="O197" s="281"/>
      <c r="P197" s="281"/>
      <c r="Q197" s="281"/>
      <c r="R197" s="281"/>
    </row>
    <row r="198" spans="13:18">
      <c r="M198" s="281"/>
      <c r="O198" s="281"/>
      <c r="P198" s="281"/>
      <c r="Q198" s="281"/>
      <c r="R198" s="281"/>
    </row>
    <row r="199" spans="13:18">
      <c r="M199" s="281"/>
      <c r="O199" s="281"/>
      <c r="P199" s="281"/>
      <c r="Q199" s="281"/>
      <c r="R199" s="281"/>
    </row>
    <row r="200" spans="13:18">
      <c r="M200" s="281"/>
      <c r="O200" s="281"/>
      <c r="P200" s="281"/>
      <c r="Q200" s="281"/>
      <c r="R200" s="281"/>
    </row>
    <row r="201" spans="13:18">
      <c r="M201" s="281"/>
      <c r="O201" s="281"/>
      <c r="P201" s="281"/>
      <c r="Q201" s="281"/>
      <c r="R201" s="281"/>
    </row>
    <row r="202" spans="13:18">
      <c r="M202" s="281"/>
      <c r="O202" s="281"/>
      <c r="P202" s="281"/>
      <c r="Q202" s="281"/>
      <c r="R202" s="281"/>
    </row>
    <row r="203" spans="13:18">
      <c r="M203" s="281"/>
      <c r="O203" s="281"/>
      <c r="P203" s="281"/>
      <c r="Q203" s="281"/>
      <c r="R203" s="281"/>
    </row>
    <row r="204" spans="13:18">
      <c r="M204" s="281"/>
      <c r="O204" s="281"/>
      <c r="P204" s="281"/>
      <c r="Q204" s="281"/>
      <c r="R204" s="281"/>
    </row>
    <row r="205" spans="13:18">
      <c r="M205" s="281"/>
      <c r="O205" s="281"/>
      <c r="P205" s="281"/>
      <c r="Q205" s="281"/>
      <c r="R205" s="281"/>
    </row>
    <row r="206" spans="13:18">
      <c r="M206" s="281"/>
      <c r="O206" s="281"/>
      <c r="P206" s="281"/>
      <c r="Q206" s="281"/>
      <c r="R206" s="281"/>
    </row>
    <row r="207" spans="13:18">
      <c r="M207" s="281"/>
      <c r="O207" s="281"/>
      <c r="P207" s="281"/>
      <c r="Q207" s="281"/>
      <c r="R207" s="281"/>
    </row>
    <row r="208" spans="13:18">
      <c r="M208" s="281"/>
      <c r="O208" s="281"/>
      <c r="P208" s="281"/>
      <c r="Q208" s="281"/>
      <c r="R208" s="281"/>
    </row>
    <row r="209" spans="13:18">
      <c r="M209" s="281"/>
      <c r="O209" s="281"/>
      <c r="P209" s="281"/>
      <c r="Q209" s="281"/>
      <c r="R209" s="281"/>
    </row>
    <row r="210" spans="13:18">
      <c r="M210" s="281"/>
      <c r="O210" s="281"/>
      <c r="P210" s="281"/>
      <c r="Q210" s="281"/>
      <c r="R210" s="281"/>
    </row>
    <row r="211" spans="13:18">
      <c r="M211" s="281"/>
      <c r="O211" s="281"/>
      <c r="P211" s="281"/>
      <c r="Q211" s="281"/>
      <c r="R211" s="281"/>
    </row>
    <row r="212" spans="13:18">
      <c r="M212" s="281"/>
      <c r="O212" s="281"/>
      <c r="P212" s="281"/>
      <c r="Q212" s="281"/>
      <c r="R212" s="281"/>
    </row>
    <row r="213" spans="13:18">
      <c r="M213" s="281"/>
      <c r="O213" s="281"/>
      <c r="P213" s="281"/>
      <c r="Q213" s="281"/>
      <c r="R213" s="281"/>
    </row>
    <row r="214" spans="13:18">
      <c r="M214" s="281"/>
      <c r="O214" s="281"/>
      <c r="P214" s="281"/>
      <c r="Q214" s="281"/>
      <c r="R214" s="281"/>
    </row>
    <row r="215" spans="13:18">
      <c r="M215" s="281"/>
      <c r="O215" s="281"/>
      <c r="P215" s="281"/>
      <c r="Q215" s="281"/>
      <c r="R215" s="281"/>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11" customWidth="1"/>
    <col min="2" max="2" width="6.28515625" style="211" customWidth="1"/>
    <col min="3" max="3" width="7.42578125" style="211" customWidth="1"/>
    <col min="4" max="4" width="34.5703125" style="5" customWidth="1"/>
    <col min="5" max="5" width="6.28515625" style="211"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140" t="s">
        <v>183</v>
      </c>
      <c r="H2" s="1140"/>
      <c r="I2" s="1140"/>
    </row>
    <row r="3" spans="1:9" ht="15.75" customHeight="1">
      <c r="A3" s="1" t="s">
        <v>184</v>
      </c>
      <c r="G3" s="1141" t="s">
        <v>144</v>
      </c>
      <c r="H3" s="1141"/>
      <c r="I3" s="1141"/>
    </row>
    <row r="4" spans="1:9">
      <c r="F4" s="17"/>
      <c r="G4" s="1141"/>
      <c r="H4" s="1141"/>
      <c r="I4" s="1141"/>
    </row>
    <row r="5" spans="1:9" ht="17.25" customHeight="1">
      <c r="A5" s="1142" t="s">
        <v>185</v>
      </c>
      <c r="B5" s="1142"/>
      <c r="C5" s="1142"/>
      <c r="D5" s="1142"/>
      <c r="E5" s="1142"/>
      <c r="F5" s="1142"/>
      <c r="G5" s="1142"/>
      <c r="H5" s="1142"/>
      <c r="I5" s="1142"/>
    </row>
    <row r="6" spans="1:9">
      <c r="A6" s="1143" t="s">
        <v>186</v>
      </c>
      <c r="B6" s="1144"/>
      <c r="C6" s="1144"/>
      <c r="D6" s="1144"/>
      <c r="E6" s="1144"/>
      <c r="F6" s="1144"/>
      <c r="G6" s="1144"/>
      <c r="H6" s="1144"/>
      <c r="I6" s="1144"/>
    </row>
    <row r="7" spans="1:9">
      <c r="B7" s="5"/>
      <c r="C7" s="5"/>
      <c r="D7" s="234" t="s">
        <v>187</v>
      </c>
      <c r="E7" s="235" t="s">
        <v>72</v>
      </c>
    </row>
    <row r="8" spans="1:9">
      <c r="B8" s="5"/>
      <c r="C8" s="5"/>
      <c r="D8" s="234" t="s">
        <v>188</v>
      </c>
      <c r="E8" s="5" t="str">
        <f>VLOOKUP($E$7,DSTK,2,0)</f>
        <v xml:space="preserve"> Phải Thu Khác </v>
      </c>
    </row>
    <row r="9" spans="1:9">
      <c r="A9" s="1144" t="s">
        <v>31</v>
      </c>
      <c r="B9" s="1145"/>
      <c r="C9" s="1145"/>
      <c r="D9" s="1145"/>
      <c r="E9" s="1145"/>
      <c r="F9" s="1145"/>
      <c r="G9" s="1145"/>
      <c r="H9" s="1145"/>
      <c r="I9" s="1145"/>
    </row>
    <row r="10" spans="1:9" ht="9.75" customHeight="1">
      <c r="C10" s="1146"/>
      <c r="D10" s="1147"/>
      <c r="E10" s="1147"/>
      <c r="F10" s="1147"/>
      <c r="G10" s="1147"/>
      <c r="H10" s="1147"/>
      <c r="I10" s="1147"/>
    </row>
    <row r="11" spans="1:9" s="18" customFormat="1" ht="19.5" customHeight="1">
      <c r="A11" s="1148" t="s">
        <v>22</v>
      </c>
      <c r="B11" s="1138" t="s">
        <v>1</v>
      </c>
      <c r="C11" s="1149"/>
      <c r="D11" s="1148" t="s">
        <v>0</v>
      </c>
      <c r="E11" s="1148" t="s">
        <v>16</v>
      </c>
      <c r="F11" s="1138" t="s">
        <v>23</v>
      </c>
      <c r="G11" s="1149"/>
      <c r="H11" s="1138" t="s">
        <v>33</v>
      </c>
      <c r="I11" s="1139"/>
    </row>
    <row r="12" spans="1:9" s="18" customFormat="1" ht="32.25" customHeight="1">
      <c r="A12" s="1148"/>
      <c r="B12" s="389" t="s">
        <v>17</v>
      </c>
      <c r="C12" s="389" t="s">
        <v>34</v>
      </c>
      <c r="D12" s="1148"/>
      <c r="E12" s="1148"/>
      <c r="F12" s="389" t="s">
        <v>24</v>
      </c>
      <c r="G12" s="389" t="s">
        <v>25</v>
      </c>
      <c r="H12" s="389" t="s">
        <v>24</v>
      </c>
      <c r="I12" s="389" t="s">
        <v>25</v>
      </c>
    </row>
    <row r="13" spans="1:9" s="335" customFormat="1" ht="11.25" customHeight="1">
      <c r="A13" s="339" t="s">
        <v>2</v>
      </c>
      <c r="B13" s="340" t="s">
        <v>3</v>
      </c>
      <c r="C13" s="339" t="s">
        <v>4</v>
      </c>
      <c r="D13" s="339" t="s">
        <v>5</v>
      </c>
      <c r="E13" s="339" t="s">
        <v>6</v>
      </c>
      <c r="F13" s="339">
        <v>1</v>
      </c>
      <c r="G13" s="339">
        <v>2</v>
      </c>
      <c r="H13" s="339">
        <v>3</v>
      </c>
      <c r="I13" s="339">
        <v>4</v>
      </c>
    </row>
    <row r="14" spans="1:9" s="18" customFormat="1" ht="18" customHeight="1">
      <c r="A14" s="390"/>
      <c r="B14" s="366"/>
      <c r="C14" s="390"/>
      <c r="D14" s="365" t="s">
        <v>7</v>
      </c>
      <c r="E14" s="366"/>
      <c r="F14" s="391"/>
      <c r="G14" s="391"/>
      <c r="H14" s="391">
        <f>VLOOKUP($E$7,DSTK,3,0)</f>
        <v>1500000000</v>
      </c>
      <c r="I14" s="391">
        <f>VLOOKUP($E$7,DSTK,4,0)</f>
        <v>0</v>
      </c>
    </row>
    <row r="15" spans="1:9" s="18" customFormat="1" ht="18" customHeight="1">
      <c r="A15" s="316" t="str">
        <f ca="1">IF(ROWS($1:1)&gt;COUNT(Dong5),"",OFFSET(TH!C$1,SMALL(Dong5,ROWS($1:1)),))</f>
        <v/>
      </c>
      <c r="B15" s="316" t="str">
        <f ca="1">IF(ROWS($1:1)&gt;COUNT(Dong5),"",OFFSET(TH!D$1,SMALL(Dong5,ROWS($1:1)),))</f>
        <v/>
      </c>
      <c r="C15" s="316" t="str">
        <f ca="1">IF(ROWS($1:1)&gt;COUNT(Dong5),"",OFFSET(TH!E$1,SMALL(Dong5,ROWS($1:1)),))</f>
        <v/>
      </c>
      <c r="D15" s="392" t="str">
        <f ca="1">IF(ROWS($1:1)&gt;COUNT(Dong5),"",OFFSET(TH!F$1,SMALL(Dong5,ROWS($1:1)),))</f>
        <v/>
      </c>
      <c r="E15" s="316" t="str">
        <f ca="1">IF(ROWS($1:1)&gt;COUNT(Dong5),"",IF(OFFSET(TH!N$1,SMALL(Dong5,ROWS($1:1)),)=$E$7,OFFSET(TH!O$1,SMALL(Dong5,ROWS($1:1)),),OFFSET(TH!N$1,SMALL(Dong5,ROWS($1:1)),)))</f>
        <v/>
      </c>
      <c r="F15" s="393">
        <f ca="1">IF(ROWS($1:1)&gt;COUNT(Dong5),0,IF(OFFSET(TH!N$1,SMALL(Dong5,ROWS($1:1)),)=$E$7,OFFSET(TH!M$1,SMALL(Dong5,ROWS($1:1)),),0))</f>
        <v>0</v>
      </c>
      <c r="G15" s="391">
        <f ca="1">IF(ROWS($1:1)&gt;COUNT(Dong5),0,IF(OFFSET(TH!O$1,SMALL(Dong5,ROWS($1:1)),)=$E$7,OFFSET(TH!M$1,SMALL(Dong5,ROWS($1:1)),),0))</f>
        <v>0</v>
      </c>
      <c r="H15" s="394">
        <f ca="1">IF(D15&lt;&gt;"",MAX(H14+F15-G15-I14,0),0)</f>
        <v>0</v>
      </c>
      <c r="I15" s="394">
        <f ca="1">IF(D15&lt;&gt;"",MAX(I14+G15-H14-F15,0),0)</f>
        <v>0</v>
      </c>
    </row>
    <row r="16" spans="1:9" s="18" customFormat="1" ht="18" customHeight="1">
      <c r="A16" s="316" t="str">
        <f ca="1">IF(ROWS($1:2)&gt;COUNT(Dong5),"",OFFSET(TH!C$1,SMALL(Dong5,ROWS($1:2)),))</f>
        <v/>
      </c>
      <c r="B16" s="316" t="str">
        <f ca="1">IF(ROWS($1:2)&gt;COUNT(Dong5),"",OFFSET(TH!D$1,SMALL(Dong5,ROWS($1:2)),))</f>
        <v/>
      </c>
      <c r="C16" s="316" t="str">
        <f ca="1">IF(ROWS($1:2)&gt;COUNT(Dong5),"",OFFSET(TH!E$1,SMALL(Dong5,ROWS($1:2)),))</f>
        <v/>
      </c>
      <c r="D16" s="392" t="str">
        <f ca="1">IF(ROWS($1:2)&gt;COUNT(Dong5),"",OFFSET(TH!F$1,SMALL(Dong5,ROWS($1:2)),))</f>
        <v/>
      </c>
      <c r="E16" s="316" t="str">
        <f ca="1">IF(ROWS($1:2)&gt;COUNT(Dong5),"",IF(OFFSET(TH!N$1,SMALL(Dong5,ROWS($1:2)),)=$E$7,OFFSET(TH!O$1,SMALL(Dong5,ROWS($1:2)),),OFFSET(TH!N$1,SMALL(Dong5,ROWS($1:2)),)))</f>
        <v/>
      </c>
      <c r="F16" s="393">
        <f ca="1">IF(ROWS($1:2)&gt;COUNT(Dong5),0,IF(OFFSET(TH!N$1,SMALL(Dong5,ROWS($1:2)),)=$E$7,OFFSET(TH!M$1,SMALL(Dong5,ROWS($1:2)),),0))</f>
        <v>0</v>
      </c>
      <c r="G16" s="391">
        <f ca="1">IF(ROWS($1:2)&gt;COUNT(Dong5),0,IF(OFFSET(TH!O$1,SMALL(Dong5,ROWS($1:2)),)=$E$7,OFFSET(TH!M$1,SMALL(Dong5,ROWS($1:2)),),0))</f>
        <v>0</v>
      </c>
      <c r="H16" s="394">
        <f t="shared" ref="H16:H32" ca="1" si="0">IF(D16&lt;&gt;"",MAX(H15+F16-G16-I15,0),0)</f>
        <v>0</v>
      </c>
      <c r="I16" s="394">
        <f t="shared" ref="I16:I32" ca="1" si="1">IF(D16&lt;&gt;"",MAX(I15+G16-H15-F16,0),0)</f>
        <v>0</v>
      </c>
    </row>
    <row r="17" spans="1:9" s="18" customFormat="1" ht="18" customHeight="1">
      <c r="A17" s="316" t="str">
        <f ca="1">IF(ROWS($1:3)&gt;COUNT(Dong5),"",OFFSET(TH!C$1,SMALL(Dong5,ROWS($1:3)),))</f>
        <v/>
      </c>
      <c r="B17" s="316" t="str">
        <f ca="1">IF(ROWS($1:3)&gt;COUNT(Dong5),"",OFFSET(TH!D$1,SMALL(Dong5,ROWS($1:3)),))</f>
        <v/>
      </c>
      <c r="C17" s="316" t="str">
        <f ca="1">IF(ROWS($1:3)&gt;COUNT(Dong5),"",OFFSET(TH!E$1,SMALL(Dong5,ROWS($1:3)),))</f>
        <v/>
      </c>
      <c r="D17" s="392" t="str">
        <f ca="1">IF(ROWS($1:3)&gt;COUNT(Dong5),"",OFFSET(TH!F$1,SMALL(Dong5,ROWS($1:3)),))</f>
        <v/>
      </c>
      <c r="E17" s="316" t="str">
        <f ca="1">IF(ROWS($1:3)&gt;COUNT(Dong5),"",IF(OFFSET(TH!N$1,SMALL(Dong5,ROWS($1:3)),)=$E$7,OFFSET(TH!O$1,SMALL(Dong5,ROWS($1:3)),),OFFSET(TH!N$1,SMALL(Dong5,ROWS($1:3)),)))</f>
        <v/>
      </c>
      <c r="F17" s="393">
        <f ca="1">IF(ROWS($1:3)&gt;COUNT(Dong5),0,IF(OFFSET(TH!N$1,SMALL(Dong5,ROWS($1:3)),)=$E$7,OFFSET(TH!M$1,SMALL(Dong5,ROWS($1:3)),),0))</f>
        <v>0</v>
      </c>
      <c r="G17" s="391">
        <f ca="1">IF(ROWS($1:3)&gt;COUNT(Dong5),0,IF(OFFSET(TH!O$1,SMALL(Dong5,ROWS($1:3)),)=$E$7,OFFSET(TH!M$1,SMALL(Dong5,ROWS($1:3)),),0))</f>
        <v>0</v>
      </c>
      <c r="H17" s="394">
        <f t="shared" ca="1" si="0"/>
        <v>0</v>
      </c>
      <c r="I17" s="394">
        <f t="shared" ca="1" si="1"/>
        <v>0</v>
      </c>
    </row>
    <row r="18" spans="1:9" s="18" customFormat="1" ht="18" customHeight="1">
      <c r="A18" s="316" t="str">
        <f ca="1">IF(ROWS($1:4)&gt;COUNT(Dong5),"",OFFSET(TH!C$1,SMALL(Dong5,ROWS($1:4)),))</f>
        <v/>
      </c>
      <c r="B18" s="316" t="str">
        <f ca="1">IF(ROWS($1:4)&gt;COUNT(Dong5),"",OFFSET(TH!D$1,SMALL(Dong5,ROWS($1:4)),))</f>
        <v/>
      </c>
      <c r="C18" s="316" t="str">
        <f ca="1">IF(ROWS($1:4)&gt;COUNT(Dong5),"",OFFSET(TH!E$1,SMALL(Dong5,ROWS($1:4)),))</f>
        <v/>
      </c>
      <c r="D18" s="392" t="str">
        <f ca="1">IF(ROWS($1:4)&gt;COUNT(Dong5),"",OFFSET(TH!F$1,SMALL(Dong5,ROWS($1:4)),))</f>
        <v/>
      </c>
      <c r="E18" s="316" t="str">
        <f ca="1">IF(ROWS($1:4)&gt;COUNT(Dong5),"",IF(OFFSET(TH!N$1,SMALL(Dong5,ROWS($1:4)),)=$E$7,OFFSET(TH!O$1,SMALL(Dong5,ROWS($1:4)),),OFFSET(TH!N$1,SMALL(Dong5,ROWS($1:4)),)))</f>
        <v/>
      </c>
      <c r="F18" s="393">
        <f ca="1">IF(ROWS($1:4)&gt;COUNT(Dong5),0,IF(OFFSET(TH!N$1,SMALL(Dong5,ROWS($1:4)),)=$E$7,OFFSET(TH!M$1,SMALL(Dong5,ROWS($1:4)),),0))</f>
        <v>0</v>
      </c>
      <c r="G18" s="391">
        <f ca="1">IF(ROWS($1:4)&gt;COUNT(Dong5),0,IF(OFFSET(TH!O$1,SMALL(Dong5,ROWS($1:4)),)=$E$7,OFFSET(TH!M$1,SMALL(Dong5,ROWS($1:4)),),0))</f>
        <v>0</v>
      </c>
      <c r="H18" s="394">
        <f t="shared" ca="1" si="0"/>
        <v>0</v>
      </c>
      <c r="I18" s="394">
        <f t="shared" ca="1" si="1"/>
        <v>0</v>
      </c>
    </row>
    <row r="19" spans="1:9" s="18" customFormat="1" ht="18" customHeight="1">
      <c r="A19" s="316" t="str">
        <f ca="1">IF(ROWS($1:5)&gt;COUNT(Dong5),"",OFFSET(TH!C$1,SMALL(Dong5,ROWS($1:5)),))</f>
        <v/>
      </c>
      <c r="B19" s="316" t="str">
        <f ca="1">IF(ROWS($1:5)&gt;COUNT(Dong5),"",OFFSET(TH!D$1,SMALL(Dong5,ROWS($1:5)),))</f>
        <v/>
      </c>
      <c r="C19" s="316" t="str">
        <f ca="1">IF(ROWS($1:5)&gt;COUNT(Dong5),"",OFFSET(TH!E$1,SMALL(Dong5,ROWS($1:5)),))</f>
        <v/>
      </c>
      <c r="D19" s="392" t="str">
        <f ca="1">IF(ROWS($1:5)&gt;COUNT(Dong5),"",OFFSET(TH!F$1,SMALL(Dong5,ROWS($1:5)),))</f>
        <v/>
      </c>
      <c r="E19" s="316" t="str">
        <f ca="1">IF(ROWS($1:5)&gt;COUNT(Dong5),"",IF(OFFSET(TH!N$1,SMALL(Dong5,ROWS($1:5)),)=$E$7,OFFSET(TH!O$1,SMALL(Dong5,ROWS($1:5)),),OFFSET(TH!N$1,SMALL(Dong5,ROWS($1:5)),)))</f>
        <v/>
      </c>
      <c r="F19" s="393">
        <f ca="1">IF(ROWS($1:5)&gt;COUNT(Dong5),0,IF(OFFSET(TH!N$1,SMALL(Dong5,ROWS($1:5)),)=$E$7,OFFSET(TH!M$1,SMALL(Dong5,ROWS($1:5)),),0))</f>
        <v>0</v>
      </c>
      <c r="G19" s="391">
        <f ca="1">IF(ROWS($1:5)&gt;COUNT(Dong5),0,IF(OFFSET(TH!O$1,SMALL(Dong5,ROWS($1:5)),)=$E$7,OFFSET(TH!M$1,SMALL(Dong5,ROWS($1:5)),),0))</f>
        <v>0</v>
      </c>
      <c r="H19" s="394">
        <f t="shared" ca="1" si="0"/>
        <v>0</v>
      </c>
      <c r="I19" s="394">
        <f t="shared" ca="1" si="1"/>
        <v>0</v>
      </c>
    </row>
    <row r="20" spans="1:9" s="18" customFormat="1" ht="18" customHeight="1">
      <c r="A20" s="316" t="str">
        <f ca="1">IF(ROWS($1:6)&gt;COUNT(Dong5),"",OFFSET(TH!C$1,SMALL(Dong5,ROWS($1:6)),))</f>
        <v/>
      </c>
      <c r="B20" s="316" t="str">
        <f ca="1">IF(ROWS($1:6)&gt;COUNT(Dong5),"",OFFSET(TH!D$1,SMALL(Dong5,ROWS($1:6)),))</f>
        <v/>
      </c>
      <c r="C20" s="316" t="str">
        <f ca="1">IF(ROWS($1:6)&gt;COUNT(Dong5),"",OFFSET(TH!E$1,SMALL(Dong5,ROWS($1:6)),))</f>
        <v/>
      </c>
      <c r="D20" s="392" t="str">
        <f ca="1">IF(ROWS($1:6)&gt;COUNT(Dong5),"",OFFSET(TH!F$1,SMALL(Dong5,ROWS($1:6)),))</f>
        <v/>
      </c>
      <c r="E20" s="316" t="str">
        <f ca="1">IF(ROWS($1:6)&gt;COUNT(Dong5),"",IF(OFFSET(TH!N$1,SMALL(Dong5,ROWS($1:6)),)=$E$7,OFFSET(TH!O$1,SMALL(Dong5,ROWS($1:6)),),OFFSET(TH!N$1,SMALL(Dong5,ROWS($1:6)),)))</f>
        <v/>
      </c>
      <c r="F20" s="393">
        <f ca="1">IF(ROWS($1:6)&gt;COUNT(Dong5),0,IF(OFFSET(TH!N$1,SMALL(Dong5,ROWS($1:6)),)=$E$7,OFFSET(TH!M$1,SMALL(Dong5,ROWS($1:6)),),0))</f>
        <v>0</v>
      </c>
      <c r="G20" s="391">
        <f ca="1">IF(ROWS($1:6)&gt;COUNT(Dong5),0,IF(OFFSET(TH!O$1,SMALL(Dong5,ROWS($1:6)),)=$E$7,OFFSET(TH!M$1,SMALL(Dong5,ROWS($1:6)),),0))</f>
        <v>0</v>
      </c>
      <c r="H20" s="394">
        <f t="shared" ca="1" si="0"/>
        <v>0</v>
      </c>
      <c r="I20" s="394">
        <f t="shared" ca="1" si="1"/>
        <v>0</v>
      </c>
    </row>
    <row r="21" spans="1:9" s="18" customFormat="1" ht="18" customHeight="1">
      <c r="A21" s="316" t="str">
        <f ca="1">IF(ROWS($1:7)&gt;COUNT(Dong5),"",OFFSET(TH!C$1,SMALL(Dong5,ROWS($1:7)),))</f>
        <v/>
      </c>
      <c r="B21" s="316" t="str">
        <f ca="1">IF(ROWS($1:7)&gt;COUNT(Dong5),"",OFFSET(TH!D$1,SMALL(Dong5,ROWS($1:7)),))</f>
        <v/>
      </c>
      <c r="C21" s="316" t="str">
        <f ca="1">IF(ROWS($1:7)&gt;COUNT(Dong5),"",OFFSET(TH!E$1,SMALL(Dong5,ROWS($1:7)),))</f>
        <v/>
      </c>
      <c r="D21" s="392" t="str">
        <f ca="1">IF(ROWS($1:7)&gt;COUNT(Dong5),"",OFFSET(TH!F$1,SMALL(Dong5,ROWS($1:7)),)&amp;" - "&amp;OFFSET(TH!H$1,SMALL(Dong5,ROWS($1:7)),))</f>
        <v/>
      </c>
      <c r="E21" s="316" t="str">
        <f ca="1">IF(ROWS($1:7)&gt;COUNT(Dong5),"",IF(OFFSET(TH!N$1,SMALL(Dong5,ROWS($1:7)),)=$E$7,OFFSET(TH!O$1,SMALL(Dong5,ROWS($1:7)),),OFFSET(TH!N$1,SMALL(Dong5,ROWS($1:7)),)))</f>
        <v/>
      </c>
      <c r="F21" s="393">
        <f ca="1">IF(ROWS($1:7)&gt;COUNT(Dong5),0,IF(OFFSET(TH!N$1,SMALL(Dong5,ROWS($1:7)),)=$E$7,OFFSET(TH!M$1,SMALL(Dong5,ROWS($1:7)),),0))</f>
        <v>0</v>
      </c>
      <c r="G21" s="391">
        <f ca="1">IF(ROWS($1:7)&gt;COUNT(Dong5),0,IF(OFFSET(TH!O$1,SMALL(Dong5,ROWS($1:7)),)=$E$7,OFFSET(TH!M$1,SMALL(Dong5,ROWS($1:7)),),0))</f>
        <v>0</v>
      </c>
      <c r="H21" s="394">
        <f t="shared" ca="1" si="0"/>
        <v>0</v>
      </c>
      <c r="I21" s="394">
        <f t="shared" ca="1" si="1"/>
        <v>0</v>
      </c>
    </row>
    <row r="22" spans="1:9" s="18" customFormat="1" ht="18" customHeight="1">
      <c r="A22" s="316" t="str">
        <f ca="1">IF(ROWS($1:8)&gt;COUNT(Dong5),"",OFFSET(TH!C$1,SMALL(Dong5,ROWS($1:8)),))</f>
        <v/>
      </c>
      <c r="B22" s="316" t="str">
        <f ca="1">IF(ROWS($1:8)&gt;COUNT(Dong5),"",OFFSET(TH!D$1,SMALL(Dong5,ROWS($1:8)),))</f>
        <v/>
      </c>
      <c r="C22" s="316" t="str">
        <f ca="1">IF(ROWS($1:8)&gt;COUNT(Dong5),"",OFFSET(TH!E$1,SMALL(Dong5,ROWS($1:8)),))</f>
        <v/>
      </c>
      <c r="D22" s="392" t="str">
        <f ca="1">IF(ROWS($1:8)&gt;COUNT(Dong5),"",OFFSET(TH!F$1,SMALL(Dong5,ROWS($1:8)),)&amp;" - "&amp;OFFSET(TH!H$1,SMALL(Dong5,ROWS($1:8)),))</f>
        <v/>
      </c>
      <c r="E22" s="316" t="str">
        <f ca="1">IF(ROWS($1:8)&gt;COUNT(Dong5),"",IF(OFFSET(TH!N$1,SMALL(Dong5,ROWS($1:8)),)=$E$7,OFFSET(TH!O$1,SMALL(Dong5,ROWS($1:8)),),OFFSET(TH!N$1,SMALL(Dong5,ROWS($1:8)),)))</f>
        <v/>
      </c>
      <c r="F22" s="393">
        <f ca="1">IF(ROWS($1:8)&gt;COUNT(Dong5),0,IF(OFFSET(TH!N$1,SMALL(Dong5,ROWS($1:8)),)=$E$7,OFFSET(TH!M$1,SMALL(Dong5,ROWS($1:8)),),0))</f>
        <v>0</v>
      </c>
      <c r="G22" s="391">
        <f ca="1">IF(ROWS($1:8)&gt;COUNT(Dong5),0,IF(OFFSET(TH!O$1,SMALL(Dong5,ROWS($1:8)),)=$E$7,OFFSET(TH!M$1,SMALL(Dong5,ROWS($1:8)),),0))</f>
        <v>0</v>
      </c>
      <c r="H22" s="394">
        <f t="shared" ca="1" si="0"/>
        <v>0</v>
      </c>
      <c r="I22" s="394">
        <f t="shared" ca="1" si="1"/>
        <v>0</v>
      </c>
    </row>
    <row r="23" spans="1:9" s="18" customFormat="1" ht="18" customHeight="1">
      <c r="A23" s="316" t="str">
        <f ca="1">IF(ROWS($1:9)&gt;COUNT(Dong5),"",OFFSET(TH!C$1,SMALL(Dong5,ROWS($1:9)),))</f>
        <v/>
      </c>
      <c r="B23" s="316" t="str">
        <f ca="1">IF(ROWS($1:9)&gt;COUNT(Dong5),"",OFFSET(TH!D$1,SMALL(Dong5,ROWS($1:9)),))</f>
        <v/>
      </c>
      <c r="C23" s="316" t="str">
        <f ca="1">IF(ROWS($1:9)&gt;COUNT(Dong5),"",OFFSET(TH!E$1,SMALL(Dong5,ROWS($1:9)),))</f>
        <v/>
      </c>
      <c r="D23" s="392" t="str">
        <f ca="1">IF(ROWS($1:9)&gt;COUNT(Dong5),"",OFFSET(TH!F$1,SMALL(Dong5,ROWS($1:9)),)&amp;" - "&amp;OFFSET(TH!H$1,SMALL(Dong5,ROWS($1:9)),))</f>
        <v/>
      </c>
      <c r="E23" s="316" t="str">
        <f ca="1">IF(ROWS($1:9)&gt;COUNT(Dong5),"",IF(OFFSET(TH!N$1,SMALL(Dong5,ROWS($1:9)),)=$E$7,OFFSET(TH!O$1,SMALL(Dong5,ROWS($1:9)),),OFFSET(TH!N$1,SMALL(Dong5,ROWS($1:9)),)))</f>
        <v/>
      </c>
      <c r="F23" s="393">
        <f ca="1">IF(ROWS($1:9)&gt;COUNT(Dong5),0,IF(OFFSET(TH!N$1,SMALL(Dong5,ROWS($1:9)),)=$E$7,OFFSET(TH!M$1,SMALL(Dong5,ROWS($1:9)),),0))</f>
        <v>0</v>
      </c>
      <c r="G23" s="391">
        <f ca="1">IF(ROWS($1:9)&gt;COUNT(Dong5),0,IF(OFFSET(TH!O$1,SMALL(Dong5,ROWS($1:9)),)=$E$7,OFFSET(TH!M$1,SMALL(Dong5,ROWS($1:9)),),0))</f>
        <v>0</v>
      </c>
      <c r="H23" s="394">
        <f t="shared" ca="1" si="0"/>
        <v>0</v>
      </c>
      <c r="I23" s="394">
        <f t="shared" ca="1" si="1"/>
        <v>0</v>
      </c>
    </row>
    <row r="24" spans="1:9" s="18" customFormat="1" ht="18" customHeight="1">
      <c r="A24" s="316" t="str">
        <f ca="1">IF(ROWS($1:10)&gt;COUNT(Dong5),"",OFFSET(TH!C$1,SMALL(Dong5,ROWS($1:10)),))</f>
        <v/>
      </c>
      <c r="B24" s="316" t="str">
        <f ca="1">IF(ROWS($1:10)&gt;COUNT(Dong5),"",OFFSET(TH!D$1,SMALL(Dong5,ROWS($1:10)),))</f>
        <v/>
      </c>
      <c r="C24" s="316" t="str">
        <f ca="1">IF(ROWS($1:10)&gt;COUNT(Dong5),"",OFFSET(TH!E$1,SMALL(Dong5,ROWS($1:10)),))</f>
        <v/>
      </c>
      <c r="D24" s="392" t="str">
        <f ca="1">IF(ROWS($1:10)&gt;COUNT(Dong5),"",OFFSET(TH!F$1,SMALL(Dong5,ROWS($1:10)),)&amp;" - "&amp;OFFSET(TH!H$1,SMALL(Dong5,ROWS($1:10)),))</f>
        <v/>
      </c>
      <c r="E24" s="316" t="str">
        <f ca="1">IF(ROWS($1:10)&gt;COUNT(Dong5),"",IF(OFFSET(TH!N$1,SMALL(Dong5,ROWS($1:10)),)=$E$7,OFFSET(TH!O$1,SMALL(Dong5,ROWS($1:10)),),OFFSET(TH!N$1,SMALL(Dong5,ROWS($1:10)),)))</f>
        <v/>
      </c>
      <c r="F24" s="393">
        <f ca="1">IF(ROWS($1:10)&gt;COUNT(Dong5),0,IF(OFFSET(TH!N$1,SMALL(Dong5,ROWS($1:10)),)=$E$7,OFFSET(TH!M$1,SMALL(Dong5,ROWS($1:10)),),0))</f>
        <v>0</v>
      </c>
      <c r="G24" s="391">
        <f ca="1">IF(ROWS($1:10)&gt;COUNT(Dong5),0,IF(OFFSET(TH!O$1,SMALL(Dong5,ROWS($1:10)),)=$E$7,OFFSET(TH!M$1,SMALL(Dong5,ROWS($1:10)),),0))</f>
        <v>0</v>
      </c>
      <c r="H24" s="394">
        <f t="shared" ca="1" si="0"/>
        <v>0</v>
      </c>
      <c r="I24" s="394">
        <f t="shared" ca="1" si="1"/>
        <v>0</v>
      </c>
    </row>
    <row r="25" spans="1:9" s="18" customFormat="1" ht="18" customHeight="1">
      <c r="A25" s="316" t="str">
        <f ca="1">IF(ROWS($1:11)&gt;COUNT(Dong5),"",OFFSET(TH!C$1,SMALL(Dong5,ROWS($1:11)),))</f>
        <v/>
      </c>
      <c r="B25" s="316" t="str">
        <f ca="1">IF(ROWS($1:11)&gt;COUNT(Dong5),"",OFFSET(TH!D$1,SMALL(Dong5,ROWS($1:11)),))</f>
        <v/>
      </c>
      <c r="C25" s="316" t="str">
        <f ca="1">IF(ROWS($1:11)&gt;COUNT(Dong5),"",OFFSET(TH!E$1,SMALL(Dong5,ROWS($1:11)),))</f>
        <v/>
      </c>
      <c r="D25" s="392" t="str">
        <f ca="1">IF(ROWS($1:11)&gt;COUNT(Dong5),"",OFFSET(TH!F$1,SMALL(Dong5,ROWS($1:11)),))</f>
        <v/>
      </c>
      <c r="E25" s="316" t="str">
        <f ca="1">IF(ROWS($1:11)&gt;COUNT(Dong5),"",IF(OFFSET(TH!N$1,SMALL(Dong5,ROWS($1:11)),)=$E$7,OFFSET(TH!O$1,SMALL(Dong5,ROWS($1:11)),),OFFSET(TH!N$1,SMALL(Dong5,ROWS($1:11)),)))</f>
        <v/>
      </c>
      <c r="F25" s="393">
        <f ca="1">IF(ROWS($1:11)&gt;COUNT(Dong5),0,IF(OFFSET(TH!N$1,SMALL(Dong5,ROWS($1:11)),)=$E$7,OFFSET(TH!M$1,SMALL(Dong5,ROWS($1:11)),),0))</f>
        <v>0</v>
      </c>
      <c r="G25" s="391">
        <f ca="1">IF(ROWS($1:11)&gt;COUNT(Dong5),0,IF(OFFSET(TH!O$1,SMALL(Dong5,ROWS($1:11)),)=$E$7,OFFSET(TH!M$1,SMALL(Dong5,ROWS($1:11)),),0))</f>
        <v>0</v>
      </c>
      <c r="H25" s="394">
        <f t="shared" ca="1" si="0"/>
        <v>0</v>
      </c>
      <c r="I25" s="394">
        <f t="shared" ca="1" si="1"/>
        <v>0</v>
      </c>
    </row>
    <row r="26" spans="1:9" s="18" customFormat="1" ht="18" customHeight="1">
      <c r="A26" s="316" t="str">
        <f ca="1">IF(ROWS($1:12)&gt;COUNT(Dong5),"",OFFSET(TH!C$1,SMALL(Dong5,ROWS($1:12)),))</f>
        <v/>
      </c>
      <c r="B26" s="316" t="str">
        <f ca="1">IF(ROWS($1:12)&gt;COUNT(Dong5),"",OFFSET(TH!D$1,SMALL(Dong5,ROWS($1:12)),))</f>
        <v/>
      </c>
      <c r="C26" s="316" t="str">
        <f ca="1">IF(ROWS($1:12)&gt;COUNT(Dong5),"",OFFSET(TH!E$1,SMALL(Dong5,ROWS($1:12)),))</f>
        <v/>
      </c>
      <c r="D26" s="392" t="str">
        <f ca="1">IF(ROWS($1:12)&gt;COUNT(Dong5),"",OFFSET(TH!F$1,SMALL(Dong5,ROWS($1:12)),))</f>
        <v/>
      </c>
      <c r="E26" s="316" t="str">
        <f ca="1">IF(ROWS($1:12)&gt;COUNT(Dong5),"",IF(OFFSET(TH!N$1,SMALL(Dong5,ROWS($1:12)),)=$E$7,OFFSET(TH!O$1,SMALL(Dong5,ROWS($1:12)),),OFFSET(TH!N$1,SMALL(Dong5,ROWS($1:12)),)))</f>
        <v/>
      </c>
      <c r="F26" s="393">
        <f ca="1">IF(ROWS($1:12)&gt;COUNT(Dong5),0,IF(OFFSET(TH!N$1,SMALL(Dong5,ROWS($1:12)),)=$E$7,OFFSET(TH!M$1,SMALL(Dong5,ROWS($1:12)),),0))</f>
        <v>0</v>
      </c>
      <c r="G26" s="391">
        <f ca="1">IF(ROWS($1:12)&gt;COUNT(Dong5),0,IF(OFFSET(TH!O$1,SMALL(Dong5,ROWS($1:12)),)=$E$7,OFFSET(TH!M$1,SMALL(Dong5,ROWS($1:12)),),0))</f>
        <v>0</v>
      </c>
      <c r="H26" s="394">
        <f t="shared" ca="1" si="0"/>
        <v>0</v>
      </c>
      <c r="I26" s="394">
        <f t="shared" ca="1" si="1"/>
        <v>0</v>
      </c>
    </row>
    <row r="27" spans="1:9" s="18" customFormat="1" ht="18" customHeight="1">
      <c r="A27" s="316" t="str">
        <f ca="1">IF(ROWS($1:13)&gt;COUNT(Dong5),"",OFFSET(TH!C$1,SMALL(Dong5,ROWS($1:13)),))</f>
        <v/>
      </c>
      <c r="B27" s="316" t="str">
        <f ca="1">IF(ROWS($1:13)&gt;COUNT(Dong5),"",OFFSET(TH!D$1,SMALL(Dong5,ROWS($1:13)),))</f>
        <v/>
      </c>
      <c r="C27" s="316" t="str">
        <f ca="1">IF(ROWS($1:13)&gt;COUNT(Dong5),"",OFFSET(TH!E$1,SMALL(Dong5,ROWS($1:13)),))</f>
        <v/>
      </c>
      <c r="D27" s="392" t="str">
        <f ca="1">IF(ROWS($1:13)&gt;COUNT(Dong5),"",OFFSET(TH!F$1,SMALL(Dong5,ROWS($1:13)),))</f>
        <v/>
      </c>
      <c r="E27" s="316" t="str">
        <f ca="1">IF(ROWS($1:13)&gt;COUNT(Dong5),"",IF(OFFSET(TH!N$1,SMALL(Dong5,ROWS($1:13)),)=$E$7,OFFSET(TH!O$1,SMALL(Dong5,ROWS($1:13)),),OFFSET(TH!N$1,SMALL(Dong5,ROWS($1:13)),)))</f>
        <v/>
      </c>
      <c r="F27" s="393">
        <f ca="1">IF(ROWS($1:13)&gt;COUNT(Dong5),0,IF(OFFSET(TH!N$1,SMALL(Dong5,ROWS($1:13)),)=$E$7,OFFSET(TH!M$1,SMALL(Dong5,ROWS($1:13)),),0))</f>
        <v>0</v>
      </c>
      <c r="G27" s="391">
        <f ca="1">IF(ROWS($1:13)&gt;COUNT(Dong5),0,IF(OFFSET(TH!O$1,SMALL(Dong5,ROWS($1:13)),)=$E$7,OFFSET(TH!M$1,SMALL(Dong5,ROWS($1:13)),),0))</f>
        <v>0</v>
      </c>
      <c r="H27" s="394">
        <f t="shared" ca="1" si="0"/>
        <v>0</v>
      </c>
      <c r="I27" s="394">
        <f t="shared" ca="1" si="1"/>
        <v>0</v>
      </c>
    </row>
    <row r="28" spans="1:9" s="18" customFormat="1" ht="18" customHeight="1">
      <c r="A28" s="316" t="str">
        <f ca="1">IF(ROWS($1:14)&gt;COUNT(Dong5),"",OFFSET(TH!C$1,SMALL(Dong5,ROWS($1:14)),))</f>
        <v/>
      </c>
      <c r="B28" s="316" t="str">
        <f ca="1">IF(ROWS($1:14)&gt;COUNT(Dong5),"",OFFSET(TH!D$1,SMALL(Dong5,ROWS($1:14)),))</f>
        <v/>
      </c>
      <c r="C28" s="316" t="str">
        <f ca="1">IF(ROWS($1:14)&gt;COUNT(Dong5),"",OFFSET(TH!E$1,SMALL(Dong5,ROWS($1:14)),))</f>
        <v/>
      </c>
      <c r="D28" s="392" t="str">
        <f ca="1">IF(ROWS($1:14)&gt;COUNT(Dong5),"",OFFSET(TH!F$1,SMALL(Dong5,ROWS($1:14)),))</f>
        <v/>
      </c>
      <c r="E28" s="316" t="str">
        <f ca="1">IF(ROWS($1:14)&gt;COUNT(Dong5),"",IF(OFFSET(TH!N$1,SMALL(Dong5,ROWS($1:14)),)=$E$7,OFFSET(TH!O$1,SMALL(Dong5,ROWS($1:14)),),OFFSET(TH!N$1,SMALL(Dong5,ROWS($1:14)),)))</f>
        <v/>
      </c>
      <c r="F28" s="393">
        <f ca="1">IF(ROWS($1:14)&gt;COUNT(Dong5),0,IF(OFFSET(TH!N$1,SMALL(Dong5,ROWS($1:14)),)=$E$7,OFFSET(TH!M$1,SMALL(Dong5,ROWS($1:14)),),0))</f>
        <v>0</v>
      </c>
      <c r="G28" s="391">
        <f ca="1">IF(ROWS($1:14)&gt;COUNT(Dong5),0,IF(OFFSET(TH!O$1,SMALL(Dong5,ROWS($1:14)),)=$E$7,OFFSET(TH!M$1,SMALL(Dong5,ROWS($1:14)),),0))</f>
        <v>0</v>
      </c>
      <c r="H28" s="394">
        <f t="shared" ca="1" si="0"/>
        <v>0</v>
      </c>
      <c r="I28" s="394">
        <f t="shared" ca="1" si="1"/>
        <v>0</v>
      </c>
    </row>
    <row r="29" spans="1:9" s="18" customFormat="1" ht="18" customHeight="1">
      <c r="A29" s="316" t="str">
        <f ca="1">IF(ROWS($1:15)&gt;COUNT(Dong5),"",OFFSET(TH!C$1,SMALL(Dong5,ROWS($1:15)),))</f>
        <v/>
      </c>
      <c r="B29" s="316" t="str">
        <f ca="1">IF(ROWS($1:15)&gt;COUNT(Dong5),"",OFFSET(TH!D$1,SMALL(Dong5,ROWS($1:15)),))</f>
        <v/>
      </c>
      <c r="C29" s="316" t="str">
        <f ca="1">IF(ROWS($1:15)&gt;COUNT(Dong5),"",OFFSET(TH!E$1,SMALL(Dong5,ROWS($1:15)),))</f>
        <v/>
      </c>
      <c r="D29" s="392" t="str">
        <f ca="1">IF(ROWS($1:15)&gt;COUNT(Dong5),"",OFFSET(TH!F$1,SMALL(Dong5,ROWS($1:15)),))</f>
        <v/>
      </c>
      <c r="E29" s="316" t="str">
        <f ca="1">IF(ROWS($1:15)&gt;COUNT(Dong5),"",IF(OFFSET(TH!N$1,SMALL(Dong5,ROWS($1:15)),)=$E$7,OFFSET(TH!O$1,SMALL(Dong5,ROWS($1:15)),),OFFSET(TH!N$1,SMALL(Dong5,ROWS($1:15)),)))</f>
        <v/>
      </c>
      <c r="F29" s="393">
        <f ca="1">IF(ROWS($1:15)&gt;COUNT(Dong5),0,IF(OFFSET(TH!N$1,SMALL(Dong5,ROWS($1:15)),)=$E$7,OFFSET(TH!M$1,SMALL(Dong5,ROWS($1:15)),),0))</f>
        <v>0</v>
      </c>
      <c r="G29" s="391">
        <f ca="1">IF(ROWS($1:15)&gt;COUNT(Dong5),0,IF(OFFSET(TH!O$1,SMALL(Dong5,ROWS($1:15)),)=$E$7,OFFSET(TH!M$1,SMALL(Dong5,ROWS($1:15)),),0))</f>
        <v>0</v>
      </c>
      <c r="H29" s="394">
        <f t="shared" ca="1" si="0"/>
        <v>0</v>
      </c>
      <c r="I29" s="394">
        <f t="shared" ca="1" si="1"/>
        <v>0</v>
      </c>
    </row>
    <row r="30" spans="1:9" s="18" customFormat="1" ht="18" customHeight="1">
      <c r="A30" s="316" t="str">
        <f ca="1">IF(ROWS($1:16)&gt;COUNT(Dong5),"",OFFSET(TH!C$1,SMALL(Dong5,ROWS($1:16)),))</f>
        <v/>
      </c>
      <c r="B30" s="316" t="str">
        <f ca="1">IF(ROWS($1:16)&gt;COUNT(Dong5),"",OFFSET(TH!D$1,SMALL(Dong5,ROWS($1:16)),))</f>
        <v/>
      </c>
      <c r="C30" s="316" t="str">
        <f ca="1">IF(ROWS($1:16)&gt;COUNT(Dong5),"",OFFSET(TH!E$1,SMALL(Dong5,ROWS($1:16)),))</f>
        <v/>
      </c>
      <c r="D30" s="392" t="str">
        <f ca="1">IF(ROWS($1:16)&gt;COUNT(Dong5),"",OFFSET(TH!F$1,SMALL(Dong5,ROWS($1:16)),))</f>
        <v/>
      </c>
      <c r="E30" s="316" t="str">
        <f ca="1">IF(ROWS($1:16)&gt;COUNT(Dong5),"",IF(OFFSET(TH!N$1,SMALL(Dong5,ROWS($1:16)),)=$E$7,OFFSET(TH!O$1,SMALL(Dong5,ROWS($1:16)),),OFFSET(TH!N$1,SMALL(Dong5,ROWS($1:16)),)))</f>
        <v/>
      </c>
      <c r="F30" s="393">
        <f ca="1">IF(ROWS($1:16)&gt;COUNT(Dong5),0,IF(OFFSET(TH!N$1,SMALL(Dong5,ROWS($1:16)),)=$E$7,OFFSET(TH!M$1,SMALL(Dong5,ROWS($1:16)),),0))</f>
        <v>0</v>
      </c>
      <c r="G30" s="391">
        <f ca="1">IF(ROWS($1:16)&gt;COUNT(Dong5),0,IF(OFFSET(TH!O$1,SMALL(Dong5,ROWS($1:16)),)=$E$7,OFFSET(TH!M$1,SMALL(Dong5,ROWS($1:16)),),0))</f>
        <v>0</v>
      </c>
      <c r="H30" s="394">
        <f t="shared" ca="1" si="0"/>
        <v>0</v>
      </c>
      <c r="I30" s="394">
        <f t="shared" ca="1" si="1"/>
        <v>0</v>
      </c>
    </row>
    <row r="31" spans="1:9" s="18" customFormat="1" ht="18" customHeight="1">
      <c r="A31" s="316" t="str">
        <f ca="1">IF(ROWS($1:17)&gt;COUNT(Dong5),"",OFFSET(TH!C$1,SMALL(Dong5,ROWS($1:17)),))</f>
        <v/>
      </c>
      <c r="B31" s="316" t="str">
        <f ca="1">IF(ROWS($1:17)&gt;COUNT(Dong5),"",OFFSET(TH!D$1,SMALL(Dong5,ROWS($1:17)),))</f>
        <v/>
      </c>
      <c r="C31" s="316" t="str">
        <f ca="1">IF(ROWS($1:17)&gt;COUNT(Dong5),"",OFFSET(TH!E$1,SMALL(Dong5,ROWS($1:17)),))</f>
        <v/>
      </c>
      <c r="D31" s="392" t="str">
        <f ca="1">IF(ROWS($1:17)&gt;COUNT(Dong5),"",OFFSET(TH!F$1,SMALL(Dong5,ROWS($1:17)),))</f>
        <v/>
      </c>
      <c r="E31" s="316" t="str">
        <f ca="1">IF(ROWS($1:17)&gt;COUNT(Dong5),"",IF(OFFSET(TH!N$1,SMALL(Dong5,ROWS($1:17)),)=$E$7,OFFSET(TH!O$1,SMALL(Dong5,ROWS($1:17)),),OFFSET(TH!N$1,SMALL(Dong5,ROWS($1:17)),)))</f>
        <v/>
      </c>
      <c r="F31" s="393">
        <f ca="1">IF(ROWS($1:17)&gt;COUNT(Dong5),0,IF(OFFSET(TH!N$1,SMALL(Dong5,ROWS($1:17)),)=$E$7,OFFSET(TH!M$1,SMALL(Dong5,ROWS($1:17)),),0))</f>
        <v>0</v>
      </c>
      <c r="G31" s="391">
        <f ca="1">IF(ROWS($1:17)&gt;COUNT(Dong5),0,IF(OFFSET(TH!O$1,SMALL(Dong5,ROWS($1:17)),)=$E$7,OFFSET(TH!M$1,SMALL(Dong5,ROWS($1:17)),),0))</f>
        <v>0</v>
      </c>
      <c r="H31" s="394">
        <f t="shared" ca="1" si="0"/>
        <v>0</v>
      </c>
      <c r="I31" s="394">
        <f t="shared" ca="1" si="1"/>
        <v>0</v>
      </c>
    </row>
    <row r="32" spans="1:9" s="18" customFormat="1" ht="18" customHeight="1">
      <c r="A32" s="316" t="str">
        <f ca="1">IF(ROWS($1:18)&gt;COUNT(Dong5),"",OFFSET(TH!C$1,SMALL(Dong5,ROWS($1:18)),))</f>
        <v/>
      </c>
      <c r="B32" s="316" t="str">
        <f ca="1">IF(ROWS($1:18)&gt;COUNT(Dong5),"",OFFSET(TH!D$1,SMALL(Dong5,ROWS($1:18)),))</f>
        <v/>
      </c>
      <c r="C32" s="316" t="str">
        <f ca="1">IF(ROWS($1:18)&gt;COUNT(Dong5),"",OFFSET(TH!E$1,SMALL(Dong5,ROWS($1:18)),))</f>
        <v/>
      </c>
      <c r="D32" s="392" t="str">
        <f ca="1">IF(ROWS($1:18)&gt;COUNT(Dong5),"",OFFSET(TH!F$1,SMALL(Dong5,ROWS($1:18)),))</f>
        <v/>
      </c>
      <c r="E32" s="316" t="str">
        <f ca="1">IF(ROWS($1:18)&gt;COUNT(Dong5),"",IF(OFFSET(TH!N$1,SMALL(Dong5,ROWS($1:18)),)=$E$7,OFFSET(TH!O$1,SMALL(Dong5,ROWS($1:18)),),OFFSET(TH!N$1,SMALL(Dong5,ROWS($1:18)),)))</f>
        <v/>
      </c>
      <c r="F32" s="393">
        <f ca="1">IF(ROWS($1:18)&gt;COUNT(Dong5),0,IF(OFFSET(TH!N$1,SMALL(Dong5,ROWS($1:18)),)=$E$7,OFFSET(TH!M$1,SMALL(Dong5,ROWS($1:18)),),0))</f>
        <v>0</v>
      </c>
      <c r="G32" s="391">
        <f ca="1">IF(ROWS($1:18)&gt;COUNT(Dong5),0,IF(OFFSET(TH!O$1,SMALL(Dong5,ROWS($1:18)),)=$E$7,OFFSET(TH!M$1,SMALL(Dong5,ROWS($1:18)),),0))</f>
        <v>0</v>
      </c>
      <c r="H32" s="394">
        <f t="shared" ca="1" si="0"/>
        <v>0</v>
      </c>
      <c r="I32" s="394">
        <f t="shared" ca="1" si="1"/>
        <v>0</v>
      </c>
    </row>
    <row r="33" spans="1:9" s="18" customFormat="1" ht="18" customHeight="1">
      <c r="A33" s="316" t="str">
        <f ca="1">IF(ROWS($1:19)&gt;COUNT(Dong5),"",OFFSET(TH!C$1,SMALL(Dong5,ROWS($1:19)),))</f>
        <v/>
      </c>
      <c r="B33" s="316" t="str">
        <f ca="1">IF(ROWS($1:19)&gt;COUNT(Dong5),"",OFFSET(TH!D$1,SMALL(Dong5,ROWS($1:19)),))</f>
        <v/>
      </c>
      <c r="C33" s="316" t="str">
        <f ca="1">IF(ROWS($1:19)&gt;COUNT(Dong5),"",OFFSET(TH!E$1,SMALL(Dong5,ROWS($1:19)),))</f>
        <v/>
      </c>
      <c r="D33" s="392" t="str">
        <f ca="1">IF(ROWS($1:19)&gt;COUNT(Dong5),"",OFFSET(TH!F$1,SMALL(Dong5,ROWS($1:19)),))</f>
        <v/>
      </c>
      <c r="E33" s="316" t="str">
        <f ca="1">IF(ROWS($1:19)&gt;COUNT(Dong5),"",IF(OFFSET(TH!N$1,SMALL(Dong5,ROWS($1:19)),)=$E$7,OFFSET(TH!O$1,SMALL(Dong5,ROWS($1:19)),),OFFSET(TH!N$1,SMALL(Dong5,ROWS($1:19)),)))</f>
        <v/>
      </c>
      <c r="F33" s="393">
        <f ca="1">IF(ROWS($1:19)&gt;COUNT(Dong5),0,IF(OFFSET(TH!N$1,SMALL(Dong5,ROWS($1:19)),)=$E$7,OFFSET(TH!M$1,SMALL(Dong5,ROWS($1:19)),),0))</f>
        <v>0</v>
      </c>
      <c r="G33" s="391">
        <f ca="1">IF(ROWS($1:19)&gt;COUNT(Dong5),0,IF(OFFSET(TH!O$1,SMALL(Dong5,ROWS($1:19)),)=$E$7,OFFSET(TH!M$1,SMALL(Dong5,ROWS($1:19)),),0))</f>
        <v>0</v>
      </c>
      <c r="H33" s="394">
        <f t="shared" ref="H33:H46" ca="1" si="2">IF(D33&lt;&gt;"",MAX(H32+F33-G33-I32,0),0)</f>
        <v>0</v>
      </c>
      <c r="I33" s="394">
        <f t="shared" ref="I33:I46" ca="1" si="3">IF(D33&lt;&gt;"",MAX(I32+G33-H32-F33,0),0)</f>
        <v>0</v>
      </c>
    </row>
    <row r="34" spans="1:9" s="18" customFormat="1" ht="18" customHeight="1">
      <c r="A34" s="316" t="str">
        <f ca="1">IF(ROWS($1:20)&gt;COUNT(Dong5),"",OFFSET(TH!C$1,SMALL(Dong5,ROWS($1:20)),))</f>
        <v/>
      </c>
      <c r="B34" s="316" t="str">
        <f ca="1">IF(ROWS($1:20)&gt;COUNT(Dong5),"",OFFSET(TH!D$1,SMALL(Dong5,ROWS($1:20)),))</f>
        <v/>
      </c>
      <c r="C34" s="316" t="str">
        <f ca="1">IF(ROWS($1:20)&gt;COUNT(Dong5),"",OFFSET(TH!E$1,SMALL(Dong5,ROWS($1:20)),))</f>
        <v/>
      </c>
      <c r="D34" s="392" t="str">
        <f ca="1">IF(ROWS($1:20)&gt;COUNT(Dong5),"",OFFSET(TH!F$1,SMALL(Dong5,ROWS($1:20)),))</f>
        <v/>
      </c>
      <c r="E34" s="316" t="str">
        <f ca="1">IF(ROWS($1:20)&gt;COUNT(Dong5),"",IF(OFFSET(TH!N$1,SMALL(Dong5,ROWS($1:20)),)=$E$7,OFFSET(TH!O$1,SMALL(Dong5,ROWS($1:20)),),OFFSET(TH!N$1,SMALL(Dong5,ROWS($1:20)),)))</f>
        <v/>
      </c>
      <c r="F34" s="393">
        <f ca="1">IF(ROWS($1:20)&gt;COUNT(Dong5),0,IF(OFFSET(TH!N$1,SMALL(Dong5,ROWS($1:20)),)=$E$7,OFFSET(TH!M$1,SMALL(Dong5,ROWS($1:20)),),0))</f>
        <v>0</v>
      </c>
      <c r="G34" s="391">
        <f ca="1">IF(ROWS($1:20)&gt;COUNT(Dong5),0,IF(OFFSET(TH!O$1,SMALL(Dong5,ROWS($1:20)),)=$E$7,OFFSET(TH!M$1,SMALL(Dong5,ROWS($1:20)),),0))</f>
        <v>0</v>
      </c>
      <c r="H34" s="394">
        <f t="shared" ca="1" si="2"/>
        <v>0</v>
      </c>
      <c r="I34" s="394">
        <f t="shared" ca="1" si="3"/>
        <v>0</v>
      </c>
    </row>
    <row r="35" spans="1:9" s="18" customFormat="1" ht="18" customHeight="1">
      <c r="A35" s="316" t="str">
        <f ca="1">IF(ROWS($1:21)&gt;COUNT(Dong5),"",OFFSET(TH!C$1,SMALL(Dong5,ROWS($1:21)),))</f>
        <v/>
      </c>
      <c r="B35" s="316" t="str">
        <f ca="1">IF(ROWS($1:21)&gt;COUNT(Dong5),"",OFFSET(TH!D$1,SMALL(Dong5,ROWS($1:21)),))</f>
        <v/>
      </c>
      <c r="C35" s="316" t="str">
        <f ca="1">IF(ROWS($1:21)&gt;COUNT(Dong5),"",OFFSET(TH!E$1,SMALL(Dong5,ROWS($1:21)),))</f>
        <v/>
      </c>
      <c r="D35" s="392" t="str">
        <f ca="1">IF(ROWS($1:21)&gt;COUNT(Dong5),"",OFFSET(TH!F$1,SMALL(Dong5,ROWS($1:21)),))</f>
        <v/>
      </c>
      <c r="E35" s="316" t="str">
        <f ca="1">IF(ROWS($1:21)&gt;COUNT(Dong5),"",IF(OFFSET(TH!N$1,SMALL(Dong5,ROWS($1:21)),)=$E$7,OFFSET(TH!O$1,SMALL(Dong5,ROWS($1:21)),),OFFSET(TH!N$1,SMALL(Dong5,ROWS($1:21)),)))</f>
        <v/>
      </c>
      <c r="F35" s="393">
        <f ca="1">IF(ROWS($1:21)&gt;COUNT(Dong5),0,IF(OFFSET(TH!N$1,SMALL(Dong5,ROWS($1:21)),)=$E$7,OFFSET(TH!M$1,SMALL(Dong5,ROWS($1:21)),),0))</f>
        <v>0</v>
      </c>
      <c r="G35" s="391">
        <f ca="1">IF(ROWS($1:21)&gt;COUNT(Dong5),0,IF(OFFSET(TH!O$1,SMALL(Dong5,ROWS($1:21)),)=$E$7,OFFSET(TH!M$1,SMALL(Dong5,ROWS($1:21)),),0))</f>
        <v>0</v>
      </c>
      <c r="H35" s="394">
        <f t="shared" ca="1" si="2"/>
        <v>0</v>
      </c>
      <c r="I35" s="394">
        <f t="shared" ca="1" si="3"/>
        <v>0</v>
      </c>
    </row>
    <row r="36" spans="1:9" s="18" customFormat="1" ht="18" customHeight="1">
      <c r="A36" s="316" t="str">
        <f ca="1">IF(ROWS($1:22)&gt;COUNT(Dong5),"",OFFSET(TH!C$1,SMALL(Dong5,ROWS($1:22)),))</f>
        <v/>
      </c>
      <c r="B36" s="316" t="str">
        <f ca="1">IF(ROWS($1:22)&gt;COUNT(Dong5),"",OFFSET(TH!D$1,SMALL(Dong5,ROWS($1:22)),))</f>
        <v/>
      </c>
      <c r="C36" s="316" t="str">
        <f ca="1">IF(ROWS($1:22)&gt;COUNT(Dong5),"",OFFSET(TH!E$1,SMALL(Dong5,ROWS($1:22)),))</f>
        <v/>
      </c>
      <c r="D36" s="392" t="str">
        <f ca="1">IF(ROWS($1:22)&gt;COUNT(Dong5),"",OFFSET(TH!F$1,SMALL(Dong5,ROWS($1:22)),))</f>
        <v/>
      </c>
      <c r="E36" s="316" t="str">
        <f ca="1">IF(ROWS($1:22)&gt;COUNT(Dong5),"",IF(OFFSET(TH!N$1,SMALL(Dong5,ROWS($1:22)),)=$E$7,OFFSET(TH!O$1,SMALL(Dong5,ROWS($1:22)),),OFFSET(TH!N$1,SMALL(Dong5,ROWS($1:22)),)))</f>
        <v/>
      </c>
      <c r="F36" s="393">
        <f ca="1">IF(ROWS($1:22)&gt;COUNT(Dong5),0,IF(OFFSET(TH!N$1,SMALL(Dong5,ROWS($1:22)),)=$E$7,OFFSET(TH!M$1,SMALL(Dong5,ROWS($1:22)),),0))</f>
        <v>0</v>
      </c>
      <c r="G36" s="391">
        <f ca="1">IF(ROWS($1:22)&gt;COUNT(Dong5),0,IF(OFFSET(TH!O$1,SMALL(Dong5,ROWS($1:22)),)=$E$7,OFFSET(TH!M$1,SMALL(Dong5,ROWS($1:22)),),0))</f>
        <v>0</v>
      </c>
      <c r="H36" s="394">
        <f t="shared" ca="1" si="2"/>
        <v>0</v>
      </c>
      <c r="I36" s="394">
        <f t="shared" ca="1" si="3"/>
        <v>0</v>
      </c>
    </row>
    <row r="37" spans="1:9" s="18" customFormat="1" ht="18" customHeight="1">
      <c r="A37" s="316" t="str">
        <f ca="1">IF(ROWS($1:23)&gt;COUNT(Dong5),"",OFFSET(TH!C$1,SMALL(Dong5,ROWS($1:23)),))</f>
        <v/>
      </c>
      <c r="B37" s="316" t="str">
        <f ca="1">IF(ROWS($1:23)&gt;COUNT(Dong5),"",OFFSET(TH!D$1,SMALL(Dong5,ROWS($1:23)),))</f>
        <v/>
      </c>
      <c r="C37" s="316" t="str">
        <f ca="1">IF(ROWS($1:23)&gt;COUNT(Dong5),"",OFFSET(TH!E$1,SMALL(Dong5,ROWS($1:23)),))</f>
        <v/>
      </c>
      <c r="D37" s="392" t="str">
        <f ca="1">IF(ROWS($1:23)&gt;COUNT(Dong5),"",OFFSET(TH!F$1,SMALL(Dong5,ROWS($1:23)),))</f>
        <v/>
      </c>
      <c r="E37" s="316" t="str">
        <f ca="1">IF(ROWS($1:23)&gt;COUNT(Dong5),"",IF(OFFSET(TH!N$1,SMALL(Dong5,ROWS($1:23)),)=$E$7,OFFSET(TH!O$1,SMALL(Dong5,ROWS($1:23)),),OFFSET(TH!N$1,SMALL(Dong5,ROWS($1:23)),)))</f>
        <v/>
      </c>
      <c r="F37" s="393">
        <f ca="1">IF(ROWS($1:23)&gt;COUNT(Dong5),0,IF(OFFSET(TH!N$1,SMALL(Dong5,ROWS($1:23)),)=$E$7,OFFSET(TH!M$1,SMALL(Dong5,ROWS($1:23)),),0))</f>
        <v>0</v>
      </c>
      <c r="G37" s="391">
        <f ca="1">IF(ROWS($1:23)&gt;COUNT(Dong5),0,IF(OFFSET(TH!O$1,SMALL(Dong5,ROWS($1:23)),)=$E$7,OFFSET(TH!M$1,SMALL(Dong5,ROWS($1:23)),),0))</f>
        <v>0</v>
      </c>
      <c r="H37" s="394">
        <f t="shared" ca="1" si="2"/>
        <v>0</v>
      </c>
      <c r="I37" s="394">
        <f t="shared" ca="1" si="3"/>
        <v>0</v>
      </c>
    </row>
    <row r="38" spans="1:9" s="18" customFormat="1" ht="18" customHeight="1">
      <c r="A38" s="316" t="str">
        <f ca="1">IF(ROWS($1:24)&gt;COUNT(Dong5),"",OFFSET(TH!C$1,SMALL(Dong5,ROWS($1:24)),))</f>
        <v/>
      </c>
      <c r="B38" s="316" t="str">
        <f ca="1">IF(ROWS($1:24)&gt;COUNT(Dong5),"",OFFSET(TH!D$1,SMALL(Dong5,ROWS($1:24)),))</f>
        <v/>
      </c>
      <c r="C38" s="316" t="str">
        <f ca="1">IF(ROWS($1:24)&gt;COUNT(Dong5),"",OFFSET(TH!E$1,SMALL(Dong5,ROWS($1:24)),))</f>
        <v/>
      </c>
      <c r="D38" s="392" t="str">
        <f ca="1">IF(ROWS($1:24)&gt;COUNT(Dong5),"",OFFSET(TH!F$1,SMALL(Dong5,ROWS($1:24)),))</f>
        <v/>
      </c>
      <c r="E38" s="316" t="str">
        <f ca="1">IF(ROWS($1:24)&gt;COUNT(Dong5),"",IF(OFFSET(TH!N$1,SMALL(Dong5,ROWS($1:24)),)=$E$7,OFFSET(TH!O$1,SMALL(Dong5,ROWS($1:24)),),OFFSET(TH!N$1,SMALL(Dong5,ROWS($1:24)),)))</f>
        <v/>
      </c>
      <c r="F38" s="393">
        <f ca="1">IF(ROWS($1:24)&gt;COUNT(Dong5),0,IF(OFFSET(TH!N$1,SMALL(Dong5,ROWS($1:24)),)=$E$7,OFFSET(TH!M$1,SMALL(Dong5,ROWS($1:24)),),0))</f>
        <v>0</v>
      </c>
      <c r="G38" s="391">
        <f ca="1">IF(ROWS($1:24)&gt;COUNT(Dong5),0,IF(OFFSET(TH!O$1,SMALL(Dong5,ROWS($1:24)),)=$E$7,OFFSET(TH!M$1,SMALL(Dong5,ROWS($1:24)),),0))</f>
        <v>0</v>
      </c>
      <c r="H38" s="394">
        <f t="shared" ca="1" si="2"/>
        <v>0</v>
      </c>
      <c r="I38" s="394">
        <f t="shared" ca="1" si="3"/>
        <v>0</v>
      </c>
    </row>
    <row r="39" spans="1:9" s="18" customFormat="1" ht="18" customHeight="1">
      <c r="A39" s="316" t="str">
        <f ca="1">IF(ROWS($1:25)&gt;COUNT(Dong5),"",OFFSET(TH!C$1,SMALL(Dong5,ROWS($1:25)),))</f>
        <v/>
      </c>
      <c r="B39" s="316" t="str">
        <f ca="1">IF(ROWS($1:25)&gt;COUNT(Dong5),"",OFFSET(TH!D$1,SMALL(Dong5,ROWS($1:25)),))</f>
        <v/>
      </c>
      <c r="C39" s="316" t="str">
        <f ca="1">IF(ROWS($1:25)&gt;COUNT(Dong5),"",OFFSET(TH!E$1,SMALL(Dong5,ROWS($1:25)),))</f>
        <v/>
      </c>
      <c r="D39" s="392" t="str">
        <f ca="1">IF(ROWS($1:25)&gt;COUNT(Dong5),"",OFFSET(TH!F$1,SMALL(Dong5,ROWS($1:25)),))</f>
        <v/>
      </c>
      <c r="E39" s="316" t="str">
        <f ca="1">IF(ROWS($1:25)&gt;COUNT(Dong5),"",IF(OFFSET(TH!N$1,SMALL(Dong5,ROWS($1:25)),)=$E$7,OFFSET(TH!O$1,SMALL(Dong5,ROWS($1:25)),),OFFSET(TH!N$1,SMALL(Dong5,ROWS($1:25)),)))</f>
        <v/>
      </c>
      <c r="F39" s="393">
        <f ca="1">IF(ROWS($1:25)&gt;COUNT(Dong5),0,IF(OFFSET(TH!N$1,SMALL(Dong5,ROWS($1:25)),)=$E$7,OFFSET(TH!M$1,SMALL(Dong5,ROWS($1:25)),),0))</f>
        <v>0</v>
      </c>
      <c r="G39" s="391">
        <f ca="1">IF(ROWS($1:25)&gt;COUNT(Dong5),0,IF(OFFSET(TH!O$1,SMALL(Dong5,ROWS($1:25)),)=$E$7,OFFSET(TH!M$1,SMALL(Dong5,ROWS($1:25)),),0))</f>
        <v>0</v>
      </c>
      <c r="H39" s="394">
        <f t="shared" ca="1" si="2"/>
        <v>0</v>
      </c>
      <c r="I39" s="394">
        <f t="shared" ca="1" si="3"/>
        <v>0</v>
      </c>
    </row>
    <row r="40" spans="1:9" s="18" customFormat="1" ht="18" customHeight="1">
      <c r="A40" s="316" t="str">
        <f ca="1">IF(ROWS($1:26)&gt;COUNT(Dong5),"",OFFSET(TH!C$1,SMALL(Dong5,ROWS($1:26)),))</f>
        <v/>
      </c>
      <c r="B40" s="316" t="str">
        <f ca="1">IF(ROWS($1:26)&gt;COUNT(Dong5),"",OFFSET(TH!D$1,SMALL(Dong5,ROWS($1:26)),))</f>
        <v/>
      </c>
      <c r="C40" s="316" t="str">
        <f ca="1">IF(ROWS($1:26)&gt;COUNT(Dong5),"",OFFSET(TH!E$1,SMALL(Dong5,ROWS($1:26)),))</f>
        <v/>
      </c>
      <c r="D40" s="392" t="str">
        <f ca="1">IF(ROWS($1:26)&gt;COUNT(Dong5),"",OFFSET(TH!F$1,SMALL(Dong5,ROWS($1:26)),))</f>
        <v/>
      </c>
      <c r="E40" s="316" t="str">
        <f ca="1">IF(ROWS($1:26)&gt;COUNT(Dong5),"",IF(OFFSET(TH!N$1,SMALL(Dong5,ROWS($1:26)),)=$E$7,OFFSET(TH!O$1,SMALL(Dong5,ROWS($1:26)),),OFFSET(TH!N$1,SMALL(Dong5,ROWS($1:26)),)))</f>
        <v/>
      </c>
      <c r="F40" s="393">
        <f ca="1">IF(ROWS($1:26)&gt;COUNT(Dong5),0,IF(OFFSET(TH!N$1,SMALL(Dong5,ROWS($1:26)),)=$E$7,OFFSET(TH!M$1,SMALL(Dong5,ROWS($1:26)),),0))</f>
        <v>0</v>
      </c>
      <c r="G40" s="391">
        <f ca="1">IF(ROWS($1:26)&gt;COUNT(Dong5),0,IF(OFFSET(TH!O$1,SMALL(Dong5,ROWS($1:26)),)=$E$7,OFFSET(TH!M$1,SMALL(Dong5,ROWS($1:26)),),0))</f>
        <v>0</v>
      </c>
      <c r="H40" s="394">
        <f t="shared" ca="1" si="2"/>
        <v>0</v>
      </c>
      <c r="I40" s="394">
        <f t="shared" ca="1" si="3"/>
        <v>0</v>
      </c>
    </row>
    <row r="41" spans="1:9" s="18" customFormat="1" ht="18" customHeight="1">
      <c r="A41" s="316" t="str">
        <f ca="1">IF(ROWS($1:27)&gt;COUNT(Dong5),"",OFFSET(TH!C$1,SMALL(Dong5,ROWS($1:27)),))</f>
        <v/>
      </c>
      <c r="B41" s="316" t="str">
        <f ca="1">IF(ROWS($1:27)&gt;COUNT(Dong5),"",OFFSET(TH!D$1,SMALL(Dong5,ROWS($1:27)),))</f>
        <v/>
      </c>
      <c r="C41" s="316" t="str">
        <f ca="1">IF(ROWS($1:27)&gt;COUNT(Dong5),"",OFFSET(TH!E$1,SMALL(Dong5,ROWS($1:27)),))</f>
        <v/>
      </c>
      <c r="D41" s="392" t="str">
        <f ca="1">IF(ROWS($1:27)&gt;COUNT(Dong5),"",OFFSET(TH!F$1,SMALL(Dong5,ROWS($1:27)),))</f>
        <v/>
      </c>
      <c r="E41" s="316" t="str">
        <f ca="1">IF(ROWS($1:27)&gt;COUNT(Dong5),"",IF(OFFSET(TH!N$1,SMALL(Dong5,ROWS($1:27)),)=$E$7,OFFSET(TH!O$1,SMALL(Dong5,ROWS($1:27)),),OFFSET(TH!N$1,SMALL(Dong5,ROWS($1:27)),)))</f>
        <v/>
      </c>
      <c r="F41" s="393">
        <f ca="1">IF(ROWS($1:27)&gt;COUNT(Dong5),0,IF(OFFSET(TH!N$1,SMALL(Dong5,ROWS($1:27)),)=$E$7,OFFSET(TH!M$1,SMALL(Dong5,ROWS($1:27)),),0))</f>
        <v>0</v>
      </c>
      <c r="G41" s="391">
        <f ca="1">IF(ROWS($1:27)&gt;COUNT(Dong5),0,IF(OFFSET(TH!O$1,SMALL(Dong5,ROWS($1:27)),)=$E$7,OFFSET(TH!M$1,SMALL(Dong5,ROWS($1:27)),),0))</f>
        <v>0</v>
      </c>
      <c r="H41" s="394">
        <f t="shared" ca="1" si="2"/>
        <v>0</v>
      </c>
      <c r="I41" s="394">
        <f t="shared" ca="1" si="3"/>
        <v>0</v>
      </c>
    </row>
    <row r="42" spans="1:9" s="18" customFormat="1" ht="18" customHeight="1">
      <c r="A42" s="316" t="str">
        <f ca="1">IF(ROWS($1:28)&gt;COUNT(Dong5),"",OFFSET(TH!C$1,SMALL(Dong5,ROWS($1:28)),))</f>
        <v/>
      </c>
      <c r="B42" s="316" t="str">
        <f ca="1">IF(ROWS($1:28)&gt;COUNT(Dong5),"",OFFSET(TH!D$1,SMALL(Dong5,ROWS($1:28)),))</f>
        <v/>
      </c>
      <c r="C42" s="316" t="str">
        <f ca="1">IF(ROWS($1:28)&gt;COUNT(Dong5),"",OFFSET(TH!E$1,SMALL(Dong5,ROWS($1:28)),))</f>
        <v/>
      </c>
      <c r="D42" s="392" t="str">
        <f ca="1">IF(ROWS($1:28)&gt;COUNT(Dong5),"",OFFSET(TH!F$1,SMALL(Dong5,ROWS($1:28)),))</f>
        <v/>
      </c>
      <c r="E42" s="316" t="str">
        <f ca="1">IF(ROWS($1:28)&gt;COUNT(Dong5),"",IF(OFFSET(TH!N$1,SMALL(Dong5,ROWS($1:28)),)=$E$7,OFFSET(TH!O$1,SMALL(Dong5,ROWS($1:28)),),OFFSET(TH!N$1,SMALL(Dong5,ROWS($1:28)),)))</f>
        <v/>
      </c>
      <c r="F42" s="393">
        <f ca="1">IF(ROWS($1:28)&gt;COUNT(Dong5),0,IF(OFFSET(TH!N$1,SMALL(Dong5,ROWS($1:28)),)=$E$7,OFFSET(TH!M$1,SMALL(Dong5,ROWS($1:28)),),0))</f>
        <v>0</v>
      </c>
      <c r="G42" s="391">
        <f ca="1">IF(ROWS($1:28)&gt;COUNT(Dong5),0,IF(OFFSET(TH!O$1,SMALL(Dong5,ROWS($1:28)),)=$E$7,OFFSET(TH!M$1,SMALL(Dong5,ROWS($1:28)),),0))</f>
        <v>0</v>
      </c>
      <c r="H42" s="394">
        <f t="shared" ca="1" si="2"/>
        <v>0</v>
      </c>
      <c r="I42" s="394">
        <f t="shared" ca="1" si="3"/>
        <v>0</v>
      </c>
    </row>
    <row r="43" spans="1:9" s="18" customFormat="1" ht="18" customHeight="1">
      <c r="A43" s="316" t="str">
        <f ca="1">IF(ROWS($1:29)&gt;COUNT(Dong5),"",OFFSET(TH!C$1,SMALL(Dong5,ROWS($1:29)),))</f>
        <v/>
      </c>
      <c r="B43" s="316" t="str">
        <f ca="1">IF(ROWS($1:29)&gt;COUNT(Dong5),"",OFFSET(TH!D$1,SMALL(Dong5,ROWS($1:29)),))</f>
        <v/>
      </c>
      <c r="C43" s="316" t="str">
        <f ca="1">IF(ROWS($1:29)&gt;COUNT(Dong5),"",OFFSET(TH!E$1,SMALL(Dong5,ROWS($1:29)),))</f>
        <v/>
      </c>
      <c r="D43" s="392" t="str">
        <f ca="1">IF(ROWS($1:29)&gt;COUNT(Dong5),"",OFFSET(TH!F$1,SMALL(Dong5,ROWS($1:29)),))</f>
        <v/>
      </c>
      <c r="E43" s="316" t="str">
        <f ca="1">IF(ROWS($1:29)&gt;COUNT(Dong5),"",IF(OFFSET(TH!N$1,SMALL(Dong5,ROWS($1:29)),)=$E$7,OFFSET(TH!O$1,SMALL(Dong5,ROWS($1:29)),),OFFSET(TH!N$1,SMALL(Dong5,ROWS($1:29)),)))</f>
        <v/>
      </c>
      <c r="F43" s="393">
        <f ca="1">IF(ROWS($1:29)&gt;COUNT(Dong5),0,IF(OFFSET(TH!N$1,SMALL(Dong5,ROWS($1:29)),)=$E$7,OFFSET(TH!M$1,SMALL(Dong5,ROWS($1:29)),),0))</f>
        <v>0</v>
      </c>
      <c r="G43" s="391">
        <f ca="1">IF(ROWS($1:29)&gt;COUNT(Dong5),0,IF(OFFSET(TH!O$1,SMALL(Dong5,ROWS($1:29)),)=$E$7,OFFSET(TH!M$1,SMALL(Dong5,ROWS($1:29)),),0))</f>
        <v>0</v>
      </c>
      <c r="H43" s="394">
        <f t="shared" ca="1" si="2"/>
        <v>0</v>
      </c>
      <c r="I43" s="394">
        <f t="shared" ca="1" si="3"/>
        <v>0</v>
      </c>
    </row>
    <row r="44" spans="1:9" s="18" customFormat="1" ht="18" customHeight="1">
      <c r="A44" s="316" t="str">
        <f ca="1">IF(ROWS($1:30)&gt;COUNT(Dong5),"",OFFSET(TH!C$1,SMALL(Dong5,ROWS($1:30)),))</f>
        <v/>
      </c>
      <c r="B44" s="316" t="str">
        <f ca="1">IF(ROWS($1:30)&gt;COUNT(Dong5),"",OFFSET(TH!D$1,SMALL(Dong5,ROWS($1:30)),))</f>
        <v/>
      </c>
      <c r="C44" s="316" t="str">
        <f ca="1">IF(ROWS($1:30)&gt;COUNT(Dong5),"",OFFSET(TH!E$1,SMALL(Dong5,ROWS($1:30)),))</f>
        <v/>
      </c>
      <c r="D44" s="392" t="str">
        <f ca="1">IF(ROWS($1:30)&gt;COUNT(Dong5),"",OFFSET(TH!F$1,SMALL(Dong5,ROWS($1:30)),))</f>
        <v/>
      </c>
      <c r="E44" s="316" t="str">
        <f ca="1">IF(ROWS($1:30)&gt;COUNT(Dong5),"",IF(OFFSET(TH!N$1,SMALL(Dong5,ROWS($1:30)),)=$E$7,OFFSET(TH!O$1,SMALL(Dong5,ROWS($1:30)),),OFFSET(TH!N$1,SMALL(Dong5,ROWS($1:30)),)))</f>
        <v/>
      </c>
      <c r="F44" s="393">
        <f ca="1">IF(ROWS($1:30)&gt;COUNT(Dong5),0,IF(OFFSET(TH!N$1,SMALL(Dong5,ROWS($1:30)),)=$E$7,OFFSET(TH!M$1,SMALL(Dong5,ROWS($1:30)),),0))</f>
        <v>0</v>
      </c>
      <c r="G44" s="391">
        <f ca="1">IF(ROWS($1:30)&gt;COUNT(Dong5),0,IF(OFFSET(TH!O$1,SMALL(Dong5,ROWS($1:30)),)=$E$7,OFFSET(TH!M$1,SMALL(Dong5,ROWS($1:30)),),0))</f>
        <v>0</v>
      </c>
      <c r="H44" s="394">
        <f t="shared" ca="1" si="2"/>
        <v>0</v>
      </c>
      <c r="I44" s="394">
        <f t="shared" ca="1" si="3"/>
        <v>0</v>
      </c>
    </row>
    <row r="45" spans="1:9" s="18" customFormat="1" ht="18" customHeight="1">
      <c r="A45" s="316" t="str">
        <f ca="1">IF(ROWS($1:31)&gt;COUNT(Dong5),"",OFFSET(TH!C$1,SMALL(Dong5,ROWS($1:31)),))</f>
        <v/>
      </c>
      <c r="B45" s="316" t="str">
        <f ca="1">IF(ROWS($1:31)&gt;COUNT(Dong5),"",OFFSET(TH!D$1,SMALL(Dong5,ROWS($1:31)),))</f>
        <v/>
      </c>
      <c r="C45" s="316" t="str">
        <f ca="1">IF(ROWS($1:31)&gt;COUNT(Dong5),"",OFFSET(TH!E$1,SMALL(Dong5,ROWS($1:31)),))</f>
        <v/>
      </c>
      <c r="D45" s="392" t="str">
        <f ca="1">IF(ROWS($1:31)&gt;COUNT(Dong5),"",OFFSET(TH!F$1,SMALL(Dong5,ROWS($1:31)),))</f>
        <v/>
      </c>
      <c r="E45" s="316" t="str">
        <f ca="1">IF(ROWS($1:31)&gt;COUNT(Dong5),"",IF(OFFSET(TH!N$1,SMALL(Dong5,ROWS($1:31)),)=$E$7,OFFSET(TH!O$1,SMALL(Dong5,ROWS($1:31)),),OFFSET(TH!N$1,SMALL(Dong5,ROWS($1:31)),)))</f>
        <v/>
      </c>
      <c r="F45" s="393">
        <f ca="1">IF(ROWS($1:31)&gt;COUNT(Dong5),0,IF(OFFSET(TH!N$1,SMALL(Dong5,ROWS($1:31)),)=$E$7,OFFSET(TH!M$1,SMALL(Dong5,ROWS($1:31)),),0))</f>
        <v>0</v>
      </c>
      <c r="G45" s="391">
        <f ca="1">IF(ROWS($1:31)&gt;COUNT(Dong5),0,IF(OFFSET(TH!O$1,SMALL(Dong5,ROWS($1:31)),)=$E$7,OFFSET(TH!M$1,SMALL(Dong5,ROWS($1:31)),),0))</f>
        <v>0</v>
      </c>
      <c r="H45" s="394">
        <f t="shared" ca="1" si="2"/>
        <v>0</v>
      </c>
      <c r="I45" s="394">
        <f t="shared" ca="1" si="3"/>
        <v>0</v>
      </c>
    </row>
    <row r="46" spans="1:9" s="18" customFormat="1" ht="18" customHeight="1">
      <c r="A46" s="316" t="str">
        <f ca="1">IF(ROWS($1:32)&gt;COUNT(Dong5),"",OFFSET(TH!C$1,SMALL(Dong5,ROWS($1:32)),))</f>
        <v/>
      </c>
      <c r="B46" s="316" t="str">
        <f ca="1">IF(ROWS($1:32)&gt;COUNT(Dong5),"",OFFSET(TH!D$1,SMALL(Dong5,ROWS($1:32)),))</f>
        <v/>
      </c>
      <c r="C46" s="316" t="str">
        <f ca="1">IF(ROWS($1:32)&gt;COUNT(Dong5),"",OFFSET(TH!E$1,SMALL(Dong5,ROWS($1:32)),))</f>
        <v/>
      </c>
      <c r="D46" s="392" t="str">
        <f ca="1">IF(ROWS($1:32)&gt;COUNT(Dong5),"",OFFSET(TH!F$1,SMALL(Dong5,ROWS($1:32)),))</f>
        <v/>
      </c>
      <c r="E46" s="316" t="str">
        <f ca="1">IF(ROWS($1:32)&gt;COUNT(Dong5),"",IF(OFFSET(TH!N$1,SMALL(Dong5,ROWS($1:32)),)=$E$7,OFFSET(TH!O$1,SMALL(Dong5,ROWS($1:32)),),OFFSET(TH!N$1,SMALL(Dong5,ROWS($1:32)),)))</f>
        <v/>
      </c>
      <c r="F46" s="393">
        <f ca="1">IF(ROWS($1:32)&gt;COUNT(Dong5),0,IF(OFFSET(TH!N$1,SMALL(Dong5,ROWS($1:32)),)=$E$7,OFFSET(TH!M$1,SMALL(Dong5,ROWS($1:32)),),0))</f>
        <v>0</v>
      </c>
      <c r="G46" s="391">
        <f ca="1">IF(ROWS($1:32)&gt;COUNT(Dong5),0,IF(OFFSET(TH!O$1,SMALL(Dong5,ROWS($1:32)),)=$E$7,OFFSET(TH!M$1,SMALL(Dong5,ROWS($1:32)),),0))</f>
        <v>0</v>
      </c>
      <c r="H46" s="394">
        <f t="shared" ca="1" si="2"/>
        <v>0</v>
      </c>
      <c r="I46" s="394">
        <f t="shared" ca="1" si="3"/>
        <v>0</v>
      </c>
    </row>
    <row r="47" spans="1:9" s="18" customFormat="1" ht="18" customHeight="1">
      <c r="A47" s="316" t="str">
        <f ca="1">IF(ROWS($1:33)&gt;COUNT(Dong5),"",OFFSET(TH!C$1,SMALL(Dong5,ROWS($1:33)),))</f>
        <v/>
      </c>
      <c r="B47" s="316" t="str">
        <f ca="1">IF(ROWS($1:33)&gt;COUNT(Dong5),"",OFFSET(TH!D$1,SMALL(Dong5,ROWS($1:33)),))</f>
        <v/>
      </c>
      <c r="C47" s="316" t="str">
        <f ca="1">IF(ROWS($1:33)&gt;COUNT(Dong5),"",OFFSET(TH!E$1,SMALL(Dong5,ROWS($1:33)),))</f>
        <v/>
      </c>
      <c r="D47" s="392" t="str">
        <f ca="1">IF(ROWS($1:33)&gt;COUNT(Dong5),"",OFFSET(TH!F$1,SMALL(Dong5,ROWS($1:33)),))</f>
        <v/>
      </c>
      <c r="E47" s="316" t="str">
        <f ca="1">IF(ROWS($1:33)&gt;COUNT(Dong5),"",IF(OFFSET(TH!N$1,SMALL(Dong5,ROWS($1:33)),)=$E$7,OFFSET(TH!O$1,SMALL(Dong5,ROWS($1:33)),),OFFSET(TH!N$1,SMALL(Dong5,ROWS($1:33)),)))</f>
        <v/>
      </c>
      <c r="F47" s="393">
        <f ca="1">IF(ROWS($1:33)&gt;COUNT(Dong5),0,IF(OFFSET(TH!N$1,SMALL(Dong5,ROWS($1:33)),)=$E$7,OFFSET(TH!M$1,SMALL(Dong5,ROWS($1:33)),),0))</f>
        <v>0</v>
      </c>
      <c r="G47" s="391">
        <f ca="1">IF(ROWS($1:33)&gt;COUNT(Dong5),0,IF(OFFSET(TH!O$1,SMALL(Dong5,ROWS($1:33)),)=$E$7,OFFSET(TH!M$1,SMALL(Dong5,ROWS($1:33)),),0))</f>
        <v>0</v>
      </c>
      <c r="H47" s="394">
        <f ca="1">IF(D47&lt;&gt;"",MAX(H46+F47-G47-I46,0),0)</f>
        <v>0</v>
      </c>
      <c r="I47" s="394">
        <f ca="1">IF(D47&lt;&gt;"",MAX(I46+G47-H46-F47,0),0)</f>
        <v>0</v>
      </c>
    </row>
    <row r="48" spans="1:9" s="18" customFormat="1" ht="18" customHeight="1">
      <c r="A48" s="316" t="str">
        <f ca="1">IF(ROWS($1:34)&gt;COUNT(Dong5),"",OFFSET(TH!C$1,SMALL(Dong5,ROWS($1:34)),))</f>
        <v/>
      </c>
      <c r="B48" s="316" t="str">
        <f ca="1">IF(ROWS($1:34)&gt;COUNT(Dong5),"",OFFSET(TH!D$1,SMALL(Dong5,ROWS($1:34)),))</f>
        <v/>
      </c>
      <c r="C48" s="316" t="str">
        <f ca="1">IF(ROWS($1:34)&gt;COUNT(Dong5),"",OFFSET(TH!E$1,SMALL(Dong5,ROWS($1:34)),))</f>
        <v/>
      </c>
      <c r="D48" s="392" t="str">
        <f ca="1">IF(ROWS($1:34)&gt;COUNT(Dong5),"",OFFSET(TH!F$1,SMALL(Dong5,ROWS($1:34)),))</f>
        <v/>
      </c>
      <c r="E48" s="316" t="str">
        <f ca="1">IF(ROWS($1:34)&gt;COUNT(Dong5),"",IF(OFFSET(TH!N$1,SMALL(Dong5,ROWS($1:34)),)=$E$7,OFFSET(TH!O$1,SMALL(Dong5,ROWS($1:34)),),OFFSET(TH!N$1,SMALL(Dong5,ROWS($1:34)),)))</f>
        <v/>
      </c>
      <c r="F48" s="393">
        <f ca="1">IF(ROWS($1:34)&gt;COUNT(Dong5),0,IF(OFFSET(TH!N$1,SMALL(Dong5,ROWS($1:34)),)=$E$7,OFFSET(TH!M$1,SMALL(Dong5,ROWS($1:34)),),0))</f>
        <v>0</v>
      </c>
      <c r="G48" s="391">
        <f ca="1">IF(ROWS($1:34)&gt;COUNT(Dong5),0,IF(OFFSET(TH!O$1,SMALL(Dong5,ROWS($1:34)),)=$E$7,OFFSET(TH!M$1,SMALL(Dong5,ROWS($1:34)),),0))</f>
        <v>0</v>
      </c>
      <c r="H48" s="394">
        <f ca="1">IF(D48&lt;&gt;"",MAX(H47+F48-G48-I47,0),0)</f>
        <v>0</v>
      </c>
      <c r="I48" s="394">
        <f ca="1">IF(D48&lt;&gt;"",MAX(I47+G48-H47-F48,0),0)</f>
        <v>0</v>
      </c>
    </row>
    <row r="49" spans="1:9" s="18" customFormat="1" ht="18" customHeight="1">
      <c r="A49" s="316" t="str">
        <f ca="1">IF(ROWS($1:35)&gt;COUNT(Dong5),"",OFFSET(TH!C$1,SMALL(Dong5,ROWS($1:35)),))</f>
        <v/>
      </c>
      <c r="B49" s="316" t="str">
        <f ca="1">IF(ROWS($1:35)&gt;COUNT(Dong5),"",OFFSET(TH!D$1,SMALL(Dong5,ROWS($1:35)),))</f>
        <v/>
      </c>
      <c r="C49" s="316" t="str">
        <f ca="1">IF(ROWS($1:35)&gt;COUNT(Dong5),"",OFFSET(TH!E$1,SMALL(Dong5,ROWS($1:35)),))</f>
        <v/>
      </c>
      <c r="D49" s="392" t="str">
        <f ca="1">IF(ROWS($1:35)&gt;COUNT(Dong5),"",OFFSET(TH!F$1,SMALL(Dong5,ROWS($1:35)),))</f>
        <v/>
      </c>
      <c r="E49" s="316" t="str">
        <f ca="1">IF(ROWS($1:35)&gt;COUNT(Dong5),"",IF(OFFSET(TH!N$1,SMALL(Dong5,ROWS($1:35)),)=$E$7,OFFSET(TH!O$1,SMALL(Dong5,ROWS($1:35)),),OFFSET(TH!N$1,SMALL(Dong5,ROWS($1:35)),)))</f>
        <v/>
      </c>
      <c r="F49" s="393">
        <f ca="1">IF(ROWS($1:35)&gt;COUNT(Dong5),0,IF(OFFSET(TH!N$1,SMALL(Dong5,ROWS($1:35)),)=$E$7,OFFSET(TH!M$1,SMALL(Dong5,ROWS($1:35)),),0))</f>
        <v>0</v>
      </c>
      <c r="G49" s="391">
        <f ca="1">IF(ROWS($1:35)&gt;COUNT(Dong5),0,IF(OFFSET(TH!O$1,SMALL(Dong5,ROWS($1:35)),)=$E$7,OFFSET(TH!M$1,SMALL(Dong5,ROWS($1:35)),),0))</f>
        <v>0</v>
      </c>
      <c r="H49" s="394">
        <f ca="1">IF(D49&lt;&gt;"",MAX(H48+F49-G49-I48,0),0)</f>
        <v>0</v>
      </c>
      <c r="I49" s="394">
        <f ca="1">IF(D49&lt;&gt;"",MAX(I48+G49-H48-F49,0),0)</f>
        <v>0</v>
      </c>
    </row>
    <row r="50" spans="1:9" s="18" customFormat="1" ht="18" customHeight="1">
      <c r="A50" s="316" t="str">
        <f ca="1">IF(ROWS($1:36)&gt;COUNT(Dong5),"",OFFSET(TH!C$1,SMALL(Dong5,ROWS($1:36)),))</f>
        <v/>
      </c>
      <c r="B50" s="316" t="str">
        <f ca="1">IF(ROWS($1:36)&gt;COUNT(Dong5),"",OFFSET(TH!D$1,SMALL(Dong5,ROWS($1:36)),))</f>
        <v/>
      </c>
      <c r="C50" s="316" t="str">
        <f ca="1">IF(ROWS($1:36)&gt;COUNT(Dong5),"",OFFSET(TH!E$1,SMALL(Dong5,ROWS($1:36)),))</f>
        <v/>
      </c>
      <c r="D50" s="392" t="str">
        <f ca="1">IF(ROWS($1:36)&gt;COUNT(Dong5),"",OFFSET(TH!F$1,SMALL(Dong5,ROWS($1:36)),))</f>
        <v/>
      </c>
      <c r="E50" s="316" t="str">
        <f ca="1">IF(ROWS($1:36)&gt;COUNT(Dong5),"",IF(OFFSET(TH!N$1,SMALL(Dong5,ROWS($1:36)),)=$E$7,OFFSET(TH!O$1,SMALL(Dong5,ROWS($1:36)),),OFFSET(TH!N$1,SMALL(Dong5,ROWS($1:36)),)))</f>
        <v/>
      </c>
      <c r="F50" s="393">
        <f ca="1">IF(ROWS($1:36)&gt;COUNT(Dong5),0,IF(OFFSET(TH!N$1,SMALL(Dong5,ROWS($1:36)),)=$E$7,OFFSET(TH!M$1,SMALL(Dong5,ROWS($1:36)),),0))</f>
        <v>0</v>
      </c>
      <c r="G50" s="391">
        <f ca="1">IF(ROWS($1:36)&gt;COUNT(Dong5),0,IF(OFFSET(TH!O$1,SMALL(Dong5,ROWS($1:36)),)=$E$7,OFFSET(TH!M$1,SMALL(Dong5,ROWS($1:36)),),0))</f>
        <v>0</v>
      </c>
      <c r="H50" s="394">
        <f ca="1">IF(D50&lt;&gt;"",MAX(H49+F50-G50-I49,0),0)</f>
        <v>0</v>
      </c>
      <c r="I50" s="394">
        <f ca="1">IF(D50&lt;&gt;"",MAX(I49+G50-H49-F50,0),0)</f>
        <v>0</v>
      </c>
    </row>
    <row r="51" spans="1:9" s="18" customFormat="1" ht="18" customHeight="1">
      <c r="A51" s="316"/>
      <c r="B51" s="317"/>
      <c r="C51" s="316"/>
      <c r="D51" s="379" t="s">
        <v>158</v>
      </c>
      <c r="E51" s="317" t="s">
        <v>21</v>
      </c>
      <c r="F51" s="395">
        <f ca="1">SUM(F15:F50)</f>
        <v>0</v>
      </c>
      <c r="G51" s="395">
        <f ca="1">SUM(G15:G50)</f>
        <v>0</v>
      </c>
      <c r="H51" s="395" t="s">
        <v>21</v>
      </c>
      <c r="I51" s="395" t="s">
        <v>21</v>
      </c>
    </row>
    <row r="52" spans="1:9" s="18" customFormat="1" ht="18" customHeight="1">
      <c r="A52" s="396"/>
      <c r="B52" s="384"/>
      <c r="C52" s="396"/>
      <c r="D52" s="383" t="s">
        <v>10</v>
      </c>
      <c r="E52" s="384" t="s">
        <v>21</v>
      </c>
      <c r="F52" s="397" t="s">
        <v>21</v>
      </c>
      <c r="G52" s="397" t="s">
        <v>21</v>
      </c>
      <c r="H52" s="398">
        <f ca="1">MAX(H14+F51-G51-I14,0)</f>
        <v>1500000000</v>
      </c>
      <c r="I52" s="398">
        <f ca="1">MAX(I14+G51-F51-H14,0)</f>
        <v>0</v>
      </c>
    </row>
    <row r="53" spans="1:9" s="18" customFormat="1" ht="9.75" customHeight="1">
      <c r="A53" s="335"/>
      <c r="B53" s="335"/>
      <c r="C53" s="335"/>
      <c r="E53" s="335"/>
    </row>
    <row r="54" spans="1:9" s="18" customFormat="1" ht="12.75">
      <c r="A54" s="335"/>
      <c r="B54" s="335"/>
      <c r="C54" s="399" t="s">
        <v>253</v>
      </c>
      <c r="E54" s="335"/>
    </row>
    <row r="55" spans="1:9" s="18" customFormat="1" ht="12.75">
      <c r="A55" s="335"/>
      <c r="B55" s="335"/>
      <c r="C55" s="28" t="s">
        <v>189</v>
      </c>
      <c r="E55" s="335"/>
    </row>
    <row r="56" spans="1:9" s="18" customFormat="1" ht="13.5" customHeight="1">
      <c r="A56" s="335"/>
      <c r="B56" s="335"/>
      <c r="C56" s="335"/>
      <c r="E56" s="1137" t="s">
        <v>190</v>
      </c>
      <c r="F56" s="1137"/>
      <c r="G56" s="1137"/>
      <c r="H56" s="1137"/>
      <c r="I56" s="1137"/>
    </row>
    <row r="57" spans="1:9" s="18" customFormat="1" ht="12.75">
      <c r="A57" s="1137" t="s">
        <v>11</v>
      </c>
      <c r="B57" s="1137"/>
      <c r="C57" s="1137"/>
      <c r="D57" s="1137"/>
      <c r="E57" s="1137" t="s">
        <v>12</v>
      </c>
      <c r="F57" s="1137"/>
      <c r="G57" s="1137"/>
      <c r="H57" s="1137"/>
      <c r="I57" s="1137"/>
    </row>
    <row r="58" spans="1:9" s="18" customFormat="1" ht="12.75">
      <c r="A58" s="1137" t="s">
        <v>13</v>
      </c>
      <c r="B58" s="1137"/>
      <c r="C58" s="1137"/>
      <c r="D58" s="1137"/>
      <c r="E58" s="1137" t="s">
        <v>13</v>
      </c>
      <c r="F58" s="1137"/>
      <c r="G58" s="1137"/>
      <c r="H58" s="1137"/>
      <c r="I58" s="1137"/>
    </row>
    <row r="59" spans="1:9" s="18" customFormat="1" ht="12.75">
      <c r="A59" s="335"/>
      <c r="B59" s="335"/>
      <c r="C59" s="335"/>
      <c r="E59" s="335"/>
    </row>
    <row r="60" spans="1:9">
      <c r="D60" s="236"/>
      <c r="F60" s="237"/>
    </row>
    <row r="65" spans="1:4">
      <c r="A65" s="1150" t="s">
        <v>230</v>
      </c>
      <c r="B65" s="1150"/>
      <c r="C65" s="1150"/>
      <c r="D65" s="1150"/>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tabSelected="1" workbookViewId="0">
      <pane ySplit="27" topLeftCell="A28" activePane="bottomLeft" state="frozen"/>
      <selection activeCell="B1" sqref="B1:B2"/>
      <selection pane="bottomLeft" activeCell="O17" sqref="O17"/>
    </sheetView>
  </sheetViews>
  <sheetFormatPr defaultRowHeight="15"/>
  <cols>
    <col min="1" max="1" width="3.7109375" style="91" customWidth="1"/>
    <col min="2" max="2" width="5.28515625" style="91" customWidth="1"/>
    <col min="3" max="3" width="15.140625" style="91" customWidth="1"/>
    <col min="4" max="4" width="16" style="91" customWidth="1"/>
    <col min="5" max="5" width="3.85546875" style="91" customWidth="1"/>
    <col min="6" max="6" width="6" style="91" customWidth="1"/>
    <col min="7" max="8" width="6.7109375" style="91" customWidth="1"/>
    <col min="9" max="9" width="10.42578125" style="91" customWidth="1"/>
    <col min="10" max="10" width="5.85546875" style="91" customWidth="1"/>
    <col min="11" max="11" width="8.28515625" style="91" customWidth="1"/>
    <col min="12" max="12" width="5" style="91" customWidth="1"/>
    <col min="13" max="13" width="6.42578125" style="91" customWidth="1"/>
    <col min="14" max="14" width="3.140625" style="91" customWidth="1"/>
    <col min="15" max="15" width="6.42578125" style="91" customWidth="1"/>
    <col min="16" max="16" width="5" style="127" customWidth="1"/>
    <col min="17" max="17" width="6.7109375" style="91" customWidth="1"/>
    <col min="18" max="18" width="1.5703125" style="91" customWidth="1"/>
    <col min="19" max="19" width="5.7109375" style="91" customWidth="1"/>
    <col min="20" max="20" width="1.5703125" style="91" customWidth="1"/>
    <col min="21" max="21" width="5" style="91" customWidth="1"/>
    <col min="22" max="22" width="1.5703125" style="91" customWidth="1"/>
    <col min="23" max="23" width="5.5703125" style="91" customWidth="1"/>
  </cols>
  <sheetData>
    <row r="1" spans="1:23" ht="13.5" customHeight="1">
      <c r="B1" s="89" t="s">
        <v>138</v>
      </c>
      <c r="C1" s="100"/>
      <c r="D1" s="90"/>
      <c r="E1" s="90"/>
      <c r="F1" s="90"/>
      <c r="G1" s="90"/>
      <c r="I1" s="92"/>
      <c r="L1" s="93" t="str">
        <f>+IF(LEFT($U$4,1)="T","Mẫu số 01 - TT","Mẫu số 02 - TT")</f>
        <v>Mẫu số 02 - TT</v>
      </c>
      <c r="N1" s="94"/>
      <c r="O1" s="94"/>
      <c r="P1" s="95"/>
      <c r="Q1" s="96"/>
      <c r="R1" s="96"/>
      <c r="S1" s="96"/>
      <c r="T1" s="96"/>
      <c r="U1" s="96"/>
      <c r="V1" s="97"/>
      <c r="W1" s="96"/>
    </row>
    <row r="2" spans="1:23" ht="13.5" customHeight="1">
      <c r="B2" s="100" t="s">
        <v>892</v>
      </c>
      <c r="C2" s="100"/>
      <c r="D2" s="90"/>
      <c r="E2" s="90"/>
      <c r="F2" s="90"/>
      <c r="G2" s="90"/>
      <c r="H2" s="92"/>
      <c r="I2" s="92"/>
      <c r="L2" s="101" t="str">
        <f>IF($Q$4&gt;=2015,"(Ban hành theo Thông tư số 200/2014/TT-BTC ","(Ban hành kèm theo QĐ 48/2006/QĐ-BTC")</f>
        <v>(Ban hành kèm theo QĐ 48/2006/QĐ-BTC</v>
      </c>
      <c r="N2" s="102"/>
      <c r="O2" s="102"/>
      <c r="P2" s="95"/>
      <c r="Q2" s="96"/>
      <c r="R2" s="96"/>
      <c r="S2" s="96"/>
      <c r="T2" s="96"/>
      <c r="U2" s="96"/>
      <c r="V2" s="103"/>
      <c r="W2" s="104" t="s">
        <v>126</v>
      </c>
    </row>
    <row r="3" spans="1:23" ht="13.5" customHeight="1" thickBot="1">
      <c r="B3" s="100"/>
      <c r="C3" s="90"/>
      <c r="D3" s="90"/>
      <c r="E3" s="90"/>
      <c r="G3" s="90"/>
      <c r="I3" s="105"/>
      <c r="L3" s="101" t="str">
        <f>IF($Q$4=2015,"Ngày 22/12/2014 của Bộ Tài chính)","ngày 24/09/2006 của Bộ trưởng BTC)")</f>
        <v>ngày 24/09/2006 của Bộ trưởng BTC)</v>
      </c>
      <c r="N3" s="102"/>
      <c r="O3" s="102"/>
      <c r="P3" s="106"/>
      <c r="Q3" s="933"/>
      <c r="R3" s="308"/>
      <c r="S3" s="309" t="s">
        <v>468</v>
      </c>
      <c r="T3" s="308"/>
      <c r="U3" s="309" t="s">
        <v>127</v>
      </c>
      <c r="V3" s="103"/>
      <c r="W3" s="104" t="s">
        <v>127</v>
      </c>
    </row>
    <row r="4" spans="1:23" ht="22.5" thickBot="1">
      <c r="B4" s="100"/>
      <c r="C4" s="90"/>
      <c r="D4" s="90"/>
      <c r="E4" s="90"/>
      <c r="G4" s="107"/>
      <c r="H4" s="108" t="str">
        <f>IF(LEFT($U$4,1)="T","PHIẾU THU","PHIẾU CHI")</f>
        <v>PHIẾU CHI</v>
      </c>
      <c r="J4" s="107"/>
      <c r="K4" s="109"/>
      <c r="M4" s="109"/>
      <c r="N4" s="109"/>
      <c r="O4" s="109"/>
      <c r="P4" s="110"/>
      <c r="Q4" s="934"/>
      <c r="R4" s="111"/>
      <c r="S4" s="210">
        <v>12</v>
      </c>
      <c r="T4" s="111"/>
      <c r="U4" s="935" t="s">
        <v>4</v>
      </c>
      <c r="V4" s="137"/>
      <c r="W4" s="936">
        <v>1</v>
      </c>
    </row>
    <row r="5" spans="1:23">
      <c r="B5" s="100"/>
      <c r="C5" s="90"/>
      <c r="D5" s="90"/>
      <c r="E5" s="90"/>
      <c r="G5" s="107"/>
      <c r="H5" s="112" t="str">
        <f>IF(ISNA(VLOOKUP($M$7,TM,3,0)),"","Ngày  "&amp;DAY(VLOOKUP($M$7,TM,3,0))&amp;"  tháng  "&amp;MONTH(VLOOKUP($M$7,TM,3,0))&amp;"  năm  "&amp;YEAR(VLOOKUP($M$7,TM,3,0)))</f>
        <v>Ngày  23  tháng  12  năm  2016</v>
      </c>
      <c r="J5" s="107"/>
      <c r="K5" s="109"/>
      <c r="M5" s="109"/>
      <c r="N5" s="109"/>
      <c r="O5" s="109"/>
      <c r="P5" s="110"/>
      <c r="Q5" s="933"/>
      <c r="V5" s="99"/>
      <c r="W5" s="104"/>
    </row>
    <row r="6" spans="1:23" ht="13.5">
      <c r="A6" s="115"/>
      <c r="B6" s="113"/>
      <c r="C6" s="114"/>
      <c r="D6" s="114"/>
      <c r="E6" s="114"/>
      <c r="F6" s="115"/>
      <c r="G6" s="116"/>
      <c r="H6" s="116"/>
      <c r="I6" s="116"/>
      <c r="J6" s="115"/>
      <c r="K6" s="115"/>
      <c r="L6" s="117" t="str">
        <f>"Quyển số: 0"&amp;$S$4</f>
        <v>Quyển số: 012</v>
      </c>
      <c r="M6" s="115"/>
      <c r="N6" s="115"/>
      <c r="O6" s="118"/>
      <c r="P6" s="119"/>
      <c r="Q6" s="115"/>
      <c r="R6" s="115"/>
      <c r="S6" s="115"/>
      <c r="T6" s="115"/>
      <c r="U6" s="115"/>
      <c r="V6" s="120"/>
      <c r="W6" s="104"/>
    </row>
    <row r="7" spans="1:23" ht="13.5" customHeight="1">
      <c r="A7" s="115"/>
      <c r="B7" s="115"/>
      <c r="C7" s="115"/>
      <c r="D7" s="115"/>
      <c r="E7" s="113"/>
      <c r="F7" s="116"/>
      <c r="G7" s="116"/>
      <c r="H7" s="116"/>
      <c r="I7" s="116"/>
      <c r="J7" s="115"/>
      <c r="K7" s="115"/>
      <c r="L7" s="121" t="str">
        <f>"Số :    "</f>
        <v xml:space="preserve">Số :    </v>
      </c>
      <c r="M7" s="122" t="str">
        <f>$U$4&amp;IF($W$4&gt;=10,$W$4,"0"&amp;$W$4)</f>
        <v>C01</v>
      </c>
      <c r="N7" s="118"/>
      <c r="O7" s="118"/>
      <c r="P7" s="119"/>
      <c r="Q7" s="115"/>
      <c r="R7" s="115"/>
      <c r="S7" s="115"/>
      <c r="T7" s="115"/>
      <c r="U7" s="115"/>
      <c r="V7" s="115"/>
      <c r="W7" s="115"/>
    </row>
    <row r="8" spans="1:23" ht="13.5">
      <c r="A8" s="115"/>
      <c r="B8" s="115"/>
      <c r="C8" s="115"/>
      <c r="D8" s="115"/>
      <c r="E8" s="113"/>
      <c r="F8" s="113"/>
      <c r="G8" s="113"/>
      <c r="H8" s="113"/>
      <c r="I8" s="113"/>
      <c r="J8" s="115"/>
      <c r="K8" s="123"/>
      <c r="L8" s="117" t="s">
        <v>128</v>
      </c>
      <c r="M8" s="124" t="str">
        <f>IF($U$4="T","1111",IF($U$4="C",IF(ISNA(VLOOKUP($M$7,TM,15,0)),"",VLOOKUP($M$7,TM,14,0)),""))</f>
        <v>331</v>
      </c>
      <c r="N8" s="118"/>
      <c r="O8" s="118"/>
      <c r="P8" s="125"/>
      <c r="Q8" s="115"/>
      <c r="R8" s="115"/>
      <c r="S8" s="115"/>
      <c r="T8" s="115"/>
      <c r="U8" s="115"/>
      <c r="V8" s="115"/>
      <c r="W8" s="115"/>
    </row>
    <row r="9" spans="1:23" ht="13.5">
      <c r="A9" s="115"/>
      <c r="B9" s="115"/>
      <c r="C9" s="115"/>
      <c r="D9" s="115"/>
      <c r="E9" s="113"/>
      <c r="F9" s="113"/>
      <c r="G9" s="113"/>
      <c r="H9" s="113"/>
      <c r="I9" s="113"/>
      <c r="J9" s="115"/>
      <c r="K9" s="123"/>
      <c r="L9" s="121" t="s">
        <v>129</v>
      </c>
      <c r="M9" s="124" t="str">
        <f>IF($U$4="C","1111",IF($U$4="T",IF(ISNA(VLOOKUP($M$7,TM,10,0)),"",VLOOKUP($M$7,TM,11,0)),""))</f>
        <v>1111</v>
      </c>
      <c r="N9" s="118"/>
      <c r="O9" s="118"/>
      <c r="P9" s="125"/>
      <c r="Q9" s="115"/>
      <c r="R9" s="115"/>
      <c r="S9" s="115"/>
      <c r="T9" s="115"/>
      <c r="U9" s="115"/>
      <c r="V9" s="115"/>
      <c r="W9" s="115"/>
    </row>
    <row r="10" spans="1:23">
      <c r="A10" s="115"/>
      <c r="B10" s="115"/>
      <c r="C10" s="126" t="str">
        <f>IF($U$4="T","Họ tên người nộp tiền :","Họ và tên người nhận tiền :")&amp;" "&amp;IF(ISNA(VLOOKUP($M$7,TM,8,0)),"",VLOOKUP($M$7,TM,8,0))</f>
        <v>Họ và tên người nhận tiền : Nguyễn Thanh Bình</v>
      </c>
      <c r="D10" s="113"/>
      <c r="E10" s="115"/>
      <c r="F10" s="113"/>
      <c r="G10" s="113"/>
      <c r="H10" s="113"/>
      <c r="I10" s="113"/>
      <c r="J10" s="115"/>
      <c r="K10" s="113"/>
      <c r="L10" s="121"/>
      <c r="M10" s="124"/>
      <c r="N10" s="118"/>
      <c r="O10" s="113"/>
      <c r="P10" s="119"/>
      <c r="Q10" s="115"/>
      <c r="R10" s="115"/>
      <c r="S10" s="115"/>
      <c r="T10" s="115"/>
      <c r="U10" s="115"/>
      <c r="V10" s="115"/>
      <c r="W10" s="115"/>
    </row>
    <row r="11" spans="1:23">
      <c r="C11" s="126" t="str">
        <f>"Địa chỉ :"</f>
        <v>Địa chỉ :</v>
      </c>
      <c r="E11" s="126"/>
      <c r="F11" s="126"/>
      <c r="G11" s="126"/>
      <c r="H11" s="126"/>
      <c r="I11" s="126"/>
      <c r="J11" s="126"/>
      <c r="K11" s="126"/>
      <c r="L11" s="126"/>
      <c r="M11" s="126"/>
      <c r="N11" s="126"/>
      <c r="O11" s="126"/>
      <c r="P11" s="106"/>
    </row>
    <row r="12" spans="1:23">
      <c r="C12" s="126" t="str">
        <f>IF($U$4="T","Lý do nộp :","Lý do chi :")&amp;" "&amp;IF(ISNA(VLOOKUP($M$7,TM,6,0)),"",VLOOKUP($M$7,TM,6,0))</f>
        <v>Lý do chi : Thanh toán tiền - Cá cơm NL</v>
      </c>
      <c r="E12" s="126"/>
      <c r="F12" s="126"/>
      <c r="G12" s="126"/>
      <c r="H12" s="126"/>
      <c r="I12" s="126"/>
      <c r="J12" s="126"/>
      <c r="K12" s="126"/>
      <c r="L12" s="126"/>
      <c r="M12" s="126"/>
      <c r="N12" s="126"/>
      <c r="O12" s="126"/>
    </row>
    <row r="13" spans="1:23">
      <c r="C13" s="91" t="s">
        <v>142</v>
      </c>
      <c r="D13" s="128">
        <f ca="1">SUMIF(TM,$M$7,TH)</f>
        <v>334950000</v>
      </c>
      <c r="E13" s="91" t="s">
        <v>130</v>
      </c>
      <c r="F13" s="128"/>
      <c r="G13" s="128"/>
      <c r="P13" s="91"/>
    </row>
    <row r="14" spans="1:23">
      <c r="C14" s="91" t="str">
        <f ca="1">"Viết bằng chữ: " &amp;[3]!VND('IN-TC'!D13, TRUE)</f>
        <v>Viết bằng chữ: Ba trăm ba mươi bốn triệu, chín trăm năm mươi ngàn đồng</v>
      </c>
      <c r="P14" s="106"/>
    </row>
    <row r="15" spans="1:23">
      <c r="C15" s="126" t="str">
        <f>"Kèm theo :     " &amp;IF(OR(ISNA(VLOOKUP($M$7,TM,7,0)),VLOOKUP($M$7,TM,7,0)=""),"                           ",IF(VLOOKUP($M$7,TM,7,0)&lt;&gt;"","    HĐ  "&amp;(VLOOKUP($M$7,TM,7,0)))) &amp; "     chứng từ gốc. "</f>
        <v xml:space="preserve">Kèm theo :                                     chứng từ gốc. </v>
      </c>
      <c r="D15" s="126"/>
      <c r="F15" s="126"/>
      <c r="G15" s="126"/>
      <c r="H15" s="126"/>
      <c r="I15" s="126"/>
      <c r="J15" s="126"/>
      <c r="K15" s="126"/>
      <c r="L15" s="126"/>
      <c r="M15" s="126"/>
      <c r="N15" s="126"/>
      <c r="O15" s="126"/>
      <c r="P15" s="129"/>
    </row>
    <row r="16" spans="1:23">
      <c r="K16" s="130"/>
      <c r="L16" s="130"/>
      <c r="M16" s="138" t="str">
        <f>H5</f>
        <v>Ngày  23  tháng  12  năm  2016</v>
      </c>
      <c r="N16" s="130"/>
      <c r="O16" s="130"/>
      <c r="P16" s="91"/>
    </row>
    <row r="17" spans="1:23">
      <c r="C17" s="131" t="s">
        <v>131</v>
      </c>
      <c r="D17" s="132"/>
      <c r="E17" s="131" t="s">
        <v>12</v>
      </c>
      <c r="F17" s="132"/>
      <c r="G17" s="132"/>
      <c r="H17" s="131" t="str">
        <f>IF($U$4="C","Thủ quỹ","Người nộp tiền")</f>
        <v>Thủ quỹ</v>
      </c>
      <c r="J17" s="131" t="s">
        <v>132</v>
      </c>
      <c r="K17" s="132"/>
      <c r="M17" s="133" t="str">
        <f>IF($U$4="T","Thủ quỹ","Người nhận tiền")</f>
        <v>Người nhận tiền</v>
      </c>
      <c r="N17" s="134"/>
      <c r="O17" s="134"/>
      <c r="P17" s="91"/>
    </row>
    <row r="18" spans="1:23">
      <c r="A18" s="132"/>
      <c r="B18" s="132"/>
      <c r="C18" s="135" t="s">
        <v>133</v>
      </c>
      <c r="E18" s="135" t="s">
        <v>134</v>
      </c>
      <c r="H18" s="135" t="s">
        <v>134</v>
      </c>
      <c r="I18" s="132"/>
      <c r="J18" s="135" t="s">
        <v>134</v>
      </c>
      <c r="L18" s="132"/>
      <c r="M18" s="135" t="s">
        <v>134</v>
      </c>
      <c r="P18" s="132"/>
      <c r="Q18" s="132"/>
      <c r="R18" s="132"/>
      <c r="S18" s="132"/>
      <c r="T18" s="132"/>
      <c r="U18" s="132"/>
      <c r="V18" s="132"/>
      <c r="W18" s="132"/>
    </row>
    <row r="19" spans="1:23">
      <c r="P19" s="91"/>
    </row>
    <row r="20" spans="1:23">
      <c r="P20" s="91"/>
    </row>
    <row r="21" spans="1:23">
      <c r="P21" s="91"/>
    </row>
    <row r="22" spans="1:23">
      <c r="P22" s="91"/>
    </row>
    <row r="23" spans="1:23">
      <c r="I23" s="98"/>
      <c r="P23" s="91"/>
    </row>
    <row r="24" spans="1:23">
      <c r="C24" s="332" t="s">
        <v>125</v>
      </c>
      <c r="H24" s="332" t="str">
        <f>IF($U$4="T","","Phạm Thị Đông")</f>
        <v>Phạm Thị Đông</v>
      </c>
      <c r="J24" s="332" t="s">
        <v>230</v>
      </c>
      <c r="M24" s="332" t="str">
        <f>IF($U$4="C","","Phạm Thị Đông")</f>
        <v/>
      </c>
      <c r="P24" s="91"/>
    </row>
    <row r="25" spans="1:23">
      <c r="B25" s="91" t="s">
        <v>135</v>
      </c>
      <c r="P25" s="91"/>
    </row>
    <row r="26" spans="1:23">
      <c r="B26" s="126"/>
      <c r="C26" s="126" t="s">
        <v>136</v>
      </c>
      <c r="D26" s="126"/>
      <c r="E26" s="126"/>
      <c r="F26" s="126"/>
      <c r="G26" s="126"/>
      <c r="H26" s="126"/>
      <c r="I26" s="126"/>
      <c r="J26" s="126"/>
      <c r="K26" s="126"/>
      <c r="L26" s="126"/>
      <c r="M26" s="126"/>
      <c r="N26" s="126"/>
      <c r="O26" s="126"/>
      <c r="P26" s="91"/>
    </row>
    <row r="27" spans="1:23">
      <c r="B27" s="126"/>
      <c r="C27" s="126" t="s">
        <v>137</v>
      </c>
      <c r="D27" s="126"/>
      <c r="E27" s="126"/>
      <c r="F27" s="126"/>
      <c r="G27" s="126"/>
      <c r="H27" s="126"/>
      <c r="I27" s="126"/>
      <c r="J27" s="126"/>
      <c r="K27" s="126"/>
      <c r="L27" s="126"/>
      <c r="M27" s="126"/>
      <c r="N27" s="126"/>
      <c r="O27" s="126"/>
      <c r="P27" s="91"/>
    </row>
    <row r="46" spans="5:5">
      <c r="E46" s="136"/>
    </row>
    <row r="47" spans="5:5">
      <c r="E47" s="136"/>
    </row>
    <row r="48" spans="5:5">
      <c r="E48" s="136"/>
    </row>
    <row r="49" spans="5:5">
      <c r="E49" s="136"/>
    </row>
    <row r="50" spans="5:5">
      <c r="E50" s="136"/>
    </row>
    <row r="51" spans="5:5">
      <c r="E51" s="136"/>
    </row>
    <row r="52" spans="5:5">
      <c r="E52" s="136"/>
    </row>
    <row r="53" spans="5:5">
      <c r="E53" s="136"/>
    </row>
    <row r="54" spans="5:5">
      <c r="E54" s="136"/>
    </row>
    <row r="55" spans="5:5">
      <c r="E55" s="136"/>
    </row>
    <row r="56" spans="5:5">
      <c r="E56" s="136"/>
    </row>
    <row r="57" spans="5:5">
      <c r="E57" s="136"/>
    </row>
    <row r="58" spans="5:5">
      <c r="E58" s="136"/>
    </row>
    <row r="59" spans="5:5">
      <c r="E59" s="136"/>
    </row>
    <row r="60" spans="5:5">
      <c r="E60" s="136"/>
    </row>
    <row r="61" spans="5:5">
      <c r="E61" s="136"/>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"1,2,3,4,5,6,7,8,9,11,10,12"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41" customWidth="1"/>
    <col min="3" max="4" width="6.5703125" style="141" customWidth="1"/>
    <col min="5" max="5" width="34.5703125" style="141" customWidth="1"/>
    <col min="6" max="6" width="6.28515625" style="141" customWidth="1"/>
    <col min="7" max="8" width="14.42578125" style="141" customWidth="1"/>
    <col min="9" max="9" width="15.7109375" style="141" customWidth="1"/>
    <col min="10" max="10" width="6.28515625" style="141" customWidth="1"/>
    <col min="11" max="11" width="2.140625" style="141" customWidth="1"/>
    <col min="12" max="12" width="10" style="141" customWidth="1"/>
    <col min="13" max="13" width="3.28515625" style="141" customWidth="1"/>
    <col min="14" max="14" width="9.140625" style="141" customWidth="1"/>
    <col min="15" max="16384" width="9.140625" style="141"/>
  </cols>
  <sheetData>
    <row r="1" spans="1:12" s="3" customFormat="1" ht="16.5" customHeight="1">
      <c r="A1" s="167" t="s">
        <v>138</v>
      </c>
      <c r="B1" s="2"/>
      <c r="C1" s="2"/>
      <c r="D1" s="2"/>
      <c r="E1" s="2"/>
      <c r="G1" s="1140" t="s">
        <v>143</v>
      </c>
      <c r="H1" s="1140"/>
      <c r="I1" s="1140"/>
      <c r="J1" s="1140"/>
    </row>
    <row r="2" spans="1:12" s="3" customFormat="1" ht="16.5" customHeight="1">
      <c r="A2" s="126" t="s">
        <v>139</v>
      </c>
      <c r="B2" s="16"/>
      <c r="C2" s="16"/>
      <c r="D2" s="16"/>
      <c r="E2" s="16"/>
      <c r="G2" s="1141" t="s">
        <v>144</v>
      </c>
      <c r="H2" s="1141"/>
      <c r="I2" s="1141"/>
      <c r="J2" s="1141"/>
    </row>
    <row r="3" spans="1:12" s="3" customFormat="1" ht="16.5" customHeight="1">
      <c r="A3" s="4"/>
      <c r="B3" s="16"/>
      <c r="C3" s="139"/>
      <c r="D3" s="139"/>
      <c r="E3" s="16"/>
      <c r="G3" s="1141"/>
      <c r="H3" s="1141"/>
      <c r="I3" s="1141"/>
      <c r="J3" s="1141"/>
    </row>
    <row r="4" spans="1:12" s="3" customFormat="1" ht="6.75" customHeight="1">
      <c r="A4" s="16"/>
      <c r="B4" s="16"/>
      <c r="C4" s="16"/>
      <c r="D4" s="16"/>
      <c r="E4" s="16"/>
      <c r="G4" s="140"/>
      <c r="H4" s="140"/>
      <c r="I4" s="140"/>
      <c r="J4" s="140"/>
    </row>
    <row r="5" spans="1:12" ht="24.75" customHeight="1">
      <c r="A5" s="1154" t="s">
        <v>145</v>
      </c>
      <c r="B5" s="1154"/>
      <c r="C5" s="1154"/>
      <c r="D5" s="1154"/>
      <c r="E5" s="1154"/>
      <c r="F5" s="1154"/>
      <c r="G5" s="1154"/>
      <c r="H5" s="1154"/>
      <c r="I5" s="1154"/>
      <c r="J5" s="1154"/>
    </row>
    <row r="6" spans="1:12" ht="14.25" customHeight="1">
      <c r="A6" s="1156" t="str">
        <f>$L$11&amp;" / 2015"</f>
        <v>1 / 2015</v>
      </c>
      <c r="B6" s="1156"/>
      <c r="C6" s="1156"/>
      <c r="D6" s="1156"/>
      <c r="E6" s="1156"/>
      <c r="F6" s="1156"/>
      <c r="G6" s="1156"/>
      <c r="H6" s="1156"/>
      <c r="I6" s="1156"/>
      <c r="J6" s="1156"/>
    </row>
    <row r="7" spans="1:12">
      <c r="A7" s="1155" t="s">
        <v>146</v>
      </c>
      <c r="B7" s="1155"/>
      <c r="C7" s="1155"/>
      <c r="D7" s="1155"/>
      <c r="E7" s="1155"/>
      <c r="F7" s="1155"/>
      <c r="G7" s="1155"/>
      <c r="H7" s="1155"/>
      <c r="I7" s="1155"/>
      <c r="J7" s="1155"/>
    </row>
    <row r="8" spans="1:12">
      <c r="A8" s="1155" t="s">
        <v>147</v>
      </c>
      <c r="B8" s="1155"/>
      <c r="C8" s="1155"/>
      <c r="D8" s="1155"/>
      <c r="E8" s="1155"/>
      <c r="F8" s="1155"/>
      <c r="G8" s="1155"/>
      <c r="H8" s="1155"/>
      <c r="I8" s="1155"/>
      <c r="J8" s="1155"/>
    </row>
    <row r="9" spans="1:12">
      <c r="A9" s="142"/>
      <c r="I9" s="142" t="s">
        <v>148</v>
      </c>
    </row>
    <row r="10" spans="1:12" ht="33" customHeight="1" thickBot="1">
      <c r="A10" s="1152" t="s">
        <v>22</v>
      </c>
      <c r="B10" s="1152" t="s">
        <v>149</v>
      </c>
      <c r="C10" s="1151" t="s">
        <v>150</v>
      </c>
      <c r="D10" s="1151"/>
      <c r="E10" s="1151" t="s">
        <v>0</v>
      </c>
      <c r="F10" s="1152" t="s">
        <v>16</v>
      </c>
      <c r="G10" s="1151" t="s">
        <v>23</v>
      </c>
      <c r="H10" s="1151"/>
      <c r="I10" s="1151" t="s">
        <v>151</v>
      </c>
      <c r="J10" s="1151" t="s">
        <v>152</v>
      </c>
      <c r="L10" s="168"/>
    </row>
    <row r="11" spans="1:12" ht="24" customHeight="1" thickBot="1">
      <c r="A11" s="1153"/>
      <c r="B11" s="1153"/>
      <c r="C11" s="143" t="s">
        <v>153</v>
      </c>
      <c r="D11" s="143" t="s">
        <v>154</v>
      </c>
      <c r="E11" s="1151"/>
      <c r="F11" s="1153"/>
      <c r="G11" s="143" t="s">
        <v>24</v>
      </c>
      <c r="H11" s="143" t="s">
        <v>25</v>
      </c>
      <c r="I11" s="1151"/>
      <c r="J11" s="1151"/>
      <c r="L11" s="210">
        <v>1</v>
      </c>
    </row>
    <row r="12" spans="1:12" s="144" customFormat="1" ht="11.25" customHeight="1">
      <c r="A12" s="145" t="s">
        <v>2</v>
      </c>
      <c r="B12" s="145" t="s">
        <v>3</v>
      </c>
      <c r="C12" s="145" t="s">
        <v>4</v>
      </c>
      <c r="D12" s="145" t="s">
        <v>5</v>
      </c>
      <c r="E12" s="145" t="s">
        <v>6</v>
      </c>
      <c r="F12" s="145" t="s">
        <v>155</v>
      </c>
      <c r="G12" s="145">
        <v>1</v>
      </c>
      <c r="H12" s="145">
        <v>2</v>
      </c>
      <c r="I12" s="145">
        <v>3</v>
      </c>
      <c r="J12" s="145" t="s">
        <v>156</v>
      </c>
    </row>
    <row r="13" spans="1:12" s="146" customFormat="1" ht="19.5" customHeight="1">
      <c r="A13" s="147"/>
      <c r="B13" s="147"/>
      <c r="C13" s="147"/>
      <c r="D13" s="147"/>
      <c r="E13" s="147" t="s">
        <v>157</v>
      </c>
      <c r="F13" s="148"/>
      <c r="G13" s="149"/>
      <c r="H13" s="147"/>
      <c r="I13" s="169">
        <f>IF($L$11="All",CDPS!$C$10,CDPS!$C$10+SUMIF(_N111,"x",TH)-SUMIF(_C111,"x",TH))</f>
        <v>3705039095</v>
      </c>
      <c r="J13" s="147"/>
    </row>
    <row r="14" spans="1:12" ht="19.5" customHeight="1">
      <c r="A14" s="150" t="str">
        <f ca="1">IF(ROWS($1:1)&gt;COUNT(Dong1),"",OFFSET(TH!C$1,SMALL(Dong1,ROWS($1:1)),))</f>
        <v/>
      </c>
      <c r="B14" s="150" t="str">
        <f ca="1">IF(ROWS($1:1)&gt;COUNT(Dong1),"",OFFSET(TH!E$1,SMALL(Dong1,ROWS($1:1)),))</f>
        <v/>
      </c>
      <c r="C14" s="151" t="str">
        <f ca="1">IF(ROWS($1:1)&gt;COUNT(Dong1),"",IF(OFFSET(TH!N$1,SMALL(Dong1,ROWS($1:1)),)="1111",OFFSET(TH!D$1,SMALL(Dong1,ROWS($1:1)),),""))</f>
        <v/>
      </c>
      <c r="D14" s="152" t="str">
        <f ca="1">IF(ROWS($1:1)&gt;COUNT(Dong1),"",IF(OFFSET(TH!O$1,SMALL(Dong1,ROWS($1:1)),)="1111",OFFSET(TH!D$1,SMALL(Dong1,ROWS($1:1)),),""))</f>
        <v/>
      </c>
      <c r="E14" s="354" t="str">
        <f ca="1">IF(ROWS($1:1)&gt;COUNT(Dong1),"",OFFSET(TH!F$1,SMALL(Dong1,ROWS($1:1)),))</f>
        <v/>
      </c>
      <c r="F14" s="154" t="str">
        <f ca="1">IF(ROWS($1:1)&gt;COUNT(Dong1),"",IF(OFFSET(TH!O$1,SMALL(Dong1,ROWS($1:1)),)="1111",OFFSET(TH!N$1,SMALL(Dong1,ROWS($1:1)),),OFFSET(TH!O$1,SMALL(Dong1,ROWS($1:1)),)))</f>
        <v/>
      </c>
      <c r="G14" s="155" t="str">
        <f ca="1">IF(ROWS($1:1)&gt;COUNT(Dong1),"",IF(OFFSET(TH!N$1,SMALL(Dong1,ROWS($1:1)),)="1111",OFFSET(TH!M$1,SMALL(Dong1,ROWS($1:1)),),0))</f>
        <v/>
      </c>
      <c r="H14" s="153" t="str">
        <f ca="1">IF(ROWS($1:1)&gt;COUNT(Dong1),"",IF(OFFSET(TH!O$1,SMALL(Dong1,ROWS($1:1)),)="1111",OFFSET(TH!M$1,SMALL(Dong1,ROWS($1:1)),),0))</f>
        <v/>
      </c>
      <c r="I14" s="151">
        <f ca="1">IF(E14&lt;&gt;"",I13+G14-H14,0)</f>
        <v>0</v>
      </c>
      <c r="J14" s="156"/>
    </row>
    <row r="15" spans="1:12" ht="19.5" customHeight="1">
      <c r="A15" s="150" t="str">
        <f ca="1">IF(ROWS($1:2)&gt;COUNT(Dong1),"",OFFSET(TH!C$1,SMALL(Dong1,ROWS($1:2)),))</f>
        <v/>
      </c>
      <c r="B15" s="150" t="str">
        <f ca="1">IF(ROWS($1:2)&gt;COUNT(Dong1),"",OFFSET(TH!E$1,SMALL(Dong1,ROWS($1:2)),))</f>
        <v/>
      </c>
      <c r="C15" s="151" t="str">
        <f ca="1">IF(ROWS($1:2)&gt;COUNT(Dong1),"",IF(OFFSET(TH!N$1,SMALL(Dong1,ROWS($1:2)),)="1111",OFFSET(TH!D$1,SMALL(Dong1,ROWS($1:2)),),""))</f>
        <v/>
      </c>
      <c r="D15" s="152" t="str">
        <f ca="1">IF(ROWS($1:2)&gt;COUNT(Dong1),"",IF(OFFSET(TH!O$1,SMALL(Dong1,ROWS($1:2)),)="1111",OFFSET(TH!D$1,SMALL(Dong1,ROWS($1:2)),),""))</f>
        <v/>
      </c>
      <c r="E15" s="354" t="str">
        <f ca="1">IF(ROWS($1:2)&gt;COUNT(Dong1),"",OFFSET(TH!F$1,SMALL(Dong1,ROWS($1:2)),))</f>
        <v/>
      </c>
      <c r="F15" s="154" t="str">
        <f ca="1">IF(ROWS($1:2)&gt;COUNT(Dong1),"",IF(OFFSET(TH!O$1,SMALL(Dong1,ROWS($1:2)),)="1111",OFFSET(TH!N$1,SMALL(Dong1,ROWS($1:2)),),OFFSET(TH!O$1,SMALL(Dong1,ROWS($1:2)),)))</f>
        <v/>
      </c>
      <c r="G15" s="155" t="str">
        <f ca="1">IF(ROWS($1:2)&gt;COUNT(Dong1),"",IF(OFFSET(TH!N$1,SMALL(Dong1,ROWS($1:2)),)="1111",OFFSET(TH!M$1,SMALL(Dong1,ROWS($1:2)),),0))</f>
        <v/>
      </c>
      <c r="H15" s="153" t="str">
        <f ca="1">IF(ROWS($1:2)&gt;COUNT(Dong1),"",IF(OFFSET(TH!O$1,SMALL(Dong1,ROWS($1:2)),)="1111",OFFSET(TH!M$1,SMALL(Dong1,ROWS($1:2)),),0))</f>
        <v/>
      </c>
      <c r="I15" s="151">
        <f t="shared" ref="I15:I78" ca="1" si="0">IF(E15&lt;&gt;"",I14+G15-H15,0)</f>
        <v>0</v>
      </c>
      <c r="J15" s="156"/>
    </row>
    <row r="16" spans="1:12" ht="19.5" customHeight="1">
      <c r="A16" s="150" t="str">
        <f ca="1">IF(ROWS($1:3)&gt;COUNT(Dong1),"",OFFSET(TH!C$1,SMALL(Dong1,ROWS($1:3)),))</f>
        <v/>
      </c>
      <c r="B16" s="150" t="str">
        <f ca="1">IF(ROWS($1:3)&gt;COUNT(Dong1),"",OFFSET(TH!E$1,SMALL(Dong1,ROWS($1:3)),))</f>
        <v/>
      </c>
      <c r="C16" s="151" t="str">
        <f ca="1">IF(ROWS($1:3)&gt;COUNT(Dong1),"",IF(OFFSET(TH!N$1,SMALL(Dong1,ROWS($1:3)),)="1111",OFFSET(TH!D$1,SMALL(Dong1,ROWS($1:3)),),""))</f>
        <v/>
      </c>
      <c r="D16" s="152" t="str">
        <f ca="1">IF(ROWS($1:3)&gt;COUNT(Dong1),"",IF(OFFSET(TH!O$1,SMALL(Dong1,ROWS($1:3)),)="1111",OFFSET(TH!D$1,SMALL(Dong1,ROWS($1:3)),),""))</f>
        <v/>
      </c>
      <c r="E16" s="354" t="str">
        <f ca="1">IF(ROWS($1:3)&gt;COUNT(Dong1),"",OFFSET(TH!F$1,SMALL(Dong1,ROWS($1:3)),))</f>
        <v/>
      </c>
      <c r="F16" s="154" t="str">
        <f ca="1">IF(ROWS($1:3)&gt;COUNT(Dong1),"",IF(OFFSET(TH!O$1,SMALL(Dong1,ROWS($1:3)),)="1111",OFFSET(TH!N$1,SMALL(Dong1,ROWS($1:3)),),OFFSET(TH!O$1,SMALL(Dong1,ROWS($1:3)),)))</f>
        <v/>
      </c>
      <c r="G16" s="155" t="str">
        <f ca="1">IF(ROWS($1:3)&gt;COUNT(Dong1),"",IF(OFFSET(TH!N$1,SMALL(Dong1,ROWS($1:3)),)="1111",OFFSET(TH!M$1,SMALL(Dong1,ROWS($1:3)),),0))</f>
        <v/>
      </c>
      <c r="H16" s="153" t="str">
        <f ca="1">IF(ROWS($1:3)&gt;COUNT(Dong1),"",IF(OFFSET(TH!O$1,SMALL(Dong1,ROWS($1:3)),)="1111",OFFSET(TH!M$1,SMALL(Dong1,ROWS($1:3)),),0))</f>
        <v/>
      </c>
      <c r="I16" s="151">
        <f t="shared" ca="1" si="0"/>
        <v>0</v>
      </c>
      <c r="J16" s="156"/>
    </row>
    <row r="17" spans="1:10" ht="19.5" customHeight="1">
      <c r="A17" s="150" t="str">
        <f ca="1">IF(ROWS($1:4)&gt;COUNT(Dong1),"",OFFSET(TH!C$1,SMALL(Dong1,ROWS($1:4)),))</f>
        <v/>
      </c>
      <c r="B17" s="150" t="str">
        <f ca="1">IF(ROWS($1:4)&gt;COUNT(Dong1),"",OFFSET(TH!E$1,SMALL(Dong1,ROWS($1:4)),))</f>
        <v/>
      </c>
      <c r="C17" s="151" t="str">
        <f ca="1">IF(ROWS($1:4)&gt;COUNT(Dong1),"",IF(OFFSET(TH!N$1,SMALL(Dong1,ROWS($1:4)),)="1111",OFFSET(TH!D$1,SMALL(Dong1,ROWS($1:4)),),""))</f>
        <v/>
      </c>
      <c r="D17" s="152" t="str">
        <f ca="1">IF(ROWS($1:4)&gt;COUNT(Dong1),"",IF(OFFSET(TH!O$1,SMALL(Dong1,ROWS($1:4)),)="1111",OFFSET(TH!D$1,SMALL(Dong1,ROWS($1:4)),),""))</f>
        <v/>
      </c>
      <c r="E17" s="354" t="str">
        <f ca="1">IF(ROWS($1:4)&gt;COUNT(Dong1),"",OFFSET(TH!F$1,SMALL(Dong1,ROWS($1:4)),))</f>
        <v/>
      </c>
      <c r="F17" s="154" t="str">
        <f ca="1">IF(ROWS($1:4)&gt;COUNT(Dong1),"",IF(OFFSET(TH!O$1,SMALL(Dong1,ROWS($1:4)),)="1111",OFFSET(TH!N$1,SMALL(Dong1,ROWS($1:4)),),OFFSET(TH!O$1,SMALL(Dong1,ROWS($1:4)),)))</f>
        <v/>
      </c>
      <c r="G17" s="155" t="str">
        <f ca="1">IF(ROWS($1:4)&gt;COUNT(Dong1),"",IF(OFFSET(TH!N$1,SMALL(Dong1,ROWS($1:4)),)="1111",OFFSET(TH!M$1,SMALL(Dong1,ROWS($1:4)),),0))</f>
        <v/>
      </c>
      <c r="H17" s="153" t="str">
        <f ca="1">IF(ROWS($1:4)&gt;COUNT(Dong1),"",IF(OFFSET(TH!O$1,SMALL(Dong1,ROWS($1:4)),)="1111",OFFSET(TH!M$1,SMALL(Dong1,ROWS($1:4)),),0))</f>
        <v/>
      </c>
      <c r="I17" s="151">
        <f t="shared" ca="1" si="0"/>
        <v>0</v>
      </c>
      <c r="J17" s="156"/>
    </row>
    <row r="18" spans="1:10" ht="19.5" customHeight="1">
      <c r="A18" s="150" t="str">
        <f ca="1">IF(ROWS($1:5)&gt;COUNT(Dong1),"",OFFSET(TH!C$1,SMALL(Dong1,ROWS($1:5)),))</f>
        <v/>
      </c>
      <c r="B18" s="150" t="str">
        <f ca="1">IF(ROWS($1:5)&gt;COUNT(Dong1),"",OFFSET(TH!E$1,SMALL(Dong1,ROWS($1:5)),))</f>
        <v/>
      </c>
      <c r="C18" s="151" t="str">
        <f ca="1">IF(ROWS($1:5)&gt;COUNT(Dong1),"",IF(OFFSET(TH!N$1,SMALL(Dong1,ROWS($1:5)),)="1111",OFFSET(TH!D$1,SMALL(Dong1,ROWS($1:5)),),""))</f>
        <v/>
      </c>
      <c r="D18" s="152" t="str">
        <f ca="1">IF(ROWS($1:5)&gt;COUNT(Dong1),"",IF(OFFSET(TH!O$1,SMALL(Dong1,ROWS($1:5)),)="1111",OFFSET(TH!D$1,SMALL(Dong1,ROWS($1:5)),),""))</f>
        <v/>
      </c>
      <c r="E18" s="354" t="str">
        <f ca="1">IF(ROWS($1:5)&gt;COUNT(Dong1),"",OFFSET(TH!F$1,SMALL(Dong1,ROWS($1:5)),))</f>
        <v/>
      </c>
      <c r="F18" s="154" t="str">
        <f ca="1">IF(ROWS($1:5)&gt;COUNT(Dong1),"",IF(OFFSET(TH!O$1,SMALL(Dong1,ROWS($1:5)),)="1111",OFFSET(TH!N$1,SMALL(Dong1,ROWS($1:5)),),OFFSET(TH!O$1,SMALL(Dong1,ROWS($1:5)),)))</f>
        <v/>
      </c>
      <c r="G18" s="155" t="str">
        <f ca="1">IF(ROWS($1:5)&gt;COUNT(Dong1),"",IF(OFFSET(TH!N$1,SMALL(Dong1,ROWS($1:5)),)="1111",OFFSET(TH!M$1,SMALL(Dong1,ROWS($1:5)),),0))</f>
        <v/>
      </c>
      <c r="H18" s="153" t="str">
        <f ca="1">IF(ROWS($1:5)&gt;COUNT(Dong1),"",IF(OFFSET(TH!O$1,SMALL(Dong1,ROWS($1:5)),)="1111",OFFSET(TH!M$1,SMALL(Dong1,ROWS($1:5)),),0))</f>
        <v/>
      </c>
      <c r="I18" s="151">
        <f t="shared" ca="1" si="0"/>
        <v>0</v>
      </c>
      <c r="J18" s="156"/>
    </row>
    <row r="19" spans="1:10" ht="19.5" customHeight="1">
      <c r="A19" s="150" t="str">
        <f ca="1">IF(ROWS($1:6)&gt;COUNT(Dong1),"",OFFSET(TH!C$1,SMALL(Dong1,ROWS($1:6)),))</f>
        <v/>
      </c>
      <c r="B19" s="150" t="str">
        <f ca="1">IF(ROWS($1:6)&gt;COUNT(Dong1),"",OFFSET(TH!E$1,SMALL(Dong1,ROWS($1:6)),))</f>
        <v/>
      </c>
      <c r="C19" s="151" t="str">
        <f ca="1">IF(ROWS($1:6)&gt;COUNT(Dong1),"",IF(OFFSET(TH!N$1,SMALL(Dong1,ROWS($1:6)),)="1111",OFFSET(TH!D$1,SMALL(Dong1,ROWS($1:6)),),""))</f>
        <v/>
      </c>
      <c r="D19" s="152" t="str">
        <f ca="1">IF(ROWS($1:6)&gt;COUNT(Dong1),"",IF(OFFSET(TH!O$1,SMALL(Dong1,ROWS($1:6)),)="1111",OFFSET(TH!D$1,SMALL(Dong1,ROWS($1:6)),),""))</f>
        <v/>
      </c>
      <c r="E19" s="354" t="str">
        <f ca="1">IF(ROWS($1:6)&gt;COUNT(Dong1),"",OFFSET(TH!F$1,SMALL(Dong1,ROWS($1:6)),))</f>
        <v/>
      </c>
      <c r="F19" s="154" t="str">
        <f ca="1">IF(ROWS($1:6)&gt;COUNT(Dong1),"",IF(OFFSET(TH!O$1,SMALL(Dong1,ROWS($1:6)),)="1111",OFFSET(TH!N$1,SMALL(Dong1,ROWS($1:6)),),OFFSET(TH!O$1,SMALL(Dong1,ROWS($1:6)),)))</f>
        <v/>
      </c>
      <c r="G19" s="155" t="str">
        <f ca="1">IF(ROWS($1:6)&gt;COUNT(Dong1),"",IF(OFFSET(TH!N$1,SMALL(Dong1,ROWS($1:6)),)="1111",OFFSET(TH!M$1,SMALL(Dong1,ROWS($1:6)),),0))</f>
        <v/>
      </c>
      <c r="H19" s="153" t="str">
        <f ca="1">IF(ROWS($1:6)&gt;COUNT(Dong1),"",IF(OFFSET(TH!O$1,SMALL(Dong1,ROWS($1:6)),)="1111",OFFSET(TH!M$1,SMALL(Dong1,ROWS($1:6)),),0))</f>
        <v/>
      </c>
      <c r="I19" s="151">
        <f t="shared" ca="1" si="0"/>
        <v>0</v>
      </c>
      <c r="J19" s="156"/>
    </row>
    <row r="20" spans="1:10" ht="19.5" customHeight="1">
      <c r="A20" s="150" t="str">
        <f ca="1">IF(ROWS($1:7)&gt;COUNT(Dong1),"",OFFSET(TH!C$1,SMALL(Dong1,ROWS($1:7)),))</f>
        <v/>
      </c>
      <c r="B20" s="150" t="str">
        <f ca="1">IF(ROWS($1:7)&gt;COUNT(Dong1),"",OFFSET(TH!E$1,SMALL(Dong1,ROWS($1:7)),))</f>
        <v/>
      </c>
      <c r="C20" s="151" t="str">
        <f ca="1">IF(ROWS($1:7)&gt;COUNT(Dong1),"",IF(OFFSET(TH!N$1,SMALL(Dong1,ROWS($1:7)),)="1111",OFFSET(TH!D$1,SMALL(Dong1,ROWS($1:7)),),""))</f>
        <v/>
      </c>
      <c r="D20" s="152" t="str">
        <f ca="1">IF(ROWS($1:7)&gt;COUNT(Dong1),"",IF(OFFSET(TH!O$1,SMALL(Dong1,ROWS($1:7)),)="1111",OFFSET(TH!D$1,SMALL(Dong1,ROWS($1:7)),),""))</f>
        <v/>
      </c>
      <c r="E20" s="354" t="str">
        <f ca="1">IF(ROWS($1:7)&gt;COUNT(Dong1),"",OFFSET(TH!F$1,SMALL(Dong1,ROWS($1:7)),))</f>
        <v/>
      </c>
      <c r="F20" s="154" t="str">
        <f ca="1">IF(ROWS($1:7)&gt;COUNT(Dong1),"",IF(OFFSET(TH!O$1,SMALL(Dong1,ROWS($1:7)),)="1111",OFFSET(TH!N$1,SMALL(Dong1,ROWS($1:7)),),OFFSET(TH!O$1,SMALL(Dong1,ROWS($1:7)),)))</f>
        <v/>
      </c>
      <c r="G20" s="155" t="str">
        <f ca="1">IF(ROWS($1:7)&gt;COUNT(Dong1),"",IF(OFFSET(TH!N$1,SMALL(Dong1,ROWS($1:7)),)="1111",OFFSET(TH!M$1,SMALL(Dong1,ROWS($1:7)),),0))</f>
        <v/>
      </c>
      <c r="H20" s="153" t="str">
        <f ca="1">IF(ROWS($1:7)&gt;COUNT(Dong1),"",IF(OFFSET(TH!O$1,SMALL(Dong1,ROWS($1:7)),)="1111",OFFSET(TH!M$1,SMALL(Dong1,ROWS($1:7)),),0))</f>
        <v/>
      </c>
      <c r="I20" s="151">
        <f t="shared" ca="1" si="0"/>
        <v>0</v>
      </c>
      <c r="J20" s="156"/>
    </row>
    <row r="21" spans="1:10" ht="19.5" customHeight="1">
      <c r="A21" s="150" t="str">
        <f ca="1">IF(ROWS($1:8)&gt;COUNT(Dong1),"",OFFSET(TH!C$1,SMALL(Dong1,ROWS($1:8)),))</f>
        <v/>
      </c>
      <c r="B21" s="150" t="str">
        <f ca="1">IF(ROWS($1:8)&gt;COUNT(Dong1),"",OFFSET(TH!E$1,SMALL(Dong1,ROWS($1:8)),))</f>
        <v/>
      </c>
      <c r="C21" s="151" t="str">
        <f ca="1">IF(ROWS($1:8)&gt;COUNT(Dong1),"",IF(OFFSET(TH!N$1,SMALL(Dong1,ROWS($1:8)),)="1111",OFFSET(TH!D$1,SMALL(Dong1,ROWS($1:8)),),""))</f>
        <v/>
      </c>
      <c r="D21" s="152" t="str">
        <f ca="1">IF(ROWS($1:8)&gt;COUNT(Dong1),"",IF(OFFSET(TH!O$1,SMALL(Dong1,ROWS($1:8)),)="1111",OFFSET(TH!D$1,SMALL(Dong1,ROWS($1:8)),),""))</f>
        <v/>
      </c>
      <c r="E21" s="354" t="str">
        <f ca="1">IF(ROWS($1:8)&gt;COUNT(Dong1),"",OFFSET(TH!F$1,SMALL(Dong1,ROWS($1:8)),))</f>
        <v/>
      </c>
      <c r="F21" s="154" t="str">
        <f ca="1">IF(ROWS($1:8)&gt;COUNT(Dong1),"",IF(OFFSET(TH!O$1,SMALL(Dong1,ROWS($1:8)),)="1111",OFFSET(TH!N$1,SMALL(Dong1,ROWS($1:8)),),OFFSET(TH!O$1,SMALL(Dong1,ROWS($1:8)),)))</f>
        <v/>
      </c>
      <c r="G21" s="155" t="str">
        <f ca="1">IF(ROWS($1:8)&gt;COUNT(Dong1),"",IF(OFFSET(TH!N$1,SMALL(Dong1,ROWS($1:8)),)="1111",OFFSET(TH!M$1,SMALL(Dong1,ROWS($1:8)),),0))</f>
        <v/>
      </c>
      <c r="H21" s="153" t="str">
        <f ca="1">IF(ROWS($1:8)&gt;COUNT(Dong1),"",IF(OFFSET(TH!O$1,SMALL(Dong1,ROWS($1:8)),)="1111",OFFSET(TH!M$1,SMALL(Dong1,ROWS($1:8)),),0))</f>
        <v/>
      </c>
      <c r="I21" s="151">
        <f t="shared" ca="1" si="0"/>
        <v>0</v>
      </c>
      <c r="J21" s="156"/>
    </row>
    <row r="22" spans="1:10" ht="19.5" customHeight="1">
      <c r="A22" s="150" t="str">
        <f ca="1">IF(ROWS($1:9)&gt;COUNT(Dong1),"",OFFSET(TH!C$1,SMALL(Dong1,ROWS($1:9)),))</f>
        <v/>
      </c>
      <c r="B22" s="150" t="str">
        <f ca="1">IF(ROWS($1:9)&gt;COUNT(Dong1),"",OFFSET(TH!E$1,SMALL(Dong1,ROWS($1:9)),))</f>
        <v/>
      </c>
      <c r="C22" s="151" t="str">
        <f ca="1">IF(ROWS($1:9)&gt;COUNT(Dong1),"",IF(OFFSET(TH!N$1,SMALL(Dong1,ROWS($1:9)),)="1111",OFFSET(TH!D$1,SMALL(Dong1,ROWS($1:9)),),""))</f>
        <v/>
      </c>
      <c r="D22" s="152" t="str">
        <f ca="1">IF(ROWS($1:9)&gt;COUNT(Dong1),"",IF(OFFSET(TH!O$1,SMALL(Dong1,ROWS($1:9)),)="1111",OFFSET(TH!D$1,SMALL(Dong1,ROWS($1:9)),),""))</f>
        <v/>
      </c>
      <c r="E22" s="354" t="str">
        <f ca="1">IF(ROWS($1:9)&gt;COUNT(Dong1),"",OFFSET(TH!F$1,SMALL(Dong1,ROWS($1:9)),))</f>
        <v/>
      </c>
      <c r="F22" s="154" t="str">
        <f ca="1">IF(ROWS($1:9)&gt;COUNT(Dong1),"",IF(OFFSET(TH!O$1,SMALL(Dong1,ROWS($1:9)),)="1111",OFFSET(TH!N$1,SMALL(Dong1,ROWS($1:9)),),OFFSET(TH!O$1,SMALL(Dong1,ROWS($1:9)),)))</f>
        <v/>
      </c>
      <c r="G22" s="155" t="str">
        <f ca="1">IF(ROWS($1:9)&gt;COUNT(Dong1),"",IF(OFFSET(TH!N$1,SMALL(Dong1,ROWS($1:9)),)="1111",OFFSET(TH!M$1,SMALL(Dong1,ROWS($1:9)),),0))</f>
        <v/>
      </c>
      <c r="H22" s="153" t="str">
        <f ca="1">IF(ROWS($1:9)&gt;COUNT(Dong1),"",IF(OFFSET(TH!O$1,SMALL(Dong1,ROWS($1:9)),)="1111",OFFSET(TH!M$1,SMALL(Dong1,ROWS($1:9)),),0))</f>
        <v/>
      </c>
      <c r="I22" s="151">
        <f t="shared" ca="1" si="0"/>
        <v>0</v>
      </c>
      <c r="J22" s="156"/>
    </row>
    <row r="23" spans="1:10" ht="19.5" customHeight="1">
      <c r="A23" s="150" t="str">
        <f ca="1">IF(ROWS($1:10)&gt;COUNT(Dong1),"",OFFSET(TH!C$1,SMALL(Dong1,ROWS($1:10)),))</f>
        <v/>
      </c>
      <c r="B23" s="150" t="str">
        <f ca="1">IF(ROWS($1:10)&gt;COUNT(Dong1),"",OFFSET(TH!E$1,SMALL(Dong1,ROWS($1:10)),))</f>
        <v/>
      </c>
      <c r="C23" s="151" t="str">
        <f ca="1">IF(ROWS($1:10)&gt;COUNT(Dong1),"",IF(OFFSET(TH!N$1,SMALL(Dong1,ROWS($1:10)),)="1111",OFFSET(TH!D$1,SMALL(Dong1,ROWS($1:10)),),""))</f>
        <v/>
      </c>
      <c r="D23" s="152" t="str">
        <f ca="1">IF(ROWS($1:10)&gt;COUNT(Dong1),"",IF(OFFSET(TH!O$1,SMALL(Dong1,ROWS($1:10)),)="1111",OFFSET(TH!D$1,SMALL(Dong1,ROWS($1:10)),),""))</f>
        <v/>
      </c>
      <c r="E23" s="354" t="str">
        <f ca="1">IF(ROWS($1:10)&gt;COUNT(Dong1),"",OFFSET(TH!F$1,SMALL(Dong1,ROWS($1:10)),))</f>
        <v/>
      </c>
      <c r="F23" s="154" t="str">
        <f ca="1">IF(ROWS($1:10)&gt;COUNT(Dong1),"",IF(OFFSET(TH!O$1,SMALL(Dong1,ROWS($1:10)),)="1111",OFFSET(TH!N$1,SMALL(Dong1,ROWS($1:10)),),OFFSET(TH!O$1,SMALL(Dong1,ROWS($1:10)),)))</f>
        <v/>
      </c>
      <c r="G23" s="155" t="str">
        <f ca="1">IF(ROWS($1:10)&gt;COUNT(Dong1),"",IF(OFFSET(TH!N$1,SMALL(Dong1,ROWS($1:10)),)="1111",OFFSET(TH!M$1,SMALL(Dong1,ROWS($1:10)),),0))</f>
        <v/>
      </c>
      <c r="H23" s="153" t="str">
        <f ca="1">IF(ROWS($1:10)&gt;COUNT(Dong1),"",IF(OFFSET(TH!O$1,SMALL(Dong1,ROWS($1:10)),)="1111",OFFSET(TH!M$1,SMALL(Dong1,ROWS($1:10)),),0))</f>
        <v/>
      </c>
      <c r="I23" s="151">
        <f t="shared" ca="1" si="0"/>
        <v>0</v>
      </c>
      <c r="J23" s="156"/>
    </row>
    <row r="24" spans="1:10" ht="19.5" customHeight="1">
      <c r="A24" s="150" t="str">
        <f ca="1">IF(ROWS($1:11)&gt;COUNT(Dong1),"",OFFSET(TH!C$1,SMALL(Dong1,ROWS($1:11)),))</f>
        <v/>
      </c>
      <c r="B24" s="150" t="str">
        <f ca="1">IF(ROWS($1:11)&gt;COUNT(Dong1),"",OFFSET(TH!E$1,SMALL(Dong1,ROWS($1:11)),))</f>
        <v/>
      </c>
      <c r="C24" s="151" t="str">
        <f ca="1">IF(ROWS($1:11)&gt;COUNT(Dong1),"",IF(OFFSET(TH!N$1,SMALL(Dong1,ROWS($1:11)),)="1111",OFFSET(TH!D$1,SMALL(Dong1,ROWS($1:11)),),""))</f>
        <v/>
      </c>
      <c r="D24" s="152" t="str">
        <f ca="1">IF(ROWS($1:11)&gt;COUNT(Dong1),"",IF(OFFSET(TH!O$1,SMALL(Dong1,ROWS($1:11)),)="1111",OFFSET(TH!D$1,SMALL(Dong1,ROWS($1:11)),),""))</f>
        <v/>
      </c>
      <c r="E24" s="354" t="str">
        <f ca="1">IF(ROWS($1:11)&gt;COUNT(Dong1),"",OFFSET(TH!F$1,SMALL(Dong1,ROWS($1:11)),))</f>
        <v/>
      </c>
      <c r="F24" s="154" t="str">
        <f ca="1">IF(ROWS($1:11)&gt;COUNT(Dong1),"",IF(OFFSET(TH!O$1,SMALL(Dong1,ROWS($1:11)),)="1111",OFFSET(TH!N$1,SMALL(Dong1,ROWS($1:11)),),OFFSET(TH!O$1,SMALL(Dong1,ROWS($1:11)),)))</f>
        <v/>
      </c>
      <c r="G24" s="155" t="str">
        <f ca="1">IF(ROWS($1:11)&gt;COUNT(Dong1),"",IF(OFFSET(TH!N$1,SMALL(Dong1,ROWS($1:11)),)="1111",OFFSET(TH!M$1,SMALL(Dong1,ROWS($1:11)),),0))</f>
        <v/>
      </c>
      <c r="H24" s="153" t="str">
        <f ca="1">IF(ROWS($1:11)&gt;COUNT(Dong1),"",IF(OFFSET(TH!O$1,SMALL(Dong1,ROWS($1:11)),)="1111",OFFSET(TH!M$1,SMALL(Dong1,ROWS($1:11)),),0))</f>
        <v/>
      </c>
      <c r="I24" s="151">
        <f t="shared" ca="1" si="0"/>
        <v>0</v>
      </c>
      <c r="J24" s="156"/>
    </row>
    <row r="25" spans="1:10" ht="19.5" customHeight="1">
      <c r="A25" s="150" t="str">
        <f ca="1">IF(ROWS($1:12)&gt;COUNT(Dong1),"",OFFSET(TH!C$1,SMALL(Dong1,ROWS($1:12)),))</f>
        <v/>
      </c>
      <c r="B25" s="150" t="str">
        <f ca="1">IF(ROWS($1:12)&gt;COUNT(Dong1),"",OFFSET(TH!E$1,SMALL(Dong1,ROWS($1:12)),))</f>
        <v/>
      </c>
      <c r="C25" s="151" t="str">
        <f ca="1">IF(ROWS($1:12)&gt;COUNT(Dong1),"",IF(OFFSET(TH!N$1,SMALL(Dong1,ROWS($1:12)),)="1111",OFFSET(TH!D$1,SMALL(Dong1,ROWS($1:12)),),""))</f>
        <v/>
      </c>
      <c r="D25" s="152" t="str">
        <f ca="1">IF(ROWS($1:12)&gt;COUNT(Dong1),"",IF(OFFSET(TH!O$1,SMALL(Dong1,ROWS($1:12)),)="1111",OFFSET(TH!D$1,SMALL(Dong1,ROWS($1:12)),),""))</f>
        <v/>
      </c>
      <c r="E25" s="354" t="str">
        <f ca="1">IF(ROWS($1:12)&gt;COUNT(Dong1),"",OFFSET(TH!F$1,SMALL(Dong1,ROWS($1:12)),))</f>
        <v/>
      </c>
      <c r="F25" s="154" t="str">
        <f ca="1">IF(ROWS($1:12)&gt;COUNT(Dong1),"",IF(OFFSET(TH!O$1,SMALL(Dong1,ROWS($1:12)),)="1111",OFFSET(TH!N$1,SMALL(Dong1,ROWS($1:12)),),OFFSET(TH!O$1,SMALL(Dong1,ROWS($1:12)),)))</f>
        <v/>
      </c>
      <c r="G25" s="155" t="str">
        <f ca="1">IF(ROWS($1:12)&gt;COUNT(Dong1),"",IF(OFFSET(TH!N$1,SMALL(Dong1,ROWS($1:12)),)="1111",OFFSET(TH!M$1,SMALL(Dong1,ROWS($1:12)),),0))</f>
        <v/>
      </c>
      <c r="H25" s="153" t="str">
        <f ca="1">IF(ROWS($1:12)&gt;COUNT(Dong1),"",IF(OFFSET(TH!O$1,SMALL(Dong1,ROWS($1:12)),)="1111",OFFSET(TH!M$1,SMALL(Dong1,ROWS($1:12)),),0))</f>
        <v/>
      </c>
      <c r="I25" s="151">
        <f t="shared" ca="1" si="0"/>
        <v>0</v>
      </c>
      <c r="J25" s="156"/>
    </row>
    <row r="26" spans="1:10" ht="19.5" customHeight="1">
      <c r="A26" s="150" t="str">
        <f ca="1">IF(ROWS($1:13)&gt;COUNT(Dong1),"",OFFSET(TH!C$1,SMALL(Dong1,ROWS($1:13)),))</f>
        <v/>
      </c>
      <c r="B26" s="150" t="str">
        <f ca="1">IF(ROWS($1:13)&gt;COUNT(Dong1),"",OFFSET(TH!E$1,SMALL(Dong1,ROWS($1:13)),))</f>
        <v/>
      </c>
      <c r="C26" s="151" t="str">
        <f ca="1">IF(ROWS($1:13)&gt;COUNT(Dong1),"",IF(OFFSET(TH!N$1,SMALL(Dong1,ROWS($1:13)),)="1111",OFFSET(TH!D$1,SMALL(Dong1,ROWS($1:13)),),""))</f>
        <v/>
      </c>
      <c r="D26" s="152" t="str">
        <f ca="1">IF(ROWS($1:13)&gt;COUNT(Dong1),"",IF(OFFSET(TH!O$1,SMALL(Dong1,ROWS($1:13)),)="1111",OFFSET(TH!D$1,SMALL(Dong1,ROWS($1:13)),),""))</f>
        <v/>
      </c>
      <c r="E26" s="354" t="str">
        <f ca="1">IF(ROWS($1:13)&gt;COUNT(Dong1),"",OFFSET(TH!F$1,SMALL(Dong1,ROWS($1:13)),))</f>
        <v/>
      </c>
      <c r="F26" s="154" t="str">
        <f ca="1">IF(ROWS($1:13)&gt;COUNT(Dong1),"",IF(OFFSET(TH!O$1,SMALL(Dong1,ROWS($1:13)),)="1111",OFFSET(TH!N$1,SMALL(Dong1,ROWS($1:13)),),OFFSET(TH!O$1,SMALL(Dong1,ROWS($1:13)),)))</f>
        <v/>
      </c>
      <c r="G26" s="155" t="str">
        <f ca="1">IF(ROWS($1:13)&gt;COUNT(Dong1),"",IF(OFFSET(TH!N$1,SMALL(Dong1,ROWS($1:13)),)="1111",OFFSET(TH!M$1,SMALL(Dong1,ROWS($1:13)),),0))</f>
        <v/>
      </c>
      <c r="H26" s="153" t="str">
        <f ca="1">IF(ROWS($1:13)&gt;COUNT(Dong1),"",IF(OFFSET(TH!O$1,SMALL(Dong1,ROWS($1:13)),)="1111",OFFSET(TH!M$1,SMALL(Dong1,ROWS($1:13)),),0))</f>
        <v/>
      </c>
      <c r="I26" s="151">
        <f t="shared" ca="1" si="0"/>
        <v>0</v>
      </c>
      <c r="J26" s="156"/>
    </row>
    <row r="27" spans="1:10" ht="19.5" customHeight="1">
      <c r="A27" s="150" t="str">
        <f ca="1">IF(ROWS($1:14)&gt;COUNT(Dong1),"",OFFSET(TH!C$1,SMALL(Dong1,ROWS($1:14)),))</f>
        <v/>
      </c>
      <c r="B27" s="150" t="str">
        <f ca="1">IF(ROWS($1:14)&gt;COUNT(Dong1),"",OFFSET(TH!E$1,SMALL(Dong1,ROWS($1:14)),))</f>
        <v/>
      </c>
      <c r="C27" s="151" t="str">
        <f ca="1">IF(ROWS($1:14)&gt;COUNT(Dong1),"",IF(OFFSET(TH!N$1,SMALL(Dong1,ROWS($1:14)),)="1111",OFFSET(TH!D$1,SMALL(Dong1,ROWS($1:14)),),""))</f>
        <v/>
      </c>
      <c r="D27" s="152" t="str">
        <f ca="1">IF(ROWS($1:14)&gt;COUNT(Dong1),"",IF(OFFSET(TH!O$1,SMALL(Dong1,ROWS($1:14)),)="1111",OFFSET(TH!D$1,SMALL(Dong1,ROWS($1:14)),),""))</f>
        <v/>
      </c>
      <c r="E27" s="354" t="str">
        <f ca="1">IF(ROWS($1:14)&gt;COUNT(Dong1),"",OFFSET(TH!F$1,SMALL(Dong1,ROWS($1:14)),))</f>
        <v/>
      </c>
      <c r="F27" s="154" t="str">
        <f ca="1">IF(ROWS($1:14)&gt;COUNT(Dong1),"",IF(OFFSET(TH!O$1,SMALL(Dong1,ROWS($1:14)),)="1111",OFFSET(TH!N$1,SMALL(Dong1,ROWS($1:14)),),OFFSET(TH!O$1,SMALL(Dong1,ROWS($1:14)),)))</f>
        <v/>
      </c>
      <c r="G27" s="155" t="str">
        <f ca="1">IF(ROWS($1:14)&gt;COUNT(Dong1),"",IF(OFFSET(TH!N$1,SMALL(Dong1,ROWS($1:14)),)="1111",OFFSET(TH!M$1,SMALL(Dong1,ROWS($1:14)),),0))</f>
        <v/>
      </c>
      <c r="H27" s="153" t="str">
        <f ca="1">IF(ROWS($1:14)&gt;COUNT(Dong1),"",IF(OFFSET(TH!O$1,SMALL(Dong1,ROWS($1:14)),)="1111",OFFSET(TH!M$1,SMALL(Dong1,ROWS($1:14)),),0))</f>
        <v/>
      </c>
      <c r="I27" s="151">
        <f t="shared" ca="1" si="0"/>
        <v>0</v>
      </c>
      <c r="J27" s="156"/>
    </row>
    <row r="28" spans="1:10" ht="19.5" customHeight="1">
      <c r="A28" s="150" t="str">
        <f ca="1">IF(ROWS($1:15)&gt;COUNT(Dong1),"",OFFSET(TH!C$1,SMALL(Dong1,ROWS($1:15)),))</f>
        <v/>
      </c>
      <c r="B28" s="150" t="str">
        <f ca="1">IF(ROWS($1:15)&gt;COUNT(Dong1),"",OFFSET(TH!E$1,SMALL(Dong1,ROWS($1:15)),))</f>
        <v/>
      </c>
      <c r="C28" s="151" t="str">
        <f ca="1">IF(ROWS($1:15)&gt;COUNT(Dong1),"",IF(OFFSET(TH!N$1,SMALL(Dong1,ROWS($1:15)),)="1111",OFFSET(TH!D$1,SMALL(Dong1,ROWS($1:15)),),""))</f>
        <v/>
      </c>
      <c r="D28" s="152" t="str">
        <f ca="1">IF(ROWS($1:15)&gt;COUNT(Dong1),"",IF(OFFSET(TH!O$1,SMALL(Dong1,ROWS($1:15)),)="1111",OFFSET(TH!D$1,SMALL(Dong1,ROWS($1:15)),),""))</f>
        <v/>
      </c>
      <c r="E28" s="354" t="str">
        <f ca="1">IF(ROWS($1:15)&gt;COUNT(Dong1),"",OFFSET(TH!F$1,SMALL(Dong1,ROWS($1:15)),))</f>
        <v/>
      </c>
      <c r="F28" s="154" t="str">
        <f ca="1">IF(ROWS($1:15)&gt;COUNT(Dong1),"",IF(OFFSET(TH!O$1,SMALL(Dong1,ROWS($1:15)),)="1111",OFFSET(TH!N$1,SMALL(Dong1,ROWS($1:15)),),OFFSET(TH!O$1,SMALL(Dong1,ROWS($1:15)),)))</f>
        <v/>
      </c>
      <c r="G28" s="155" t="str">
        <f ca="1">IF(ROWS($1:15)&gt;COUNT(Dong1),"",IF(OFFSET(TH!N$1,SMALL(Dong1,ROWS($1:15)),)="1111",OFFSET(TH!M$1,SMALL(Dong1,ROWS($1:15)),),0))</f>
        <v/>
      </c>
      <c r="H28" s="153" t="str">
        <f ca="1">IF(ROWS($1:15)&gt;COUNT(Dong1),"",IF(OFFSET(TH!O$1,SMALL(Dong1,ROWS($1:15)),)="1111",OFFSET(TH!M$1,SMALL(Dong1,ROWS($1:15)),),0))</f>
        <v/>
      </c>
      <c r="I28" s="151">
        <f t="shared" ca="1" si="0"/>
        <v>0</v>
      </c>
      <c r="J28" s="156"/>
    </row>
    <row r="29" spans="1:10" ht="19.5" customHeight="1">
      <c r="A29" s="150" t="str">
        <f ca="1">IF(ROWS($1:16)&gt;COUNT(Dong1),"",OFFSET(TH!C$1,SMALL(Dong1,ROWS($1:16)),))</f>
        <v/>
      </c>
      <c r="B29" s="150" t="str">
        <f ca="1">IF(ROWS($1:16)&gt;COUNT(Dong1),"",OFFSET(TH!E$1,SMALL(Dong1,ROWS($1:16)),))</f>
        <v/>
      </c>
      <c r="C29" s="151" t="str">
        <f ca="1">IF(ROWS($1:16)&gt;COUNT(Dong1),"",IF(OFFSET(TH!N$1,SMALL(Dong1,ROWS($1:16)),)="1111",OFFSET(TH!D$1,SMALL(Dong1,ROWS($1:16)),),""))</f>
        <v/>
      </c>
      <c r="D29" s="152" t="str">
        <f ca="1">IF(ROWS($1:16)&gt;COUNT(Dong1),"",IF(OFFSET(TH!O$1,SMALL(Dong1,ROWS($1:16)),)="1111",OFFSET(TH!D$1,SMALL(Dong1,ROWS($1:16)),),""))</f>
        <v/>
      </c>
      <c r="E29" s="354" t="str">
        <f ca="1">IF(ROWS($1:16)&gt;COUNT(Dong1),"",OFFSET(TH!F$1,SMALL(Dong1,ROWS($1:16)),))</f>
        <v/>
      </c>
      <c r="F29" s="154" t="str">
        <f ca="1">IF(ROWS($1:16)&gt;COUNT(Dong1),"",IF(OFFSET(TH!O$1,SMALL(Dong1,ROWS($1:16)),)="1111",OFFSET(TH!N$1,SMALL(Dong1,ROWS($1:16)),),OFFSET(TH!O$1,SMALL(Dong1,ROWS($1:16)),)))</f>
        <v/>
      </c>
      <c r="G29" s="155" t="str">
        <f ca="1">IF(ROWS($1:16)&gt;COUNT(Dong1),"",IF(OFFSET(TH!N$1,SMALL(Dong1,ROWS($1:16)),)="1111",OFFSET(TH!M$1,SMALL(Dong1,ROWS($1:16)),),0))</f>
        <v/>
      </c>
      <c r="H29" s="153" t="str">
        <f ca="1">IF(ROWS($1:16)&gt;COUNT(Dong1),"",IF(OFFSET(TH!O$1,SMALL(Dong1,ROWS($1:16)),)="1111",OFFSET(TH!M$1,SMALL(Dong1,ROWS($1:16)),),0))</f>
        <v/>
      </c>
      <c r="I29" s="151">
        <f t="shared" ca="1" si="0"/>
        <v>0</v>
      </c>
      <c r="J29" s="156"/>
    </row>
    <row r="30" spans="1:10" ht="19.5" customHeight="1">
      <c r="A30" s="150" t="str">
        <f ca="1">IF(ROWS($1:17)&gt;COUNT(Dong1),"",OFFSET(TH!C$1,SMALL(Dong1,ROWS($1:17)),))</f>
        <v/>
      </c>
      <c r="B30" s="150" t="str">
        <f ca="1">IF(ROWS($1:17)&gt;COUNT(Dong1),"",OFFSET(TH!E$1,SMALL(Dong1,ROWS($1:17)),))</f>
        <v/>
      </c>
      <c r="C30" s="151" t="str">
        <f ca="1">IF(ROWS($1:17)&gt;COUNT(Dong1),"",IF(OFFSET(TH!N$1,SMALL(Dong1,ROWS($1:17)),)="1111",OFFSET(TH!D$1,SMALL(Dong1,ROWS($1:17)),),""))</f>
        <v/>
      </c>
      <c r="D30" s="152" t="str">
        <f ca="1">IF(ROWS($1:17)&gt;COUNT(Dong1),"",IF(OFFSET(TH!O$1,SMALL(Dong1,ROWS($1:17)),)="1111",OFFSET(TH!D$1,SMALL(Dong1,ROWS($1:17)),),""))</f>
        <v/>
      </c>
      <c r="E30" s="354" t="str">
        <f ca="1">IF(ROWS($1:17)&gt;COUNT(Dong1),"",OFFSET(TH!F$1,SMALL(Dong1,ROWS($1:17)),))</f>
        <v/>
      </c>
      <c r="F30" s="154" t="str">
        <f ca="1">IF(ROWS($1:17)&gt;COUNT(Dong1),"",IF(OFFSET(TH!O$1,SMALL(Dong1,ROWS($1:17)),)="1111",OFFSET(TH!N$1,SMALL(Dong1,ROWS($1:17)),),OFFSET(TH!O$1,SMALL(Dong1,ROWS($1:17)),)))</f>
        <v/>
      </c>
      <c r="G30" s="155" t="str">
        <f ca="1">IF(ROWS($1:17)&gt;COUNT(Dong1),"",IF(OFFSET(TH!N$1,SMALL(Dong1,ROWS($1:17)),)="1111",OFFSET(TH!M$1,SMALL(Dong1,ROWS($1:17)),),0))</f>
        <v/>
      </c>
      <c r="H30" s="153" t="str">
        <f ca="1">IF(ROWS($1:17)&gt;COUNT(Dong1),"",IF(OFFSET(TH!O$1,SMALL(Dong1,ROWS($1:17)),)="1111",OFFSET(TH!M$1,SMALL(Dong1,ROWS($1:17)),),0))</f>
        <v/>
      </c>
      <c r="I30" s="151">
        <f t="shared" ca="1" si="0"/>
        <v>0</v>
      </c>
      <c r="J30" s="156"/>
    </row>
    <row r="31" spans="1:10" ht="19.5" customHeight="1">
      <c r="A31" s="150" t="str">
        <f ca="1">IF(ROWS($1:18)&gt;COUNT(Dong1),"",OFFSET(TH!C$1,SMALL(Dong1,ROWS($1:18)),))</f>
        <v/>
      </c>
      <c r="B31" s="150" t="str">
        <f ca="1">IF(ROWS($1:18)&gt;COUNT(Dong1),"",OFFSET(TH!E$1,SMALL(Dong1,ROWS($1:18)),))</f>
        <v/>
      </c>
      <c r="C31" s="151" t="str">
        <f ca="1">IF(ROWS($1:18)&gt;COUNT(Dong1),"",IF(OFFSET(TH!N$1,SMALL(Dong1,ROWS($1:18)),)="1111",OFFSET(TH!D$1,SMALL(Dong1,ROWS($1:18)),),""))</f>
        <v/>
      </c>
      <c r="D31" s="152" t="str">
        <f ca="1">IF(ROWS($1:18)&gt;COUNT(Dong1),"",IF(OFFSET(TH!O$1,SMALL(Dong1,ROWS($1:18)),)="1111",OFFSET(TH!D$1,SMALL(Dong1,ROWS($1:18)),),""))</f>
        <v/>
      </c>
      <c r="E31" s="354" t="str">
        <f ca="1">IF(ROWS($1:18)&gt;COUNT(Dong1),"",OFFSET(TH!F$1,SMALL(Dong1,ROWS($1:18)),))</f>
        <v/>
      </c>
      <c r="F31" s="154" t="str">
        <f ca="1">IF(ROWS($1:18)&gt;COUNT(Dong1),"",IF(OFFSET(TH!O$1,SMALL(Dong1,ROWS($1:18)),)="1111",OFFSET(TH!N$1,SMALL(Dong1,ROWS($1:18)),),OFFSET(TH!O$1,SMALL(Dong1,ROWS($1:18)),)))</f>
        <v/>
      </c>
      <c r="G31" s="155" t="str">
        <f ca="1">IF(ROWS($1:18)&gt;COUNT(Dong1),"",IF(OFFSET(TH!N$1,SMALL(Dong1,ROWS($1:18)),)="1111",OFFSET(TH!M$1,SMALL(Dong1,ROWS($1:18)),),0))</f>
        <v/>
      </c>
      <c r="H31" s="153" t="str">
        <f ca="1">IF(ROWS($1:18)&gt;COUNT(Dong1),"",IF(OFFSET(TH!O$1,SMALL(Dong1,ROWS($1:18)),)="1111",OFFSET(TH!M$1,SMALL(Dong1,ROWS($1:18)),),0))</f>
        <v/>
      </c>
      <c r="I31" s="151">
        <f t="shared" ca="1" si="0"/>
        <v>0</v>
      </c>
      <c r="J31" s="156"/>
    </row>
    <row r="32" spans="1:10" ht="19.5" customHeight="1">
      <c r="A32" s="150" t="str">
        <f ca="1">IF(ROWS($1:19)&gt;COUNT(Dong1),"",OFFSET(TH!C$1,SMALL(Dong1,ROWS($1:19)),))</f>
        <v/>
      </c>
      <c r="B32" s="150" t="str">
        <f ca="1">IF(ROWS($1:19)&gt;COUNT(Dong1),"",OFFSET(TH!E$1,SMALL(Dong1,ROWS($1:19)),))</f>
        <v/>
      </c>
      <c r="C32" s="151" t="str">
        <f ca="1">IF(ROWS($1:19)&gt;COUNT(Dong1),"",IF(OFFSET(TH!N$1,SMALL(Dong1,ROWS($1:19)),)="1111",OFFSET(TH!D$1,SMALL(Dong1,ROWS($1:19)),),""))</f>
        <v/>
      </c>
      <c r="D32" s="152" t="str">
        <f ca="1">IF(ROWS($1:19)&gt;COUNT(Dong1),"",IF(OFFSET(TH!O$1,SMALL(Dong1,ROWS($1:19)),)="1111",OFFSET(TH!D$1,SMALL(Dong1,ROWS($1:19)),),""))</f>
        <v/>
      </c>
      <c r="E32" s="354" t="str">
        <f ca="1">IF(ROWS($1:19)&gt;COUNT(Dong1),"",OFFSET(TH!F$1,SMALL(Dong1,ROWS($1:19)),))</f>
        <v/>
      </c>
      <c r="F32" s="154" t="str">
        <f ca="1">IF(ROWS($1:19)&gt;COUNT(Dong1),"",IF(OFFSET(TH!O$1,SMALL(Dong1,ROWS($1:19)),)="1111",OFFSET(TH!N$1,SMALL(Dong1,ROWS($1:19)),),OFFSET(TH!O$1,SMALL(Dong1,ROWS($1:19)),)))</f>
        <v/>
      </c>
      <c r="G32" s="155" t="str">
        <f ca="1">IF(ROWS($1:19)&gt;COUNT(Dong1),"",IF(OFFSET(TH!N$1,SMALL(Dong1,ROWS($1:19)),)="1111",OFFSET(TH!M$1,SMALL(Dong1,ROWS($1:19)),),0))</f>
        <v/>
      </c>
      <c r="H32" s="153" t="str">
        <f ca="1">IF(ROWS($1:19)&gt;COUNT(Dong1),"",IF(OFFSET(TH!O$1,SMALL(Dong1,ROWS($1:19)),)="1111",OFFSET(TH!M$1,SMALL(Dong1,ROWS($1:19)),),0))</f>
        <v/>
      </c>
      <c r="I32" s="151">
        <f t="shared" ca="1" si="0"/>
        <v>0</v>
      </c>
      <c r="J32" s="156"/>
    </row>
    <row r="33" spans="1:10" ht="19.5" customHeight="1">
      <c r="A33" s="150" t="str">
        <f ca="1">IF(ROWS($1:20)&gt;COUNT(Dong1),"",OFFSET(TH!C$1,SMALL(Dong1,ROWS($1:20)),))</f>
        <v/>
      </c>
      <c r="B33" s="150" t="str">
        <f ca="1">IF(ROWS($1:20)&gt;COUNT(Dong1),"",OFFSET(TH!E$1,SMALL(Dong1,ROWS($1:20)),))</f>
        <v/>
      </c>
      <c r="C33" s="151" t="str">
        <f ca="1">IF(ROWS($1:20)&gt;COUNT(Dong1),"",IF(OFFSET(TH!N$1,SMALL(Dong1,ROWS($1:20)),)="1111",OFFSET(TH!D$1,SMALL(Dong1,ROWS($1:20)),),""))</f>
        <v/>
      </c>
      <c r="D33" s="152" t="str">
        <f ca="1">IF(ROWS($1:20)&gt;COUNT(Dong1),"",IF(OFFSET(TH!O$1,SMALL(Dong1,ROWS($1:20)),)="1111",OFFSET(TH!D$1,SMALL(Dong1,ROWS($1:20)),),""))</f>
        <v/>
      </c>
      <c r="E33" s="354" t="str">
        <f ca="1">IF(ROWS($1:20)&gt;COUNT(Dong1),"",OFFSET(TH!F$1,SMALL(Dong1,ROWS($1:20)),))</f>
        <v/>
      </c>
      <c r="F33" s="154" t="str">
        <f ca="1">IF(ROWS($1:20)&gt;COUNT(Dong1),"",IF(OFFSET(TH!O$1,SMALL(Dong1,ROWS($1:20)),)="1111",OFFSET(TH!N$1,SMALL(Dong1,ROWS($1:20)),),OFFSET(TH!O$1,SMALL(Dong1,ROWS($1:20)),)))</f>
        <v/>
      </c>
      <c r="G33" s="155" t="str">
        <f ca="1">IF(ROWS($1:20)&gt;COUNT(Dong1),"",IF(OFFSET(TH!N$1,SMALL(Dong1,ROWS($1:20)),)="1111",OFFSET(TH!M$1,SMALL(Dong1,ROWS($1:20)),),0))</f>
        <v/>
      </c>
      <c r="H33" s="153" t="str">
        <f ca="1">IF(ROWS($1:20)&gt;COUNT(Dong1),"",IF(OFFSET(TH!O$1,SMALL(Dong1,ROWS($1:20)),)="1111",OFFSET(TH!M$1,SMALL(Dong1,ROWS($1:20)),),0))</f>
        <v/>
      </c>
      <c r="I33" s="151">
        <f t="shared" ca="1" si="0"/>
        <v>0</v>
      </c>
      <c r="J33" s="156"/>
    </row>
    <row r="34" spans="1:10" ht="19.5" customHeight="1">
      <c r="A34" s="150" t="str">
        <f ca="1">IF(ROWS($1:21)&gt;COUNT(Dong1),"",OFFSET(TH!C$1,SMALL(Dong1,ROWS($1:21)),))</f>
        <v/>
      </c>
      <c r="B34" s="150" t="str">
        <f ca="1">IF(ROWS($1:21)&gt;COUNT(Dong1),"",OFFSET(TH!E$1,SMALL(Dong1,ROWS($1:21)),))</f>
        <v/>
      </c>
      <c r="C34" s="151" t="str">
        <f ca="1">IF(ROWS($1:21)&gt;COUNT(Dong1),"",IF(OFFSET(TH!N$1,SMALL(Dong1,ROWS($1:21)),)="1111",OFFSET(TH!D$1,SMALL(Dong1,ROWS($1:21)),),""))</f>
        <v/>
      </c>
      <c r="D34" s="152" t="str">
        <f ca="1">IF(ROWS($1:21)&gt;COUNT(Dong1),"",IF(OFFSET(TH!O$1,SMALL(Dong1,ROWS($1:21)),)="1111",OFFSET(TH!D$1,SMALL(Dong1,ROWS($1:21)),),""))</f>
        <v/>
      </c>
      <c r="E34" s="354" t="str">
        <f ca="1">IF(ROWS($1:21)&gt;COUNT(Dong1),"",OFFSET(TH!F$1,SMALL(Dong1,ROWS($1:21)),))</f>
        <v/>
      </c>
      <c r="F34" s="154" t="str">
        <f ca="1">IF(ROWS($1:21)&gt;COUNT(Dong1),"",IF(OFFSET(TH!O$1,SMALL(Dong1,ROWS($1:21)),)="1111",OFFSET(TH!N$1,SMALL(Dong1,ROWS($1:21)),),OFFSET(TH!O$1,SMALL(Dong1,ROWS($1:21)),)))</f>
        <v/>
      </c>
      <c r="G34" s="155" t="str">
        <f ca="1">IF(ROWS($1:21)&gt;COUNT(Dong1),"",IF(OFFSET(TH!N$1,SMALL(Dong1,ROWS($1:21)),)="1111",OFFSET(TH!M$1,SMALL(Dong1,ROWS($1:21)),),0))</f>
        <v/>
      </c>
      <c r="H34" s="153" t="str">
        <f ca="1">IF(ROWS($1:21)&gt;COUNT(Dong1),"",IF(OFFSET(TH!O$1,SMALL(Dong1,ROWS($1:21)),)="1111",OFFSET(TH!M$1,SMALL(Dong1,ROWS($1:21)),),0))</f>
        <v/>
      </c>
      <c r="I34" s="151">
        <f t="shared" ca="1" si="0"/>
        <v>0</v>
      </c>
      <c r="J34" s="156"/>
    </row>
    <row r="35" spans="1:10" ht="19.5" customHeight="1">
      <c r="A35" s="150" t="str">
        <f ca="1">IF(ROWS($1:22)&gt;COUNT(Dong1),"",OFFSET(TH!C$1,SMALL(Dong1,ROWS($1:22)),))</f>
        <v/>
      </c>
      <c r="B35" s="150" t="str">
        <f ca="1">IF(ROWS($1:22)&gt;COUNT(Dong1),"",OFFSET(TH!E$1,SMALL(Dong1,ROWS($1:22)),))</f>
        <v/>
      </c>
      <c r="C35" s="151" t="str">
        <f ca="1">IF(ROWS($1:22)&gt;COUNT(Dong1),"",IF(OFFSET(TH!N$1,SMALL(Dong1,ROWS($1:22)),)="1111",OFFSET(TH!D$1,SMALL(Dong1,ROWS($1:22)),),""))</f>
        <v/>
      </c>
      <c r="D35" s="152" t="str">
        <f ca="1">IF(ROWS($1:22)&gt;COUNT(Dong1),"",IF(OFFSET(TH!O$1,SMALL(Dong1,ROWS($1:22)),)="1111",OFFSET(TH!D$1,SMALL(Dong1,ROWS($1:22)),),""))</f>
        <v/>
      </c>
      <c r="E35" s="354" t="str">
        <f ca="1">IF(ROWS($1:22)&gt;COUNT(Dong1),"",OFFSET(TH!F$1,SMALL(Dong1,ROWS($1:22)),))</f>
        <v/>
      </c>
      <c r="F35" s="154" t="str">
        <f ca="1">IF(ROWS($1:22)&gt;COUNT(Dong1),"",IF(OFFSET(TH!O$1,SMALL(Dong1,ROWS($1:22)),)="1111",OFFSET(TH!N$1,SMALL(Dong1,ROWS($1:22)),),OFFSET(TH!O$1,SMALL(Dong1,ROWS($1:22)),)))</f>
        <v/>
      </c>
      <c r="G35" s="155" t="str">
        <f ca="1">IF(ROWS($1:22)&gt;COUNT(Dong1),"",IF(OFFSET(TH!N$1,SMALL(Dong1,ROWS($1:22)),)="1111",OFFSET(TH!M$1,SMALL(Dong1,ROWS($1:22)),),0))</f>
        <v/>
      </c>
      <c r="H35" s="153" t="str">
        <f ca="1">IF(ROWS($1:22)&gt;COUNT(Dong1),"",IF(OFFSET(TH!O$1,SMALL(Dong1,ROWS($1:22)),)="1111",OFFSET(TH!M$1,SMALL(Dong1,ROWS($1:22)),),0))</f>
        <v/>
      </c>
      <c r="I35" s="151">
        <f t="shared" ca="1" si="0"/>
        <v>0</v>
      </c>
      <c r="J35" s="156"/>
    </row>
    <row r="36" spans="1:10" ht="19.5" customHeight="1">
      <c r="A36" s="150" t="str">
        <f ca="1">IF(ROWS($1:23)&gt;COUNT(Dong1),"",OFFSET(TH!C$1,SMALL(Dong1,ROWS($1:23)),))</f>
        <v/>
      </c>
      <c r="B36" s="150" t="str">
        <f ca="1">IF(ROWS($1:23)&gt;COUNT(Dong1),"",OFFSET(TH!E$1,SMALL(Dong1,ROWS($1:23)),))</f>
        <v/>
      </c>
      <c r="C36" s="151" t="str">
        <f ca="1">IF(ROWS($1:23)&gt;COUNT(Dong1),"",IF(OFFSET(TH!N$1,SMALL(Dong1,ROWS($1:23)),)="1111",OFFSET(TH!D$1,SMALL(Dong1,ROWS($1:23)),),""))</f>
        <v/>
      </c>
      <c r="D36" s="152" t="str">
        <f ca="1">IF(ROWS($1:23)&gt;COUNT(Dong1),"",IF(OFFSET(TH!O$1,SMALL(Dong1,ROWS($1:23)),)="1111",OFFSET(TH!D$1,SMALL(Dong1,ROWS($1:23)),),""))</f>
        <v/>
      </c>
      <c r="E36" s="354" t="str">
        <f ca="1">IF(ROWS($1:23)&gt;COUNT(Dong1),"",OFFSET(TH!F$1,SMALL(Dong1,ROWS($1:23)),))</f>
        <v/>
      </c>
      <c r="F36" s="154" t="str">
        <f ca="1">IF(ROWS($1:23)&gt;COUNT(Dong1),"",IF(OFFSET(TH!O$1,SMALL(Dong1,ROWS($1:23)),)="1111",OFFSET(TH!N$1,SMALL(Dong1,ROWS($1:23)),),OFFSET(TH!O$1,SMALL(Dong1,ROWS($1:23)),)))</f>
        <v/>
      </c>
      <c r="G36" s="155" t="str">
        <f ca="1">IF(ROWS($1:23)&gt;COUNT(Dong1),"",IF(OFFSET(TH!N$1,SMALL(Dong1,ROWS($1:23)),)="1111",OFFSET(TH!M$1,SMALL(Dong1,ROWS($1:23)),),0))</f>
        <v/>
      </c>
      <c r="H36" s="153" t="str">
        <f ca="1">IF(ROWS($1:23)&gt;COUNT(Dong1),"",IF(OFFSET(TH!O$1,SMALL(Dong1,ROWS($1:23)),)="1111",OFFSET(TH!M$1,SMALL(Dong1,ROWS($1:23)),),0))</f>
        <v/>
      </c>
      <c r="I36" s="151">
        <f t="shared" ca="1" si="0"/>
        <v>0</v>
      </c>
      <c r="J36" s="156"/>
    </row>
    <row r="37" spans="1:10" ht="19.5" customHeight="1">
      <c r="A37" s="150" t="str">
        <f ca="1">IF(ROWS($1:24)&gt;COUNT(Dong1),"",OFFSET(TH!C$1,SMALL(Dong1,ROWS($1:24)),))</f>
        <v/>
      </c>
      <c r="B37" s="150" t="str">
        <f ca="1">IF(ROWS($1:24)&gt;COUNT(Dong1),"",OFFSET(TH!E$1,SMALL(Dong1,ROWS($1:24)),))</f>
        <v/>
      </c>
      <c r="C37" s="151" t="str">
        <f ca="1">IF(ROWS($1:24)&gt;COUNT(Dong1),"",IF(OFFSET(TH!N$1,SMALL(Dong1,ROWS($1:24)),)="1111",OFFSET(TH!D$1,SMALL(Dong1,ROWS($1:24)),),""))</f>
        <v/>
      </c>
      <c r="D37" s="152" t="str">
        <f ca="1">IF(ROWS($1:24)&gt;COUNT(Dong1),"",IF(OFFSET(TH!O$1,SMALL(Dong1,ROWS($1:24)),)="1111",OFFSET(TH!D$1,SMALL(Dong1,ROWS($1:24)),),""))</f>
        <v/>
      </c>
      <c r="E37" s="354" t="str">
        <f ca="1">IF(ROWS($1:24)&gt;COUNT(Dong1),"",OFFSET(TH!F$1,SMALL(Dong1,ROWS($1:24)),))</f>
        <v/>
      </c>
      <c r="F37" s="154" t="str">
        <f ca="1">IF(ROWS($1:24)&gt;COUNT(Dong1),"",IF(OFFSET(TH!O$1,SMALL(Dong1,ROWS($1:24)),)="1111",OFFSET(TH!N$1,SMALL(Dong1,ROWS($1:24)),),OFFSET(TH!O$1,SMALL(Dong1,ROWS($1:24)),)))</f>
        <v/>
      </c>
      <c r="G37" s="155" t="str">
        <f ca="1">IF(ROWS($1:24)&gt;COUNT(Dong1),"",IF(OFFSET(TH!N$1,SMALL(Dong1,ROWS($1:24)),)="1111",OFFSET(TH!M$1,SMALL(Dong1,ROWS($1:24)),),0))</f>
        <v/>
      </c>
      <c r="H37" s="153" t="str">
        <f ca="1">IF(ROWS($1:24)&gt;COUNT(Dong1),"",IF(OFFSET(TH!O$1,SMALL(Dong1,ROWS($1:24)),)="1111",OFFSET(TH!M$1,SMALL(Dong1,ROWS($1:24)),),0))</f>
        <v/>
      </c>
      <c r="I37" s="151">
        <f t="shared" ca="1" si="0"/>
        <v>0</v>
      </c>
      <c r="J37" s="156"/>
    </row>
    <row r="38" spans="1:10" ht="19.5" customHeight="1">
      <c r="A38" s="150" t="str">
        <f ca="1">IF(ROWS($1:25)&gt;COUNT(Dong1),"",OFFSET(TH!C$1,SMALL(Dong1,ROWS($1:25)),))</f>
        <v/>
      </c>
      <c r="B38" s="150" t="str">
        <f ca="1">IF(ROWS($1:25)&gt;COUNT(Dong1),"",OFFSET(TH!E$1,SMALL(Dong1,ROWS($1:25)),))</f>
        <v/>
      </c>
      <c r="C38" s="151" t="str">
        <f ca="1">IF(ROWS($1:25)&gt;COUNT(Dong1),"",IF(OFFSET(TH!N$1,SMALL(Dong1,ROWS($1:25)),)="1111",OFFSET(TH!D$1,SMALL(Dong1,ROWS($1:25)),),""))</f>
        <v/>
      </c>
      <c r="D38" s="152" t="str">
        <f ca="1">IF(ROWS($1:25)&gt;COUNT(Dong1),"",IF(OFFSET(TH!O$1,SMALL(Dong1,ROWS($1:25)),)="1111",OFFSET(TH!D$1,SMALL(Dong1,ROWS($1:25)),),""))</f>
        <v/>
      </c>
      <c r="E38" s="354" t="str">
        <f ca="1">IF(ROWS($1:25)&gt;COUNT(Dong1),"",OFFSET(TH!F$1,SMALL(Dong1,ROWS($1:25)),))</f>
        <v/>
      </c>
      <c r="F38" s="154" t="str">
        <f ca="1">IF(ROWS($1:25)&gt;COUNT(Dong1),"",IF(OFFSET(TH!O$1,SMALL(Dong1,ROWS($1:25)),)="1111",OFFSET(TH!N$1,SMALL(Dong1,ROWS($1:25)),),OFFSET(TH!O$1,SMALL(Dong1,ROWS($1:25)),)))</f>
        <v/>
      </c>
      <c r="G38" s="155" t="str">
        <f ca="1">IF(ROWS($1:25)&gt;COUNT(Dong1),"",IF(OFFSET(TH!N$1,SMALL(Dong1,ROWS($1:25)),)="1111",OFFSET(TH!M$1,SMALL(Dong1,ROWS($1:25)),),0))</f>
        <v/>
      </c>
      <c r="H38" s="153" t="str">
        <f ca="1">IF(ROWS($1:25)&gt;COUNT(Dong1),"",IF(OFFSET(TH!O$1,SMALL(Dong1,ROWS($1:25)),)="1111",OFFSET(TH!M$1,SMALL(Dong1,ROWS($1:25)),),0))</f>
        <v/>
      </c>
      <c r="I38" s="151">
        <f t="shared" ca="1" si="0"/>
        <v>0</v>
      </c>
      <c r="J38" s="156"/>
    </row>
    <row r="39" spans="1:10" ht="19.5" customHeight="1">
      <c r="A39" s="150" t="str">
        <f ca="1">IF(ROWS($1:26)&gt;COUNT(Dong1),"",OFFSET(TH!C$1,SMALL(Dong1,ROWS($1:26)),))</f>
        <v/>
      </c>
      <c r="B39" s="150" t="str">
        <f ca="1">IF(ROWS($1:26)&gt;COUNT(Dong1),"",OFFSET(TH!E$1,SMALL(Dong1,ROWS($1:26)),))</f>
        <v/>
      </c>
      <c r="C39" s="151" t="str">
        <f ca="1">IF(ROWS($1:26)&gt;COUNT(Dong1),"",IF(OFFSET(TH!N$1,SMALL(Dong1,ROWS($1:26)),)="1111",OFFSET(TH!D$1,SMALL(Dong1,ROWS($1:26)),),""))</f>
        <v/>
      </c>
      <c r="D39" s="152" t="str">
        <f ca="1">IF(ROWS($1:26)&gt;COUNT(Dong1),"",IF(OFFSET(TH!O$1,SMALL(Dong1,ROWS($1:26)),)="1111",OFFSET(TH!D$1,SMALL(Dong1,ROWS($1:26)),),""))</f>
        <v/>
      </c>
      <c r="E39" s="354" t="str">
        <f ca="1">IF(ROWS($1:26)&gt;COUNT(Dong1),"",OFFSET(TH!F$1,SMALL(Dong1,ROWS($1:26)),))</f>
        <v/>
      </c>
      <c r="F39" s="154" t="str">
        <f ca="1">IF(ROWS($1:26)&gt;COUNT(Dong1),"",IF(OFFSET(TH!O$1,SMALL(Dong1,ROWS($1:26)),)="1111",OFFSET(TH!N$1,SMALL(Dong1,ROWS($1:26)),),OFFSET(TH!O$1,SMALL(Dong1,ROWS($1:26)),)))</f>
        <v/>
      </c>
      <c r="G39" s="155" t="str">
        <f ca="1">IF(ROWS($1:26)&gt;COUNT(Dong1),"",IF(OFFSET(TH!N$1,SMALL(Dong1,ROWS($1:26)),)="1111",OFFSET(TH!M$1,SMALL(Dong1,ROWS($1:26)),),0))</f>
        <v/>
      </c>
      <c r="H39" s="153" t="str">
        <f ca="1">IF(ROWS($1:26)&gt;COUNT(Dong1),"",IF(OFFSET(TH!O$1,SMALL(Dong1,ROWS($1:26)),)="1111",OFFSET(TH!M$1,SMALL(Dong1,ROWS($1:26)),),0))</f>
        <v/>
      </c>
      <c r="I39" s="151">
        <f t="shared" ca="1" si="0"/>
        <v>0</v>
      </c>
      <c r="J39" s="156"/>
    </row>
    <row r="40" spans="1:10" ht="19.5" customHeight="1">
      <c r="A40" s="150" t="str">
        <f ca="1">IF(ROWS($1:27)&gt;COUNT(Dong1),"",OFFSET(TH!C$1,SMALL(Dong1,ROWS($1:27)),))</f>
        <v/>
      </c>
      <c r="B40" s="150" t="str">
        <f ca="1">IF(ROWS($1:27)&gt;COUNT(Dong1),"",OFFSET(TH!E$1,SMALL(Dong1,ROWS($1:27)),))</f>
        <v/>
      </c>
      <c r="C40" s="151" t="str">
        <f ca="1">IF(ROWS($1:27)&gt;COUNT(Dong1),"",IF(OFFSET(TH!N$1,SMALL(Dong1,ROWS($1:27)),)="1111",OFFSET(TH!D$1,SMALL(Dong1,ROWS($1:27)),),""))</f>
        <v/>
      </c>
      <c r="D40" s="152" t="str">
        <f ca="1">IF(ROWS($1:27)&gt;COUNT(Dong1),"",IF(OFFSET(TH!O$1,SMALL(Dong1,ROWS($1:27)),)="1111",OFFSET(TH!D$1,SMALL(Dong1,ROWS($1:27)),),""))</f>
        <v/>
      </c>
      <c r="E40" s="354" t="str">
        <f ca="1">IF(ROWS($1:27)&gt;COUNT(Dong1),"",OFFSET(TH!F$1,SMALL(Dong1,ROWS($1:27)),))</f>
        <v/>
      </c>
      <c r="F40" s="154" t="str">
        <f ca="1">IF(ROWS($1:27)&gt;COUNT(Dong1),"",IF(OFFSET(TH!O$1,SMALL(Dong1,ROWS($1:27)),)="1111",OFFSET(TH!N$1,SMALL(Dong1,ROWS($1:27)),),OFFSET(TH!O$1,SMALL(Dong1,ROWS($1:27)),)))</f>
        <v/>
      </c>
      <c r="G40" s="155" t="str">
        <f ca="1">IF(ROWS($1:27)&gt;COUNT(Dong1),"",IF(OFFSET(TH!N$1,SMALL(Dong1,ROWS($1:27)),)="1111",OFFSET(TH!M$1,SMALL(Dong1,ROWS($1:27)),),0))</f>
        <v/>
      </c>
      <c r="H40" s="153" t="str">
        <f ca="1">IF(ROWS($1:27)&gt;COUNT(Dong1),"",IF(OFFSET(TH!O$1,SMALL(Dong1,ROWS($1:27)),)="1111",OFFSET(TH!M$1,SMALL(Dong1,ROWS($1:27)),),0))</f>
        <v/>
      </c>
      <c r="I40" s="151">
        <f t="shared" ca="1" si="0"/>
        <v>0</v>
      </c>
      <c r="J40" s="156"/>
    </row>
    <row r="41" spans="1:10" ht="19.5" customHeight="1">
      <c r="A41" s="150" t="str">
        <f ca="1">IF(ROWS($1:28)&gt;COUNT(Dong1),"",OFFSET(TH!C$1,SMALL(Dong1,ROWS($1:28)),))</f>
        <v/>
      </c>
      <c r="B41" s="150" t="str">
        <f ca="1">IF(ROWS($1:28)&gt;COUNT(Dong1),"",OFFSET(TH!E$1,SMALL(Dong1,ROWS($1:28)),))</f>
        <v/>
      </c>
      <c r="C41" s="151" t="str">
        <f ca="1">IF(ROWS($1:28)&gt;COUNT(Dong1),"",IF(OFFSET(TH!N$1,SMALL(Dong1,ROWS($1:28)),)="1111",OFFSET(TH!D$1,SMALL(Dong1,ROWS($1:28)),),""))</f>
        <v/>
      </c>
      <c r="D41" s="152" t="str">
        <f ca="1">IF(ROWS($1:28)&gt;COUNT(Dong1),"",IF(OFFSET(TH!O$1,SMALL(Dong1,ROWS($1:28)),)="1111",OFFSET(TH!D$1,SMALL(Dong1,ROWS($1:28)),),""))</f>
        <v/>
      </c>
      <c r="E41" s="354" t="str">
        <f ca="1">IF(ROWS($1:28)&gt;COUNT(Dong1),"",OFFSET(TH!F$1,SMALL(Dong1,ROWS($1:28)),))</f>
        <v/>
      </c>
      <c r="F41" s="154" t="str">
        <f ca="1">IF(ROWS($1:28)&gt;COUNT(Dong1),"",IF(OFFSET(TH!O$1,SMALL(Dong1,ROWS($1:28)),)="1111",OFFSET(TH!N$1,SMALL(Dong1,ROWS($1:28)),),OFFSET(TH!O$1,SMALL(Dong1,ROWS($1:28)),)))</f>
        <v/>
      </c>
      <c r="G41" s="155" t="str">
        <f ca="1">IF(ROWS($1:28)&gt;COUNT(Dong1),"",IF(OFFSET(TH!N$1,SMALL(Dong1,ROWS($1:28)),)="1111",OFFSET(TH!M$1,SMALL(Dong1,ROWS($1:28)),),0))</f>
        <v/>
      </c>
      <c r="H41" s="153" t="str">
        <f ca="1">IF(ROWS($1:28)&gt;COUNT(Dong1),"",IF(OFFSET(TH!O$1,SMALL(Dong1,ROWS($1:28)),)="1111",OFFSET(TH!M$1,SMALL(Dong1,ROWS($1:28)),),0))</f>
        <v/>
      </c>
      <c r="I41" s="151">
        <f t="shared" ca="1" si="0"/>
        <v>0</v>
      </c>
      <c r="J41" s="156"/>
    </row>
    <row r="42" spans="1:10" ht="19.5" customHeight="1">
      <c r="A42" s="150" t="str">
        <f ca="1">IF(ROWS($1:29)&gt;COUNT(Dong1),"",OFFSET(TH!C$1,SMALL(Dong1,ROWS($1:29)),))</f>
        <v/>
      </c>
      <c r="B42" s="150" t="str">
        <f ca="1">IF(ROWS($1:29)&gt;COUNT(Dong1),"",OFFSET(TH!E$1,SMALL(Dong1,ROWS($1:29)),))</f>
        <v/>
      </c>
      <c r="C42" s="151" t="str">
        <f ca="1">IF(ROWS($1:29)&gt;COUNT(Dong1),"",IF(OFFSET(TH!N$1,SMALL(Dong1,ROWS($1:29)),)="1111",OFFSET(TH!D$1,SMALL(Dong1,ROWS($1:29)),),""))</f>
        <v/>
      </c>
      <c r="D42" s="152" t="str">
        <f ca="1">IF(ROWS($1:29)&gt;COUNT(Dong1),"",IF(OFFSET(TH!O$1,SMALL(Dong1,ROWS($1:29)),)="1111",OFFSET(TH!D$1,SMALL(Dong1,ROWS($1:29)),),""))</f>
        <v/>
      </c>
      <c r="E42" s="354" t="str">
        <f ca="1">IF(ROWS($1:29)&gt;COUNT(Dong1),"",OFFSET(TH!F$1,SMALL(Dong1,ROWS($1:29)),))</f>
        <v/>
      </c>
      <c r="F42" s="154" t="str">
        <f ca="1">IF(ROWS($1:29)&gt;COUNT(Dong1),"",IF(OFFSET(TH!O$1,SMALL(Dong1,ROWS($1:29)),)="1111",OFFSET(TH!N$1,SMALL(Dong1,ROWS($1:29)),),OFFSET(TH!O$1,SMALL(Dong1,ROWS($1:29)),)))</f>
        <v/>
      </c>
      <c r="G42" s="155" t="str">
        <f ca="1">IF(ROWS($1:29)&gt;COUNT(Dong1),"",IF(OFFSET(TH!N$1,SMALL(Dong1,ROWS($1:29)),)="1111",OFFSET(TH!M$1,SMALL(Dong1,ROWS($1:29)),),0))</f>
        <v/>
      </c>
      <c r="H42" s="153" t="str">
        <f ca="1">IF(ROWS($1:29)&gt;COUNT(Dong1),"",IF(OFFSET(TH!O$1,SMALL(Dong1,ROWS($1:29)),)="1111",OFFSET(TH!M$1,SMALL(Dong1,ROWS($1:29)),),0))</f>
        <v/>
      </c>
      <c r="I42" s="151">
        <f t="shared" ca="1" si="0"/>
        <v>0</v>
      </c>
      <c r="J42" s="156"/>
    </row>
    <row r="43" spans="1:10" ht="19.5" customHeight="1">
      <c r="A43" s="150" t="str">
        <f ca="1">IF(ROWS($1:30)&gt;COUNT(Dong1),"",OFFSET(TH!C$1,SMALL(Dong1,ROWS($1:30)),))</f>
        <v/>
      </c>
      <c r="B43" s="150" t="str">
        <f ca="1">IF(ROWS($1:30)&gt;COUNT(Dong1),"",OFFSET(TH!E$1,SMALL(Dong1,ROWS($1:30)),))</f>
        <v/>
      </c>
      <c r="C43" s="151" t="str">
        <f ca="1">IF(ROWS($1:30)&gt;COUNT(Dong1),"",IF(OFFSET(TH!N$1,SMALL(Dong1,ROWS($1:30)),)="1111",OFFSET(TH!D$1,SMALL(Dong1,ROWS($1:30)),),""))</f>
        <v/>
      </c>
      <c r="D43" s="152" t="str">
        <f ca="1">IF(ROWS($1:30)&gt;COUNT(Dong1),"",IF(OFFSET(TH!O$1,SMALL(Dong1,ROWS($1:30)),)="1111",OFFSET(TH!D$1,SMALL(Dong1,ROWS($1:30)),),""))</f>
        <v/>
      </c>
      <c r="E43" s="354" t="str">
        <f ca="1">IF(ROWS($1:30)&gt;COUNT(Dong1),"",OFFSET(TH!F$1,SMALL(Dong1,ROWS($1:30)),))</f>
        <v/>
      </c>
      <c r="F43" s="154" t="str">
        <f ca="1">IF(ROWS($1:30)&gt;COUNT(Dong1),"",IF(OFFSET(TH!O$1,SMALL(Dong1,ROWS($1:30)),)="1111",OFFSET(TH!N$1,SMALL(Dong1,ROWS($1:30)),),OFFSET(TH!O$1,SMALL(Dong1,ROWS($1:30)),)))</f>
        <v/>
      </c>
      <c r="G43" s="155" t="str">
        <f ca="1">IF(ROWS($1:30)&gt;COUNT(Dong1),"",IF(OFFSET(TH!N$1,SMALL(Dong1,ROWS($1:30)),)="1111",OFFSET(TH!M$1,SMALL(Dong1,ROWS($1:30)),),0))</f>
        <v/>
      </c>
      <c r="H43" s="153" t="str">
        <f ca="1">IF(ROWS($1:30)&gt;COUNT(Dong1),"",IF(OFFSET(TH!O$1,SMALL(Dong1,ROWS($1:30)),)="1111",OFFSET(TH!M$1,SMALL(Dong1,ROWS($1:30)),),0))</f>
        <v/>
      </c>
      <c r="I43" s="151">
        <f t="shared" ca="1" si="0"/>
        <v>0</v>
      </c>
      <c r="J43" s="156"/>
    </row>
    <row r="44" spans="1:10" ht="19.5" customHeight="1">
      <c r="A44" s="150" t="str">
        <f ca="1">IF(ROWS($1:31)&gt;COUNT(Dong1),"",OFFSET(TH!C$1,SMALL(Dong1,ROWS($1:31)),))</f>
        <v/>
      </c>
      <c r="B44" s="150" t="str">
        <f ca="1">IF(ROWS($1:31)&gt;COUNT(Dong1),"",OFFSET(TH!E$1,SMALL(Dong1,ROWS($1:31)),))</f>
        <v/>
      </c>
      <c r="C44" s="151" t="str">
        <f ca="1">IF(ROWS($1:31)&gt;COUNT(Dong1),"",IF(OFFSET(TH!N$1,SMALL(Dong1,ROWS($1:31)),)="1111",OFFSET(TH!D$1,SMALL(Dong1,ROWS($1:31)),),""))</f>
        <v/>
      </c>
      <c r="D44" s="152" t="str">
        <f ca="1">IF(ROWS($1:31)&gt;COUNT(Dong1),"",IF(OFFSET(TH!O$1,SMALL(Dong1,ROWS($1:31)),)="1111",OFFSET(TH!D$1,SMALL(Dong1,ROWS($1:31)),),""))</f>
        <v/>
      </c>
      <c r="E44" s="354" t="str">
        <f ca="1">IF(ROWS($1:31)&gt;COUNT(Dong1),"",OFFSET(TH!F$1,SMALL(Dong1,ROWS($1:31)),))</f>
        <v/>
      </c>
      <c r="F44" s="154" t="str">
        <f ca="1">IF(ROWS($1:31)&gt;COUNT(Dong1),"",IF(OFFSET(TH!O$1,SMALL(Dong1,ROWS($1:31)),)="1111",OFFSET(TH!N$1,SMALL(Dong1,ROWS($1:31)),),OFFSET(TH!O$1,SMALL(Dong1,ROWS($1:31)),)))</f>
        <v/>
      </c>
      <c r="G44" s="155" t="str">
        <f ca="1">IF(ROWS($1:31)&gt;COUNT(Dong1),"",IF(OFFSET(TH!N$1,SMALL(Dong1,ROWS($1:31)),)="1111",OFFSET(TH!M$1,SMALL(Dong1,ROWS($1:31)),),0))</f>
        <v/>
      </c>
      <c r="H44" s="153" t="str">
        <f ca="1">IF(ROWS($1:31)&gt;COUNT(Dong1),"",IF(OFFSET(TH!O$1,SMALL(Dong1,ROWS($1:31)),)="1111",OFFSET(TH!M$1,SMALL(Dong1,ROWS($1:31)),),0))</f>
        <v/>
      </c>
      <c r="I44" s="151">
        <f t="shared" ca="1" si="0"/>
        <v>0</v>
      </c>
      <c r="J44" s="156"/>
    </row>
    <row r="45" spans="1:10" ht="19.5" customHeight="1">
      <c r="A45" s="150" t="str">
        <f ca="1">IF(ROWS($1:32)&gt;COUNT(Dong1),"",OFFSET(TH!C$1,SMALL(Dong1,ROWS($1:32)),))</f>
        <v/>
      </c>
      <c r="B45" s="150" t="str">
        <f ca="1">IF(ROWS($1:32)&gt;COUNT(Dong1),"",OFFSET(TH!E$1,SMALL(Dong1,ROWS($1:32)),))</f>
        <v/>
      </c>
      <c r="C45" s="151" t="str">
        <f ca="1">IF(ROWS($1:32)&gt;COUNT(Dong1),"",IF(OFFSET(TH!N$1,SMALL(Dong1,ROWS($1:32)),)="1111",OFFSET(TH!D$1,SMALL(Dong1,ROWS($1:32)),),""))</f>
        <v/>
      </c>
      <c r="D45" s="152" t="str">
        <f ca="1">IF(ROWS($1:32)&gt;COUNT(Dong1),"",IF(OFFSET(TH!O$1,SMALL(Dong1,ROWS($1:32)),)="1111",OFFSET(TH!D$1,SMALL(Dong1,ROWS($1:32)),),""))</f>
        <v/>
      </c>
      <c r="E45" s="354" t="str">
        <f ca="1">IF(ROWS($1:32)&gt;COUNT(Dong1),"",OFFSET(TH!F$1,SMALL(Dong1,ROWS($1:32)),))</f>
        <v/>
      </c>
      <c r="F45" s="154" t="str">
        <f ca="1">IF(ROWS($1:32)&gt;COUNT(Dong1),"",IF(OFFSET(TH!O$1,SMALL(Dong1,ROWS($1:32)),)="1111",OFFSET(TH!N$1,SMALL(Dong1,ROWS($1:32)),),OFFSET(TH!O$1,SMALL(Dong1,ROWS($1:32)),)))</f>
        <v/>
      </c>
      <c r="G45" s="155" t="str">
        <f ca="1">IF(ROWS($1:32)&gt;COUNT(Dong1),"",IF(OFFSET(TH!N$1,SMALL(Dong1,ROWS($1:32)),)="1111",OFFSET(TH!M$1,SMALL(Dong1,ROWS($1:32)),),0))</f>
        <v/>
      </c>
      <c r="H45" s="153" t="str">
        <f ca="1">IF(ROWS($1:32)&gt;COUNT(Dong1),"",IF(OFFSET(TH!O$1,SMALL(Dong1,ROWS($1:32)),)="1111",OFFSET(TH!M$1,SMALL(Dong1,ROWS($1:32)),),0))</f>
        <v/>
      </c>
      <c r="I45" s="151">
        <f t="shared" ca="1" si="0"/>
        <v>0</v>
      </c>
      <c r="J45" s="156"/>
    </row>
    <row r="46" spans="1:10" ht="19.5" customHeight="1">
      <c r="A46" s="150" t="str">
        <f ca="1">IF(ROWS($1:33)&gt;COUNT(Dong1),"",OFFSET(TH!C$1,SMALL(Dong1,ROWS($1:33)),))</f>
        <v/>
      </c>
      <c r="B46" s="150" t="str">
        <f ca="1">IF(ROWS($1:33)&gt;COUNT(Dong1),"",OFFSET(TH!E$1,SMALL(Dong1,ROWS($1:33)),))</f>
        <v/>
      </c>
      <c r="C46" s="151" t="str">
        <f ca="1">IF(ROWS($1:33)&gt;COUNT(Dong1),"",IF(OFFSET(TH!N$1,SMALL(Dong1,ROWS($1:33)),)="1111",OFFSET(TH!D$1,SMALL(Dong1,ROWS($1:33)),),""))</f>
        <v/>
      </c>
      <c r="D46" s="152" t="str">
        <f ca="1">IF(ROWS($1:33)&gt;COUNT(Dong1),"",IF(OFFSET(TH!O$1,SMALL(Dong1,ROWS($1:33)),)="1111",OFFSET(TH!D$1,SMALL(Dong1,ROWS($1:33)),),""))</f>
        <v/>
      </c>
      <c r="E46" s="354" t="str">
        <f ca="1">IF(ROWS($1:33)&gt;COUNT(Dong1),"",OFFSET(TH!F$1,SMALL(Dong1,ROWS($1:33)),))</f>
        <v/>
      </c>
      <c r="F46" s="154" t="str">
        <f ca="1">IF(ROWS($1:33)&gt;COUNT(Dong1),"",IF(OFFSET(TH!O$1,SMALL(Dong1,ROWS($1:33)),)="1111",OFFSET(TH!N$1,SMALL(Dong1,ROWS($1:33)),),OFFSET(TH!O$1,SMALL(Dong1,ROWS($1:33)),)))</f>
        <v/>
      </c>
      <c r="G46" s="155" t="str">
        <f ca="1">IF(ROWS($1:33)&gt;COUNT(Dong1),"",IF(OFFSET(TH!N$1,SMALL(Dong1,ROWS($1:33)),)="1111",OFFSET(TH!M$1,SMALL(Dong1,ROWS($1:33)),),0))</f>
        <v/>
      </c>
      <c r="H46" s="153" t="str">
        <f ca="1">IF(ROWS($1:33)&gt;COUNT(Dong1),"",IF(OFFSET(TH!O$1,SMALL(Dong1,ROWS($1:33)),)="1111",OFFSET(TH!M$1,SMALL(Dong1,ROWS($1:33)),),0))</f>
        <v/>
      </c>
      <c r="I46" s="151">
        <f t="shared" ca="1" si="0"/>
        <v>0</v>
      </c>
      <c r="J46" s="156"/>
    </row>
    <row r="47" spans="1:10" ht="19.5" customHeight="1">
      <c r="A47" s="150" t="str">
        <f ca="1">IF(ROWS($1:34)&gt;COUNT(Dong1),"",OFFSET(TH!C$1,SMALL(Dong1,ROWS($1:34)),))</f>
        <v/>
      </c>
      <c r="B47" s="150" t="str">
        <f ca="1">IF(ROWS($1:34)&gt;COUNT(Dong1),"",OFFSET(TH!E$1,SMALL(Dong1,ROWS($1:34)),))</f>
        <v/>
      </c>
      <c r="C47" s="151" t="str">
        <f ca="1">IF(ROWS($1:34)&gt;COUNT(Dong1),"",IF(OFFSET(TH!N$1,SMALL(Dong1,ROWS($1:34)),)="1111",OFFSET(TH!D$1,SMALL(Dong1,ROWS($1:34)),),""))</f>
        <v/>
      </c>
      <c r="D47" s="152" t="str">
        <f ca="1">IF(ROWS($1:34)&gt;COUNT(Dong1),"",IF(OFFSET(TH!O$1,SMALL(Dong1,ROWS($1:34)),)="1111",OFFSET(TH!D$1,SMALL(Dong1,ROWS($1:34)),),""))</f>
        <v/>
      </c>
      <c r="E47" s="354" t="str">
        <f ca="1">IF(ROWS($1:34)&gt;COUNT(Dong1),"",OFFSET(TH!F$1,SMALL(Dong1,ROWS($1:34)),))</f>
        <v/>
      </c>
      <c r="F47" s="154" t="str">
        <f ca="1">IF(ROWS($1:34)&gt;COUNT(Dong1),"",IF(OFFSET(TH!O$1,SMALL(Dong1,ROWS($1:34)),)="1111",OFFSET(TH!N$1,SMALL(Dong1,ROWS($1:34)),),OFFSET(TH!O$1,SMALL(Dong1,ROWS($1:34)),)))</f>
        <v/>
      </c>
      <c r="G47" s="155" t="str">
        <f ca="1">IF(ROWS($1:34)&gt;COUNT(Dong1),"",IF(OFFSET(TH!N$1,SMALL(Dong1,ROWS($1:34)),)="1111",OFFSET(TH!M$1,SMALL(Dong1,ROWS($1:34)),),0))</f>
        <v/>
      </c>
      <c r="H47" s="153" t="str">
        <f ca="1">IF(ROWS($1:34)&gt;COUNT(Dong1),"",IF(OFFSET(TH!O$1,SMALL(Dong1,ROWS($1:34)),)="1111",OFFSET(TH!M$1,SMALL(Dong1,ROWS($1:34)),),0))</f>
        <v/>
      </c>
      <c r="I47" s="151">
        <f t="shared" ca="1" si="0"/>
        <v>0</v>
      </c>
      <c r="J47" s="156"/>
    </row>
    <row r="48" spans="1:10" ht="19.5" customHeight="1">
      <c r="A48" s="150" t="str">
        <f ca="1">IF(ROWS($1:35)&gt;COUNT(Dong1),"",OFFSET(TH!C$1,SMALL(Dong1,ROWS($1:35)),))</f>
        <v/>
      </c>
      <c r="B48" s="150" t="str">
        <f ca="1">IF(ROWS($1:35)&gt;COUNT(Dong1),"",OFFSET(TH!E$1,SMALL(Dong1,ROWS($1:35)),))</f>
        <v/>
      </c>
      <c r="C48" s="151" t="str">
        <f ca="1">IF(ROWS($1:35)&gt;COUNT(Dong1),"",IF(OFFSET(TH!N$1,SMALL(Dong1,ROWS($1:35)),)="1111",OFFSET(TH!D$1,SMALL(Dong1,ROWS($1:35)),),""))</f>
        <v/>
      </c>
      <c r="D48" s="152" t="str">
        <f ca="1">IF(ROWS($1:35)&gt;COUNT(Dong1),"",IF(OFFSET(TH!O$1,SMALL(Dong1,ROWS($1:35)),)="1111",OFFSET(TH!D$1,SMALL(Dong1,ROWS($1:35)),),""))</f>
        <v/>
      </c>
      <c r="E48" s="354" t="str">
        <f ca="1">IF(ROWS($1:35)&gt;COUNT(Dong1),"",OFFSET(TH!F$1,SMALL(Dong1,ROWS($1:35)),))</f>
        <v/>
      </c>
      <c r="F48" s="154" t="str">
        <f ca="1">IF(ROWS($1:35)&gt;COUNT(Dong1),"",IF(OFFSET(TH!O$1,SMALL(Dong1,ROWS($1:35)),)="1111",OFFSET(TH!N$1,SMALL(Dong1,ROWS($1:35)),),OFFSET(TH!O$1,SMALL(Dong1,ROWS($1:35)),)))</f>
        <v/>
      </c>
      <c r="G48" s="155" t="str">
        <f ca="1">IF(ROWS($1:35)&gt;COUNT(Dong1),"",IF(OFFSET(TH!N$1,SMALL(Dong1,ROWS($1:35)),)="1111",OFFSET(TH!M$1,SMALL(Dong1,ROWS($1:35)),),0))</f>
        <v/>
      </c>
      <c r="H48" s="153" t="str">
        <f ca="1">IF(ROWS($1:35)&gt;COUNT(Dong1),"",IF(OFFSET(TH!O$1,SMALL(Dong1,ROWS($1:35)),)="1111",OFFSET(TH!M$1,SMALL(Dong1,ROWS($1:35)),),0))</f>
        <v/>
      </c>
      <c r="I48" s="151">
        <f t="shared" ca="1" si="0"/>
        <v>0</v>
      </c>
      <c r="J48" s="156"/>
    </row>
    <row r="49" spans="1:10" ht="19.5" customHeight="1">
      <c r="A49" s="150" t="str">
        <f ca="1">IF(ROWS($1:36)&gt;COUNT(Dong1),"",OFFSET(TH!C$1,SMALL(Dong1,ROWS($1:36)),))</f>
        <v/>
      </c>
      <c r="B49" s="150" t="str">
        <f ca="1">IF(ROWS($1:36)&gt;COUNT(Dong1),"",OFFSET(TH!E$1,SMALL(Dong1,ROWS($1:36)),))</f>
        <v/>
      </c>
      <c r="C49" s="151" t="str">
        <f ca="1">IF(ROWS($1:36)&gt;COUNT(Dong1),"",IF(OFFSET(TH!N$1,SMALL(Dong1,ROWS($1:36)),)="1111",OFFSET(TH!D$1,SMALL(Dong1,ROWS($1:36)),),""))</f>
        <v/>
      </c>
      <c r="D49" s="152" t="str">
        <f ca="1">IF(ROWS($1:36)&gt;COUNT(Dong1),"",IF(OFFSET(TH!O$1,SMALL(Dong1,ROWS($1:36)),)="1111",OFFSET(TH!D$1,SMALL(Dong1,ROWS($1:36)),),""))</f>
        <v/>
      </c>
      <c r="E49" s="354" t="str">
        <f ca="1">IF(ROWS($1:36)&gt;COUNT(Dong1),"",OFFSET(TH!F$1,SMALL(Dong1,ROWS($1:36)),))</f>
        <v/>
      </c>
      <c r="F49" s="154" t="str">
        <f ca="1">IF(ROWS($1:36)&gt;COUNT(Dong1),"",IF(OFFSET(TH!O$1,SMALL(Dong1,ROWS($1:36)),)="1111",OFFSET(TH!N$1,SMALL(Dong1,ROWS($1:36)),),OFFSET(TH!O$1,SMALL(Dong1,ROWS($1:36)),)))</f>
        <v/>
      </c>
      <c r="G49" s="155" t="str">
        <f ca="1">IF(ROWS($1:36)&gt;COUNT(Dong1),"",IF(OFFSET(TH!N$1,SMALL(Dong1,ROWS($1:36)),)="1111",OFFSET(TH!M$1,SMALL(Dong1,ROWS($1:36)),),0))</f>
        <v/>
      </c>
      <c r="H49" s="153" t="str">
        <f ca="1">IF(ROWS($1:36)&gt;COUNT(Dong1),"",IF(OFFSET(TH!O$1,SMALL(Dong1,ROWS($1:36)),)="1111",OFFSET(TH!M$1,SMALL(Dong1,ROWS($1:36)),),0))</f>
        <v/>
      </c>
      <c r="I49" s="151">
        <f t="shared" ca="1" si="0"/>
        <v>0</v>
      </c>
      <c r="J49" s="156"/>
    </row>
    <row r="50" spans="1:10" ht="19.5" customHeight="1">
      <c r="A50" s="150" t="str">
        <f ca="1">IF(ROWS($1:37)&gt;COUNT(Dong1),"",OFFSET(TH!C$1,SMALL(Dong1,ROWS($1:37)),))</f>
        <v/>
      </c>
      <c r="B50" s="150" t="str">
        <f ca="1">IF(ROWS($1:37)&gt;COUNT(Dong1),"",OFFSET(TH!E$1,SMALL(Dong1,ROWS($1:37)),))</f>
        <v/>
      </c>
      <c r="C50" s="151" t="str">
        <f ca="1">IF(ROWS($1:37)&gt;COUNT(Dong1),"",IF(OFFSET(TH!N$1,SMALL(Dong1,ROWS($1:37)),)="1111",OFFSET(TH!D$1,SMALL(Dong1,ROWS($1:37)),),""))</f>
        <v/>
      </c>
      <c r="D50" s="152" t="str">
        <f ca="1">IF(ROWS($1:37)&gt;COUNT(Dong1),"",IF(OFFSET(TH!O$1,SMALL(Dong1,ROWS($1:37)),)="1111",OFFSET(TH!D$1,SMALL(Dong1,ROWS($1:37)),),""))</f>
        <v/>
      </c>
      <c r="E50" s="354" t="str">
        <f ca="1">IF(ROWS($1:37)&gt;COUNT(Dong1),"",OFFSET(TH!F$1,SMALL(Dong1,ROWS($1:37)),))</f>
        <v/>
      </c>
      <c r="F50" s="154" t="str">
        <f ca="1">IF(ROWS($1:37)&gt;COUNT(Dong1),"",IF(OFFSET(TH!O$1,SMALL(Dong1,ROWS($1:37)),)="1111",OFFSET(TH!N$1,SMALL(Dong1,ROWS($1:37)),),OFFSET(TH!O$1,SMALL(Dong1,ROWS($1:37)),)))</f>
        <v/>
      </c>
      <c r="G50" s="155" t="str">
        <f ca="1">IF(ROWS($1:37)&gt;COUNT(Dong1),"",IF(OFFSET(TH!N$1,SMALL(Dong1,ROWS($1:37)),)="1111",OFFSET(TH!M$1,SMALL(Dong1,ROWS($1:37)),),0))</f>
        <v/>
      </c>
      <c r="H50" s="153" t="str">
        <f ca="1">IF(ROWS($1:37)&gt;COUNT(Dong1),"",IF(OFFSET(TH!O$1,SMALL(Dong1,ROWS($1:37)),)="1111",OFFSET(TH!M$1,SMALL(Dong1,ROWS($1:37)),),0))</f>
        <v/>
      </c>
      <c r="I50" s="151">
        <f t="shared" ca="1" si="0"/>
        <v>0</v>
      </c>
      <c r="J50" s="156"/>
    </row>
    <row r="51" spans="1:10" ht="19.5" customHeight="1">
      <c r="A51" s="150" t="str">
        <f ca="1">IF(ROWS($1:38)&gt;COUNT(Dong1),"",OFFSET(TH!C$1,SMALL(Dong1,ROWS($1:38)),))</f>
        <v/>
      </c>
      <c r="B51" s="150" t="str">
        <f ca="1">IF(ROWS($1:38)&gt;COUNT(Dong1),"",OFFSET(TH!E$1,SMALL(Dong1,ROWS($1:38)),))</f>
        <v/>
      </c>
      <c r="C51" s="151" t="str">
        <f ca="1">IF(ROWS($1:38)&gt;COUNT(Dong1),"",IF(OFFSET(TH!N$1,SMALL(Dong1,ROWS($1:38)),)="1111",OFFSET(TH!D$1,SMALL(Dong1,ROWS($1:38)),),""))</f>
        <v/>
      </c>
      <c r="D51" s="152" t="str">
        <f ca="1">IF(ROWS($1:38)&gt;COUNT(Dong1),"",IF(OFFSET(TH!O$1,SMALL(Dong1,ROWS($1:38)),)="1111",OFFSET(TH!D$1,SMALL(Dong1,ROWS($1:38)),),""))</f>
        <v/>
      </c>
      <c r="E51" s="354" t="str">
        <f ca="1">IF(ROWS($1:38)&gt;COUNT(Dong1),"",OFFSET(TH!F$1,SMALL(Dong1,ROWS($1:38)),))</f>
        <v/>
      </c>
      <c r="F51" s="154" t="str">
        <f ca="1">IF(ROWS($1:38)&gt;COUNT(Dong1),"",IF(OFFSET(TH!O$1,SMALL(Dong1,ROWS($1:38)),)="1111",OFFSET(TH!N$1,SMALL(Dong1,ROWS($1:38)),),OFFSET(TH!O$1,SMALL(Dong1,ROWS($1:38)),)))</f>
        <v/>
      </c>
      <c r="G51" s="155" t="str">
        <f ca="1">IF(ROWS($1:38)&gt;COUNT(Dong1),"",IF(OFFSET(TH!N$1,SMALL(Dong1,ROWS($1:38)),)="1111",OFFSET(TH!M$1,SMALL(Dong1,ROWS($1:38)),),0))</f>
        <v/>
      </c>
      <c r="H51" s="153" t="str">
        <f ca="1">IF(ROWS($1:38)&gt;COUNT(Dong1),"",IF(OFFSET(TH!O$1,SMALL(Dong1,ROWS($1:38)),)="1111",OFFSET(TH!M$1,SMALL(Dong1,ROWS($1:38)),),0))</f>
        <v/>
      </c>
      <c r="I51" s="151">
        <f t="shared" ca="1" si="0"/>
        <v>0</v>
      </c>
      <c r="J51" s="156"/>
    </row>
    <row r="52" spans="1:10" ht="19.5" customHeight="1">
      <c r="A52" s="150" t="str">
        <f ca="1">IF(ROWS($1:39)&gt;COUNT(Dong1),"",OFFSET(TH!C$1,SMALL(Dong1,ROWS($1:39)),))</f>
        <v/>
      </c>
      <c r="B52" s="150" t="str">
        <f ca="1">IF(ROWS($1:39)&gt;COUNT(Dong1),"",OFFSET(TH!E$1,SMALL(Dong1,ROWS($1:39)),))</f>
        <v/>
      </c>
      <c r="C52" s="151" t="str">
        <f ca="1">IF(ROWS($1:39)&gt;COUNT(Dong1),"",IF(OFFSET(TH!N$1,SMALL(Dong1,ROWS($1:39)),)="1111",OFFSET(TH!D$1,SMALL(Dong1,ROWS($1:39)),),""))</f>
        <v/>
      </c>
      <c r="D52" s="152" t="str">
        <f ca="1">IF(ROWS($1:39)&gt;COUNT(Dong1),"",IF(OFFSET(TH!O$1,SMALL(Dong1,ROWS($1:39)),)="1111",OFFSET(TH!D$1,SMALL(Dong1,ROWS($1:39)),),""))</f>
        <v/>
      </c>
      <c r="E52" s="354" t="str">
        <f ca="1">IF(ROWS($1:39)&gt;COUNT(Dong1),"",OFFSET(TH!F$1,SMALL(Dong1,ROWS($1:39)),))</f>
        <v/>
      </c>
      <c r="F52" s="154" t="str">
        <f ca="1">IF(ROWS($1:39)&gt;COUNT(Dong1),"",IF(OFFSET(TH!O$1,SMALL(Dong1,ROWS($1:39)),)="1111",OFFSET(TH!N$1,SMALL(Dong1,ROWS($1:39)),),OFFSET(TH!O$1,SMALL(Dong1,ROWS($1:39)),)))</f>
        <v/>
      </c>
      <c r="G52" s="155" t="str">
        <f ca="1">IF(ROWS($1:39)&gt;COUNT(Dong1),"",IF(OFFSET(TH!N$1,SMALL(Dong1,ROWS($1:39)),)="1111",OFFSET(TH!M$1,SMALL(Dong1,ROWS($1:39)),),0))</f>
        <v/>
      </c>
      <c r="H52" s="153" t="str">
        <f ca="1">IF(ROWS($1:39)&gt;COUNT(Dong1),"",IF(OFFSET(TH!O$1,SMALL(Dong1,ROWS($1:39)),)="1111",OFFSET(TH!M$1,SMALL(Dong1,ROWS($1:39)),),0))</f>
        <v/>
      </c>
      <c r="I52" s="151">
        <f t="shared" ca="1" si="0"/>
        <v>0</v>
      </c>
      <c r="J52" s="156"/>
    </row>
    <row r="53" spans="1:10" ht="19.5" customHeight="1">
      <c r="A53" s="150" t="str">
        <f ca="1">IF(ROWS($1:40)&gt;COUNT(Dong1),"",OFFSET(TH!C$1,SMALL(Dong1,ROWS($1:40)),))</f>
        <v/>
      </c>
      <c r="B53" s="150" t="str">
        <f ca="1">IF(ROWS($1:40)&gt;COUNT(Dong1),"",OFFSET(TH!E$1,SMALL(Dong1,ROWS($1:40)),))</f>
        <v/>
      </c>
      <c r="C53" s="151" t="str">
        <f ca="1">IF(ROWS($1:40)&gt;COUNT(Dong1),"",IF(OFFSET(TH!N$1,SMALL(Dong1,ROWS($1:40)),)="1111",OFFSET(TH!D$1,SMALL(Dong1,ROWS($1:40)),),""))</f>
        <v/>
      </c>
      <c r="D53" s="152" t="str">
        <f ca="1">IF(ROWS($1:40)&gt;COUNT(Dong1),"",IF(OFFSET(TH!O$1,SMALL(Dong1,ROWS($1:40)),)="1111",OFFSET(TH!D$1,SMALL(Dong1,ROWS($1:40)),),""))</f>
        <v/>
      </c>
      <c r="E53" s="354" t="str">
        <f ca="1">IF(ROWS($1:40)&gt;COUNT(Dong1),"",OFFSET(TH!F$1,SMALL(Dong1,ROWS($1:40)),))</f>
        <v/>
      </c>
      <c r="F53" s="154" t="str">
        <f ca="1">IF(ROWS($1:40)&gt;COUNT(Dong1),"",IF(OFFSET(TH!O$1,SMALL(Dong1,ROWS($1:40)),)="1111",OFFSET(TH!N$1,SMALL(Dong1,ROWS($1:40)),),OFFSET(TH!O$1,SMALL(Dong1,ROWS($1:40)),)))</f>
        <v/>
      </c>
      <c r="G53" s="155" t="str">
        <f ca="1">IF(ROWS($1:40)&gt;COUNT(Dong1),"",IF(OFFSET(TH!N$1,SMALL(Dong1,ROWS($1:40)),)="1111",OFFSET(TH!M$1,SMALL(Dong1,ROWS($1:40)),),0))</f>
        <v/>
      </c>
      <c r="H53" s="153" t="str">
        <f ca="1">IF(ROWS($1:40)&gt;COUNT(Dong1),"",IF(OFFSET(TH!O$1,SMALL(Dong1,ROWS($1:40)),)="1111",OFFSET(TH!M$1,SMALL(Dong1,ROWS($1:40)),),0))</f>
        <v/>
      </c>
      <c r="I53" s="151">
        <f t="shared" ca="1" si="0"/>
        <v>0</v>
      </c>
      <c r="J53" s="156"/>
    </row>
    <row r="54" spans="1:10" ht="19.5" customHeight="1">
      <c r="A54" s="150" t="str">
        <f ca="1">IF(ROWS($1:41)&gt;COUNT(Dong1),"",OFFSET(TH!C$1,SMALL(Dong1,ROWS($1:41)),))</f>
        <v/>
      </c>
      <c r="B54" s="150" t="str">
        <f ca="1">IF(ROWS($1:41)&gt;COUNT(Dong1),"",OFFSET(TH!E$1,SMALL(Dong1,ROWS($1:41)),))</f>
        <v/>
      </c>
      <c r="C54" s="151" t="str">
        <f ca="1">IF(ROWS($1:41)&gt;COUNT(Dong1),"",IF(OFFSET(TH!N$1,SMALL(Dong1,ROWS($1:41)),)="1111",OFFSET(TH!D$1,SMALL(Dong1,ROWS($1:41)),),""))</f>
        <v/>
      </c>
      <c r="D54" s="152" t="str">
        <f ca="1">IF(ROWS($1:41)&gt;COUNT(Dong1),"",IF(OFFSET(TH!O$1,SMALL(Dong1,ROWS($1:41)),)="1111",OFFSET(TH!D$1,SMALL(Dong1,ROWS($1:41)),),""))</f>
        <v/>
      </c>
      <c r="E54" s="354" t="str">
        <f ca="1">IF(ROWS($1:41)&gt;COUNT(Dong1),"",OFFSET(TH!F$1,SMALL(Dong1,ROWS($1:41)),))</f>
        <v/>
      </c>
      <c r="F54" s="154" t="str">
        <f ca="1">IF(ROWS($1:41)&gt;COUNT(Dong1),"",IF(OFFSET(TH!O$1,SMALL(Dong1,ROWS($1:41)),)="1111",OFFSET(TH!N$1,SMALL(Dong1,ROWS($1:41)),),OFFSET(TH!O$1,SMALL(Dong1,ROWS($1:41)),)))</f>
        <v/>
      </c>
      <c r="G54" s="155" t="str">
        <f ca="1">IF(ROWS($1:41)&gt;COUNT(Dong1),"",IF(OFFSET(TH!N$1,SMALL(Dong1,ROWS($1:41)),)="1111",OFFSET(TH!M$1,SMALL(Dong1,ROWS($1:41)),),0))</f>
        <v/>
      </c>
      <c r="H54" s="153" t="str">
        <f ca="1">IF(ROWS($1:41)&gt;COUNT(Dong1),"",IF(OFFSET(TH!O$1,SMALL(Dong1,ROWS($1:41)),)="1111",OFFSET(TH!M$1,SMALL(Dong1,ROWS($1:41)),),0))</f>
        <v/>
      </c>
      <c r="I54" s="151">
        <f t="shared" ca="1" si="0"/>
        <v>0</v>
      </c>
      <c r="J54" s="156"/>
    </row>
    <row r="55" spans="1:10" ht="19.5" customHeight="1">
      <c r="A55" s="150" t="str">
        <f ca="1">IF(ROWS($1:42)&gt;COUNT(Dong1),"",OFFSET(TH!C$1,SMALL(Dong1,ROWS($1:42)),))</f>
        <v/>
      </c>
      <c r="B55" s="150" t="str">
        <f ca="1">IF(ROWS($1:42)&gt;COUNT(Dong1),"",OFFSET(TH!E$1,SMALL(Dong1,ROWS($1:42)),))</f>
        <v/>
      </c>
      <c r="C55" s="151" t="str">
        <f ca="1">IF(ROWS($1:42)&gt;COUNT(Dong1),"",IF(OFFSET(TH!N$1,SMALL(Dong1,ROWS($1:42)),)="1111",OFFSET(TH!D$1,SMALL(Dong1,ROWS($1:42)),),""))</f>
        <v/>
      </c>
      <c r="D55" s="152" t="str">
        <f ca="1">IF(ROWS($1:42)&gt;COUNT(Dong1),"",IF(OFFSET(TH!O$1,SMALL(Dong1,ROWS($1:42)),)="1111",OFFSET(TH!D$1,SMALL(Dong1,ROWS($1:42)),),""))</f>
        <v/>
      </c>
      <c r="E55" s="354" t="str">
        <f ca="1">IF(ROWS($1:42)&gt;COUNT(Dong1),"",OFFSET(TH!F$1,SMALL(Dong1,ROWS($1:42)),))</f>
        <v/>
      </c>
      <c r="F55" s="154" t="str">
        <f ca="1">IF(ROWS($1:42)&gt;COUNT(Dong1),"",IF(OFFSET(TH!O$1,SMALL(Dong1,ROWS($1:42)),)="1111",OFFSET(TH!N$1,SMALL(Dong1,ROWS($1:42)),),OFFSET(TH!O$1,SMALL(Dong1,ROWS($1:42)),)))</f>
        <v/>
      </c>
      <c r="G55" s="155" t="str">
        <f ca="1">IF(ROWS($1:42)&gt;COUNT(Dong1),"",IF(OFFSET(TH!N$1,SMALL(Dong1,ROWS($1:42)),)="1111",OFFSET(TH!M$1,SMALL(Dong1,ROWS($1:42)),),0))</f>
        <v/>
      </c>
      <c r="H55" s="153" t="str">
        <f ca="1">IF(ROWS($1:42)&gt;COUNT(Dong1),"",IF(OFFSET(TH!O$1,SMALL(Dong1,ROWS($1:42)),)="1111",OFFSET(TH!M$1,SMALL(Dong1,ROWS($1:42)),),0))</f>
        <v/>
      </c>
      <c r="I55" s="151">
        <f t="shared" ca="1" si="0"/>
        <v>0</v>
      </c>
      <c r="J55" s="156"/>
    </row>
    <row r="56" spans="1:10" ht="19.5" customHeight="1">
      <c r="A56" s="150" t="str">
        <f ca="1">IF(ROWS($1:43)&gt;COUNT(Dong1),"",OFFSET(TH!C$1,SMALL(Dong1,ROWS($1:43)),))</f>
        <v/>
      </c>
      <c r="B56" s="150" t="str">
        <f ca="1">IF(ROWS($1:43)&gt;COUNT(Dong1),"",OFFSET(TH!E$1,SMALL(Dong1,ROWS($1:43)),))</f>
        <v/>
      </c>
      <c r="C56" s="151" t="str">
        <f ca="1">IF(ROWS($1:43)&gt;COUNT(Dong1),"",IF(OFFSET(TH!N$1,SMALL(Dong1,ROWS($1:43)),)="1111",OFFSET(TH!D$1,SMALL(Dong1,ROWS($1:43)),),""))</f>
        <v/>
      </c>
      <c r="D56" s="152" t="str">
        <f ca="1">IF(ROWS($1:43)&gt;COUNT(Dong1),"",IF(OFFSET(TH!O$1,SMALL(Dong1,ROWS($1:43)),)="1111",OFFSET(TH!D$1,SMALL(Dong1,ROWS($1:43)),),""))</f>
        <v/>
      </c>
      <c r="E56" s="354" t="str">
        <f ca="1">IF(ROWS($1:43)&gt;COUNT(Dong1),"",OFFSET(TH!F$1,SMALL(Dong1,ROWS($1:43)),))</f>
        <v/>
      </c>
      <c r="F56" s="154" t="str">
        <f ca="1">IF(ROWS($1:43)&gt;COUNT(Dong1),"",IF(OFFSET(TH!O$1,SMALL(Dong1,ROWS($1:43)),)="1111",OFFSET(TH!N$1,SMALL(Dong1,ROWS($1:43)),),OFFSET(TH!O$1,SMALL(Dong1,ROWS($1:43)),)))</f>
        <v/>
      </c>
      <c r="G56" s="155" t="str">
        <f ca="1">IF(ROWS($1:43)&gt;COUNT(Dong1),"",IF(OFFSET(TH!N$1,SMALL(Dong1,ROWS($1:43)),)="1111",OFFSET(TH!M$1,SMALL(Dong1,ROWS($1:43)),),0))</f>
        <v/>
      </c>
      <c r="H56" s="153" t="str">
        <f ca="1">IF(ROWS($1:43)&gt;COUNT(Dong1),"",IF(OFFSET(TH!O$1,SMALL(Dong1,ROWS($1:43)),)="1111",OFFSET(TH!M$1,SMALL(Dong1,ROWS($1:43)),),0))</f>
        <v/>
      </c>
      <c r="I56" s="151">
        <f t="shared" ca="1" si="0"/>
        <v>0</v>
      </c>
      <c r="J56" s="156"/>
    </row>
    <row r="57" spans="1:10" ht="19.5" customHeight="1">
      <c r="A57" s="150" t="str">
        <f ca="1">IF(ROWS($1:44)&gt;COUNT(Dong1),"",OFFSET(TH!C$1,SMALL(Dong1,ROWS($1:44)),))</f>
        <v/>
      </c>
      <c r="B57" s="150" t="str">
        <f ca="1">IF(ROWS($1:44)&gt;COUNT(Dong1),"",OFFSET(TH!E$1,SMALL(Dong1,ROWS($1:44)),))</f>
        <v/>
      </c>
      <c r="C57" s="151" t="str">
        <f ca="1">IF(ROWS($1:44)&gt;COUNT(Dong1),"",IF(OFFSET(TH!N$1,SMALL(Dong1,ROWS($1:44)),)="1111",OFFSET(TH!D$1,SMALL(Dong1,ROWS($1:44)),),""))</f>
        <v/>
      </c>
      <c r="D57" s="152" t="str">
        <f ca="1">IF(ROWS($1:44)&gt;COUNT(Dong1),"",IF(OFFSET(TH!O$1,SMALL(Dong1,ROWS($1:44)),)="1111",OFFSET(TH!D$1,SMALL(Dong1,ROWS($1:44)),),""))</f>
        <v/>
      </c>
      <c r="E57" s="354" t="str">
        <f ca="1">IF(ROWS($1:44)&gt;COUNT(Dong1),"",OFFSET(TH!F$1,SMALL(Dong1,ROWS($1:44)),))</f>
        <v/>
      </c>
      <c r="F57" s="154" t="str">
        <f ca="1">IF(ROWS($1:44)&gt;COUNT(Dong1),"",IF(OFFSET(TH!O$1,SMALL(Dong1,ROWS($1:44)),)="1111",OFFSET(TH!N$1,SMALL(Dong1,ROWS($1:44)),),OFFSET(TH!O$1,SMALL(Dong1,ROWS($1:44)),)))</f>
        <v/>
      </c>
      <c r="G57" s="155" t="str">
        <f ca="1">IF(ROWS($1:44)&gt;COUNT(Dong1),"",IF(OFFSET(TH!N$1,SMALL(Dong1,ROWS($1:44)),)="1111",OFFSET(TH!M$1,SMALL(Dong1,ROWS($1:44)),),0))</f>
        <v/>
      </c>
      <c r="H57" s="153" t="str">
        <f ca="1">IF(ROWS($1:44)&gt;COUNT(Dong1),"",IF(OFFSET(TH!O$1,SMALL(Dong1,ROWS($1:44)),)="1111",OFFSET(TH!M$1,SMALL(Dong1,ROWS($1:44)),),0))</f>
        <v/>
      </c>
      <c r="I57" s="151">
        <f t="shared" ca="1" si="0"/>
        <v>0</v>
      </c>
      <c r="J57" s="156"/>
    </row>
    <row r="58" spans="1:10" ht="19.5" customHeight="1">
      <c r="A58" s="150" t="str">
        <f ca="1">IF(ROWS($1:45)&gt;COUNT(Dong1),"",OFFSET(TH!C$1,SMALL(Dong1,ROWS($1:45)),))</f>
        <v/>
      </c>
      <c r="B58" s="150" t="str">
        <f ca="1">IF(ROWS($1:45)&gt;COUNT(Dong1),"",OFFSET(TH!E$1,SMALL(Dong1,ROWS($1:45)),))</f>
        <v/>
      </c>
      <c r="C58" s="151" t="str">
        <f ca="1">IF(ROWS($1:45)&gt;COUNT(Dong1),"",IF(OFFSET(TH!N$1,SMALL(Dong1,ROWS($1:45)),)="1111",OFFSET(TH!D$1,SMALL(Dong1,ROWS($1:45)),),""))</f>
        <v/>
      </c>
      <c r="D58" s="152" t="str">
        <f ca="1">IF(ROWS($1:45)&gt;COUNT(Dong1),"",IF(OFFSET(TH!O$1,SMALL(Dong1,ROWS($1:45)),)="1111",OFFSET(TH!D$1,SMALL(Dong1,ROWS($1:45)),),""))</f>
        <v/>
      </c>
      <c r="E58" s="354" t="str">
        <f ca="1">IF(ROWS($1:45)&gt;COUNT(Dong1),"",OFFSET(TH!F$1,SMALL(Dong1,ROWS($1:45)),))</f>
        <v/>
      </c>
      <c r="F58" s="154" t="str">
        <f ca="1">IF(ROWS($1:45)&gt;COUNT(Dong1),"",IF(OFFSET(TH!O$1,SMALL(Dong1,ROWS($1:45)),)="1111",OFFSET(TH!N$1,SMALL(Dong1,ROWS($1:45)),),OFFSET(TH!O$1,SMALL(Dong1,ROWS($1:45)),)))</f>
        <v/>
      </c>
      <c r="G58" s="155" t="str">
        <f ca="1">IF(ROWS($1:45)&gt;COUNT(Dong1),"",IF(OFFSET(TH!N$1,SMALL(Dong1,ROWS($1:45)),)="1111",OFFSET(TH!M$1,SMALL(Dong1,ROWS($1:45)),),0))</f>
        <v/>
      </c>
      <c r="H58" s="153" t="str">
        <f ca="1">IF(ROWS($1:45)&gt;COUNT(Dong1),"",IF(OFFSET(TH!O$1,SMALL(Dong1,ROWS($1:45)),)="1111",OFFSET(TH!M$1,SMALL(Dong1,ROWS($1:45)),),0))</f>
        <v/>
      </c>
      <c r="I58" s="151">
        <f t="shared" ca="1" si="0"/>
        <v>0</v>
      </c>
      <c r="J58" s="156"/>
    </row>
    <row r="59" spans="1:10" ht="19.5" customHeight="1">
      <c r="A59" s="150" t="str">
        <f ca="1">IF(ROWS($1:46)&gt;COUNT(Dong1),"",OFFSET(TH!C$1,SMALL(Dong1,ROWS($1:46)),))</f>
        <v/>
      </c>
      <c r="B59" s="150" t="str">
        <f ca="1">IF(ROWS($1:46)&gt;COUNT(Dong1),"",OFFSET(TH!E$1,SMALL(Dong1,ROWS($1:46)),))</f>
        <v/>
      </c>
      <c r="C59" s="151" t="str">
        <f ca="1">IF(ROWS($1:46)&gt;COUNT(Dong1),"",IF(OFFSET(TH!N$1,SMALL(Dong1,ROWS($1:46)),)="1111",OFFSET(TH!D$1,SMALL(Dong1,ROWS($1:46)),),""))</f>
        <v/>
      </c>
      <c r="D59" s="152" t="str">
        <f ca="1">IF(ROWS($1:46)&gt;COUNT(Dong1),"",IF(OFFSET(TH!O$1,SMALL(Dong1,ROWS($1:46)),)="1111",OFFSET(TH!D$1,SMALL(Dong1,ROWS($1:46)),),""))</f>
        <v/>
      </c>
      <c r="E59" s="354" t="str">
        <f ca="1">IF(ROWS($1:46)&gt;COUNT(Dong1),"",OFFSET(TH!F$1,SMALL(Dong1,ROWS($1:46)),))</f>
        <v/>
      </c>
      <c r="F59" s="154" t="str">
        <f ca="1">IF(ROWS($1:46)&gt;COUNT(Dong1),"",IF(OFFSET(TH!O$1,SMALL(Dong1,ROWS($1:46)),)="1111",OFFSET(TH!N$1,SMALL(Dong1,ROWS($1:46)),),OFFSET(TH!O$1,SMALL(Dong1,ROWS($1:46)),)))</f>
        <v/>
      </c>
      <c r="G59" s="155" t="str">
        <f ca="1">IF(ROWS($1:46)&gt;COUNT(Dong1),"",IF(OFFSET(TH!N$1,SMALL(Dong1,ROWS($1:46)),)="1111",OFFSET(TH!M$1,SMALL(Dong1,ROWS($1:46)),),0))</f>
        <v/>
      </c>
      <c r="H59" s="153" t="str">
        <f ca="1">IF(ROWS($1:46)&gt;COUNT(Dong1),"",IF(OFFSET(TH!O$1,SMALL(Dong1,ROWS($1:46)),)="1111",OFFSET(TH!M$1,SMALL(Dong1,ROWS($1:46)),),0))</f>
        <v/>
      </c>
      <c r="I59" s="151">
        <f t="shared" ca="1" si="0"/>
        <v>0</v>
      </c>
      <c r="J59" s="156"/>
    </row>
    <row r="60" spans="1:10" ht="19.5" customHeight="1">
      <c r="A60" s="150" t="str">
        <f ca="1">IF(ROWS($1:47)&gt;COUNT(Dong1),"",OFFSET(TH!C$1,SMALL(Dong1,ROWS($1:47)),))</f>
        <v/>
      </c>
      <c r="B60" s="150" t="str">
        <f ca="1">IF(ROWS($1:47)&gt;COUNT(Dong1),"",OFFSET(TH!E$1,SMALL(Dong1,ROWS($1:47)),))</f>
        <v/>
      </c>
      <c r="C60" s="151" t="str">
        <f ca="1">IF(ROWS($1:47)&gt;COUNT(Dong1),"",IF(OFFSET(TH!N$1,SMALL(Dong1,ROWS($1:47)),)="1111",OFFSET(TH!D$1,SMALL(Dong1,ROWS($1:47)),),""))</f>
        <v/>
      </c>
      <c r="D60" s="152" t="str">
        <f ca="1">IF(ROWS($1:47)&gt;COUNT(Dong1),"",IF(OFFSET(TH!O$1,SMALL(Dong1,ROWS($1:47)),)="1111",OFFSET(TH!D$1,SMALL(Dong1,ROWS($1:47)),),""))</f>
        <v/>
      </c>
      <c r="E60" s="354" t="str">
        <f ca="1">IF(ROWS($1:47)&gt;COUNT(Dong1),"",OFFSET(TH!F$1,SMALL(Dong1,ROWS($1:47)),))</f>
        <v/>
      </c>
      <c r="F60" s="154" t="str">
        <f ca="1">IF(ROWS($1:47)&gt;COUNT(Dong1),"",IF(OFFSET(TH!O$1,SMALL(Dong1,ROWS($1:47)),)="1111",OFFSET(TH!N$1,SMALL(Dong1,ROWS($1:47)),),OFFSET(TH!O$1,SMALL(Dong1,ROWS($1:47)),)))</f>
        <v/>
      </c>
      <c r="G60" s="155" t="str">
        <f ca="1">IF(ROWS($1:47)&gt;COUNT(Dong1),"",IF(OFFSET(TH!N$1,SMALL(Dong1,ROWS($1:47)),)="1111",OFFSET(TH!M$1,SMALL(Dong1,ROWS($1:47)),),0))</f>
        <v/>
      </c>
      <c r="H60" s="153" t="str">
        <f ca="1">IF(ROWS($1:47)&gt;COUNT(Dong1),"",IF(OFFSET(TH!O$1,SMALL(Dong1,ROWS($1:47)),)="1111",OFFSET(TH!M$1,SMALL(Dong1,ROWS($1:47)),),0))</f>
        <v/>
      </c>
      <c r="I60" s="151">
        <f t="shared" ca="1" si="0"/>
        <v>0</v>
      </c>
      <c r="J60" s="156"/>
    </row>
    <row r="61" spans="1:10" ht="19.5" customHeight="1">
      <c r="A61" s="150" t="str">
        <f ca="1">IF(ROWS($1:48)&gt;COUNT(Dong1),"",OFFSET(TH!C$1,SMALL(Dong1,ROWS($1:48)),))</f>
        <v/>
      </c>
      <c r="B61" s="150" t="str">
        <f ca="1">IF(ROWS($1:48)&gt;COUNT(Dong1),"",OFFSET(TH!E$1,SMALL(Dong1,ROWS($1:48)),))</f>
        <v/>
      </c>
      <c r="C61" s="151" t="str">
        <f ca="1">IF(ROWS($1:48)&gt;COUNT(Dong1),"",IF(OFFSET(TH!N$1,SMALL(Dong1,ROWS($1:48)),)="1111",OFFSET(TH!D$1,SMALL(Dong1,ROWS($1:48)),),""))</f>
        <v/>
      </c>
      <c r="D61" s="152" t="str">
        <f ca="1">IF(ROWS($1:48)&gt;COUNT(Dong1),"",IF(OFFSET(TH!O$1,SMALL(Dong1,ROWS($1:48)),)="1111",OFFSET(TH!D$1,SMALL(Dong1,ROWS($1:48)),),""))</f>
        <v/>
      </c>
      <c r="E61" s="354" t="str">
        <f ca="1">IF(ROWS($1:48)&gt;COUNT(Dong1),"",OFFSET(TH!F$1,SMALL(Dong1,ROWS($1:48)),))</f>
        <v/>
      </c>
      <c r="F61" s="154" t="str">
        <f ca="1">IF(ROWS($1:48)&gt;COUNT(Dong1),"",IF(OFFSET(TH!O$1,SMALL(Dong1,ROWS($1:48)),)="1111",OFFSET(TH!N$1,SMALL(Dong1,ROWS($1:48)),),OFFSET(TH!O$1,SMALL(Dong1,ROWS($1:48)),)))</f>
        <v/>
      </c>
      <c r="G61" s="155" t="str">
        <f ca="1">IF(ROWS($1:48)&gt;COUNT(Dong1),"",IF(OFFSET(TH!N$1,SMALL(Dong1,ROWS($1:48)),)="1111",OFFSET(TH!M$1,SMALL(Dong1,ROWS($1:48)),),0))</f>
        <v/>
      </c>
      <c r="H61" s="153" t="str">
        <f ca="1">IF(ROWS($1:48)&gt;COUNT(Dong1),"",IF(OFFSET(TH!O$1,SMALL(Dong1,ROWS($1:48)),)="1111",OFFSET(TH!M$1,SMALL(Dong1,ROWS($1:48)),),0))</f>
        <v/>
      </c>
      <c r="I61" s="151">
        <f t="shared" ca="1" si="0"/>
        <v>0</v>
      </c>
      <c r="J61" s="156"/>
    </row>
    <row r="62" spans="1:10" ht="19.5" customHeight="1">
      <c r="A62" s="150" t="str">
        <f ca="1">IF(ROWS($1:49)&gt;COUNT(Dong1),"",OFFSET(TH!C$1,SMALL(Dong1,ROWS($1:49)),))</f>
        <v/>
      </c>
      <c r="B62" s="150" t="str">
        <f ca="1">IF(ROWS($1:49)&gt;COUNT(Dong1),"",OFFSET(TH!E$1,SMALL(Dong1,ROWS($1:49)),))</f>
        <v/>
      </c>
      <c r="C62" s="151" t="str">
        <f ca="1">IF(ROWS($1:49)&gt;COUNT(Dong1),"",IF(OFFSET(TH!N$1,SMALL(Dong1,ROWS($1:49)),)="1111",OFFSET(TH!D$1,SMALL(Dong1,ROWS($1:49)),),""))</f>
        <v/>
      </c>
      <c r="D62" s="152" t="str">
        <f ca="1">IF(ROWS($1:49)&gt;COUNT(Dong1),"",IF(OFFSET(TH!O$1,SMALL(Dong1,ROWS($1:49)),)="1111",OFFSET(TH!D$1,SMALL(Dong1,ROWS($1:49)),),""))</f>
        <v/>
      </c>
      <c r="E62" s="354" t="str">
        <f ca="1">IF(ROWS($1:49)&gt;COUNT(Dong1),"",OFFSET(TH!F$1,SMALL(Dong1,ROWS($1:49)),))</f>
        <v/>
      </c>
      <c r="F62" s="154" t="str">
        <f ca="1">IF(ROWS($1:49)&gt;COUNT(Dong1),"",IF(OFFSET(TH!O$1,SMALL(Dong1,ROWS($1:49)),)="1111",OFFSET(TH!N$1,SMALL(Dong1,ROWS($1:49)),),OFFSET(TH!O$1,SMALL(Dong1,ROWS($1:49)),)))</f>
        <v/>
      </c>
      <c r="G62" s="155" t="str">
        <f ca="1">IF(ROWS($1:49)&gt;COUNT(Dong1),"",IF(OFFSET(TH!N$1,SMALL(Dong1,ROWS($1:49)),)="1111",OFFSET(TH!M$1,SMALL(Dong1,ROWS($1:49)),),0))</f>
        <v/>
      </c>
      <c r="H62" s="153" t="str">
        <f ca="1">IF(ROWS($1:49)&gt;COUNT(Dong1),"",IF(OFFSET(TH!O$1,SMALL(Dong1,ROWS($1:49)),)="1111",OFFSET(TH!M$1,SMALL(Dong1,ROWS($1:49)),),0))</f>
        <v/>
      </c>
      <c r="I62" s="151">
        <f t="shared" ca="1" si="0"/>
        <v>0</v>
      </c>
      <c r="J62" s="156"/>
    </row>
    <row r="63" spans="1:10" ht="19.5" customHeight="1">
      <c r="A63" s="150" t="str">
        <f ca="1">IF(ROWS($1:50)&gt;COUNT(Dong1),"",OFFSET(TH!C$1,SMALL(Dong1,ROWS($1:50)),))</f>
        <v/>
      </c>
      <c r="B63" s="150" t="str">
        <f ca="1">IF(ROWS($1:50)&gt;COUNT(Dong1),"",OFFSET(TH!E$1,SMALL(Dong1,ROWS($1:50)),))</f>
        <v/>
      </c>
      <c r="C63" s="151" t="str">
        <f ca="1">IF(ROWS($1:50)&gt;COUNT(Dong1),"",IF(OFFSET(TH!N$1,SMALL(Dong1,ROWS($1:50)),)="1111",OFFSET(TH!D$1,SMALL(Dong1,ROWS($1:50)),),""))</f>
        <v/>
      </c>
      <c r="D63" s="152" t="str">
        <f ca="1">IF(ROWS($1:50)&gt;COUNT(Dong1),"",IF(OFFSET(TH!O$1,SMALL(Dong1,ROWS($1:50)),)="1111",OFFSET(TH!D$1,SMALL(Dong1,ROWS($1:50)),),""))</f>
        <v/>
      </c>
      <c r="E63" s="354" t="str">
        <f ca="1">IF(ROWS($1:50)&gt;COUNT(Dong1),"",OFFSET(TH!F$1,SMALL(Dong1,ROWS($1:50)),))</f>
        <v/>
      </c>
      <c r="F63" s="154" t="str">
        <f ca="1">IF(ROWS($1:50)&gt;COUNT(Dong1),"",IF(OFFSET(TH!O$1,SMALL(Dong1,ROWS($1:50)),)="1111",OFFSET(TH!N$1,SMALL(Dong1,ROWS($1:50)),),OFFSET(TH!O$1,SMALL(Dong1,ROWS($1:50)),)))</f>
        <v/>
      </c>
      <c r="G63" s="155" t="str">
        <f ca="1">IF(ROWS($1:50)&gt;COUNT(Dong1),"",IF(OFFSET(TH!N$1,SMALL(Dong1,ROWS($1:50)),)="1111",OFFSET(TH!M$1,SMALL(Dong1,ROWS($1:50)),),0))</f>
        <v/>
      </c>
      <c r="H63" s="153" t="str">
        <f ca="1">IF(ROWS($1:50)&gt;COUNT(Dong1),"",IF(OFFSET(TH!O$1,SMALL(Dong1,ROWS($1:50)),)="1111",OFFSET(TH!M$1,SMALL(Dong1,ROWS($1:50)),),0))</f>
        <v/>
      </c>
      <c r="I63" s="151">
        <f t="shared" ca="1" si="0"/>
        <v>0</v>
      </c>
      <c r="J63" s="156"/>
    </row>
    <row r="64" spans="1:10" ht="19.5" customHeight="1">
      <c r="A64" s="150" t="str">
        <f ca="1">IF(ROWS($1:51)&gt;COUNT(Dong1),"",OFFSET(TH!C$1,SMALL(Dong1,ROWS($1:51)),))</f>
        <v/>
      </c>
      <c r="B64" s="150" t="str">
        <f ca="1">IF(ROWS($1:51)&gt;COUNT(Dong1),"",OFFSET(TH!E$1,SMALL(Dong1,ROWS($1:51)),))</f>
        <v/>
      </c>
      <c r="C64" s="151" t="str">
        <f ca="1">IF(ROWS($1:51)&gt;COUNT(Dong1),"",IF(OFFSET(TH!N$1,SMALL(Dong1,ROWS($1:51)),)="1111",OFFSET(TH!D$1,SMALL(Dong1,ROWS($1:51)),),""))</f>
        <v/>
      </c>
      <c r="D64" s="152" t="str">
        <f ca="1">IF(ROWS($1:51)&gt;COUNT(Dong1),"",IF(OFFSET(TH!O$1,SMALL(Dong1,ROWS($1:51)),)="1111",OFFSET(TH!D$1,SMALL(Dong1,ROWS($1:51)),),""))</f>
        <v/>
      </c>
      <c r="E64" s="354" t="str">
        <f ca="1">IF(ROWS($1:51)&gt;COUNT(Dong1),"",OFFSET(TH!F$1,SMALL(Dong1,ROWS($1:51)),))</f>
        <v/>
      </c>
      <c r="F64" s="154" t="str">
        <f ca="1">IF(ROWS($1:51)&gt;COUNT(Dong1),"",IF(OFFSET(TH!O$1,SMALL(Dong1,ROWS($1:51)),)="1111",OFFSET(TH!N$1,SMALL(Dong1,ROWS($1:51)),),OFFSET(TH!O$1,SMALL(Dong1,ROWS($1:51)),)))</f>
        <v/>
      </c>
      <c r="G64" s="155" t="str">
        <f ca="1">IF(ROWS($1:51)&gt;COUNT(Dong1),"",IF(OFFSET(TH!N$1,SMALL(Dong1,ROWS($1:51)),)="1111",OFFSET(TH!M$1,SMALL(Dong1,ROWS($1:51)),),0))</f>
        <v/>
      </c>
      <c r="H64" s="153" t="str">
        <f ca="1">IF(ROWS($1:51)&gt;COUNT(Dong1),"",IF(OFFSET(TH!O$1,SMALL(Dong1,ROWS($1:51)),)="1111",OFFSET(TH!M$1,SMALL(Dong1,ROWS($1:51)),),0))</f>
        <v/>
      </c>
      <c r="I64" s="151">
        <f t="shared" ca="1" si="0"/>
        <v>0</v>
      </c>
      <c r="J64" s="156"/>
    </row>
    <row r="65" spans="1:10" ht="19.5" customHeight="1">
      <c r="A65" s="150" t="str">
        <f ca="1">IF(ROWS($1:52)&gt;COUNT(Dong1),"",OFFSET(TH!C$1,SMALL(Dong1,ROWS($1:52)),))</f>
        <v/>
      </c>
      <c r="B65" s="150" t="str">
        <f ca="1">IF(ROWS($1:52)&gt;COUNT(Dong1),"",OFFSET(TH!E$1,SMALL(Dong1,ROWS($1:52)),))</f>
        <v/>
      </c>
      <c r="C65" s="151" t="str">
        <f ca="1">IF(ROWS($1:52)&gt;COUNT(Dong1),"",IF(OFFSET(TH!N$1,SMALL(Dong1,ROWS($1:52)),)="1111",OFFSET(TH!D$1,SMALL(Dong1,ROWS($1:52)),),""))</f>
        <v/>
      </c>
      <c r="D65" s="152" t="str">
        <f ca="1">IF(ROWS($1:52)&gt;COUNT(Dong1),"",IF(OFFSET(TH!O$1,SMALL(Dong1,ROWS($1:52)),)="1111",OFFSET(TH!D$1,SMALL(Dong1,ROWS($1:52)),),""))</f>
        <v/>
      </c>
      <c r="E65" s="354" t="str">
        <f ca="1">IF(ROWS($1:52)&gt;COUNT(Dong1),"",OFFSET(TH!F$1,SMALL(Dong1,ROWS($1:52)),))</f>
        <v/>
      </c>
      <c r="F65" s="154" t="str">
        <f ca="1">IF(ROWS($1:52)&gt;COUNT(Dong1),"",IF(OFFSET(TH!O$1,SMALL(Dong1,ROWS($1:52)),)="1111",OFFSET(TH!N$1,SMALL(Dong1,ROWS($1:52)),),OFFSET(TH!O$1,SMALL(Dong1,ROWS($1:52)),)))</f>
        <v/>
      </c>
      <c r="G65" s="155" t="str">
        <f ca="1">IF(ROWS($1:52)&gt;COUNT(Dong1),"",IF(OFFSET(TH!N$1,SMALL(Dong1,ROWS($1:52)),)="1111",OFFSET(TH!M$1,SMALL(Dong1,ROWS($1:52)),),0))</f>
        <v/>
      </c>
      <c r="H65" s="153" t="str">
        <f ca="1">IF(ROWS($1:52)&gt;COUNT(Dong1),"",IF(OFFSET(TH!O$1,SMALL(Dong1,ROWS($1:52)),)="1111",OFFSET(TH!M$1,SMALL(Dong1,ROWS($1:52)),),0))</f>
        <v/>
      </c>
      <c r="I65" s="151">
        <f t="shared" ca="1" si="0"/>
        <v>0</v>
      </c>
      <c r="J65" s="156"/>
    </row>
    <row r="66" spans="1:10" ht="19.5" customHeight="1">
      <c r="A66" s="150" t="str">
        <f ca="1">IF(ROWS($1:53)&gt;COUNT(Dong1),"",OFFSET(TH!C$1,SMALL(Dong1,ROWS($1:53)),))</f>
        <v/>
      </c>
      <c r="B66" s="150" t="str">
        <f ca="1">IF(ROWS($1:53)&gt;COUNT(Dong1),"",OFFSET(TH!E$1,SMALL(Dong1,ROWS($1:53)),))</f>
        <v/>
      </c>
      <c r="C66" s="151" t="str">
        <f ca="1">IF(ROWS($1:53)&gt;COUNT(Dong1),"",IF(OFFSET(TH!N$1,SMALL(Dong1,ROWS($1:53)),)="1111",OFFSET(TH!D$1,SMALL(Dong1,ROWS($1:53)),),""))</f>
        <v/>
      </c>
      <c r="D66" s="152" t="str">
        <f ca="1">IF(ROWS($1:53)&gt;COUNT(Dong1),"",IF(OFFSET(TH!O$1,SMALL(Dong1,ROWS($1:53)),)="1111",OFFSET(TH!D$1,SMALL(Dong1,ROWS($1:53)),),""))</f>
        <v/>
      </c>
      <c r="E66" s="354" t="str">
        <f ca="1">IF(ROWS($1:53)&gt;COUNT(Dong1),"",OFFSET(TH!F$1,SMALL(Dong1,ROWS($1:53)),))</f>
        <v/>
      </c>
      <c r="F66" s="154" t="str">
        <f ca="1">IF(ROWS($1:53)&gt;COUNT(Dong1),"",IF(OFFSET(TH!O$1,SMALL(Dong1,ROWS($1:53)),)="1111",OFFSET(TH!N$1,SMALL(Dong1,ROWS($1:53)),),OFFSET(TH!O$1,SMALL(Dong1,ROWS($1:53)),)))</f>
        <v/>
      </c>
      <c r="G66" s="155" t="str">
        <f ca="1">IF(ROWS($1:53)&gt;COUNT(Dong1),"",IF(OFFSET(TH!N$1,SMALL(Dong1,ROWS($1:53)),)="1111",OFFSET(TH!M$1,SMALL(Dong1,ROWS($1:53)),),0))</f>
        <v/>
      </c>
      <c r="H66" s="153" t="str">
        <f ca="1">IF(ROWS($1:53)&gt;COUNT(Dong1),"",IF(OFFSET(TH!O$1,SMALL(Dong1,ROWS($1:53)),)="1111",OFFSET(TH!M$1,SMALL(Dong1,ROWS($1:53)),),0))</f>
        <v/>
      </c>
      <c r="I66" s="151">
        <f t="shared" ca="1" si="0"/>
        <v>0</v>
      </c>
      <c r="J66" s="156"/>
    </row>
    <row r="67" spans="1:10" ht="19.5" customHeight="1">
      <c r="A67" s="150" t="str">
        <f ca="1">IF(ROWS($1:54)&gt;COUNT(Dong1),"",OFFSET(TH!C$1,SMALL(Dong1,ROWS($1:54)),))</f>
        <v/>
      </c>
      <c r="B67" s="150" t="str">
        <f ca="1">IF(ROWS($1:54)&gt;COUNT(Dong1),"",OFFSET(TH!E$1,SMALL(Dong1,ROWS($1:54)),))</f>
        <v/>
      </c>
      <c r="C67" s="151" t="str">
        <f ca="1">IF(ROWS($1:54)&gt;COUNT(Dong1),"",IF(OFFSET(TH!N$1,SMALL(Dong1,ROWS($1:54)),)="1111",OFFSET(TH!D$1,SMALL(Dong1,ROWS($1:54)),),""))</f>
        <v/>
      </c>
      <c r="D67" s="152" t="str">
        <f ca="1">IF(ROWS($1:54)&gt;COUNT(Dong1),"",IF(OFFSET(TH!O$1,SMALL(Dong1,ROWS($1:54)),)="1111",OFFSET(TH!D$1,SMALL(Dong1,ROWS($1:54)),),""))</f>
        <v/>
      </c>
      <c r="E67" s="354" t="str">
        <f ca="1">IF(ROWS($1:54)&gt;COUNT(Dong1),"",OFFSET(TH!F$1,SMALL(Dong1,ROWS($1:54)),))</f>
        <v/>
      </c>
      <c r="F67" s="154" t="str">
        <f ca="1">IF(ROWS($1:54)&gt;COUNT(Dong1),"",IF(OFFSET(TH!O$1,SMALL(Dong1,ROWS($1:54)),)="1111",OFFSET(TH!N$1,SMALL(Dong1,ROWS($1:54)),),OFFSET(TH!O$1,SMALL(Dong1,ROWS($1:54)),)))</f>
        <v/>
      </c>
      <c r="G67" s="155" t="str">
        <f ca="1">IF(ROWS($1:54)&gt;COUNT(Dong1),"",IF(OFFSET(TH!N$1,SMALL(Dong1,ROWS($1:54)),)="1111",OFFSET(TH!M$1,SMALL(Dong1,ROWS($1:54)),),0))</f>
        <v/>
      </c>
      <c r="H67" s="153" t="str">
        <f ca="1">IF(ROWS($1:54)&gt;COUNT(Dong1),"",IF(OFFSET(TH!O$1,SMALL(Dong1,ROWS($1:54)),)="1111",OFFSET(TH!M$1,SMALL(Dong1,ROWS($1:54)),),0))</f>
        <v/>
      </c>
      <c r="I67" s="151">
        <f t="shared" ca="1" si="0"/>
        <v>0</v>
      </c>
      <c r="J67" s="156"/>
    </row>
    <row r="68" spans="1:10" ht="19.5" customHeight="1">
      <c r="A68" s="150" t="str">
        <f ca="1">IF(ROWS($1:55)&gt;COUNT(Dong1),"",OFFSET(TH!C$1,SMALL(Dong1,ROWS($1:55)),))</f>
        <v/>
      </c>
      <c r="B68" s="150" t="str">
        <f ca="1">IF(ROWS($1:55)&gt;COUNT(Dong1),"",OFFSET(TH!E$1,SMALL(Dong1,ROWS($1:55)),))</f>
        <v/>
      </c>
      <c r="C68" s="151" t="str">
        <f ca="1">IF(ROWS($1:55)&gt;COUNT(Dong1),"",IF(OFFSET(TH!N$1,SMALL(Dong1,ROWS($1:55)),)="1111",OFFSET(TH!D$1,SMALL(Dong1,ROWS($1:55)),),""))</f>
        <v/>
      </c>
      <c r="D68" s="152" t="str">
        <f ca="1">IF(ROWS($1:55)&gt;COUNT(Dong1),"",IF(OFFSET(TH!O$1,SMALL(Dong1,ROWS($1:55)),)="1111",OFFSET(TH!D$1,SMALL(Dong1,ROWS($1:55)),),""))</f>
        <v/>
      </c>
      <c r="E68" s="354" t="str">
        <f ca="1">IF(ROWS($1:55)&gt;COUNT(Dong1),"",OFFSET(TH!F$1,SMALL(Dong1,ROWS($1:55)),))</f>
        <v/>
      </c>
      <c r="F68" s="154" t="str">
        <f ca="1">IF(ROWS($1:55)&gt;COUNT(Dong1),"",IF(OFFSET(TH!O$1,SMALL(Dong1,ROWS($1:55)),)="1111",OFFSET(TH!N$1,SMALL(Dong1,ROWS($1:55)),),OFFSET(TH!O$1,SMALL(Dong1,ROWS($1:55)),)))</f>
        <v/>
      </c>
      <c r="G68" s="155" t="str">
        <f ca="1">IF(ROWS($1:55)&gt;COUNT(Dong1),"",IF(OFFSET(TH!N$1,SMALL(Dong1,ROWS($1:55)),)="1111",OFFSET(TH!M$1,SMALL(Dong1,ROWS($1:55)),),0))</f>
        <v/>
      </c>
      <c r="H68" s="153" t="str">
        <f ca="1">IF(ROWS($1:55)&gt;COUNT(Dong1),"",IF(OFFSET(TH!O$1,SMALL(Dong1,ROWS($1:55)),)="1111",OFFSET(TH!M$1,SMALL(Dong1,ROWS($1:55)),),0))</f>
        <v/>
      </c>
      <c r="I68" s="151">
        <f t="shared" ca="1" si="0"/>
        <v>0</v>
      </c>
      <c r="J68" s="156"/>
    </row>
    <row r="69" spans="1:10" ht="19.5" customHeight="1">
      <c r="A69" s="150" t="str">
        <f ca="1">IF(ROWS($1:56)&gt;COUNT(Dong1),"",OFFSET(TH!C$1,SMALL(Dong1,ROWS($1:56)),))</f>
        <v/>
      </c>
      <c r="B69" s="150" t="str">
        <f ca="1">IF(ROWS($1:56)&gt;COUNT(Dong1),"",OFFSET(TH!E$1,SMALL(Dong1,ROWS($1:56)),))</f>
        <v/>
      </c>
      <c r="C69" s="151" t="str">
        <f ca="1">IF(ROWS($1:56)&gt;COUNT(Dong1),"",IF(OFFSET(TH!N$1,SMALL(Dong1,ROWS($1:56)),)="1111",OFFSET(TH!D$1,SMALL(Dong1,ROWS($1:56)),),""))</f>
        <v/>
      </c>
      <c r="D69" s="152" t="str">
        <f ca="1">IF(ROWS($1:56)&gt;COUNT(Dong1),"",IF(OFFSET(TH!O$1,SMALL(Dong1,ROWS($1:56)),)="1111",OFFSET(TH!D$1,SMALL(Dong1,ROWS($1:56)),),""))</f>
        <v/>
      </c>
      <c r="E69" s="354" t="str">
        <f ca="1">IF(ROWS($1:56)&gt;COUNT(Dong1),"",OFFSET(TH!F$1,SMALL(Dong1,ROWS($1:56)),))</f>
        <v/>
      </c>
      <c r="F69" s="154" t="str">
        <f ca="1">IF(ROWS($1:56)&gt;COUNT(Dong1),"",IF(OFFSET(TH!O$1,SMALL(Dong1,ROWS($1:56)),)="1111",OFFSET(TH!N$1,SMALL(Dong1,ROWS($1:56)),),OFFSET(TH!O$1,SMALL(Dong1,ROWS($1:56)),)))</f>
        <v/>
      </c>
      <c r="G69" s="155" t="str">
        <f ca="1">IF(ROWS($1:56)&gt;COUNT(Dong1),"",IF(OFFSET(TH!N$1,SMALL(Dong1,ROWS($1:56)),)="1111",OFFSET(TH!M$1,SMALL(Dong1,ROWS($1:56)),),0))</f>
        <v/>
      </c>
      <c r="H69" s="153" t="str">
        <f ca="1">IF(ROWS($1:56)&gt;COUNT(Dong1),"",IF(OFFSET(TH!O$1,SMALL(Dong1,ROWS($1:56)),)="1111",OFFSET(TH!M$1,SMALL(Dong1,ROWS($1:56)),),0))</f>
        <v/>
      </c>
      <c r="I69" s="151">
        <f t="shared" ca="1" si="0"/>
        <v>0</v>
      </c>
      <c r="J69" s="156"/>
    </row>
    <row r="70" spans="1:10" ht="19.5" customHeight="1">
      <c r="A70" s="150" t="str">
        <f ca="1">IF(ROWS($1:57)&gt;COUNT(Dong1),"",OFFSET(TH!C$1,SMALL(Dong1,ROWS($1:57)),))</f>
        <v/>
      </c>
      <c r="B70" s="150" t="str">
        <f ca="1">IF(ROWS($1:57)&gt;COUNT(Dong1),"",OFFSET(TH!E$1,SMALL(Dong1,ROWS($1:57)),))</f>
        <v/>
      </c>
      <c r="C70" s="151" t="str">
        <f ca="1">IF(ROWS($1:57)&gt;COUNT(Dong1),"",IF(OFFSET(TH!N$1,SMALL(Dong1,ROWS($1:57)),)="1111",OFFSET(TH!D$1,SMALL(Dong1,ROWS($1:57)),),""))</f>
        <v/>
      </c>
      <c r="D70" s="152" t="str">
        <f ca="1">IF(ROWS($1:57)&gt;COUNT(Dong1),"",IF(OFFSET(TH!O$1,SMALL(Dong1,ROWS($1:57)),)="1111",OFFSET(TH!D$1,SMALL(Dong1,ROWS($1:57)),),""))</f>
        <v/>
      </c>
      <c r="E70" s="354" t="str">
        <f ca="1">IF(ROWS($1:57)&gt;COUNT(Dong1),"",OFFSET(TH!F$1,SMALL(Dong1,ROWS($1:57)),))</f>
        <v/>
      </c>
      <c r="F70" s="154" t="str">
        <f ca="1">IF(ROWS($1:57)&gt;COUNT(Dong1),"",IF(OFFSET(TH!O$1,SMALL(Dong1,ROWS($1:57)),)="1111",OFFSET(TH!N$1,SMALL(Dong1,ROWS($1:57)),),OFFSET(TH!O$1,SMALL(Dong1,ROWS($1:57)),)))</f>
        <v/>
      </c>
      <c r="G70" s="155" t="str">
        <f ca="1">IF(ROWS($1:57)&gt;COUNT(Dong1),"",IF(OFFSET(TH!N$1,SMALL(Dong1,ROWS($1:57)),)="1111",OFFSET(TH!M$1,SMALL(Dong1,ROWS($1:57)),),0))</f>
        <v/>
      </c>
      <c r="H70" s="153" t="str">
        <f ca="1">IF(ROWS($1:57)&gt;COUNT(Dong1),"",IF(OFFSET(TH!O$1,SMALL(Dong1,ROWS($1:57)),)="1111",OFFSET(TH!M$1,SMALL(Dong1,ROWS($1:57)),),0))</f>
        <v/>
      </c>
      <c r="I70" s="151">
        <f t="shared" ca="1" si="0"/>
        <v>0</v>
      </c>
      <c r="J70" s="156"/>
    </row>
    <row r="71" spans="1:10" ht="19.5" customHeight="1">
      <c r="A71" s="150" t="str">
        <f ca="1">IF(ROWS($1:58)&gt;COUNT(Dong1),"",OFFSET(TH!C$1,SMALL(Dong1,ROWS($1:58)),))</f>
        <v/>
      </c>
      <c r="B71" s="150" t="str">
        <f ca="1">IF(ROWS($1:58)&gt;COUNT(Dong1),"",OFFSET(TH!E$1,SMALL(Dong1,ROWS($1:58)),))</f>
        <v/>
      </c>
      <c r="C71" s="151" t="str">
        <f ca="1">IF(ROWS($1:58)&gt;COUNT(Dong1),"",IF(OFFSET(TH!N$1,SMALL(Dong1,ROWS($1:58)),)="1111",OFFSET(TH!D$1,SMALL(Dong1,ROWS($1:58)),),""))</f>
        <v/>
      </c>
      <c r="D71" s="152" t="str">
        <f ca="1">IF(ROWS($1:58)&gt;COUNT(Dong1),"",IF(OFFSET(TH!O$1,SMALL(Dong1,ROWS($1:58)),)="1111",OFFSET(TH!D$1,SMALL(Dong1,ROWS($1:58)),),""))</f>
        <v/>
      </c>
      <c r="E71" s="354" t="str">
        <f ca="1">IF(ROWS($1:58)&gt;COUNT(Dong1),"",OFFSET(TH!F$1,SMALL(Dong1,ROWS($1:58)),))</f>
        <v/>
      </c>
      <c r="F71" s="154" t="str">
        <f ca="1">IF(ROWS($1:58)&gt;COUNT(Dong1),"",IF(OFFSET(TH!O$1,SMALL(Dong1,ROWS($1:58)),)="1111",OFFSET(TH!N$1,SMALL(Dong1,ROWS($1:58)),),OFFSET(TH!O$1,SMALL(Dong1,ROWS($1:58)),)))</f>
        <v/>
      </c>
      <c r="G71" s="155" t="str">
        <f ca="1">IF(ROWS($1:58)&gt;COUNT(Dong1),"",IF(OFFSET(TH!N$1,SMALL(Dong1,ROWS($1:58)),)="1111",OFFSET(TH!M$1,SMALL(Dong1,ROWS($1:58)),),0))</f>
        <v/>
      </c>
      <c r="H71" s="153" t="str">
        <f ca="1">IF(ROWS($1:58)&gt;COUNT(Dong1),"",IF(OFFSET(TH!O$1,SMALL(Dong1,ROWS($1:58)),)="1111",OFFSET(TH!M$1,SMALL(Dong1,ROWS($1:58)),),0))</f>
        <v/>
      </c>
      <c r="I71" s="151">
        <f t="shared" ca="1" si="0"/>
        <v>0</v>
      </c>
      <c r="J71" s="156"/>
    </row>
    <row r="72" spans="1:10" ht="19.5" customHeight="1">
      <c r="A72" s="150" t="str">
        <f ca="1">IF(ROWS($1:59)&gt;COUNT(Dong1),"",OFFSET(TH!C$1,SMALL(Dong1,ROWS($1:59)),))</f>
        <v/>
      </c>
      <c r="B72" s="150" t="str">
        <f ca="1">IF(ROWS($1:59)&gt;COUNT(Dong1),"",OFFSET(TH!E$1,SMALL(Dong1,ROWS($1:59)),))</f>
        <v/>
      </c>
      <c r="C72" s="151" t="str">
        <f ca="1">IF(ROWS($1:59)&gt;COUNT(Dong1),"",IF(OFFSET(TH!N$1,SMALL(Dong1,ROWS($1:59)),)="1111",OFFSET(TH!D$1,SMALL(Dong1,ROWS($1:59)),),""))</f>
        <v/>
      </c>
      <c r="D72" s="152" t="str">
        <f ca="1">IF(ROWS($1:59)&gt;COUNT(Dong1),"",IF(OFFSET(TH!O$1,SMALL(Dong1,ROWS($1:59)),)="1111",OFFSET(TH!D$1,SMALL(Dong1,ROWS($1:59)),),""))</f>
        <v/>
      </c>
      <c r="E72" s="354" t="str">
        <f ca="1">IF(ROWS($1:59)&gt;COUNT(Dong1),"",OFFSET(TH!F$1,SMALL(Dong1,ROWS($1:59)),))</f>
        <v/>
      </c>
      <c r="F72" s="154" t="str">
        <f ca="1">IF(ROWS($1:59)&gt;COUNT(Dong1),"",IF(OFFSET(TH!O$1,SMALL(Dong1,ROWS($1:59)),)="1111",OFFSET(TH!N$1,SMALL(Dong1,ROWS($1:59)),),OFFSET(TH!O$1,SMALL(Dong1,ROWS($1:59)),)))</f>
        <v/>
      </c>
      <c r="G72" s="155" t="str">
        <f ca="1">IF(ROWS($1:59)&gt;COUNT(Dong1),"",IF(OFFSET(TH!N$1,SMALL(Dong1,ROWS($1:59)),)="1111",OFFSET(TH!M$1,SMALL(Dong1,ROWS($1:59)),),0))</f>
        <v/>
      </c>
      <c r="H72" s="153" t="str">
        <f ca="1">IF(ROWS($1:59)&gt;COUNT(Dong1),"",IF(OFFSET(TH!O$1,SMALL(Dong1,ROWS($1:59)),)="1111",OFFSET(TH!M$1,SMALL(Dong1,ROWS($1:59)),),0))</f>
        <v/>
      </c>
      <c r="I72" s="151">
        <f t="shared" ca="1" si="0"/>
        <v>0</v>
      </c>
      <c r="J72" s="156"/>
    </row>
    <row r="73" spans="1:10" ht="19.5" customHeight="1">
      <c r="A73" s="150" t="str">
        <f ca="1">IF(ROWS($1:60)&gt;COUNT(Dong1),"",OFFSET(TH!C$1,SMALL(Dong1,ROWS($1:60)),))</f>
        <v/>
      </c>
      <c r="B73" s="150" t="str">
        <f ca="1">IF(ROWS($1:60)&gt;COUNT(Dong1),"",OFFSET(TH!E$1,SMALL(Dong1,ROWS($1:60)),))</f>
        <v/>
      </c>
      <c r="C73" s="151" t="str">
        <f ca="1">IF(ROWS($1:60)&gt;COUNT(Dong1),"",IF(OFFSET(TH!N$1,SMALL(Dong1,ROWS($1:60)),)="1111",OFFSET(TH!D$1,SMALL(Dong1,ROWS($1:60)),),""))</f>
        <v/>
      </c>
      <c r="D73" s="152" t="str">
        <f ca="1">IF(ROWS($1:60)&gt;COUNT(Dong1),"",IF(OFFSET(TH!O$1,SMALL(Dong1,ROWS($1:60)),)="1111",OFFSET(TH!D$1,SMALL(Dong1,ROWS($1:60)),),""))</f>
        <v/>
      </c>
      <c r="E73" s="354" t="str">
        <f ca="1">IF(ROWS($1:60)&gt;COUNT(Dong1),"",OFFSET(TH!F$1,SMALL(Dong1,ROWS($1:60)),))</f>
        <v/>
      </c>
      <c r="F73" s="154" t="str">
        <f ca="1">IF(ROWS($1:60)&gt;COUNT(Dong1),"",IF(OFFSET(TH!O$1,SMALL(Dong1,ROWS($1:60)),)="1111",OFFSET(TH!N$1,SMALL(Dong1,ROWS($1:60)),),OFFSET(TH!O$1,SMALL(Dong1,ROWS($1:60)),)))</f>
        <v/>
      </c>
      <c r="G73" s="155" t="str">
        <f ca="1">IF(ROWS($1:60)&gt;COUNT(Dong1),"",IF(OFFSET(TH!N$1,SMALL(Dong1,ROWS($1:60)),)="1111",OFFSET(TH!M$1,SMALL(Dong1,ROWS($1:60)),),0))</f>
        <v/>
      </c>
      <c r="H73" s="153" t="str">
        <f ca="1">IF(ROWS($1:60)&gt;COUNT(Dong1),"",IF(OFFSET(TH!O$1,SMALL(Dong1,ROWS($1:60)),)="1111",OFFSET(TH!M$1,SMALL(Dong1,ROWS($1:60)),),0))</f>
        <v/>
      </c>
      <c r="I73" s="151">
        <f t="shared" ca="1" si="0"/>
        <v>0</v>
      </c>
      <c r="J73" s="156"/>
    </row>
    <row r="74" spans="1:10" ht="19.5" customHeight="1">
      <c r="A74" s="150" t="str">
        <f ca="1">IF(ROWS($1:61)&gt;COUNT(Dong1),"",OFFSET(TH!C$1,SMALL(Dong1,ROWS($1:61)),))</f>
        <v/>
      </c>
      <c r="B74" s="150" t="str">
        <f ca="1">IF(ROWS($1:61)&gt;COUNT(Dong1),"",OFFSET(TH!E$1,SMALL(Dong1,ROWS($1:61)),))</f>
        <v/>
      </c>
      <c r="C74" s="151" t="str">
        <f ca="1">IF(ROWS($1:61)&gt;COUNT(Dong1),"",IF(OFFSET(TH!N$1,SMALL(Dong1,ROWS($1:61)),)="1111",OFFSET(TH!D$1,SMALL(Dong1,ROWS($1:61)),),""))</f>
        <v/>
      </c>
      <c r="D74" s="152" t="str">
        <f ca="1">IF(ROWS($1:61)&gt;COUNT(Dong1),"",IF(OFFSET(TH!O$1,SMALL(Dong1,ROWS($1:61)),)="1111",OFFSET(TH!D$1,SMALL(Dong1,ROWS($1:61)),),""))</f>
        <v/>
      </c>
      <c r="E74" s="354" t="str">
        <f ca="1">IF(ROWS($1:61)&gt;COUNT(Dong1),"",OFFSET(TH!F$1,SMALL(Dong1,ROWS($1:61)),))</f>
        <v/>
      </c>
      <c r="F74" s="154" t="str">
        <f ca="1">IF(ROWS($1:61)&gt;COUNT(Dong1),"",IF(OFFSET(TH!O$1,SMALL(Dong1,ROWS($1:61)),)="1111",OFFSET(TH!N$1,SMALL(Dong1,ROWS($1:61)),),OFFSET(TH!O$1,SMALL(Dong1,ROWS($1:61)),)))</f>
        <v/>
      </c>
      <c r="G74" s="155" t="str">
        <f ca="1">IF(ROWS($1:61)&gt;COUNT(Dong1),"",IF(OFFSET(TH!N$1,SMALL(Dong1,ROWS($1:61)),)="1111",OFFSET(TH!M$1,SMALL(Dong1,ROWS($1:61)),),0))</f>
        <v/>
      </c>
      <c r="H74" s="153" t="str">
        <f ca="1">IF(ROWS($1:61)&gt;COUNT(Dong1),"",IF(OFFSET(TH!O$1,SMALL(Dong1,ROWS($1:61)),)="1111",OFFSET(TH!M$1,SMALL(Dong1,ROWS($1:61)),),0))</f>
        <v/>
      </c>
      <c r="I74" s="151">
        <f t="shared" ca="1" si="0"/>
        <v>0</v>
      </c>
      <c r="J74" s="156"/>
    </row>
    <row r="75" spans="1:10" ht="19.5" customHeight="1">
      <c r="A75" s="150" t="str">
        <f ca="1">IF(ROWS($1:62)&gt;COUNT(Dong1),"",OFFSET(TH!C$1,SMALL(Dong1,ROWS($1:62)),))</f>
        <v/>
      </c>
      <c r="B75" s="150" t="str">
        <f ca="1">IF(ROWS($1:62)&gt;COUNT(Dong1),"",OFFSET(TH!E$1,SMALL(Dong1,ROWS($1:62)),))</f>
        <v/>
      </c>
      <c r="C75" s="151" t="str">
        <f ca="1">IF(ROWS($1:62)&gt;COUNT(Dong1),"",IF(OFFSET(TH!N$1,SMALL(Dong1,ROWS($1:62)),)="1111",OFFSET(TH!D$1,SMALL(Dong1,ROWS($1:62)),),""))</f>
        <v/>
      </c>
      <c r="D75" s="152" t="str">
        <f ca="1">IF(ROWS($1:62)&gt;COUNT(Dong1),"",IF(OFFSET(TH!O$1,SMALL(Dong1,ROWS($1:62)),)="1111",OFFSET(TH!D$1,SMALL(Dong1,ROWS($1:62)),),""))</f>
        <v/>
      </c>
      <c r="E75" s="354" t="str">
        <f ca="1">IF(ROWS($1:62)&gt;COUNT(Dong1),"",OFFSET(TH!F$1,SMALL(Dong1,ROWS($1:62)),))</f>
        <v/>
      </c>
      <c r="F75" s="154" t="str">
        <f ca="1">IF(ROWS($1:62)&gt;COUNT(Dong1),"",IF(OFFSET(TH!O$1,SMALL(Dong1,ROWS($1:62)),)="1111",OFFSET(TH!N$1,SMALL(Dong1,ROWS($1:62)),),OFFSET(TH!O$1,SMALL(Dong1,ROWS($1:62)),)))</f>
        <v/>
      </c>
      <c r="G75" s="155" t="str">
        <f ca="1">IF(ROWS($1:62)&gt;COUNT(Dong1),"",IF(OFFSET(TH!N$1,SMALL(Dong1,ROWS($1:62)),)="1111",OFFSET(TH!M$1,SMALL(Dong1,ROWS($1:62)),),0))</f>
        <v/>
      </c>
      <c r="H75" s="153" t="str">
        <f ca="1">IF(ROWS($1:62)&gt;COUNT(Dong1),"",IF(OFFSET(TH!O$1,SMALL(Dong1,ROWS($1:62)),)="1111",OFFSET(TH!M$1,SMALL(Dong1,ROWS($1:62)),),0))</f>
        <v/>
      </c>
      <c r="I75" s="151">
        <f t="shared" ca="1" si="0"/>
        <v>0</v>
      </c>
      <c r="J75" s="156"/>
    </row>
    <row r="76" spans="1:10" ht="19.5" customHeight="1">
      <c r="A76" s="150" t="str">
        <f ca="1">IF(ROWS($1:63)&gt;COUNT(Dong1),"",OFFSET(TH!C$1,SMALL(Dong1,ROWS($1:63)),))</f>
        <v/>
      </c>
      <c r="B76" s="150" t="str">
        <f ca="1">IF(ROWS($1:63)&gt;COUNT(Dong1),"",OFFSET(TH!E$1,SMALL(Dong1,ROWS($1:63)),))</f>
        <v/>
      </c>
      <c r="C76" s="151" t="str">
        <f ca="1">IF(ROWS($1:63)&gt;COUNT(Dong1),"",IF(OFFSET(TH!N$1,SMALL(Dong1,ROWS($1:63)),)="1111",OFFSET(TH!D$1,SMALL(Dong1,ROWS($1:63)),),""))</f>
        <v/>
      </c>
      <c r="D76" s="152" t="str">
        <f ca="1">IF(ROWS($1:63)&gt;COUNT(Dong1),"",IF(OFFSET(TH!O$1,SMALL(Dong1,ROWS($1:63)),)="1111",OFFSET(TH!D$1,SMALL(Dong1,ROWS($1:63)),),""))</f>
        <v/>
      </c>
      <c r="E76" s="354" t="str">
        <f ca="1">IF(ROWS($1:63)&gt;COUNT(Dong1),"",OFFSET(TH!F$1,SMALL(Dong1,ROWS($1:63)),))</f>
        <v/>
      </c>
      <c r="F76" s="154" t="str">
        <f ca="1">IF(ROWS($1:63)&gt;COUNT(Dong1),"",IF(OFFSET(TH!O$1,SMALL(Dong1,ROWS($1:63)),)="1111",OFFSET(TH!N$1,SMALL(Dong1,ROWS($1:63)),),OFFSET(TH!O$1,SMALL(Dong1,ROWS($1:63)),)))</f>
        <v/>
      </c>
      <c r="G76" s="155" t="str">
        <f ca="1">IF(ROWS($1:63)&gt;COUNT(Dong1),"",IF(OFFSET(TH!N$1,SMALL(Dong1,ROWS($1:63)),)="1111",OFFSET(TH!M$1,SMALL(Dong1,ROWS($1:63)),),0))</f>
        <v/>
      </c>
      <c r="H76" s="153" t="str">
        <f ca="1">IF(ROWS($1:63)&gt;COUNT(Dong1),"",IF(OFFSET(TH!O$1,SMALL(Dong1,ROWS($1:63)),)="1111",OFFSET(TH!M$1,SMALL(Dong1,ROWS($1:63)),),0))</f>
        <v/>
      </c>
      <c r="I76" s="151">
        <f t="shared" ca="1" si="0"/>
        <v>0</v>
      </c>
      <c r="J76" s="156"/>
    </row>
    <row r="77" spans="1:10" ht="19.5" customHeight="1">
      <c r="A77" s="150" t="str">
        <f ca="1">IF(ROWS($1:64)&gt;COUNT(Dong1),"",OFFSET(TH!C$1,SMALL(Dong1,ROWS($1:64)),))</f>
        <v/>
      </c>
      <c r="B77" s="150" t="str">
        <f ca="1">IF(ROWS($1:64)&gt;COUNT(Dong1),"",OFFSET(TH!E$1,SMALL(Dong1,ROWS($1:64)),))</f>
        <v/>
      </c>
      <c r="C77" s="151" t="str">
        <f ca="1">IF(ROWS($1:64)&gt;COUNT(Dong1),"",IF(OFFSET(TH!N$1,SMALL(Dong1,ROWS($1:64)),)="1111",OFFSET(TH!D$1,SMALL(Dong1,ROWS($1:64)),),""))</f>
        <v/>
      </c>
      <c r="D77" s="152" t="str">
        <f ca="1">IF(ROWS($1:64)&gt;COUNT(Dong1),"",IF(OFFSET(TH!O$1,SMALL(Dong1,ROWS($1:64)),)="1111",OFFSET(TH!D$1,SMALL(Dong1,ROWS($1:64)),),""))</f>
        <v/>
      </c>
      <c r="E77" s="354" t="str">
        <f ca="1">IF(ROWS($1:64)&gt;COUNT(Dong1),"",OFFSET(TH!F$1,SMALL(Dong1,ROWS($1:64)),))</f>
        <v/>
      </c>
      <c r="F77" s="154" t="str">
        <f ca="1">IF(ROWS($1:64)&gt;COUNT(Dong1),"",IF(OFFSET(TH!O$1,SMALL(Dong1,ROWS($1:64)),)="1111",OFFSET(TH!N$1,SMALL(Dong1,ROWS($1:64)),),OFFSET(TH!O$1,SMALL(Dong1,ROWS($1:64)),)))</f>
        <v/>
      </c>
      <c r="G77" s="155" t="str">
        <f ca="1">IF(ROWS($1:64)&gt;COUNT(Dong1),"",IF(OFFSET(TH!N$1,SMALL(Dong1,ROWS($1:64)),)="1111",OFFSET(TH!M$1,SMALL(Dong1,ROWS($1:64)),),0))</f>
        <v/>
      </c>
      <c r="H77" s="153" t="str">
        <f ca="1">IF(ROWS($1:64)&gt;COUNT(Dong1),"",IF(OFFSET(TH!O$1,SMALL(Dong1,ROWS($1:64)),)="1111",OFFSET(TH!M$1,SMALL(Dong1,ROWS($1:64)),),0))</f>
        <v/>
      </c>
      <c r="I77" s="151">
        <f t="shared" ca="1" si="0"/>
        <v>0</v>
      </c>
      <c r="J77" s="156"/>
    </row>
    <row r="78" spans="1:10" ht="19.5" customHeight="1">
      <c r="A78" s="150" t="str">
        <f ca="1">IF(ROWS($1:65)&gt;COUNT(Dong1),"",OFFSET(TH!C$1,SMALL(Dong1,ROWS($1:65)),))</f>
        <v/>
      </c>
      <c r="B78" s="150" t="str">
        <f ca="1">IF(ROWS($1:65)&gt;COUNT(Dong1),"",OFFSET(TH!E$1,SMALL(Dong1,ROWS($1:65)),))</f>
        <v/>
      </c>
      <c r="C78" s="151" t="str">
        <f ca="1">IF(ROWS($1:65)&gt;COUNT(Dong1),"",IF(OFFSET(TH!N$1,SMALL(Dong1,ROWS($1:65)),)="1111",OFFSET(TH!D$1,SMALL(Dong1,ROWS($1:65)),),""))</f>
        <v/>
      </c>
      <c r="D78" s="152" t="str">
        <f ca="1">IF(ROWS($1:65)&gt;COUNT(Dong1),"",IF(OFFSET(TH!O$1,SMALL(Dong1,ROWS($1:65)),)="1111",OFFSET(TH!D$1,SMALL(Dong1,ROWS($1:65)),),""))</f>
        <v/>
      </c>
      <c r="E78" s="354" t="str">
        <f ca="1">IF(ROWS($1:65)&gt;COUNT(Dong1),"",OFFSET(TH!F$1,SMALL(Dong1,ROWS($1:65)),))</f>
        <v/>
      </c>
      <c r="F78" s="154" t="str">
        <f ca="1">IF(ROWS($1:65)&gt;COUNT(Dong1),"",IF(OFFSET(TH!O$1,SMALL(Dong1,ROWS($1:65)),)="1111",OFFSET(TH!N$1,SMALL(Dong1,ROWS($1:65)),),OFFSET(TH!O$1,SMALL(Dong1,ROWS($1:65)),)))</f>
        <v/>
      </c>
      <c r="G78" s="155" t="str">
        <f ca="1">IF(ROWS($1:65)&gt;COUNT(Dong1),"",IF(OFFSET(TH!N$1,SMALL(Dong1,ROWS($1:65)),)="1111",OFFSET(TH!M$1,SMALL(Dong1,ROWS($1:65)),),0))</f>
        <v/>
      </c>
      <c r="H78" s="153" t="str">
        <f ca="1">IF(ROWS($1:65)&gt;COUNT(Dong1),"",IF(OFFSET(TH!O$1,SMALL(Dong1,ROWS($1:65)),)="1111",OFFSET(TH!M$1,SMALL(Dong1,ROWS($1:65)),),0))</f>
        <v/>
      </c>
      <c r="I78" s="151">
        <f t="shared" ca="1" si="0"/>
        <v>0</v>
      </c>
      <c r="J78" s="156"/>
    </row>
    <row r="79" spans="1:10" ht="19.5" customHeight="1">
      <c r="A79" s="150" t="str">
        <f ca="1">IF(ROWS($1:66)&gt;COUNT(Dong1),"",OFFSET(TH!C$1,SMALL(Dong1,ROWS($1:66)),))</f>
        <v/>
      </c>
      <c r="B79" s="150" t="str">
        <f ca="1">IF(ROWS($1:66)&gt;COUNT(Dong1),"",OFFSET(TH!E$1,SMALL(Dong1,ROWS($1:66)),))</f>
        <v/>
      </c>
      <c r="C79" s="151" t="str">
        <f ca="1">IF(ROWS($1:66)&gt;COUNT(Dong1),"",IF(OFFSET(TH!N$1,SMALL(Dong1,ROWS($1:66)),)="1111",OFFSET(TH!D$1,SMALL(Dong1,ROWS($1:66)),),""))</f>
        <v/>
      </c>
      <c r="D79" s="152" t="str">
        <f ca="1">IF(ROWS($1:66)&gt;COUNT(Dong1),"",IF(OFFSET(TH!O$1,SMALL(Dong1,ROWS($1:66)),)="1111",OFFSET(TH!D$1,SMALL(Dong1,ROWS($1:66)),),""))</f>
        <v/>
      </c>
      <c r="E79" s="354" t="str">
        <f ca="1">IF(ROWS($1:66)&gt;COUNT(Dong1),"",OFFSET(TH!F$1,SMALL(Dong1,ROWS($1:66)),))</f>
        <v/>
      </c>
      <c r="F79" s="154" t="str">
        <f ca="1">IF(ROWS($1:66)&gt;COUNT(Dong1),"",IF(OFFSET(TH!O$1,SMALL(Dong1,ROWS($1:66)),)="1111",OFFSET(TH!N$1,SMALL(Dong1,ROWS($1:66)),),OFFSET(TH!O$1,SMALL(Dong1,ROWS($1:66)),)))</f>
        <v/>
      </c>
      <c r="G79" s="155" t="str">
        <f ca="1">IF(ROWS($1:66)&gt;COUNT(Dong1),"",IF(OFFSET(TH!N$1,SMALL(Dong1,ROWS($1:66)),)="1111",OFFSET(TH!M$1,SMALL(Dong1,ROWS($1:66)),),0))</f>
        <v/>
      </c>
      <c r="H79" s="153" t="str">
        <f ca="1">IF(ROWS($1:66)&gt;COUNT(Dong1),"",IF(OFFSET(TH!O$1,SMALL(Dong1,ROWS($1:66)),)="1111",OFFSET(TH!M$1,SMALL(Dong1,ROWS($1:66)),),0))</f>
        <v/>
      </c>
      <c r="I79" s="151">
        <f t="shared" ref="I79:I100" ca="1" si="1">IF(E79&lt;&gt;"",I78+G79-H79,0)</f>
        <v>0</v>
      </c>
      <c r="J79" s="156"/>
    </row>
    <row r="80" spans="1:10" ht="19.5" customHeight="1">
      <c r="A80" s="150" t="str">
        <f ca="1">IF(ROWS($1:67)&gt;COUNT(Dong1),"",OFFSET(TH!C$1,SMALL(Dong1,ROWS($1:67)),))</f>
        <v/>
      </c>
      <c r="B80" s="150" t="str">
        <f ca="1">IF(ROWS($1:67)&gt;COUNT(Dong1),"",OFFSET(TH!E$1,SMALL(Dong1,ROWS($1:67)),))</f>
        <v/>
      </c>
      <c r="C80" s="151" t="str">
        <f ca="1">IF(ROWS($1:67)&gt;COUNT(Dong1),"",IF(OFFSET(TH!N$1,SMALL(Dong1,ROWS($1:67)),)="1111",OFFSET(TH!D$1,SMALL(Dong1,ROWS($1:67)),),""))</f>
        <v/>
      </c>
      <c r="D80" s="152" t="str">
        <f ca="1">IF(ROWS($1:67)&gt;COUNT(Dong1),"",IF(OFFSET(TH!O$1,SMALL(Dong1,ROWS($1:67)),)="1111",OFFSET(TH!D$1,SMALL(Dong1,ROWS($1:67)),),""))</f>
        <v/>
      </c>
      <c r="E80" s="354" t="str">
        <f ca="1">IF(ROWS($1:67)&gt;COUNT(Dong1),"",OFFSET(TH!F$1,SMALL(Dong1,ROWS($1:67)),))</f>
        <v/>
      </c>
      <c r="F80" s="154" t="str">
        <f ca="1">IF(ROWS($1:67)&gt;COUNT(Dong1),"",IF(OFFSET(TH!O$1,SMALL(Dong1,ROWS($1:67)),)="1111",OFFSET(TH!N$1,SMALL(Dong1,ROWS($1:67)),),OFFSET(TH!O$1,SMALL(Dong1,ROWS($1:67)),)))</f>
        <v/>
      </c>
      <c r="G80" s="155" t="str">
        <f ca="1">IF(ROWS($1:67)&gt;COUNT(Dong1),"",IF(OFFSET(TH!N$1,SMALL(Dong1,ROWS($1:67)),)="1111",OFFSET(TH!M$1,SMALL(Dong1,ROWS($1:67)),),0))</f>
        <v/>
      </c>
      <c r="H80" s="153" t="str">
        <f ca="1">IF(ROWS($1:67)&gt;COUNT(Dong1),"",IF(OFFSET(TH!O$1,SMALL(Dong1,ROWS($1:67)),)="1111",OFFSET(TH!M$1,SMALL(Dong1,ROWS($1:67)),),0))</f>
        <v/>
      </c>
      <c r="I80" s="151">
        <f t="shared" ca="1" si="1"/>
        <v>0</v>
      </c>
      <c r="J80" s="156"/>
    </row>
    <row r="81" spans="1:10" ht="19.5" customHeight="1">
      <c r="A81" s="150" t="str">
        <f ca="1">IF(ROWS($1:68)&gt;COUNT(Dong1),"",OFFSET(TH!C$1,SMALL(Dong1,ROWS($1:68)),))</f>
        <v/>
      </c>
      <c r="B81" s="150" t="str">
        <f ca="1">IF(ROWS($1:68)&gt;COUNT(Dong1),"",OFFSET(TH!E$1,SMALL(Dong1,ROWS($1:68)),))</f>
        <v/>
      </c>
      <c r="C81" s="151" t="str">
        <f ca="1">IF(ROWS($1:68)&gt;COUNT(Dong1),"",IF(OFFSET(TH!N$1,SMALL(Dong1,ROWS($1:68)),)="1111",OFFSET(TH!D$1,SMALL(Dong1,ROWS($1:68)),),""))</f>
        <v/>
      </c>
      <c r="D81" s="152" t="str">
        <f ca="1">IF(ROWS($1:68)&gt;COUNT(Dong1),"",IF(OFFSET(TH!O$1,SMALL(Dong1,ROWS($1:68)),)="1111",OFFSET(TH!D$1,SMALL(Dong1,ROWS($1:68)),),""))</f>
        <v/>
      </c>
      <c r="E81" s="354" t="str">
        <f ca="1">IF(ROWS($1:68)&gt;COUNT(Dong1),"",OFFSET(TH!F$1,SMALL(Dong1,ROWS($1:68)),))</f>
        <v/>
      </c>
      <c r="F81" s="154" t="str">
        <f ca="1">IF(ROWS($1:68)&gt;COUNT(Dong1),"",IF(OFFSET(TH!O$1,SMALL(Dong1,ROWS($1:68)),)="1111",OFFSET(TH!N$1,SMALL(Dong1,ROWS($1:68)),),OFFSET(TH!O$1,SMALL(Dong1,ROWS($1:68)),)))</f>
        <v/>
      </c>
      <c r="G81" s="155" t="str">
        <f ca="1">IF(ROWS($1:68)&gt;COUNT(Dong1),"",IF(OFFSET(TH!N$1,SMALL(Dong1,ROWS($1:68)),)="1111",OFFSET(TH!M$1,SMALL(Dong1,ROWS($1:68)),),0))</f>
        <v/>
      </c>
      <c r="H81" s="153" t="str">
        <f ca="1">IF(ROWS($1:68)&gt;COUNT(Dong1),"",IF(OFFSET(TH!O$1,SMALL(Dong1,ROWS($1:68)),)="1111",OFFSET(TH!M$1,SMALL(Dong1,ROWS($1:68)),),0))</f>
        <v/>
      </c>
      <c r="I81" s="151">
        <f t="shared" ca="1" si="1"/>
        <v>0</v>
      </c>
      <c r="J81" s="156"/>
    </row>
    <row r="82" spans="1:10" ht="19.5" customHeight="1">
      <c r="A82" s="150" t="str">
        <f ca="1">IF(ROWS($1:69)&gt;COUNT(Dong1),"",OFFSET(TH!C$1,SMALL(Dong1,ROWS($1:69)),))</f>
        <v/>
      </c>
      <c r="B82" s="150" t="str">
        <f ca="1">IF(ROWS($1:69)&gt;COUNT(Dong1),"",OFFSET(TH!E$1,SMALL(Dong1,ROWS($1:69)),))</f>
        <v/>
      </c>
      <c r="C82" s="151" t="str">
        <f ca="1">IF(ROWS($1:69)&gt;COUNT(Dong1),"",IF(OFFSET(TH!N$1,SMALL(Dong1,ROWS($1:69)),)="1111",OFFSET(TH!D$1,SMALL(Dong1,ROWS($1:69)),),""))</f>
        <v/>
      </c>
      <c r="D82" s="152" t="str">
        <f ca="1">IF(ROWS($1:69)&gt;COUNT(Dong1),"",IF(OFFSET(TH!O$1,SMALL(Dong1,ROWS($1:69)),)="1111",OFFSET(TH!D$1,SMALL(Dong1,ROWS($1:69)),),""))</f>
        <v/>
      </c>
      <c r="E82" s="354" t="str">
        <f ca="1">IF(ROWS($1:69)&gt;COUNT(Dong1),"",OFFSET(TH!F$1,SMALL(Dong1,ROWS($1:69)),))</f>
        <v/>
      </c>
      <c r="F82" s="154" t="str">
        <f ca="1">IF(ROWS($1:69)&gt;COUNT(Dong1),"",IF(OFFSET(TH!O$1,SMALL(Dong1,ROWS($1:69)),)="1111",OFFSET(TH!N$1,SMALL(Dong1,ROWS($1:69)),),OFFSET(TH!O$1,SMALL(Dong1,ROWS($1:69)),)))</f>
        <v/>
      </c>
      <c r="G82" s="155" t="str">
        <f ca="1">IF(ROWS($1:69)&gt;COUNT(Dong1),"",IF(OFFSET(TH!N$1,SMALL(Dong1,ROWS($1:69)),)="1111",OFFSET(TH!M$1,SMALL(Dong1,ROWS($1:69)),),0))</f>
        <v/>
      </c>
      <c r="H82" s="153" t="str">
        <f ca="1">IF(ROWS($1:69)&gt;COUNT(Dong1),"",IF(OFFSET(TH!O$1,SMALL(Dong1,ROWS($1:69)),)="1111",OFFSET(TH!M$1,SMALL(Dong1,ROWS($1:69)),),0))</f>
        <v/>
      </c>
      <c r="I82" s="151">
        <f t="shared" ca="1" si="1"/>
        <v>0</v>
      </c>
      <c r="J82" s="156"/>
    </row>
    <row r="83" spans="1:10" ht="19.5" customHeight="1">
      <c r="A83" s="150" t="str">
        <f ca="1">IF(ROWS($1:70)&gt;COUNT(Dong1),"",OFFSET(TH!C$1,SMALL(Dong1,ROWS($1:70)),))</f>
        <v/>
      </c>
      <c r="B83" s="150" t="str">
        <f ca="1">IF(ROWS($1:70)&gt;COUNT(Dong1),"",OFFSET(TH!E$1,SMALL(Dong1,ROWS($1:70)),))</f>
        <v/>
      </c>
      <c r="C83" s="151" t="str">
        <f ca="1">IF(ROWS($1:70)&gt;COUNT(Dong1),"",IF(OFFSET(TH!N$1,SMALL(Dong1,ROWS($1:70)),)="1111",OFFSET(TH!D$1,SMALL(Dong1,ROWS($1:70)),),""))</f>
        <v/>
      </c>
      <c r="D83" s="152" t="str">
        <f ca="1">IF(ROWS($1:70)&gt;COUNT(Dong1),"",IF(OFFSET(TH!O$1,SMALL(Dong1,ROWS($1:70)),)="1111",OFFSET(TH!D$1,SMALL(Dong1,ROWS($1:70)),),""))</f>
        <v/>
      </c>
      <c r="E83" s="354" t="str">
        <f ca="1">IF(ROWS($1:70)&gt;COUNT(Dong1),"",OFFSET(TH!F$1,SMALL(Dong1,ROWS($1:70)),))</f>
        <v/>
      </c>
      <c r="F83" s="154" t="str">
        <f ca="1">IF(ROWS($1:70)&gt;COUNT(Dong1),"",IF(OFFSET(TH!O$1,SMALL(Dong1,ROWS($1:70)),)="1111",OFFSET(TH!N$1,SMALL(Dong1,ROWS($1:70)),),OFFSET(TH!O$1,SMALL(Dong1,ROWS($1:70)),)))</f>
        <v/>
      </c>
      <c r="G83" s="155" t="str">
        <f ca="1">IF(ROWS($1:70)&gt;COUNT(Dong1),"",IF(OFFSET(TH!N$1,SMALL(Dong1,ROWS($1:70)),)="1111",OFFSET(TH!M$1,SMALL(Dong1,ROWS($1:70)),),0))</f>
        <v/>
      </c>
      <c r="H83" s="153" t="str">
        <f ca="1">IF(ROWS($1:70)&gt;COUNT(Dong1),"",IF(OFFSET(TH!O$1,SMALL(Dong1,ROWS($1:70)),)="1111",OFFSET(TH!M$1,SMALL(Dong1,ROWS($1:70)),),0))</f>
        <v/>
      </c>
      <c r="I83" s="151">
        <f t="shared" ca="1" si="1"/>
        <v>0</v>
      </c>
      <c r="J83" s="156"/>
    </row>
    <row r="84" spans="1:10" ht="19.5" customHeight="1">
      <c r="A84" s="150" t="str">
        <f ca="1">IF(ROWS($1:71)&gt;COUNT(Dong1),"",OFFSET(TH!C$1,SMALL(Dong1,ROWS($1:71)),))</f>
        <v/>
      </c>
      <c r="B84" s="150" t="str">
        <f ca="1">IF(ROWS($1:71)&gt;COUNT(Dong1),"",OFFSET(TH!E$1,SMALL(Dong1,ROWS($1:71)),))</f>
        <v/>
      </c>
      <c r="C84" s="151" t="str">
        <f ca="1">IF(ROWS($1:71)&gt;COUNT(Dong1),"",IF(OFFSET(TH!N$1,SMALL(Dong1,ROWS($1:71)),)="1111",OFFSET(TH!D$1,SMALL(Dong1,ROWS($1:71)),),""))</f>
        <v/>
      </c>
      <c r="D84" s="152" t="str">
        <f ca="1">IF(ROWS($1:71)&gt;COUNT(Dong1),"",IF(OFFSET(TH!O$1,SMALL(Dong1,ROWS($1:71)),)="1111",OFFSET(TH!D$1,SMALL(Dong1,ROWS($1:71)),),""))</f>
        <v/>
      </c>
      <c r="E84" s="354" t="str">
        <f ca="1">IF(ROWS($1:71)&gt;COUNT(Dong1),"",OFFSET(TH!F$1,SMALL(Dong1,ROWS($1:71)),))</f>
        <v/>
      </c>
      <c r="F84" s="154" t="str">
        <f ca="1">IF(ROWS($1:71)&gt;COUNT(Dong1),"",IF(OFFSET(TH!O$1,SMALL(Dong1,ROWS($1:71)),)="1111",OFFSET(TH!N$1,SMALL(Dong1,ROWS($1:71)),),OFFSET(TH!O$1,SMALL(Dong1,ROWS($1:71)),)))</f>
        <v/>
      </c>
      <c r="G84" s="155" t="str">
        <f ca="1">IF(ROWS($1:71)&gt;COUNT(Dong1),"",IF(OFFSET(TH!N$1,SMALL(Dong1,ROWS($1:71)),)="1111",OFFSET(TH!M$1,SMALL(Dong1,ROWS($1:71)),),0))</f>
        <v/>
      </c>
      <c r="H84" s="153" t="str">
        <f ca="1">IF(ROWS($1:71)&gt;COUNT(Dong1),"",IF(OFFSET(TH!O$1,SMALL(Dong1,ROWS($1:71)),)="1111",OFFSET(TH!M$1,SMALL(Dong1,ROWS($1:71)),),0))</f>
        <v/>
      </c>
      <c r="I84" s="151">
        <f t="shared" ca="1" si="1"/>
        <v>0</v>
      </c>
      <c r="J84" s="156"/>
    </row>
    <row r="85" spans="1:10" ht="19.5" customHeight="1">
      <c r="A85" s="150" t="str">
        <f ca="1">IF(ROWS($1:72)&gt;COUNT(Dong1),"",OFFSET(TH!C$1,SMALL(Dong1,ROWS($1:72)),))</f>
        <v/>
      </c>
      <c r="B85" s="150" t="str">
        <f ca="1">IF(ROWS($1:72)&gt;COUNT(Dong1),"",OFFSET(TH!E$1,SMALL(Dong1,ROWS($1:72)),))</f>
        <v/>
      </c>
      <c r="C85" s="151" t="str">
        <f ca="1">IF(ROWS($1:72)&gt;COUNT(Dong1),"",IF(OFFSET(TH!N$1,SMALL(Dong1,ROWS($1:72)),)="1111",OFFSET(TH!D$1,SMALL(Dong1,ROWS($1:72)),),""))</f>
        <v/>
      </c>
      <c r="D85" s="152" t="str">
        <f ca="1">IF(ROWS($1:72)&gt;COUNT(Dong1),"",IF(OFFSET(TH!O$1,SMALL(Dong1,ROWS($1:72)),)="1111",OFFSET(TH!D$1,SMALL(Dong1,ROWS($1:72)),),""))</f>
        <v/>
      </c>
      <c r="E85" s="354" t="str">
        <f ca="1">IF(ROWS($1:72)&gt;COUNT(Dong1),"",OFFSET(TH!F$1,SMALL(Dong1,ROWS($1:72)),))</f>
        <v/>
      </c>
      <c r="F85" s="154" t="str">
        <f ca="1">IF(ROWS($1:72)&gt;COUNT(Dong1),"",IF(OFFSET(TH!O$1,SMALL(Dong1,ROWS($1:72)),)="1111",OFFSET(TH!N$1,SMALL(Dong1,ROWS($1:72)),),OFFSET(TH!O$1,SMALL(Dong1,ROWS($1:72)),)))</f>
        <v/>
      </c>
      <c r="G85" s="155" t="str">
        <f ca="1">IF(ROWS($1:72)&gt;COUNT(Dong1),"",IF(OFFSET(TH!N$1,SMALL(Dong1,ROWS($1:72)),)="1111",OFFSET(TH!M$1,SMALL(Dong1,ROWS($1:72)),),0))</f>
        <v/>
      </c>
      <c r="H85" s="153" t="str">
        <f ca="1">IF(ROWS($1:72)&gt;COUNT(Dong1),"",IF(OFFSET(TH!O$1,SMALL(Dong1,ROWS($1:72)),)="1111",OFFSET(TH!M$1,SMALL(Dong1,ROWS($1:72)),),0))</f>
        <v/>
      </c>
      <c r="I85" s="151">
        <f t="shared" ca="1" si="1"/>
        <v>0</v>
      </c>
      <c r="J85" s="156"/>
    </row>
    <row r="86" spans="1:10" ht="19.5" customHeight="1">
      <c r="A86" s="150" t="str">
        <f ca="1">IF(ROWS($1:73)&gt;COUNT(Dong1),"",OFFSET(TH!C$1,SMALL(Dong1,ROWS($1:73)),))</f>
        <v/>
      </c>
      <c r="B86" s="150" t="str">
        <f ca="1">IF(ROWS($1:73)&gt;COUNT(Dong1),"",OFFSET(TH!E$1,SMALL(Dong1,ROWS($1:73)),))</f>
        <v/>
      </c>
      <c r="C86" s="151" t="str">
        <f ca="1">IF(ROWS($1:73)&gt;COUNT(Dong1),"",IF(OFFSET(TH!N$1,SMALL(Dong1,ROWS($1:73)),)="1111",OFFSET(TH!D$1,SMALL(Dong1,ROWS($1:73)),),""))</f>
        <v/>
      </c>
      <c r="D86" s="152" t="str">
        <f ca="1">IF(ROWS($1:73)&gt;COUNT(Dong1),"",IF(OFFSET(TH!O$1,SMALL(Dong1,ROWS($1:73)),)="1111",OFFSET(TH!D$1,SMALL(Dong1,ROWS($1:73)),),""))</f>
        <v/>
      </c>
      <c r="E86" s="354" t="str">
        <f ca="1">IF(ROWS($1:73)&gt;COUNT(Dong1),"",OFFSET(TH!F$1,SMALL(Dong1,ROWS($1:73)),))</f>
        <v/>
      </c>
      <c r="F86" s="154" t="str">
        <f ca="1">IF(ROWS($1:73)&gt;COUNT(Dong1),"",IF(OFFSET(TH!O$1,SMALL(Dong1,ROWS($1:73)),)="1111",OFFSET(TH!N$1,SMALL(Dong1,ROWS($1:73)),),OFFSET(TH!O$1,SMALL(Dong1,ROWS($1:73)),)))</f>
        <v/>
      </c>
      <c r="G86" s="155" t="str">
        <f ca="1">IF(ROWS($1:73)&gt;COUNT(Dong1),"",IF(OFFSET(TH!N$1,SMALL(Dong1,ROWS($1:73)),)="1111",OFFSET(TH!M$1,SMALL(Dong1,ROWS($1:73)),),0))</f>
        <v/>
      </c>
      <c r="H86" s="153" t="str">
        <f ca="1">IF(ROWS($1:73)&gt;COUNT(Dong1),"",IF(OFFSET(TH!O$1,SMALL(Dong1,ROWS($1:73)),)="1111",OFFSET(TH!M$1,SMALL(Dong1,ROWS($1:73)),),0))</f>
        <v/>
      </c>
      <c r="I86" s="151">
        <f t="shared" ca="1" si="1"/>
        <v>0</v>
      </c>
      <c r="J86" s="156"/>
    </row>
    <row r="87" spans="1:10" ht="19.5" customHeight="1">
      <c r="A87" s="150" t="str">
        <f ca="1">IF(ROWS($1:74)&gt;COUNT(Dong1),"",OFFSET(TH!C$1,SMALL(Dong1,ROWS($1:74)),))</f>
        <v/>
      </c>
      <c r="B87" s="150" t="str">
        <f ca="1">IF(ROWS($1:74)&gt;COUNT(Dong1),"",OFFSET(TH!E$1,SMALL(Dong1,ROWS($1:74)),))</f>
        <v/>
      </c>
      <c r="C87" s="151" t="str">
        <f ca="1">IF(ROWS($1:74)&gt;COUNT(Dong1),"",IF(OFFSET(TH!N$1,SMALL(Dong1,ROWS($1:74)),)="1111",OFFSET(TH!D$1,SMALL(Dong1,ROWS($1:74)),),""))</f>
        <v/>
      </c>
      <c r="D87" s="152" t="str">
        <f ca="1">IF(ROWS($1:74)&gt;COUNT(Dong1),"",IF(OFFSET(TH!O$1,SMALL(Dong1,ROWS($1:74)),)="1111",OFFSET(TH!D$1,SMALL(Dong1,ROWS($1:74)),),""))</f>
        <v/>
      </c>
      <c r="E87" s="354" t="str">
        <f ca="1">IF(ROWS($1:74)&gt;COUNT(Dong1),"",OFFSET(TH!F$1,SMALL(Dong1,ROWS($1:74)),))</f>
        <v/>
      </c>
      <c r="F87" s="154" t="str">
        <f ca="1">IF(ROWS($1:74)&gt;COUNT(Dong1),"",IF(OFFSET(TH!O$1,SMALL(Dong1,ROWS($1:74)),)="1111",OFFSET(TH!N$1,SMALL(Dong1,ROWS($1:74)),),OFFSET(TH!O$1,SMALL(Dong1,ROWS($1:74)),)))</f>
        <v/>
      </c>
      <c r="G87" s="155" t="str">
        <f ca="1">IF(ROWS($1:74)&gt;COUNT(Dong1),"",IF(OFFSET(TH!N$1,SMALL(Dong1,ROWS($1:74)),)="1111",OFFSET(TH!M$1,SMALL(Dong1,ROWS($1:74)),),0))</f>
        <v/>
      </c>
      <c r="H87" s="153" t="str">
        <f ca="1">IF(ROWS($1:74)&gt;COUNT(Dong1),"",IF(OFFSET(TH!O$1,SMALL(Dong1,ROWS($1:74)),)="1111",OFFSET(TH!M$1,SMALL(Dong1,ROWS($1:74)),),0))</f>
        <v/>
      </c>
      <c r="I87" s="151">
        <f t="shared" ca="1" si="1"/>
        <v>0</v>
      </c>
      <c r="J87" s="156"/>
    </row>
    <row r="88" spans="1:10" ht="19.5" customHeight="1">
      <c r="A88" s="150" t="str">
        <f ca="1">IF(ROWS($1:75)&gt;COUNT(Dong1),"",OFFSET(TH!C$1,SMALL(Dong1,ROWS($1:75)),))</f>
        <v/>
      </c>
      <c r="B88" s="150" t="str">
        <f ca="1">IF(ROWS($1:75)&gt;COUNT(Dong1),"",OFFSET(TH!E$1,SMALL(Dong1,ROWS($1:75)),))</f>
        <v/>
      </c>
      <c r="C88" s="151" t="str">
        <f ca="1">IF(ROWS($1:75)&gt;COUNT(Dong1),"",IF(OFFSET(TH!N$1,SMALL(Dong1,ROWS($1:75)),)="1111",OFFSET(TH!D$1,SMALL(Dong1,ROWS($1:75)),),""))</f>
        <v/>
      </c>
      <c r="D88" s="152" t="str">
        <f ca="1">IF(ROWS($1:75)&gt;COUNT(Dong1),"",IF(OFFSET(TH!O$1,SMALL(Dong1,ROWS($1:75)),)="1111",OFFSET(TH!D$1,SMALL(Dong1,ROWS($1:75)),),""))</f>
        <v/>
      </c>
      <c r="E88" s="354" t="str">
        <f ca="1">IF(ROWS($1:75)&gt;COUNT(Dong1),"",OFFSET(TH!F$1,SMALL(Dong1,ROWS($1:75)),))</f>
        <v/>
      </c>
      <c r="F88" s="154" t="str">
        <f ca="1">IF(ROWS($1:75)&gt;COUNT(Dong1),"",IF(OFFSET(TH!O$1,SMALL(Dong1,ROWS($1:75)),)="1111",OFFSET(TH!N$1,SMALL(Dong1,ROWS($1:75)),),OFFSET(TH!O$1,SMALL(Dong1,ROWS($1:75)),)))</f>
        <v/>
      </c>
      <c r="G88" s="155" t="str">
        <f ca="1">IF(ROWS($1:75)&gt;COUNT(Dong1),"",IF(OFFSET(TH!N$1,SMALL(Dong1,ROWS($1:75)),)="1111",OFFSET(TH!M$1,SMALL(Dong1,ROWS($1:75)),),0))</f>
        <v/>
      </c>
      <c r="H88" s="153" t="str">
        <f ca="1">IF(ROWS($1:75)&gt;COUNT(Dong1),"",IF(OFFSET(TH!O$1,SMALL(Dong1,ROWS($1:75)),)="1111",OFFSET(TH!M$1,SMALL(Dong1,ROWS($1:75)),),0))</f>
        <v/>
      </c>
      <c r="I88" s="151">
        <f t="shared" ca="1" si="1"/>
        <v>0</v>
      </c>
      <c r="J88" s="156"/>
    </row>
    <row r="89" spans="1:10" ht="19.5" customHeight="1">
      <c r="A89" s="150" t="str">
        <f ca="1">IF(ROWS($1:76)&gt;COUNT(Dong1),"",OFFSET(TH!C$1,SMALL(Dong1,ROWS($1:76)),))</f>
        <v/>
      </c>
      <c r="B89" s="150" t="str">
        <f ca="1">IF(ROWS($1:76)&gt;COUNT(Dong1),"",OFFSET(TH!E$1,SMALL(Dong1,ROWS($1:76)),))</f>
        <v/>
      </c>
      <c r="C89" s="151" t="str">
        <f ca="1">IF(ROWS($1:76)&gt;COUNT(Dong1),"",IF(OFFSET(TH!N$1,SMALL(Dong1,ROWS($1:76)),)="1111",OFFSET(TH!D$1,SMALL(Dong1,ROWS($1:76)),),""))</f>
        <v/>
      </c>
      <c r="D89" s="152" t="str">
        <f ca="1">IF(ROWS($1:76)&gt;COUNT(Dong1),"",IF(OFFSET(TH!O$1,SMALL(Dong1,ROWS($1:76)),)="1111",OFFSET(TH!D$1,SMALL(Dong1,ROWS($1:76)),),""))</f>
        <v/>
      </c>
      <c r="E89" s="354" t="str">
        <f ca="1">IF(ROWS($1:76)&gt;COUNT(Dong1),"",OFFSET(TH!F$1,SMALL(Dong1,ROWS($1:76)),))</f>
        <v/>
      </c>
      <c r="F89" s="154" t="str">
        <f ca="1">IF(ROWS($1:76)&gt;COUNT(Dong1),"",IF(OFFSET(TH!O$1,SMALL(Dong1,ROWS($1:76)),)="1111",OFFSET(TH!N$1,SMALL(Dong1,ROWS($1:76)),),OFFSET(TH!O$1,SMALL(Dong1,ROWS($1:76)),)))</f>
        <v/>
      </c>
      <c r="G89" s="155" t="str">
        <f ca="1">IF(ROWS($1:76)&gt;COUNT(Dong1),"",IF(OFFSET(TH!N$1,SMALL(Dong1,ROWS($1:76)),)="1111",OFFSET(TH!M$1,SMALL(Dong1,ROWS($1:76)),),0))</f>
        <v/>
      </c>
      <c r="H89" s="153" t="str">
        <f ca="1">IF(ROWS($1:76)&gt;COUNT(Dong1),"",IF(OFFSET(TH!O$1,SMALL(Dong1,ROWS($1:76)),)="1111",OFFSET(TH!M$1,SMALL(Dong1,ROWS($1:76)),),0))</f>
        <v/>
      </c>
      <c r="I89" s="151">
        <f t="shared" ca="1" si="1"/>
        <v>0</v>
      </c>
      <c r="J89" s="156"/>
    </row>
    <row r="90" spans="1:10" ht="19.5" customHeight="1">
      <c r="A90" s="150" t="str">
        <f ca="1">IF(ROWS($1:77)&gt;COUNT(Dong1),"",OFFSET(TH!C$1,SMALL(Dong1,ROWS($1:77)),))</f>
        <v/>
      </c>
      <c r="B90" s="150" t="str">
        <f ca="1">IF(ROWS($1:77)&gt;COUNT(Dong1),"",OFFSET(TH!E$1,SMALL(Dong1,ROWS($1:77)),))</f>
        <v/>
      </c>
      <c r="C90" s="151" t="str">
        <f ca="1">IF(ROWS($1:77)&gt;COUNT(Dong1),"",IF(OFFSET(TH!N$1,SMALL(Dong1,ROWS($1:77)),)="1111",OFFSET(TH!D$1,SMALL(Dong1,ROWS($1:77)),),""))</f>
        <v/>
      </c>
      <c r="D90" s="152" t="str">
        <f ca="1">IF(ROWS($1:77)&gt;COUNT(Dong1),"",IF(OFFSET(TH!O$1,SMALL(Dong1,ROWS($1:77)),)="1111",OFFSET(TH!D$1,SMALL(Dong1,ROWS($1:77)),),""))</f>
        <v/>
      </c>
      <c r="E90" s="354" t="str">
        <f ca="1">IF(ROWS($1:77)&gt;COUNT(Dong1),"",OFFSET(TH!F$1,SMALL(Dong1,ROWS($1:77)),))</f>
        <v/>
      </c>
      <c r="F90" s="154" t="str">
        <f ca="1">IF(ROWS($1:77)&gt;COUNT(Dong1),"",IF(OFFSET(TH!O$1,SMALL(Dong1,ROWS($1:77)),)="1111",OFFSET(TH!N$1,SMALL(Dong1,ROWS($1:77)),),OFFSET(TH!O$1,SMALL(Dong1,ROWS($1:77)),)))</f>
        <v/>
      </c>
      <c r="G90" s="155" t="str">
        <f ca="1">IF(ROWS($1:77)&gt;COUNT(Dong1),"",IF(OFFSET(TH!N$1,SMALL(Dong1,ROWS($1:77)),)="1111",OFFSET(TH!M$1,SMALL(Dong1,ROWS($1:77)),),0))</f>
        <v/>
      </c>
      <c r="H90" s="153" t="str">
        <f ca="1">IF(ROWS($1:77)&gt;COUNT(Dong1),"",IF(OFFSET(TH!O$1,SMALL(Dong1,ROWS($1:77)),)="1111",OFFSET(TH!M$1,SMALL(Dong1,ROWS($1:77)),),0))</f>
        <v/>
      </c>
      <c r="I90" s="151">
        <f t="shared" ca="1" si="1"/>
        <v>0</v>
      </c>
      <c r="J90" s="156"/>
    </row>
    <row r="91" spans="1:10" ht="19.5" customHeight="1">
      <c r="A91" s="150" t="str">
        <f ca="1">IF(ROWS($1:78)&gt;COUNT(Dong1),"",OFFSET(TH!C$1,SMALL(Dong1,ROWS($1:78)),))</f>
        <v/>
      </c>
      <c r="B91" s="150" t="str">
        <f ca="1">IF(ROWS($1:78)&gt;COUNT(Dong1),"",OFFSET(TH!E$1,SMALL(Dong1,ROWS($1:78)),))</f>
        <v/>
      </c>
      <c r="C91" s="151" t="str">
        <f ca="1">IF(ROWS($1:78)&gt;COUNT(Dong1),"",IF(OFFSET(TH!N$1,SMALL(Dong1,ROWS($1:78)),)="1111",OFFSET(TH!D$1,SMALL(Dong1,ROWS($1:78)),),""))</f>
        <v/>
      </c>
      <c r="D91" s="152" t="str">
        <f ca="1">IF(ROWS($1:78)&gt;COUNT(Dong1),"",IF(OFFSET(TH!O$1,SMALL(Dong1,ROWS($1:78)),)="1111",OFFSET(TH!D$1,SMALL(Dong1,ROWS($1:78)),),""))</f>
        <v/>
      </c>
      <c r="E91" s="354" t="str">
        <f ca="1">IF(ROWS($1:78)&gt;COUNT(Dong1),"",OFFSET(TH!F$1,SMALL(Dong1,ROWS($1:78)),))</f>
        <v/>
      </c>
      <c r="F91" s="154" t="str">
        <f ca="1">IF(ROWS($1:78)&gt;COUNT(Dong1),"",IF(OFFSET(TH!O$1,SMALL(Dong1,ROWS($1:78)),)="1111",OFFSET(TH!N$1,SMALL(Dong1,ROWS($1:78)),),OFFSET(TH!O$1,SMALL(Dong1,ROWS($1:78)),)))</f>
        <v/>
      </c>
      <c r="G91" s="155" t="str">
        <f ca="1">IF(ROWS($1:78)&gt;COUNT(Dong1),"",IF(OFFSET(TH!N$1,SMALL(Dong1,ROWS($1:78)),)="1111",OFFSET(TH!M$1,SMALL(Dong1,ROWS($1:78)),),0))</f>
        <v/>
      </c>
      <c r="H91" s="153" t="str">
        <f ca="1">IF(ROWS($1:78)&gt;COUNT(Dong1),"",IF(OFFSET(TH!O$1,SMALL(Dong1,ROWS($1:78)),)="1111",OFFSET(TH!M$1,SMALL(Dong1,ROWS($1:78)),),0))</f>
        <v/>
      </c>
      <c r="I91" s="151">
        <f t="shared" ca="1" si="1"/>
        <v>0</v>
      </c>
      <c r="J91" s="156"/>
    </row>
    <row r="92" spans="1:10" ht="19.5" customHeight="1">
      <c r="A92" s="150" t="str">
        <f ca="1">IF(ROWS($1:79)&gt;COUNT(Dong1),"",OFFSET(TH!C$1,SMALL(Dong1,ROWS($1:79)),))</f>
        <v/>
      </c>
      <c r="B92" s="150" t="str">
        <f ca="1">IF(ROWS($1:79)&gt;COUNT(Dong1),"",OFFSET(TH!E$1,SMALL(Dong1,ROWS($1:79)),))</f>
        <v/>
      </c>
      <c r="C92" s="151" t="str">
        <f ca="1">IF(ROWS($1:79)&gt;COUNT(Dong1),"",IF(OFFSET(TH!N$1,SMALL(Dong1,ROWS($1:79)),)="1111",OFFSET(TH!D$1,SMALL(Dong1,ROWS($1:79)),),""))</f>
        <v/>
      </c>
      <c r="D92" s="152" t="str">
        <f ca="1">IF(ROWS($1:79)&gt;COUNT(Dong1),"",IF(OFFSET(TH!O$1,SMALL(Dong1,ROWS($1:79)),)="1111",OFFSET(TH!D$1,SMALL(Dong1,ROWS($1:79)),),""))</f>
        <v/>
      </c>
      <c r="E92" s="354" t="str">
        <f ca="1">IF(ROWS($1:79)&gt;COUNT(Dong1),"",OFFSET(TH!F$1,SMALL(Dong1,ROWS($1:79)),))</f>
        <v/>
      </c>
      <c r="F92" s="154" t="str">
        <f ca="1">IF(ROWS($1:79)&gt;COUNT(Dong1),"",IF(OFFSET(TH!O$1,SMALL(Dong1,ROWS($1:79)),)="1111",OFFSET(TH!N$1,SMALL(Dong1,ROWS($1:79)),),OFFSET(TH!O$1,SMALL(Dong1,ROWS($1:79)),)))</f>
        <v/>
      </c>
      <c r="G92" s="155" t="str">
        <f ca="1">IF(ROWS($1:79)&gt;COUNT(Dong1),"",IF(OFFSET(TH!N$1,SMALL(Dong1,ROWS($1:79)),)="1111",OFFSET(TH!M$1,SMALL(Dong1,ROWS($1:79)),),0))</f>
        <v/>
      </c>
      <c r="H92" s="153" t="str">
        <f ca="1">IF(ROWS($1:79)&gt;COUNT(Dong1),"",IF(OFFSET(TH!O$1,SMALL(Dong1,ROWS($1:79)),)="1111",OFFSET(TH!M$1,SMALL(Dong1,ROWS($1:79)),),0))</f>
        <v/>
      </c>
      <c r="I92" s="151">
        <f t="shared" ca="1" si="1"/>
        <v>0</v>
      </c>
      <c r="J92" s="156"/>
    </row>
    <row r="93" spans="1:10" ht="19.5" customHeight="1">
      <c r="A93" s="150" t="str">
        <f ca="1">IF(ROWS($1:80)&gt;COUNT(Dong1),"",OFFSET(TH!C$1,SMALL(Dong1,ROWS($1:80)),))</f>
        <v/>
      </c>
      <c r="B93" s="150" t="str">
        <f ca="1">IF(ROWS($1:80)&gt;COUNT(Dong1),"",OFFSET(TH!E$1,SMALL(Dong1,ROWS($1:80)),))</f>
        <v/>
      </c>
      <c r="C93" s="151" t="str">
        <f ca="1">IF(ROWS($1:80)&gt;COUNT(Dong1),"",IF(OFFSET(TH!N$1,SMALL(Dong1,ROWS($1:80)),)="1111",OFFSET(TH!D$1,SMALL(Dong1,ROWS($1:80)),),""))</f>
        <v/>
      </c>
      <c r="D93" s="152" t="str">
        <f ca="1">IF(ROWS($1:80)&gt;COUNT(Dong1),"",IF(OFFSET(TH!O$1,SMALL(Dong1,ROWS($1:80)),)="1111",OFFSET(TH!D$1,SMALL(Dong1,ROWS($1:80)),),""))</f>
        <v/>
      </c>
      <c r="E93" s="354" t="str">
        <f ca="1">IF(ROWS($1:80)&gt;COUNT(Dong1),"",OFFSET(TH!F$1,SMALL(Dong1,ROWS($1:80)),))</f>
        <v/>
      </c>
      <c r="F93" s="154" t="str">
        <f ca="1">IF(ROWS($1:80)&gt;COUNT(Dong1),"",IF(OFFSET(TH!O$1,SMALL(Dong1,ROWS($1:80)),)="1111",OFFSET(TH!N$1,SMALL(Dong1,ROWS($1:80)),),OFFSET(TH!O$1,SMALL(Dong1,ROWS($1:80)),)))</f>
        <v/>
      </c>
      <c r="G93" s="155" t="str">
        <f ca="1">IF(ROWS($1:80)&gt;COUNT(Dong1),"",IF(OFFSET(TH!N$1,SMALL(Dong1,ROWS($1:80)),)="1111",OFFSET(TH!M$1,SMALL(Dong1,ROWS($1:80)),),0))</f>
        <v/>
      </c>
      <c r="H93" s="153" t="str">
        <f ca="1">IF(ROWS($1:80)&gt;COUNT(Dong1),"",IF(OFFSET(TH!O$1,SMALL(Dong1,ROWS($1:80)),)="1111",OFFSET(TH!M$1,SMALL(Dong1,ROWS($1:80)),),0))</f>
        <v/>
      </c>
      <c r="I93" s="151">
        <f t="shared" ca="1" si="1"/>
        <v>0</v>
      </c>
      <c r="J93" s="156"/>
    </row>
    <row r="94" spans="1:10" ht="19.5" customHeight="1">
      <c r="A94" s="150" t="str">
        <f ca="1">IF(ROWS($1:81)&gt;COUNT(Dong1),"",OFFSET(TH!C$1,SMALL(Dong1,ROWS($1:81)),))</f>
        <v/>
      </c>
      <c r="B94" s="150" t="str">
        <f ca="1">IF(ROWS($1:81)&gt;COUNT(Dong1),"",OFFSET(TH!E$1,SMALL(Dong1,ROWS($1:81)),))</f>
        <v/>
      </c>
      <c r="C94" s="151" t="str">
        <f ca="1">IF(ROWS($1:81)&gt;COUNT(Dong1),"",IF(OFFSET(TH!N$1,SMALL(Dong1,ROWS($1:81)),)="1111",OFFSET(TH!D$1,SMALL(Dong1,ROWS($1:81)),),""))</f>
        <v/>
      </c>
      <c r="D94" s="152" t="str">
        <f ca="1">IF(ROWS($1:81)&gt;COUNT(Dong1),"",IF(OFFSET(TH!O$1,SMALL(Dong1,ROWS($1:81)),)="1111",OFFSET(TH!D$1,SMALL(Dong1,ROWS($1:81)),),""))</f>
        <v/>
      </c>
      <c r="E94" s="354" t="str">
        <f ca="1">IF(ROWS($1:81)&gt;COUNT(Dong1),"",OFFSET(TH!F$1,SMALL(Dong1,ROWS($1:81)),))</f>
        <v/>
      </c>
      <c r="F94" s="154" t="str">
        <f ca="1">IF(ROWS($1:81)&gt;COUNT(Dong1),"",IF(OFFSET(TH!O$1,SMALL(Dong1,ROWS($1:81)),)="1111",OFFSET(TH!N$1,SMALL(Dong1,ROWS($1:81)),),OFFSET(TH!O$1,SMALL(Dong1,ROWS($1:81)),)))</f>
        <v/>
      </c>
      <c r="G94" s="155" t="str">
        <f ca="1">IF(ROWS($1:81)&gt;COUNT(Dong1),"",IF(OFFSET(TH!N$1,SMALL(Dong1,ROWS($1:81)),)="1111",OFFSET(TH!M$1,SMALL(Dong1,ROWS($1:81)),),0))</f>
        <v/>
      </c>
      <c r="H94" s="153" t="str">
        <f ca="1">IF(ROWS($1:81)&gt;COUNT(Dong1),"",IF(OFFSET(TH!O$1,SMALL(Dong1,ROWS($1:81)),)="1111",OFFSET(TH!M$1,SMALL(Dong1,ROWS($1:81)),),0))</f>
        <v/>
      </c>
      <c r="I94" s="151">
        <f t="shared" ca="1" si="1"/>
        <v>0</v>
      </c>
      <c r="J94" s="156"/>
    </row>
    <row r="95" spans="1:10" ht="19.5" customHeight="1">
      <c r="A95" s="150" t="str">
        <f ca="1">IF(ROWS($1:82)&gt;COUNT(Dong1),"",OFFSET(TH!C$1,SMALL(Dong1,ROWS($1:82)),))</f>
        <v/>
      </c>
      <c r="B95" s="150" t="str">
        <f ca="1">IF(ROWS($1:82)&gt;COUNT(Dong1),"",OFFSET(TH!E$1,SMALL(Dong1,ROWS($1:82)),))</f>
        <v/>
      </c>
      <c r="C95" s="151" t="str">
        <f ca="1">IF(ROWS($1:82)&gt;COUNT(Dong1),"",IF(OFFSET(TH!N$1,SMALL(Dong1,ROWS($1:82)),)="1111",OFFSET(TH!D$1,SMALL(Dong1,ROWS($1:82)),),""))</f>
        <v/>
      </c>
      <c r="D95" s="152" t="str">
        <f ca="1">IF(ROWS($1:82)&gt;COUNT(Dong1),"",IF(OFFSET(TH!O$1,SMALL(Dong1,ROWS($1:82)),)="1111",OFFSET(TH!D$1,SMALL(Dong1,ROWS($1:82)),),""))</f>
        <v/>
      </c>
      <c r="E95" s="354" t="str">
        <f ca="1">IF(ROWS($1:82)&gt;COUNT(Dong1),"",OFFSET(TH!F$1,SMALL(Dong1,ROWS($1:82)),))</f>
        <v/>
      </c>
      <c r="F95" s="154" t="str">
        <f ca="1">IF(ROWS($1:82)&gt;COUNT(Dong1),"",IF(OFFSET(TH!O$1,SMALL(Dong1,ROWS($1:82)),)="1111",OFFSET(TH!N$1,SMALL(Dong1,ROWS($1:82)),),OFFSET(TH!O$1,SMALL(Dong1,ROWS($1:82)),)))</f>
        <v/>
      </c>
      <c r="G95" s="155" t="str">
        <f ca="1">IF(ROWS($1:82)&gt;COUNT(Dong1),"",IF(OFFSET(TH!N$1,SMALL(Dong1,ROWS($1:82)),)="1111",OFFSET(TH!M$1,SMALL(Dong1,ROWS($1:82)),),0))</f>
        <v/>
      </c>
      <c r="H95" s="153" t="str">
        <f ca="1">IF(ROWS($1:82)&gt;COUNT(Dong1),"",IF(OFFSET(TH!O$1,SMALL(Dong1,ROWS($1:82)),)="1111",OFFSET(TH!M$1,SMALL(Dong1,ROWS($1:82)),),0))</f>
        <v/>
      </c>
      <c r="I95" s="151">
        <f t="shared" ca="1" si="1"/>
        <v>0</v>
      </c>
      <c r="J95" s="156"/>
    </row>
    <row r="96" spans="1:10" ht="19.5" customHeight="1">
      <c r="A96" s="150" t="str">
        <f ca="1">IF(ROWS($1:83)&gt;COUNT(Dong1),"",OFFSET(TH!C$1,SMALL(Dong1,ROWS($1:83)),))</f>
        <v/>
      </c>
      <c r="B96" s="150" t="str">
        <f ca="1">IF(ROWS($1:83)&gt;COUNT(Dong1),"",OFFSET(TH!E$1,SMALL(Dong1,ROWS($1:83)),))</f>
        <v/>
      </c>
      <c r="C96" s="151" t="str">
        <f ca="1">IF(ROWS($1:83)&gt;COUNT(Dong1),"",IF(OFFSET(TH!N$1,SMALL(Dong1,ROWS($1:83)),)="1111",OFFSET(TH!D$1,SMALL(Dong1,ROWS($1:83)),),""))</f>
        <v/>
      </c>
      <c r="D96" s="152" t="str">
        <f ca="1">IF(ROWS($1:83)&gt;COUNT(Dong1),"",IF(OFFSET(TH!O$1,SMALL(Dong1,ROWS($1:83)),)="1111",OFFSET(TH!D$1,SMALL(Dong1,ROWS($1:83)),),""))</f>
        <v/>
      </c>
      <c r="E96" s="354" t="str">
        <f ca="1">IF(ROWS($1:83)&gt;COUNT(Dong1),"",OFFSET(TH!F$1,SMALL(Dong1,ROWS($1:83)),))</f>
        <v/>
      </c>
      <c r="F96" s="154" t="str">
        <f ca="1">IF(ROWS($1:83)&gt;COUNT(Dong1),"",IF(OFFSET(TH!O$1,SMALL(Dong1,ROWS($1:83)),)="1111",OFFSET(TH!N$1,SMALL(Dong1,ROWS($1:83)),),OFFSET(TH!O$1,SMALL(Dong1,ROWS($1:83)),)))</f>
        <v/>
      </c>
      <c r="G96" s="155" t="str">
        <f ca="1">IF(ROWS($1:83)&gt;COUNT(Dong1),"",IF(OFFSET(TH!N$1,SMALL(Dong1,ROWS($1:83)),)="1111",OFFSET(TH!M$1,SMALL(Dong1,ROWS($1:83)),),0))</f>
        <v/>
      </c>
      <c r="H96" s="153" t="str">
        <f ca="1">IF(ROWS($1:83)&gt;COUNT(Dong1),"",IF(OFFSET(TH!O$1,SMALL(Dong1,ROWS($1:83)),)="1111",OFFSET(TH!M$1,SMALL(Dong1,ROWS($1:83)),),0))</f>
        <v/>
      </c>
      <c r="I96" s="151">
        <f t="shared" ca="1" si="1"/>
        <v>0</v>
      </c>
      <c r="J96" s="156"/>
    </row>
    <row r="97" spans="1:12" ht="19.5" customHeight="1">
      <c r="A97" s="150" t="str">
        <f ca="1">IF(ROWS($1:84)&gt;COUNT(Dong1),"",OFFSET(TH!C$1,SMALL(Dong1,ROWS($1:84)),))</f>
        <v/>
      </c>
      <c r="B97" s="150" t="str">
        <f ca="1">IF(ROWS($1:84)&gt;COUNT(Dong1),"",OFFSET(TH!E$1,SMALL(Dong1,ROWS($1:84)),))</f>
        <v/>
      </c>
      <c r="C97" s="151" t="str">
        <f ca="1">IF(ROWS($1:84)&gt;COUNT(Dong1),"",IF(OFFSET(TH!N$1,SMALL(Dong1,ROWS($1:84)),)="1111",OFFSET(TH!D$1,SMALL(Dong1,ROWS($1:84)),),""))</f>
        <v/>
      </c>
      <c r="D97" s="152" t="str">
        <f ca="1">IF(ROWS($1:84)&gt;COUNT(Dong1),"",IF(OFFSET(TH!O$1,SMALL(Dong1,ROWS($1:84)),)="1111",OFFSET(TH!D$1,SMALL(Dong1,ROWS($1:84)),),""))</f>
        <v/>
      </c>
      <c r="E97" s="354" t="str">
        <f ca="1">IF(ROWS($1:84)&gt;COUNT(Dong1),"",OFFSET(TH!F$1,SMALL(Dong1,ROWS($1:84)),))</f>
        <v/>
      </c>
      <c r="F97" s="154" t="str">
        <f ca="1">IF(ROWS($1:84)&gt;COUNT(Dong1),"",IF(OFFSET(TH!O$1,SMALL(Dong1,ROWS($1:84)),)="1111",OFFSET(TH!N$1,SMALL(Dong1,ROWS($1:84)),),OFFSET(TH!O$1,SMALL(Dong1,ROWS($1:84)),)))</f>
        <v/>
      </c>
      <c r="G97" s="155" t="str">
        <f ca="1">IF(ROWS($1:84)&gt;COUNT(Dong1),"",IF(OFFSET(TH!N$1,SMALL(Dong1,ROWS($1:84)),)="1111",OFFSET(TH!M$1,SMALL(Dong1,ROWS($1:84)),),0))</f>
        <v/>
      </c>
      <c r="H97" s="153" t="str">
        <f ca="1">IF(ROWS($1:84)&gt;COUNT(Dong1),"",IF(OFFSET(TH!O$1,SMALL(Dong1,ROWS($1:84)),)="1111",OFFSET(TH!M$1,SMALL(Dong1,ROWS($1:84)),),0))</f>
        <v/>
      </c>
      <c r="I97" s="151">
        <f t="shared" ca="1" si="1"/>
        <v>0</v>
      </c>
      <c r="J97" s="156"/>
    </row>
    <row r="98" spans="1:12" ht="19.5" customHeight="1">
      <c r="A98" s="150" t="str">
        <f ca="1">IF(ROWS($1:85)&gt;COUNT(Dong1),"",OFFSET(TH!C$1,SMALL(Dong1,ROWS($1:85)),))</f>
        <v/>
      </c>
      <c r="B98" s="150" t="str">
        <f ca="1">IF(ROWS($1:85)&gt;COUNT(Dong1),"",OFFSET(TH!E$1,SMALL(Dong1,ROWS($1:85)),))</f>
        <v/>
      </c>
      <c r="C98" s="151" t="str">
        <f ca="1">IF(ROWS($1:85)&gt;COUNT(Dong1),"",IF(OFFSET(TH!N$1,SMALL(Dong1,ROWS($1:85)),)="1111",OFFSET(TH!D$1,SMALL(Dong1,ROWS($1:85)),),""))</f>
        <v/>
      </c>
      <c r="D98" s="152" t="str">
        <f ca="1">IF(ROWS($1:85)&gt;COUNT(Dong1),"",IF(OFFSET(TH!O$1,SMALL(Dong1,ROWS($1:85)),)="1111",OFFSET(TH!D$1,SMALL(Dong1,ROWS($1:85)),),""))</f>
        <v/>
      </c>
      <c r="E98" s="354" t="str">
        <f ca="1">IF(ROWS($1:85)&gt;COUNT(Dong1),"",OFFSET(TH!F$1,SMALL(Dong1,ROWS($1:85)),))</f>
        <v/>
      </c>
      <c r="F98" s="154" t="str">
        <f ca="1">IF(ROWS($1:85)&gt;COUNT(Dong1),"",IF(OFFSET(TH!O$1,SMALL(Dong1,ROWS($1:85)),)="1111",OFFSET(TH!N$1,SMALL(Dong1,ROWS($1:85)),),OFFSET(TH!O$1,SMALL(Dong1,ROWS($1:85)),)))</f>
        <v/>
      </c>
      <c r="G98" s="155" t="str">
        <f ca="1">IF(ROWS($1:85)&gt;COUNT(Dong1),"",IF(OFFSET(TH!N$1,SMALL(Dong1,ROWS($1:85)),)="1111",OFFSET(TH!M$1,SMALL(Dong1,ROWS($1:85)),),0))</f>
        <v/>
      </c>
      <c r="H98" s="153" t="str">
        <f ca="1">IF(ROWS($1:85)&gt;COUNT(Dong1),"",IF(OFFSET(TH!O$1,SMALL(Dong1,ROWS($1:85)),)="1111",OFFSET(TH!M$1,SMALL(Dong1,ROWS($1:85)),),0))</f>
        <v/>
      </c>
      <c r="I98" s="151">
        <f t="shared" ca="1" si="1"/>
        <v>0</v>
      </c>
      <c r="J98" s="156"/>
    </row>
    <row r="99" spans="1:12" ht="19.5" customHeight="1">
      <c r="A99" s="150" t="str">
        <f ca="1">IF(ROWS($1:86)&gt;COUNT(Dong1),"",OFFSET(TH!C$1,SMALL(Dong1,ROWS($1:86)),))</f>
        <v/>
      </c>
      <c r="B99" s="150" t="str">
        <f ca="1">IF(ROWS($1:86)&gt;COUNT(Dong1),"",OFFSET(TH!E$1,SMALL(Dong1,ROWS($1:86)),))</f>
        <v/>
      </c>
      <c r="C99" s="151" t="str">
        <f ca="1">IF(ROWS($1:86)&gt;COUNT(Dong1),"",IF(OFFSET(TH!N$1,SMALL(Dong1,ROWS($1:86)),)="1111",OFFSET(TH!D$1,SMALL(Dong1,ROWS($1:86)),),""))</f>
        <v/>
      </c>
      <c r="D99" s="152" t="str">
        <f ca="1">IF(ROWS($1:86)&gt;COUNT(Dong1),"",IF(OFFSET(TH!O$1,SMALL(Dong1,ROWS($1:86)),)="1111",OFFSET(TH!D$1,SMALL(Dong1,ROWS($1:86)),),""))</f>
        <v/>
      </c>
      <c r="E99" s="354" t="str">
        <f ca="1">IF(ROWS($1:86)&gt;COUNT(Dong1),"",OFFSET(TH!F$1,SMALL(Dong1,ROWS($1:86)),))</f>
        <v/>
      </c>
      <c r="F99" s="154" t="str">
        <f ca="1">IF(ROWS($1:86)&gt;COUNT(Dong1),"",IF(OFFSET(TH!O$1,SMALL(Dong1,ROWS($1:86)),)="1111",OFFSET(TH!N$1,SMALL(Dong1,ROWS($1:86)),),OFFSET(TH!O$1,SMALL(Dong1,ROWS($1:86)),)))</f>
        <v/>
      </c>
      <c r="G99" s="155" t="str">
        <f ca="1">IF(ROWS($1:86)&gt;COUNT(Dong1),"",IF(OFFSET(TH!N$1,SMALL(Dong1,ROWS($1:86)),)="1111",OFFSET(TH!M$1,SMALL(Dong1,ROWS($1:86)),),0))</f>
        <v/>
      </c>
      <c r="H99" s="153" t="str">
        <f ca="1">IF(ROWS($1:86)&gt;COUNT(Dong1),"",IF(OFFSET(TH!O$1,SMALL(Dong1,ROWS($1:86)),)="1111",OFFSET(TH!M$1,SMALL(Dong1,ROWS($1:86)),),0))</f>
        <v/>
      </c>
      <c r="I99" s="151">
        <f t="shared" ca="1" si="1"/>
        <v>0</v>
      </c>
      <c r="J99" s="156"/>
    </row>
    <row r="100" spans="1:12" ht="19.5" customHeight="1">
      <c r="A100" s="150" t="str">
        <f ca="1">IF(ROWS($1:87)&gt;COUNT(Dong1),"",OFFSET(TH!C$1,SMALL(Dong1,ROWS($1:87)),))</f>
        <v/>
      </c>
      <c r="B100" s="150" t="str">
        <f ca="1">IF(ROWS($1:87)&gt;COUNT(Dong1),"",OFFSET(TH!E$1,SMALL(Dong1,ROWS($1:87)),))</f>
        <v/>
      </c>
      <c r="C100" s="151" t="str">
        <f ca="1">IF(ROWS($1:87)&gt;COUNT(Dong1),"",IF(OFFSET(TH!N$1,SMALL(Dong1,ROWS($1:87)),)="1111",OFFSET(TH!D$1,SMALL(Dong1,ROWS($1:87)),),""))</f>
        <v/>
      </c>
      <c r="D100" s="152" t="str">
        <f ca="1">IF(ROWS($1:87)&gt;COUNT(Dong1),"",IF(OFFSET(TH!O$1,SMALL(Dong1,ROWS($1:87)),)="1111",OFFSET(TH!D$1,SMALL(Dong1,ROWS($1:87)),),""))</f>
        <v/>
      </c>
      <c r="E100" s="354" t="str">
        <f ca="1">IF(ROWS($1:87)&gt;COUNT(Dong1),"",OFFSET(TH!F$1,SMALL(Dong1,ROWS($1:87)),))</f>
        <v/>
      </c>
      <c r="F100" s="154" t="str">
        <f ca="1">IF(ROWS($1:87)&gt;COUNT(Dong1),"",IF(OFFSET(TH!O$1,SMALL(Dong1,ROWS($1:87)),)="1111",OFFSET(TH!N$1,SMALL(Dong1,ROWS($1:87)),),OFFSET(TH!O$1,SMALL(Dong1,ROWS($1:87)),)))</f>
        <v/>
      </c>
      <c r="G100" s="155" t="str">
        <f ca="1">IF(ROWS($1:87)&gt;COUNT(Dong1),"",IF(OFFSET(TH!N$1,SMALL(Dong1,ROWS($1:87)),)="1111",OFFSET(TH!M$1,SMALL(Dong1,ROWS($1:87)),),0))</f>
        <v/>
      </c>
      <c r="H100" s="153" t="str">
        <f ca="1">IF(ROWS($1:87)&gt;COUNT(Dong1),"",IF(OFFSET(TH!O$1,SMALL(Dong1,ROWS($1:87)),)="1111",OFFSET(TH!M$1,SMALL(Dong1,ROWS($1:87)),),0))</f>
        <v/>
      </c>
      <c r="I100" s="151">
        <f t="shared" ca="1" si="1"/>
        <v>0</v>
      </c>
      <c r="J100" s="156"/>
    </row>
    <row r="101" spans="1:12" ht="19.5" customHeight="1">
      <c r="A101" s="150" t="str">
        <f ca="1">IF(ROWS($1:88)&gt;COUNT(Dong1),"",OFFSET(TH!C$1,SMALL(Dong1,ROWS($1:88)),))</f>
        <v/>
      </c>
      <c r="B101" s="150" t="str">
        <f ca="1">IF(ROWS($1:88)&gt;COUNT(Dong1),"",OFFSET(TH!E$1,SMALL(Dong1,ROWS($1:88)),))</f>
        <v/>
      </c>
      <c r="C101" s="151" t="str">
        <f ca="1">IF(ROWS($1:88)&gt;COUNT(Dong1),"",IF(OFFSET(TH!N$1,SMALL(Dong1,ROWS($1:88)),)="1111",OFFSET(TH!D$1,SMALL(Dong1,ROWS($1:88)),),""))</f>
        <v/>
      </c>
      <c r="D101" s="152" t="str">
        <f ca="1">IF(ROWS($1:88)&gt;COUNT(Dong1),"",IF(OFFSET(TH!O$1,SMALL(Dong1,ROWS($1:88)),)="1111",OFFSET(TH!D$1,SMALL(Dong1,ROWS($1:88)),),""))</f>
        <v/>
      </c>
      <c r="E101" s="354" t="str">
        <f ca="1">IF(ROWS($1:88)&gt;COUNT(Dong1),"",OFFSET(TH!F$1,SMALL(Dong1,ROWS($1:88)),))</f>
        <v/>
      </c>
      <c r="F101" s="154" t="str">
        <f ca="1">IF(ROWS($1:88)&gt;COUNT(Dong1),"",IF(OFFSET(TH!O$1,SMALL(Dong1,ROWS($1:88)),)="1111",OFFSET(TH!N$1,SMALL(Dong1,ROWS($1:88)),),OFFSET(TH!O$1,SMALL(Dong1,ROWS($1:88)),)))</f>
        <v/>
      </c>
      <c r="G101" s="155" t="str">
        <f ca="1">IF(ROWS($1:88)&gt;COUNT(Dong1),"",IF(OFFSET(TH!N$1,SMALL(Dong1,ROWS($1:88)),)="1111",OFFSET(TH!M$1,SMALL(Dong1,ROWS($1:88)),),0))</f>
        <v/>
      </c>
      <c r="H101" s="153" t="str">
        <f ca="1">IF(ROWS($1:88)&gt;COUNT(Dong1),"",IF(OFFSET(TH!O$1,SMALL(Dong1,ROWS($1:88)),)="1111",OFFSET(TH!M$1,SMALL(Dong1,ROWS($1:88)),),0))</f>
        <v/>
      </c>
      <c r="I101" s="151">
        <f ca="1">IF(E101&lt;&gt;"",I100+G101-H101,0)</f>
        <v>0</v>
      </c>
      <c r="J101" s="156"/>
    </row>
    <row r="102" spans="1:12" ht="19.5" customHeight="1">
      <c r="A102" s="150" t="str">
        <f ca="1">IF(ROWS($1:89)&gt;COUNT(Dong1),"",OFFSET(TH!C$1,SMALL(Dong1,ROWS($1:89)),))</f>
        <v/>
      </c>
      <c r="B102" s="150" t="str">
        <f ca="1">IF(ROWS($1:89)&gt;COUNT(Dong1),"",OFFSET(TH!E$1,SMALL(Dong1,ROWS($1:89)),))</f>
        <v/>
      </c>
      <c r="C102" s="151" t="str">
        <f ca="1">IF(ROWS($1:89)&gt;COUNT(Dong1),"",IF(OFFSET(TH!N$1,SMALL(Dong1,ROWS($1:89)),)="1111",OFFSET(TH!D$1,SMALL(Dong1,ROWS($1:89)),),""))</f>
        <v/>
      </c>
      <c r="D102" s="152" t="str">
        <f ca="1">IF(ROWS($1:89)&gt;COUNT(Dong1),"",IF(OFFSET(TH!O$1,SMALL(Dong1,ROWS($1:89)),)="1111",OFFSET(TH!D$1,SMALL(Dong1,ROWS($1:89)),),""))</f>
        <v/>
      </c>
      <c r="E102" s="354" t="str">
        <f ca="1">IF(ROWS($1:89)&gt;COUNT(Dong1),"",OFFSET(TH!F$1,SMALL(Dong1,ROWS($1:89)),))</f>
        <v/>
      </c>
      <c r="F102" s="154" t="str">
        <f ca="1">IF(ROWS($1:89)&gt;COUNT(Dong1),"",IF(OFFSET(TH!O$1,SMALL(Dong1,ROWS($1:89)),)="1111",OFFSET(TH!N$1,SMALL(Dong1,ROWS($1:89)),),OFFSET(TH!O$1,SMALL(Dong1,ROWS($1:89)),)))</f>
        <v/>
      </c>
      <c r="G102" s="155" t="str">
        <f ca="1">IF(ROWS($1:89)&gt;COUNT(Dong1),"",IF(OFFSET(TH!N$1,SMALL(Dong1,ROWS($1:89)),)="1111",OFFSET(TH!M$1,SMALL(Dong1,ROWS($1:89)),),0))</f>
        <v/>
      </c>
      <c r="H102" s="153" t="str">
        <f ca="1">IF(ROWS($1:89)&gt;COUNT(Dong1),"",IF(OFFSET(TH!O$1,SMALL(Dong1,ROWS($1:89)),)="1111",OFFSET(TH!M$1,SMALL(Dong1,ROWS($1:89)),),0))</f>
        <v/>
      </c>
      <c r="I102" s="151">
        <f ca="1">IF(E102&lt;&gt;"",I101+G102-H102,0)</f>
        <v>0</v>
      </c>
      <c r="J102" s="156"/>
    </row>
    <row r="103" spans="1:12" ht="19.5" customHeight="1">
      <c r="A103" s="150" t="str">
        <f ca="1">IF(ROWS($1:90)&gt;COUNT(Dong1),"",OFFSET(TH!C$1,SMALL(Dong1,ROWS($1:90)),))</f>
        <v/>
      </c>
      <c r="B103" s="150" t="str">
        <f ca="1">IF(ROWS($1:90)&gt;COUNT(Dong1),"",OFFSET(TH!E$1,SMALL(Dong1,ROWS($1:90)),))</f>
        <v/>
      </c>
      <c r="C103" s="151" t="str">
        <f ca="1">IF(ROWS($1:90)&gt;COUNT(Dong1),"",IF(OFFSET(TH!N$1,SMALL(Dong1,ROWS($1:90)),)="1111",OFFSET(TH!D$1,SMALL(Dong1,ROWS($1:90)),),""))</f>
        <v/>
      </c>
      <c r="D103" s="152" t="str">
        <f ca="1">IF(ROWS($1:90)&gt;COUNT(Dong1),"",IF(OFFSET(TH!O$1,SMALL(Dong1,ROWS($1:90)),)="1111",OFFSET(TH!D$1,SMALL(Dong1,ROWS($1:90)),),""))</f>
        <v/>
      </c>
      <c r="E103" s="354" t="str">
        <f ca="1">IF(ROWS($1:90)&gt;COUNT(Dong1),"",OFFSET(TH!F$1,SMALL(Dong1,ROWS($1:90)),))</f>
        <v/>
      </c>
      <c r="F103" s="154" t="str">
        <f ca="1">IF(ROWS($1:90)&gt;COUNT(Dong1),"",IF(OFFSET(TH!O$1,SMALL(Dong1,ROWS($1:90)),)="1111",OFFSET(TH!N$1,SMALL(Dong1,ROWS($1:90)),),OFFSET(TH!O$1,SMALL(Dong1,ROWS($1:90)),)))</f>
        <v/>
      </c>
      <c r="G103" s="155" t="str">
        <f ca="1">IF(ROWS($1:90)&gt;COUNT(Dong1),"",IF(OFFSET(TH!N$1,SMALL(Dong1,ROWS($1:90)),)="1111",OFFSET(TH!M$1,SMALL(Dong1,ROWS($1:90)),),0))</f>
        <v/>
      </c>
      <c r="H103" s="153" t="str">
        <f ca="1">IF(ROWS($1:90)&gt;COUNT(Dong1),"",IF(OFFSET(TH!O$1,SMALL(Dong1,ROWS($1:90)),)="1111",OFFSET(TH!M$1,SMALL(Dong1,ROWS($1:90)),),0))</f>
        <v/>
      </c>
      <c r="I103" s="151">
        <f ca="1">IF(E103&lt;&gt;"",I102+G103-H103,0)</f>
        <v>0</v>
      </c>
      <c r="J103" s="156"/>
    </row>
    <row r="104" spans="1:12" ht="19.5" customHeight="1">
      <c r="A104" s="150" t="str">
        <f ca="1">IF(ROWS($1:91)&gt;COUNT(Dong1),"",OFFSET(TH!C$1,SMALL(Dong1,ROWS($1:91)),))</f>
        <v/>
      </c>
      <c r="B104" s="150" t="str">
        <f ca="1">IF(ROWS($1:91)&gt;COUNT(Dong1),"",OFFSET(TH!E$1,SMALL(Dong1,ROWS($1:91)),))</f>
        <v/>
      </c>
      <c r="C104" s="151" t="str">
        <f ca="1">IF(ROWS($1:91)&gt;COUNT(Dong1),"",IF(OFFSET(TH!N$1,SMALL(Dong1,ROWS($1:91)),)="1111",OFFSET(TH!D$1,SMALL(Dong1,ROWS($1:91)),),""))</f>
        <v/>
      </c>
      <c r="D104" s="152" t="str">
        <f ca="1">IF(ROWS($1:91)&gt;COUNT(Dong1),"",IF(OFFSET(TH!O$1,SMALL(Dong1,ROWS($1:91)),)="1111",OFFSET(TH!D$1,SMALL(Dong1,ROWS($1:91)),),""))</f>
        <v/>
      </c>
      <c r="E104" s="354" t="str">
        <f ca="1">IF(ROWS($1:91)&gt;COUNT(Dong1),"",OFFSET(TH!F$1,SMALL(Dong1,ROWS($1:91)),))</f>
        <v/>
      </c>
      <c r="F104" s="154" t="str">
        <f ca="1">IF(ROWS($1:91)&gt;COUNT(Dong1),"",IF(OFFSET(TH!O$1,SMALL(Dong1,ROWS($1:91)),)="1111",OFFSET(TH!N$1,SMALL(Dong1,ROWS($1:91)),),OFFSET(TH!O$1,SMALL(Dong1,ROWS($1:91)),)))</f>
        <v/>
      </c>
      <c r="G104" s="155" t="str">
        <f ca="1">IF(ROWS($1:91)&gt;COUNT(Dong1),"",IF(OFFSET(TH!N$1,SMALL(Dong1,ROWS($1:91)),)="1111",OFFSET(TH!M$1,SMALL(Dong1,ROWS($1:91)),),0))</f>
        <v/>
      </c>
      <c r="H104" s="153" t="str">
        <f ca="1">IF(ROWS($1:91)&gt;COUNT(Dong1),"",IF(OFFSET(TH!O$1,SMALL(Dong1,ROWS($1:91)),)="1111",OFFSET(TH!M$1,SMALL(Dong1,ROWS($1:91)),),0))</f>
        <v/>
      </c>
      <c r="I104" s="151">
        <f ca="1">IF(E104&lt;&gt;"",I103+G104-H104,0)</f>
        <v>0</v>
      </c>
      <c r="J104" s="156"/>
    </row>
    <row r="105" spans="1:12" ht="19.5" customHeight="1">
      <c r="A105" s="157"/>
      <c r="B105" s="156"/>
      <c r="C105" s="156"/>
      <c r="D105" s="156"/>
      <c r="E105" s="355"/>
      <c r="F105" s="158"/>
      <c r="G105" s="156"/>
      <c r="H105" s="156"/>
      <c r="I105" s="151"/>
      <c r="J105" s="156"/>
    </row>
    <row r="106" spans="1:12" s="146" customFormat="1" ht="19.5" customHeight="1">
      <c r="A106" s="159"/>
      <c r="B106" s="159"/>
      <c r="C106" s="159"/>
      <c r="D106" s="159"/>
      <c r="E106" s="159" t="s">
        <v>158</v>
      </c>
      <c r="F106" s="160" t="s">
        <v>21</v>
      </c>
      <c r="G106" s="159">
        <f ca="1">SUM(G14:G105)</f>
        <v>0</v>
      </c>
      <c r="H106" s="159">
        <f ca="1">SUM(H14:H105)</f>
        <v>0</v>
      </c>
      <c r="I106" s="160" t="s">
        <v>21</v>
      </c>
      <c r="J106" s="160" t="s">
        <v>21</v>
      </c>
    </row>
    <row r="107" spans="1:12" s="146" customFormat="1" ht="19.5" customHeight="1">
      <c r="A107" s="161"/>
      <c r="B107" s="161"/>
      <c r="C107" s="161"/>
      <c r="D107" s="161"/>
      <c r="E107" s="161" t="s">
        <v>159</v>
      </c>
      <c r="F107" s="162" t="s">
        <v>21</v>
      </c>
      <c r="G107" s="162" t="s">
        <v>21</v>
      </c>
      <c r="H107" s="162" t="s">
        <v>21</v>
      </c>
      <c r="I107" s="163">
        <f ca="1">I13+G106-H106</f>
        <v>3705039095</v>
      </c>
      <c r="J107" s="162" t="s">
        <v>21</v>
      </c>
    </row>
    <row r="108" spans="1:12">
      <c r="L108" s="399" t="s">
        <v>253</v>
      </c>
    </row>
    <row r="109" spans="1:12">
      <c r="A109" s="164" t="s">
        <v>235</v>
      </c>
      <c r="L109" s="399" t="s">
        <v>254</v>
      </c>
    </row>
    <row r="110" spans="1:12">
      <c r="A110" s="214" t="e">
        <f ca="1">"- Ngày mở sổ: "&amp;DAY($A$14)&amp;"/"&amp;MONTH($A$14)&amp;"/ 2015"</f>
        <v>#VALUE!</v>
      </c>
      <c r="L110" s="399" t="s">
        <v>160</v>
      </c>
    </row>
    <row r="111" spans="1:12">
      <c r="I111" s="304" t="str">
        <f>"Ngày "&amp;IF(OR($L$11=4,$L$11=6,$L$11=9,$L$11=11),"30",IF($L$11=2,"28","31"))&amp;" tháng "&amp;$L$11&amp;"  năm  2016 "</f>
        <v xml:space="preserve">Ngày 31 tháng 1  năm  2016 </v>
      </c>
      <c r="L111" s="399" t="s">
        <v>235</v>
      </c>
    </row>
    <row r="112" spans="1:12" s="165" customFormat="1" ht="14.25">
      <c r="C112" s="165" t="s">
        <v>11</v>
      </c>
      <c r="E112" s="165" t="s">
        <v>12</v>
      </c>
      <c r="I112" s="165" t="s">
        <v>131</v>
      </c>
    </row>
    <row r="113" spans="1:10" s="166" customFormat="1">
      <c r="C113" s="166" t="s">
        <v>13</v>
      </c>
      <c r="E113" s="166" t="s">
        <v>13</v>
      </c>
      <c r="I113" s="166" t="s">
        <v>161</v>
      </c>
    </row>
    <row r="114" spans="1:10" s="166" customFormat="1"/>
    <row r="115" spans="1:10" s="166" customFormat="1"/>
    <row r="116" spans="1:10" s="166" customFormat="1"/>
    <row r="117" spans="1:10" s="166" customFormat="1"/>
    <row r="120" spans="1:10" ht="15.75">
      <c r="C120" s="352" t="s">
        <v>230</v>
      </c>
      <c r="I120" s="353" t="s">
        <v>125</v>
      </c>
    </row>
    <row r="121" spans="1:10">
      <c r="E121" s="141">
        <f ca="1">SUMIF($D$14:$D$36,#REF!,H14:H36)</f>
        <v>0</v>
      </c>
    </row>
    <row r="124" spans="1:10">
      <c r="A124" s="141">
        <v>2</v>
      </c>
      <c r="B124" s="141">
        <v>3</v>
      </c>
      <c r="C124" s="141">
        <v>4</v>
      </c>
      <c r="D124" s="141">
        <v>5</v>
      </c>
      <c r="E124" s="141">
        <v>6</v>
      </c>
      <c r="F124" s="141">
        <v>9</v>
      </c>
      <c r="G124" s="141">
        <v>10</v>
      </c>
      <c r="H124" s="141">
        <v>11</v>
      </c>
      <c r="I124" s="141">
        <v>12</v>
      </c>
      <c r="J124" s="141">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8" activePane="bottomLeft" state="frozen"/>
      <selection activeCell="A6" sqref="A6"/>
      <selection pane="bottomLeft" activeCell="M26" sqref="M26"/>
    </sheetView>
  </sheetViews>
  <sheetFormatPr defaultRowHeight="15.75"/>
  <cols>
    <col min="1" max="1" width="7.7109375" style="207" customWidth="1"/>
    <col min="2" max="2" width="6" style="208" customWidth="1"/>
    <col min="3" max="3" width="7.7109375" style="207" customWidth="1"/>
    <col min="4" max="4" width="40.7109375" style="206" customWidth="1"/>
    <col min="5" max="5" width="6.5703125" style="206" customWidth="1"/>
    <col min="6" max="6" width="14.28515625" style="206" customWidth="1"/>
    <col min="7" max="7" width="14.5703125" style="206" customWidth="1"/>
    <col min="8" max="8" width="14.7109375" style="698" customWidth="1"/>
    <col min="9" max="9" width="6.5703125" style="206" customWidth="1"/>
    <col min="10" max="10" width="2.85546875" style="206" customWidth="1"/>
    <col min="11" max="11" width="6.28515625" style="206" customWidth="1"/>
    <col min="12" max="12" width="3.28515625" style="206" customWidth="1"/>
    <col min="13" max="13" width="5.7109375" style="206" customWidth="1"/>
    <col min="14" max="14" width="9.140625" style="206"/>
    <col min="15" max="15" width="12.85546875" style="206" bestFit="1" customWidth="1"/>
    <col min="16" max="18" width="12.7109375" style="206" customWidth="1"/>
    <col min="19" max="19" width="12" style="206" bestFit="1" customWidth="1"/>
    <col min="20" max="16384" width="9.140625" style="206"/>
  </cols>
  <sheetData>
    <row r="1" spans="1:19" s="170" customFormat="1" ht="16.5" customHeight="1">
      <c r="A1" s="121" t="s">
        <v>138</v>
      </c>
      <c r="B1" s="171"/>
      <c r="C1" s="172"/>
      <c r="F1" s="356"/>
      <c r="G1" s="358" t="s">
        <v>236</v>
      </c>
      <c r="H1" s="1072"/>
      <c r="I1" s="356"/>
      <c r="K1" s="173"/>
      <c r="L1" s="173"/>
    </row>
    <row r="2" spans="1:19" s="170" customFormat="1" ht="16.5" customHeight="1">
      <c r="A2" s="360" t="s">
        <v>139</v>
      </c>
      <c r="B2" s="209"/>
      <c r="C2" s="209"/>
      <c r="D2" s="209"/>
      <c r="F2" s="357"/>
      <c r="G2" s="359" t="s">
        <v>237</v>
      </c>
      <c r="H2" s="1073"/>
      <c r="I2" s="357"/>
      <c r="K2" s="174"/>
      <c r="L2" s="174"/>
    </row>
    <row r="3" spans="1:19" s="170" customFormat="1" ht="16.5" customHeight="1">
      <c r="A3" s="209"/>
      <c r="B3" s="209"/>
      <c r="C3" s="209"/>
      <c r="D3" s="209"/>
      <c r="F3" s="357"/>
      <c r="G3" s="359" t="s">
        <v>238</v>
      </c>
      <c r="H3" s="1073"/>
      <c r="I3" s="357"/>
    </row>
    <row r="4" spans="1:19" s="170" customFormat="1" ht="19.5" customHeight="1">
      <c r="A4" s="1168" t="s">
        <v>165</v>
      </c>
      <c r="B4" s="1168"/>
      <c r="C4" s="1168"/>
      <c r="D4" s="1168"/>
      <c r="E4" s="1168"/>
      <c r="F4" s="1168"/>
      <c r="G4" s="1168"/>
      <c r="H4" s="1168"/>
      <c r="I4" s="1168"/>
    </row>
    <row r="5" spans="1:19" s="170" customFormat="1" ht="15">
      <c r="A5" s="1159" t="s">
        <v>166</v>
      </c>
      <c r="B5" s="1159"/>
      <c r="C5" s="1159"/>
      <c r="D5" s="1159"/>
      <c r="E5" s="1159"/>
      <c r="F5" s="1159"/>
      <c r="G5" s="1159"/>
      <c r="H5" s="1159"/>
      <c r="I5" s="1159"/>
    </row>
    <row r="6" spans="1:19" s="170" customFormat="1" ht="15">
      <c r="D6" s="416" t="s">
        <v>271</v>
      </c>
      <c r="E6" s="1159" t="str">
        <f>IF($H$6="VNĐ",IF($M$9="Q11","1015 148 5100 9180","1402 148 5100 9465"),IF($M$9="Q11","1015 148 5100 9193","1402 148 5100 9479"))</f>
        <v>1015 148 5100 9180</v>
      </c>
      <c r="F6" s="1159"/>
      <c r="G6" s="1159"/>
      <c r="H6" s="1074" t="s">
        <v>130</v>
      </c>
      <c r="I6" s="417" t="str">
        <f>IF(H6="VNĐ","1121",IF(H6="USD","1122",""))</f>
        <v>1121</v>
      </c>
      <c r="O6" s="1166" t="s">
        <v>663</v>
      </c>
      <c r="P6" s="1166" t="s">
        <v>662</v>
      </c>
      <c r="Q6" s="1166" t="s">
        <v>661</v>
      </c>
      <c r="R6" s="1166" t="s">
        <v>666</v>
      </c>
    </row>
    <row r="7" spans="1:19" s="170" customFormat="1" ht="8.25" customHeight="1">
      <c r="A7" s="175"/>
      <c r="B7" s="176"/>
      <c r="C7" s="175"/>
      <c r="D7" s="176"/>
      <c r="E7" s="176"/>
      <c r="F7" s="176"/>
      <c r="G7" s="176"/>
      <c r="H7" s="1075"/>
      <c r="I7" s="176"/>
      <c r="O7" s="1167"/>
      <c r="P7" s="1167"/>
      <c r="Q7" s="1167"/>
      <c r="R7" s="1167"/>
    </row>
    <row r="8" spans="1:19" s="177" customFormat="1" ht="22.5" customHeight="1" thickBot="1">
      <c r="A8" s="1160" t="s">
        <v>167</v>
      </c>
      <c r="B8" s="1162" t="s">
        <v>1</v>
      </c>
      <c r="C8" s="1163"/>
      <c r="D8" s="1157" t="s">
        <v>0</v>
      </c>
      <c r="E8" s="1164" t="s">
        <v>16</v>
      </c>
      <c r="F8" s="1162" t="s">
        <v>168</v>
      </c>
      <c r="G8" s="1162"/>
      <c r="H8" s="1163"/>
      <c r="I8" s="1157" t="s">
        <v>152</v>
      </c>
      <c r="K8" s="168"/>
      <c r="L8" s="170"/>
      <c r="O8" s="888" t="s">
        <v>665</v>
      </c>
      <c r="P8" s="411">
        <v>1749.9699999988079</v>
      </c>
      <c r="Q8" s="411">
        <v>97840.270000000019</v>
      </c>
      <c r="R8" s="411"/>
      <c r="S8" s="890">
        <f>SUM(P8:R8)</f>
        <v>99590.239999998827</v>
      </c>
    </row>
    <row r="9" spans="1:19" s="177" customFormat="1" ht="22.5" customHeight="1" thickBot="1">
      <c r="A9" s="1161"/>
      <c r="B9" s="178" t="s">
        <v>17</v>
      </c>
      <c r="C9" s="179" t="s">
        <v>169</v>
      </c>
      <c r="D9" s="1158"/>
      <c r="E9" s="1165"/>
      <c r="F9" s="407" t="s">
        <v>170</v>
      </c>
      <c r="G9" s="180" t="s">
        <v>171</v>
      </c>
      <c r="H9" s="1076" t="s">
        <v>172</v>
      </c>
      <c r="I9" s="1158"/>
      <c r="K9" s="885">
        <v>4</v>
      </c>
      <c r="L9" s="170"/>
      <c r="M9" s="886" t="s">
        <v>662</v>
      </c>
      <c r="O9" s="887" t="s">
        <v>664</v>
      </c>
      <c r="P9" s="889">
        <v>12092853</v>
      </c>
      <c r="Q9" s="889">
        <v>7626450</v>
      </c>
      <c r="R9" s="889">
        <v>109992</v>
      </c>
      <c r="S9" s="891">
        <f>SUM(P9:R9)</f>
        <v>19829295</v>
      </c>
    </row>
    <row r="10" spans="1:19" s="183" customFormat="1" ht="15">
      <c r="A10" s="181" t="s">
        <v>2</v>
      </c>
      <c r="B10" s="182" t="s">
        <v>3</v>
      </c>
      <c r="C10" s="181" t="s">
        <v>4</v>
      </c>
      <c r="D10" s="182" t="s">
        <v>5</v>
      </c>
      <c r="E10" s="182" t="s">
        <v>6</v>
      </c>
      <c r="F10" s="182">
        <v>1</v>
      </c>
      <c r="G10" s="182">
        <v>2</v>
      </c>
      <c r="H10" s="182">
        <v>3</v>
      </c>
      <c r="I10" s="182" t="s">
        <v>155</v>
      </c>
      <c r="L10" s="170"/>
    </row>
    <row r="11" spans="1:19" s="187" customFormat="1" ht="20.25" customHeight="1">
      <c r="A11" s="184"/>
      <c r="B11" s="185"/>
      <c r="C11" s="184"/>
      <c r="D11" s="186" t="s">
        <v>7</v>
      </c>
      <c r="E11" s="186"/>
      <c r="F11" s="895"/>
      <c r="G11" s="895"/>
      <c r="H11" s="892">
        <f>IF($H$6="USD",IF($M$9="Q11",$P$8,$Q$8)+SUMIF(_N112,"x",_TH)-SUMIF(_C112,"x",_TH),IF($M$9="Q11",$P$9,$Q$9)+SUMIF(_N112,"x",TH)-SUMIF(_C112,"x",TH))</f>
        <v>12092853</v>
      </c>
      <c r="I11" s="892"/>
      <c r="L11" s="170"/>
    </row>
    <row r="12" spans="1:19" s="177" customFormat="1" ht="20.25" customHeight="1">
      <c r="A12" s="188" t="str">
        <f ca="1">IF(ROWS($1:1)&gt;COUNT(Dong2),"",OFFSET(TH!C$1,SMALL(Dong2,ROWS($1:1)),))</f>
        <v/>
      </c>
      <c r="B12" s="188" t="str">
        <f ca="1">IF(ROWS($1:1)&gt;COUNT(Dong2),"",OFFSET(TH!D$1,SMALL(Dong2,ROWS($1:1)),))</f>
        <v/>
      </c>
      <c r="C12" s="188" t="str">
        <f ca="1">IF(ROWS($1:1)&gt;COUNT(Dong2),"",OFFSET(TH!E$1,SMALL(Dong2,ROWS($1:1)),))</f>
        <v/>
      </c>
      <c r="D12" s="361" t="str">
        <f ca="1">IF(ROWS($1:1)&gt;COUNT(Dong2),"",OFFSET(TH!F$1,SMALL(Dong2,ROWS($1:1)),))</f>
        <v/>
      </c>
      <c r="E12" s="188" t="str">
        <f ca="1">IF(ROWS($1:1)&gt;COUNT(Dong2),"",IF(OFFSET(TH!O$1,SMALL(Dong2,ROWS($1:1)),)=$I$6,OFFSET(TH!N$1,SMALL(Dong2,ROWS($1:1)),),OFFSET(TH!O$1,SMALL(Dong2,ROWS($1:1)),)))</f>
        <v/>
      </c>
      <c r="F12" s="896" t="str">
        <f ca="1">IF(ROWS($1:1)&gt;COUNT(Dong2),"",IF(AND(IF($M$9="Q4",LEFT(OFFSET(TH!G$1,SMALL(Dong2,ROWS($1:1)),),2)=$M$9,LEFT(OFFSET(TH!G$1,SMALL(Dong2,ROWS($1:1)),),3)=$M$9),OFFSET(TH!N$1,SMALL(Dong2,ROWS($1:1)),)=$I$6),IF($I$6="1121",OFFSET(TH!M$1,SMALL(Dong2,ROWS($1:1)),),OFFSET(TH!K$1,SMALL(Dong2,ROWS($1:1)),)),0))</f>
        <v/>
      </c>
      <c r="G12" s="896" t="str">
        <f ca="1">IF(ROWS($1:1)&gt;COUNT(Dong2),"",IF(AND(IF($M$9="Q4",RIGHT(OFFSET(TH!G$1,SMALL(Dong2,ROWS($1:1)),),2)=$M$9,RIGHT(OFFSET(TH!G$1,SMALL(Dong2,ROWS($1:1)),),3)=$M$9),OFFSET(TH!O$1,SMALL(Dong2,ROWS($1:1)),)=$I$6),IF($I$6="1121",OFFSET(TH!M$1,SMALL(Dong2,ROWS($1:1)),),OFFSET(TH!K$1,SMALL(Dong2,ROWS($1:1)),)),0))</f>
        <v/>
      </c>
      <c r="H12" s="893">
        <f ca="1">IF(A12&lt;&gt;"",H11+F12-G12,0)</f>
        <v>0</v>
      </c>
      <c r="I12" s="893"/>
      <c r="L12" s="170"/>
    </row>
    <row r="13" spans="1:19" s="177" customFormat="1" ht="20.25" customHeight="1">
      <c r="A13" s="188" t="str">
        <f ca="1">IF(ROWS($1:2)&gt;COUNT(Dong2),"",OFFSET(TH!C$1,SMALL(Dong2,ROWS($1:2)),))</f>
        <v/>
      </c>
      <c r="B13" s="188" t="str">
        <f ca="1">IF(ROWS($1:2)&gt;COUNT(Dong2),"",OFFSET(TH!D$1,SMALL(Dong2,ROWS($1:2)),))</f>
        <v/>
      </c>
      <c r="C13" s="188" t="str">
        <f ca="1">IF(ROWS($1:2)&gt;COUNT(Dong2),"",OFFSET(TH!E$1,SMALL(Dong2,ROWS($1:2)),))</f>
        <v/>
      </c>
      <c r="D13" s="361" t="str">
        <f ca="1">IF(ROWS($1:2)&gt;COUNT(Dong2),"",OFFSET(TH!F$1,SMALL(Dong2,ROWS($1:2)),))</f>
        <v/>
      </c>
      <c r="E13" s="188" t="str">
        <f ca="1">IF(ROWS($1:2)&gt;COUNT(Dong2),"",IF(OFFSET(TH!O$1,SMALL(Dong2,ROWS($1:2)),)=$I$6,OFFSET(TH!N$1,SMALL(Dong2,ROWS($1:2)),),OFFSET(TH!O$1,SMALL(Dong2,ROWS($1:2)),)))</f>
        <v/>
      </c>
      <c r="F13" s="896" t="str">
        <f ca="1">IF(ROWS($1:2)&gt;COUNT(Dong2),"",IF(AND(IF($M$9="Q4",LEFT(OFFSET(TH!G$1,SMALL(Dong2,ROWS($1:2)),),2)=$M$9,LEFT(OFFSET(TH!G$1,SMALL(Dong2,ROWS($1:2)),),3)=$M$9),OFFSET(TH!N$1,SMALL(Dong2,ROWS($1:2)),)=$I$6),IF($I$6="1121",OFFSET(TH!M$1,SMALL(Dong2,ROWS($1:2)),),OFFSET(TH!K$1,SMALL(Dong2,ROWS($1:2)),)),0))</f>
        <v/>
      </c>
      <c r="G13" s="896" t="str">
        <f ca="1">IF(ROWS($1:2)&gt;COUNT(Dong2),"",IF(AND(IF($M$9="Q4",RIGHT(OFFSET(TH!G$1,SMALL(Dong2,ROWS($1:2)),),2)=$M$9,RIGHT(OFFSET(TH!G$1,SMALL(Dong2,ROWS($1:2)),),3)=$M$9),OFFSET(TH!O$1,SMALL(Dong2,ROWS($1:2)),)=$I$6),IF($I$6="1121",OFFSET(TH!M$1,SMALL(Dong2,ROWS($1:2)),),OFFSET(TH!K$1,SMALL(Dong2,ROWS($1:2)),)),0))</f>
        <v/>
      </c>
      <c r="H13" s="893">
        <f t="shared" ref="H13:H52" ca="1" si="0">IF(A13&lt;&gt;"",H12+F13-G13,0)</f>
        <v>0</v>
      </c>
      <c r="I13" s="893"/>
      <c r="L13" s="170"/>
    </row>
    <row r="14" spans="1:19" s="177" customFormat="1" ht="20.25" customHeight="1">
      <c r="A14" s="188" t="str">
        <f ca="1">IF(ROWS($1:3)&gt;COUNT(Dong2),"",OFFSET(TH!C$1,SMALL(Dong2,ROWS($1:3)),))</f>
        <v/>
      </c>
      <c r="B14" s="188" t="str">
        <f ca="1">IF(ROWS($1:3)&gt;COUNT(Dong2),"",OFFSET(TH!D$1,SMALL(Dong2,ROWS($1:3)),))</f>
        <v/>
      </c>
      <c r="C14" s="188" t="str">
        <f ca="1">IF(ROWS($1:3)&gt;COUNT(Dong2),"",OFFSET(TH!E$1,SMALL(Dong2,ROWS($1:3)),))</f>
        <v/>
      </c>
      <c r="D14" s="361" t="str">
        <f ca="1">IF(ROWS($1:3)&gt;COUNT(Dong2),"",OFFSET(TH!F$1,SMALL(Dong2,ROWS($1:3)),))</f>
        <v/>
      </c>
      <c r="E14" s="188" t="str">
        <f ca="1">IF(ROWS($1:3)&gt;COUNT(Dong2),"",IF(OFFSET(TH!O$1,SMALL(Dong2,ROWS($1:3)),)=$I$6,OFFSET(TH!N$1,SMALL(Dong2,ROWS($1:3)),),OFFSET(TH!O$1,SMALL(Dong2,ROWS($1:3)),)))</f>
        <v/>
      </c>
      <c r="F14" s="896" t="str">
        <f ca="1">IF(ROWS($1:3)&gt;COUNT(Dong2),"",IF(AND(IF($M$9="Q4",LEFT(OFFSET(TH!G$1,SMALL(Dong2,ROWS($1:3)),),2)=$M$9,LEFT(OFFSET(TH!G$1,SMALL(Dong2,ROWS($1:3)),),3)=$M$9),OFFSET(TH!N$1,SMALL(Dong2,ROWS($1:3)),)=$I$6),IF($I$6="1121",OFFSET(TH!M$1,SMALL(Dong2,ROWS($1:3)),),OFFSET(TH!K$1,SMALL(Dong2,ROWS($1:3)),)),0))</f>
        <v/>
      </c>
      <c r="G14" s="896" t="str">
        <f ca="1">IF(ROWS($1:3)&gt;COUNT(Dong2),"",IF(AND(IF($M$9="Q4",RIGHT(OFFSET(TH!G$1,SMALL(Dong2,ROWS($1:3)),),2)=$M$9,RIGHT(OFFSET(TH!G$1,SMALL(Dong2,ROWS($1:3)),),3)=$M$9),OFFSET(TH!O$1,SMALL(Dong2,ROWS($1:3)),)=$I$6),IF($I$6="1121",OFFSET(TH!M$1,SMALL(Dong2,ROWS($1:3)),),OFFSET(TH!K$1,SMALL(Dong2,ROWS($1:3)),)),0))</f>
        <v/>
      </c>
      <c r="H14" s="893">
        <f t="shared" ca="1" si="0"/>
        <v>0</v>
      </c>
      <c r="I14" s="893"/>
      <c r="L14" s="170"/>
    </row>
    <row r="15" spans="1:19" s="177" customFormat="1" ht="20.25" customHeight="1">
      <c r="A15" s="188" t="str">
        <f ca="1">IF(ROWS($1:4)&gt;COUNT(Dong2),"",OFFSET(TH!C$1,SMALL(Dong2,ROWS($1:4)),))</f>
        <v/>
      </c>
      <c r="B15" s="188" t="str">
        <f ca="1">IF(ROWS($1:4)&gt;COUNT(Dong2),"",OFFSET(TH!D$1,SMALL(Dong2,ROWS($1:4)),))</f>
        <v/>
      </c>
      <c r="C15" s="188" t="str">
        <f ca="1">IF(ROWS($1:4)&gt;COUNT(Dong2),"",OFFSET(TH!E$1,SMALL(Dong2,ROWS($1:4)),))</f>
        <v/>
      </c>
      <c r="D15" s="361" t="str">
        <f ca="1">IF(ROWS($1:4)&gt;COUNT(Dong2),"",OFFSET(TH!F$1,SMALL(Dong2,ROWS($1:4)),))</f>
        <v/>
      </c>
      <c r="E15" s="188" t="str">
        <f ca="1">IF(ROWS($1:4)&gt;COUNT(Dong2),"",IF(OFFSET(TH!O$1,SMALL(Dong2,ROWS($1:4)),)=$I$6,OFFSET(TH!N$1,SMALL(Dong2,ROWS($1:4)),),OFFSET(TH!O$1,SMALL(Dong2,ROWS($1:4)),)))</f>
        <v/>
      </c>
      <c r="F15" s="896" t="str">
        <f ca="1">IF(ROWS($1:4)&gt;COUNT(Dong2),"",IF(AND(IF($M$9="Q4",LEFT(OFFSET(TH!G$1,SMALL(Dong2,ROWS($1:4)),),2)=$M$9,LEFT(OFFSET(TH!G$1,SMALL(Dong2,ROWS($1:4)),),3)=$M$9),OFFSET(TH!N$1,SMALL(Dong2,ROWS($1:4)),)=$I$6),IF($I$6="1121",OFFSET(TH!M$1,SMALL(Dong2,ROWS($1:4)),),OFFSET(TH!K$1,SMALL(Dong2,ROWS($1:4)),)),0))</f>
        <v/>
      </c>
      <c r="G15" s="896" t="str">
        <f ca="1">IF(ROWS($1:4)&gt;COUNT(Dong2),"",IF(AND(IF($M$9="Q4",RIGHT(OFFSET(TH!G$1,SMALL(Dong2,ROWS($1:4)),),2)=$M$9,RIGHT(OFFSET(TH!G$1,SMALL(Dong2,ROWS($1:4)),),3)=$M$9),OFFSET(TH!O$1,SMALL(Dong2,ROWS($1:4)),)=$I$6),IF($I$6="1121",OFFSET(TH!M$1,SMALL(Dong2,ROWS($1:4)),),OFFSET(TH!K$1,SMALL(Dong2,ROWS($1:4)),)),0))</f>
        <v/>
      </c>
      <c r="H15" s="893">
        <f t="shared" ca="1" si="0"/>
        <v>0</v>
      </c>
      <c r="I15" s="893"/>
      <c r="L15" s="170"/>
    </row>
    <row r="16" spans="1:19" s="177" customFormat="1" ht="20.25" customHeight="1">
      <c r="A16" s="188" t="str">
        <f ca="1">IF(ROWS($1:5)&gt;COUNT(Dong2),"",OFFSET(TH!C$1,SMALL(Dong2,ROWS($1:5)),))</f>
        <v/>
      </c>
      <c r="B16" s="188" t="str">
        <f ca="1">IF(ROWS($1:5)&gt;COUNT(Dong2),"",OFFSET(TH!D$1,SMALL(Dong2,ROWS($1:5)),))</f>
        <v/>
      </c>
      <c r="C16" s="188" t="str">
        <f ca="1">IF(ROWS($1:5)&gt;COUNT(Dong2),"",OFFSET(TH!E$1,SMALL(Dong2,ROWS($1:5)),))</f>
        <v/>
      </c>
      <c r="D16" s="361" t="str">
        <f ca="1">IF(ROWS($1:5)&gt;COUNT(Dong2),"",OFFSET(TH!F$1,SMALL(Dong2,ROWS($1:5)),))</f>
        <v/>
      </c>
      <c r="E16" s="188" t="str">
        <f ca="1">IF(ROWS($1:5)&gt;COUNT(Dong2),"",IF(OFFSET(TH!O$1,SMALL(Dong2,ROWS($1:5)),)=$I$6,OFFSET(TH!N$1,SMALL(Dong2,ROWS($1:5)),),OFFSET(TH!O$1,SMALL(Dong2,ROWS($1:5)),)))</f>
        <v/>
      </c>
      <c r="F16" s="896" t="str">
        <f ca="1">IF(ROWS($1:5)&gt;COUNT(Dong2),"",IF(AND(IF($M$9="Q4",LEFT(OFFSET(TH!G$1,SMALL(Dong2,ROWS($1:5)),),2)=$M$9,LEFT(OFFSET(TH!G$1,SMALL(Dong2,ROWS($1:5)),),3)=$M$9),OFFSET(TH!N$1,SMALL(Dong2,ROWS($1:5)),)=$I$6),IF($I$6="1121",OFFSET(TH!M$1,SMALL(Dong2,ROWS($1:5)),),OFFSET(TH!K$1,SMALL(Dong2,ROWS($1:5)),)),0))</f>
        <v/>
      </c>
      <c r="G16" s="896" t="str">
        <f ca="1">IF(ROWS($1:5)&gt;COUNT(Dong2),"",IF(AND(IF($M$9="Q4",RIGHT(OFFSET(TH!G$1,SMALL(Dong2,ROWS($1:5)),),2)=$M$9,RIGHT(OFFSET(TH!G$1,SMALL(Dong2,ROWS($1:5)),),3)=$M$9),OFFSET(TH!O$1,SMALL(Dong2,ROWS($1:5)),)=$I$6),IF($I$6="1121",OFFSET(TH!M$1,SMALL(Dong2,ROWS($1:5)),),OFFSET(TH!K$1,SMALL(Dong2,ROWS($1:5)),)),0))</f>
        <v/>
      </c>
      <c r="H16" s="893">
        <f t="shared" ca="1" si="0"/>
        <v>0</v>
      </c>
      <c r="I16" s="893"/>
      <c r="L16" s="170"/>
    </row>
    <row r="17" spans="1:15" s="177" customFormat="1" ht="20.25" customHeight="1">
      <c r="A17" s="188" t="str">
        <f ca="1">IF(ROWS($1:6)&gt;COUNT(Dong2),"",OFFSET(TH!C$1,SMALL(Dong2,ROWS($1:6)),))</f>
        <v/>
      </c>
      <c r="B17" s="188" t="str">
        <f ca="1">IF(ROWS($1:6)&gt;COUNT(Dong2),"",OFFSET(TH!D$1,SMALL(Dong2,ROWS($1:6)),))</f>
        <v/>
      </c>
      <c r="C17" s="188" t="str">
        <f ca="1">IF(ROWS($1:6)&gt;COUNT(Dong2),"",OFFSET(TH!E$1,SMALL(Dong2,ROWS($1:6)),))</f>
        <v/>
      </c>
      <c r="D17" s="361" t="str">
        <f ca="1">IF(ROWS($1:6)&gt;COUNT(Dong2),"",OFFSET(TH!F$1,SMALL(Dong2,ROWS($1:6)),))</f>
        <v/>
      </c>
      <c r="E17" s="188" t="str">
        <f ca="1">IF(ROWS($1:6)&gt;COUNT(Dong2),"",IF(OFFSET(TH!O$1,SMALL(Dong2,ROWS($1:6)),)=$I$6,OFFSET(TH!N$1,SMALL(Dong2,ROWS($1:6)),),OFFSET(TH!O$1,SMALL(Dong2,ROWS($1:6)),)))</f>
        <v/>
      </c>
      <c r="F17" s="896" t="str">
        <f ca="1">IF(ROWS($1:6)&gt;COUNT(Dong2),"",IF(AND(IF($M$9="Q4",LEFT(OFFSET(TH!G$1,SMALL(Dong2,ROWS($1:6)),),2)=$M$9,LEFT(OFFSET(TH!G$1,SMALL(Dong2,ROWS($1:6)),),3)=$M$9),OFFSET(TH!N$1,SMALL(Dong2,ROWS($1:6)),)=$I$6),IF($I$6="1121",OFFSET(TH!M$1,SMALL(Dong2,ROWS($1:6)),),OFFSET(TH!K$1,SMALL(Dong2,ROWS($1:6)),)),0))</f>
        <v/>
      </c>
      <c r="G17" s="896" t="str">
        <f ca="1">IF(ROWS($1:6)&gt;COUNT(Dong2),"",IF(AND(IF($M$9="Q4",RIGHT(OFFSET(TH!G$1,SMALL(Dong2,ROWS($1:6)),),2)=$M$9,RIGHT(OFFSET(TH!G$1,SMALL(Dong2,ROWS($1:6)),),3)=$M$9),OFFSET(TH!O$1,SMALL(Dong2,ROWS($1:6)),)=$I$6),IF($I$6="1121",OFFSET(TH!M$1,SMALL(Dong2,ROWS($1:6)),),OFFSET(TH!K$1,SMALL(Dong2,ROWS($1:6)),)),0))</f>
        <v/>
      </c>
      <c r="H17" s="893">
        <f t="shared" ca="1" si="0"/>
        <v>0</v>
      </c>
      <c r="I17" s="893"/>
      <c r="L17" s="170"/>
    </row>
    <row r="18" spans="1:15" s="177" customFormat="1" ht="20.25" customHeight="1">
      <c r="A18" s="188" t="str">
        <f ca="1">IF(ROWS($1:7)&gt;COUNT(Dong2),"",OFFSET(TH!C$1,SMALL(Dong2,ROWS($1:7)),))</f>
        <v/>
      </c>
      <c r="B18" s="188" t="str">
        <f ca="1">IF(ROWS($1:7)&gt;COUNT(Dong2),"",OFFSET(TH!D$1,SMALL(Dong2,ROWS($1:7)),))</f>
        <v/>
      </c>
      <c r="C18" s="188" t="str">
        <f ca="1">IF(ROWS($1:7)&gt;COUNT(Dong2),"",OFFSET(TH!E$1,SMALL(Dong2,ROWS($1:7)),))</f>
        <v/>
      </c>
      <c r="D18" s="361" t="str">
        <f ca="1">IF(ROWS($1:7)&gt;COUNT(Dong2),"",OFFSET(TH!F$1,SMALL(Dong2,ROWS($1:7)),))</f>
        <v/>
      </c>
      <c r="E18" s="188" t="str">
        <f ca="1">IF(ROWS($1:7)&gt;COUNT(Dong2),"",IF(OFFSET(TH!O$1,SMALL(Dong2,ROWS($1:7)),)=$I$6,OFFSET(TH!N$1,SMALL(Dong2,ROWS($1:7)),),OFFSET(TH!O$1,SMALL(Dong2,ROWS($1:7)),)))</f>
        <v/>
      </c>
      <c r="F18" s="896" t="str">
        <f ca="1">IF(ROWS($1:7)&gt;COUNT(Dong2),"",IF(AND(IF($M$9="Q4",LEFT(OFFSET(TH!G$1,SMALL(Dong2,ROWS($1:7)),),2)=$M$9,LEFT(OFFSET(TH!G$1,SMALL(Dong2,ROWS($1:7)),),3)=$M$9),OFFSET(TH!N$1,SMALL(Dong2,ROWS($1:7)),)=$I$6),IF($I$6="1121",OFFSET(TH!M$1,SMALL(Dong2,ROWS($1:7)),),OFFSET(TH!K$1,SMALL(Dong2,ROWS($1:7)),)),0))</f>
        <v/>
      </c>
      <c r="G18" s="896" t="str">
        <f ca="1">IF(ROWS($1:7)&gt;COUNT(Dong2),"",IF(AND(IF($M$9="Q4",RIGHT(OFFSET(TH!G$1,SMALL(Dong2,ROWS($1:7)),),2)=$M$9,RIGHT(OFFSET(TH!G$1,SMALL(Dong2,ROWS($1:7)),),3)=$M$9),OFFSET(TH!O$1,SMALL(Dong2,ROWS($1:7)),)=$I$6),IF($I$6="1121",OFFSET(TH!M$1,SMALL(Dong2,ROWS($1:7)),),OFFSET(TH!K$1,SMALL(Dong2,ROWS($1:7)),)),0))</f>
        <v/>
      </c>
      <c r="H18" s="893">
        <f t="shared" ca="1" si="0"/>
        <v>0</v>
      </c>
      <c r="I18" s="893"/>
      <c r="L18" s="170"/>
    </row>
    <row r="19" spans="1:15" s="177" customFormat="1" ht="20.25" customHeight="1">
      <c r="A19" s="188" t="str">
        <f ca="1">IF(ROWS($1:8)&gt;COUNT(Dong2),"",OFFSET(TH!C$1,SMALL(Dong2,ROWS($1:8)),))</f>
        <v/>
      </c>
      <c r="B19" s="188" t="str">
        <f ca="1">IF(ROWS($1:8)&gt;COUNT(Dong2),"",OFFSET(TH!D$1,SMALL(Dong2,ROWS($1:8)),))</f>
        <v/>
      </c>
      <c r="C19" s="188" t="str">
        <f ca="1">IF(ROWS($1:8)&gt;COUNT(Dong2),"",OFFSET(TH!E$1,SMALL(Dong2,ROWS($1:8)),))</f>
        <v/>
      </c>
      <c r="D19" s="361" t="str">
        <f ca="1">IF(ROWS($1:8)&gt;COUNT(Dong2),"",OFFSET(TH!F$1,SMALL(Dong2,ROWS($1:8)),))</f>
        <v/>
      </c>
      <c r="E19" s="188" t="str">
        <f ca="1">IF(ROWS($1:8)&gt;COUNT(Dong2),"",IF(OFFSET(TH!O$1,SMALL(Dong2,ROWS($1:8)),)=$I$6,OFFSET(TH!N$1,SMALL(Dong2,ROWS($1:8)),),OFFSET(TH!O$1,SMALL(Dong2,ROWS($1:8)),)))</f>
        <v/>
      </c>
      <c r="F19" s="896" t="str">
        <f ca="1">IF(ROWS($1:8)&gt;COUNT(Dong2),"",IF(AND(IF($M$9="Q4",LEFT(OFFSET(TH!G$1,SMALL(Dong2,ROWS($1:8)),),2)=$M$9,LEFT(OFFSET(TH!G$1,SMALL(Dong2,ROWS($1:8)),),3)=$M$9),OFFSET(TH!N$1,SMALL(Dong2,ROWS($1:8)),)=$I$6),IF($I$6="1121",OFFSET(TH!M$1,SMALL(Dong2,ROWS($1:8)),),OFFSET(TH!K$1,SMALL(Dong2,ROWS($1:8)),)),0))</f>
        <v/>
      </c>
      <c r="G19" s="896" t="str">
        <f ca="1">IF(ROWS($1:8)&gt;COUNT(Dong2),"",IF(AND(IF($M$9="Q4",RIGHT(OFFSET(TH!G$1,SMALL(Dong2,ROWS($1:8)),),2)=$M$9,RIGHT(OFFSET(TH!G$1,SMALL(Dong2,ROWS($1:8)),),3)=$M$9),OFFSET(TH!O$1,SMALL(Dong2,ROWS($1:8)),)=$I$6),IF($I$6="1121",OFFSET(TH!M$1,SMALL(Dong2,ROWS($1:8)),),OFFSET(TH!K$1,SMALL(Dong2,ROWS($1:8)),)),0))</f>
        <v/>
      </c>
      <c r="H19" s="893">
        <f t="shared" ca="1" si="0"/>
        <v>0</v>
      </c>
      <c r="I19" s="893"/>
      <c r="L19" s="170"/>
    </row>
    <row r="20" spans="1:15" s="177" customFormat="1" ht="20.25" customHeight="1">
      <c r="A20" s="188" t="str">
        <f ca="1">IF(ROWS($1:9)&gt;COUNT(Dong2),"",OFFSET(TH!C$1,SMALL(Dong2,ROWS($1:9)),))</f>
        <v/>
      </c>
      <c r="B20" s="188" t="str">
        <f ca="1">IF(ROWS($1:9)&gt;COUNT(Dong2),"",OFFSET(TH!D$1,SMALL(Dong2,ROWS($1:9)),))</f>
        <v/>
      </c>
      <c r="C20" s="188" t="str">
        <f ca="1">IF(ROWS($1:9)&gt;COUNT(Dong2),"",OFFSET(TH!E$1,SMALL(Dong2,ROWS($1:9)),))</f>
        <v/>
      </c>
      <c r="D20" s="361" t="str">
        <f ca="1">IF(ROWS($1:9)&gt;COUNT(Dong2),"",OFFSET(TH!F$1,SMALL(Dong2,ROWS($1:9)),))</f>
        <v/>
      </c>
      <c r="E20" s="188" t="str">
        <f ca="1">IF(ROWS($1:9)&gt;COUNT(Dong2),"",IF(OFFSET(TH!O$1,SMALL(Dong2,ROWS($1:9)),)=$I$6,OFFSET(TH!N$1,SMALL(Dong2,ROWS($1:9)),),OFFSET(TH!O$1,SMALL(Dong2,ROWS($1:9)),)))</f>
        <v/>
      </c>
      <c r="F20" s="896" t="str">
        <f ca="1">IF(ROWS($1:9)&gt;COUNT(Dong2),"",IF(AND(IF($M$9="Q4",LEFT(OFFSET(TH!G$1,SMALL(Dong2,ROWS($1:9)),),2)=$M$9,LEFT(OFFSET(TH!G$1,SMALL(Dong2,ROWS($1:9)),),3)=$M$9),OFFSET(TH!N$1,SMALL(Dong2,ROWS($1:9)),)=$I$6),IF($I$6="1121",OFFSET(TH!M$1,SMALL(Dong2,ROWS($1:9)),),OFFSET(TH!K$1,SMALL(Dong2,ROWS($1:9)),)),0))</f>
        <v/>
      </c>
      <c r="G20" s="896" t="str">
        <f ca="1">IF(ROWS($1:9)&gt;COUNT(Dong2),"",IF(AND(IF($M$9="Q4",RIGHT(OFFSET(TH!G$1,SMALL(Dong2,ROWS($1:9)),),2)=$M$9,RIGHT(OFFSET(TH!G$1,SMALL(Dong2,ROWS($1:9)),),3)=$M$9),OFFSET(TH!O$1,SMALL(Dong2,ROWS($1:9)),)=$I$6),IF($I$6="1121",OFFSET(TH!M$1,SMALL(Dong2,ROWS($1:9)),),OFFSET(TH!K$1,SMALL(Dong2,ROWS($1:9)),)),0))</f>
        <v/>
      </c>
      <c r="H20" s="893">
        <f t="shared" ca="1" si="0"/>
        <v>0</v>
      </c>
      <c r="I20" s="893"/>
      <c r="L20" s="170"/>
    </row>
    <row r="21" spans="1:15" s="177" customFormat="1" ht="20.25" customHeight="1">
      <c r="A21" s="188" t="str">
        <f ca="1">IF(ROWS($1:10)&gt;COUNT(Dong2),"",OFFSET(TH!C$1,SMALL(Dong2,ROWS($1:10)),))</f>
        <v/>
      </c>
      <c r="B21" s="188" t="str">
        <f ca="1">IF(ROWS($1:10)&gt;COUNT(Dong2),"",OFFSET(TH!D$1,SMALL(Dong2,ROWS($1:10)),))</f>
        <v/>
      </c>
      <c r="C21" s="188" t="str">
        <f ca="1">IF(ROWS($1:10)&gt;COUNT(Dong2),"",OFFSET(TH!E$1,SMALL(Dong2,ROWS($1:10)),))</f>
        <v/>
      </c>
      <c r="D21" s="361" t="str">
        <f ca="1">IF(ROWS($1:10)&gt;COUNT(Dong2),"",OFFSET(TH!F$1,SMALL(Dong2,ROWS($1:10)),))</f>
        <v/>
      </c>
      <c r="E21" s="188" t="str">
        <f ca="1">IF(ROWS($1:10)&gt;COUNT(Dong2),"",IF(OFFSET(TH!O$1,SMALL(Dong2,ROWS($1:10)),)=$I$6,OFFSET(TH!N$1,SMALL(Dong2,ROWS($1:10)),),OFFSET(TH!O$1,SMALL(Dong2,ROWS($1:10)),)))</f>
        <v/>
      </c>
      <c r="F21" s="896" t="str">
        <f ca="1">IF(ROWS($1:10)&gt;COUNT(Dong2),"",IF(AND(IF($M$9="Q4",LEFT(OFFSET(TH!G$1,SMALL(Dong2,ROWS($1:10)),),2)=$M$9,LEFT(OFFSET(TH!G$1,SMALL(Dong2,ROWS($1:10)),),3)=$M$9),OFFSET(TH!N$1,SMALL(Dong2,ROWS($1:10)),)=$I$6),IF($I$6="1121",OFFSET(TH!M$1,SMALL(Dong2,ROWS($1:10)),),OFFSET(TH!K$1,SMALL(Dong2,ROWS($1:10)),)),0))</f>
        <v/>
      </c>
      <c r="G21" s="896" t="str">
        <f ca="1">IF(ROWS($1:10)&gt;COUNT(Dong2),"",IF(AND(IF($M$9="Q4",RIGHT(OFFSET(TH!G$1,SMALL(Dong2,ROWS($1:10)),),2)=$M$9,RIGHT(OFFSET(TH!G$1,SMALL(Dong2,ROWS($1:10)),),3)=$M$9),OFFSET(TH!O$1,SMALL(Dong2,ROWS($1:10)),)=$I$6),IF($I$6="1121",OFFSET(TH!M$1,SMALL(Dong2,ROWS($1:10)),),OFFSET(TH!K$1,SMALL(Dong2,ROWS($1:10)),)),0))</f>
        <v/>
      </c>
      <c r="H21" s="893">
        <f t="shared" ca="1" si="0"/>
        <v>0</v>
      </c>
      <c r="I21" s="893"/>
      <c r="L21" s="170"/>
    </row>
    <row r="22" spans="1:15" s="177" customFormat="1" ht="20.25" customHeight="1">
      <c r="A22" s="188" t="str">
        <f ca="1">IF(ROWS($1:11)&gt;COUNT(Dong2),"",OFFSET(TH!C$1,SMALL(Dong2,ROWS($1:11)),))</f>
        <v/>
      </c>
      <c r="B22" s="188" t="str">
        <f ca="1">IF(ROWS($1:11)&gt;COUNT(Dong2),"",OFFSET(TH!D$1,SMALL(Dong2,ROWS($1:11)),))</f>
        <v/>
      </c>
      <c r="C22" s="188" t="str">
        <f ca="1">IF(ROWS($1:11)&gt;COUNT(Dong2),"",OFFSET(TH!E$1,SMALL(Dong2,ROWS($1:11)),))</f>
        <v/>
      </c>
      <c r="D22" s="361" t="str">
        <f ca="1">IF(ROWS($1:11)&gt;COUNT(Dong2),"",OFFSET(TH!F$1,SMALL(Dong2,ROWS($1:11)),))</f>
        <v/>
      </c>
      <c r="E22" s="188" t="str">
        <f ca="1">IF(ROWS($1:11)&gt;COUNT(Dong2),"",IF(OFFSET(TH!O$1,SMALL(Dong2,ROWS($1:11)),)=$I$6,OFFSET(TH!N$1,SMALL(Dong2,ROWS($1:11)),),OFFSET(TH!O$1,SMALL(Dong2,ROWS($1:11)),)))</f>
        <v/>
      </c>
      <c r="F22" s="896" t="str">
        <f ca="1">IF(ROWS($1:11)&gt;COUNT(Dong2),"",IF(AND(IF($M$9="Q4",LEFT(OFFSET(TH!G$1,SMALL(Dong2,ROWS($1:11)),),2)=$M$9,LEFT(OFFSET(TH!G$1,SMALL(Dong2,ROWS($1:11)),),3)=$M$9),OFFSET(TH!N$1,SMALL(Dong2,ROWS($1:11)),)=$I$6),IF($I$6="1121",OFFSET(TH!M$1,SMALL(Dong2,ROWS($1:11)),),OFFSET(TH!K$1,SMALL(Dong2,ROWS($1:11)),)),0))</f>
        <v/>
      </c>
      <c r="G22" s="896" t="str">
        <f ca="1">IF(ROWS($1:11)&gt;COUNT(Dong2),"",IF(AND(IF($M$9="Q4",RIGHT(OFFSET(TH!G$1,SMALL(Dong2,ROWS($1:11)),),2)=$M$9,RIGHT(OFFSET(TH!G$1,SMALL(Dong2,ROWS($1:11)),),3)=$M$9),OFFSET(TH!O$1,SMALL(Dong2,ROWS($1:11)),)=$I$6),IF($I$6="1121",OFFSET(TH!M$1,SMALL(Dong2,ROWS($1:11)),),OFFSET(TH!K$1,SMALL(Dong2,ROWS($1:11)),)),0))</f>
        <v/>
      </c>
      <c r="H22" s="893">
        <f t="shared" ca="1" si="0"/>
        <v>0</v>
      </c>
      <c r="I22" s="893"/>
      <c r="L22" s="170"/>
      <c r="O22" s="891"/>
    </row>
    <row r="23" spans="1:15" s="177" customFormat="1" ht="20.25" customHeight="1">
      <c r="A23" s="188" t="str">
        <f ca="1">IF(ROWS($1:12)&gt;COUNT(Dong2),"",OFFSET(TH!C$1,SMALL(Dong2,ROWS($1:12)),))</f>
        <v/>
      </c>
      <c r="B23" s="188" t="str">
        <f ca="1">IF(ROWS($1:12)&gt;COUNT(Dong2),"",OFFSET(TH!D$1,SMALL(Dong2,ROWS($1:12)),))</f>
        <v/>
      </c>
      <c r="C23" s="188" t="str">
        <f ca="1">IF(ROWS($1:12)&gt;COUNT(Dong2),"",OFFSET(TH!E$1,SMALL(Dong2,ROWS($1:12)),))</f>
        <v/>
      </c>
      <c r="D23" s="361" t="str">
        <f ca="1">IF(ROWS($1:12)&gt;COUNT(Dong2),"",OFFSET(TH!F$1,SMALL(Dong2,ROWS($1:12)),))</f>
        <v/>
      </c>
      <c r="E23" s="188" t="str">
        <f ca="1">IF(ROWS($1:12)&gt;COUNT(Dong2),"",IF(OFFSET(TH!O$1,SMALL(Dong2,ROWS($1:12)),)=$I$6,OFFSET(TH!N$1,SMALL(Dong2,ROWS($1:12)),),OFFSET(TH!O$1,SMALL(Dong2,ROWS($1:12)),)))</f>
        <v/>
      </c>
      <c r="F23" s="896" t="str">
        <f ca="1">IF(ROWS($1:12)&gt;COUNT(Dong2),"",IF(AND(IF($M$9="Q4",LEFT(OFFSET(TH!G$1,SMALL(Dong2,ROWS($1:12)),),2)=$M$9,LEFT(OFFSET(TH!G$1,SMALL(Dong2,ROWS($1:12)),),3)=$M$9),OFFSET(TH!N$1,SMALL(Dong2,ROWS($1:12)),)=$I$6),IF($I$6="1121",OFFSET(TH!M$1,SMALL(Dong2,ROWS($1:12)),),OFFSET(TH!K$1,SMALL(Dong2,ROWS($1:12)),)),0))</f>
        <v/>
      </c>
      <c r="G23" s="896" t="str">
        <f ca="1">IF(ROWS($1:12)&gt;COUNT(Dong2),"",IF(AND(IF($M$9="Q4",RIGHT(OFFSET(TH!G$1,SMALL(Dong2,ROWS($1:12)),),2)=$M$9,RIGHT(OFFSET(TH!G$1,SMALL(Dong2,ROWS($1:12)),),3)=$M$9),OFFSET(TH!O$1,SMALL(Dong2,ROWS($1:12)),)=$I$6),IF($I$6="1121",OFFSET(TH!M$1,SMALL(Dong2,ROWS($1:12)),),OFFSET(TH!K$1,SMALL(Dong2,ROWS($1:12)),)),0))</f>
        <v/>
      </c>
      <c r="H23" s="893">
        <f t="shared" ca="1" si="0"/>
        <v>0</v>
      </c>
      <c r="I23" s="893"/>
      <c r="L23" s="170"/>
    </row>
    <row r="24" spans="1:15" s="177" customFormat="1" ht="20.25" customHeight="1">
      <c r="A24" s="188" t="str">
        <f ca="1">IF(ROWS($1:13)&gt;COUNT(Dong2),"",OFFSET(TH!C$1,SMALL(Dong2,ROWS($1:13)),))</f>
        <v/>
      </c>
      <c r="B24" s="188" t="str">
        <f ca="1">IF(ROWS($1:13)&gt;COUNT(Dong2),"",OFFSET(TH!D$1,SMALL(Dong2,ROWS($1:13)),))</f>
        <v/>
      </c>
      <c r="C24" s="188" t="str">
        <f ca="1">IF(ROWS($1:13)&gt;COUNT(Dong2),"",OFFSET(TH!E$1,SMALL(Dong2,ROWS($1:13)),))</f>
        <v/>
      </c>
      <c r="D24" s="361" t="str">
        <f ca="1">IF(ROWS($1:13)&gt;COUNT(Dong2),"",OFFSET(TH!F$1,SMALL(Dong2,ROWS($1:13)),))</f>
        <v/>
      </c>
      <c r="E24" s="188" t="str">
        <f ca="1">IF(ROWS($1:13)&gt;COUNT(Dong2),"",IF(OFFSET(TH!O$1,SMALL(Dong2,ROWS($1:13)),)=$I$6,OFFSET(TH!N$1,SMALL(Dong2,ROWS($1:13)),),OFFSET(TH!O$1,SMALL(Dong2,ROWS($1:13)),)))</f>
        <v/>
      </c>
      <c r="F24" s="896" t="str">
        <f ca="1">IF(ROWS($1:13)&gt;COUNT(Dong2),"",IF(AND(IF($M$9="Q4",LEFT(OFFSET(TH!G$1,SMALL(Dong2,ROWS($1:13)),),2)=$M$9,LEFT(OFFSET(TH!G$1,SMALL(Dong2,ROWS($1:13)),),3)=$M$9),OFFSET(TH!N$1,SMALL(Dong2,ROWS($1:13)),)=$I$6),IF($I$6="1121",OFFSET(TH!M$1,SMALL(Dong2,ROWS($1:13)),),OFFSET(TH!K$1,SMALL(Dong2,ROWS($1:13)),)),0))</f>
        <v/>
      </c>
      <c r="G24" s="896" t="str">
        <f ca="1">IF(ROWS($1:13)&gt;COUNT(Dong2),"",IF(AND(IF($M$9="Q4",RIGHT(OFFSET(TH!G$1,SMALL(Dong2,ROWS($1:13)),),2)=$M$9,RIGHT(OFFSET(TH!G$1,SMALL(Dong2,ROWS($1:13)),),3)=$M$9),OFFSET(TH!O$1,SMALL(Dong2,ROWS($1:13)),)=$I$6),IF($I$6="1121",OFFSET(TH!M$1,SMALL(Dong2,ROWS($1:13)),),OFFSET(TH!K$1,SMALL(Dong2,ROWS($1:13)),)),0))</f>
        <v/>
      </c>
      <c r="H24" s="893">
        <f t="shared" ca="1" si="0"/>
        <v>0</v>
      </c>
      <c r="I24" s="893"/>
      <c r="L24" s="170"/>
      <c r="O24" s="1071"/>
    </row>
    <row r="25" spans="1:15" s="177" customFormat="1" ht="20.25" customHeight="1">
      <c r="A25" s="188" t="str">
        <f ca="1">IF(ROWS($1:14)&gt;COUNT(Dong2),"",OFFSET(TH!C$1,SMALL(Dong2,ROWS($1:14)),))</f>
        <v/>
      </c>
      <c r="B25" s="188" t="str">
        <f ca="1">IF(ROWS($1:14)&gt;COUNT(Dong2),"",OFFSET(TH!D$1,SMALL(Dong2,ROWS($1:14)),))</f>
        <v/>
      </c>
      <c r="C25" s="188" t="str">
        <f ca="1">IF(ROWS($1:14)&gt;COUNT(Dong2),"",OFFSET(TH!E$1,SMALL(Dong2,ROWS($1:14)),))</f>
        <v/>
      </c>
      <c r="D25" s="361" t="str">
        <f ca="1">IF(ROWS($1:14)&gt;COUNT(Dong2),"",OFFSET(TH!F$1,SMALL(Dong2,ROWS($1:14)),))</f>
        <v/>
      </c>
      <c r="E25" s="188" t="str">
        <f ca="1">IF(ROWS($1:14)&gt;COUNT(Dong2),"",IF(OFFSET(TH!O$1,SMALL(Dong2,ROWS($1:14)),)=$I$6,OFFSET(TH!N$1,SMALL(Dong2,ROWS($1:14)),),OFFSET(TH!O$1,SMALL(Dong2,ROWS($1:14)),)))</f>
        <v/>
      </c>
      <c r="F25" s="896" t="str">
        <f ca="1">IF(ROWS($1:14)&gt;COUNT(Dong2),"",IF(AND(IF($M$9="Q4",LEFT(OFFSET(TH!G$1,SMALL(Dong2,ROWS($1:14)),),2)=$M$9,LEFT(OFFSET(TH!G$1,SMALL(Dong2,ROWS($1:14)),),3)=$M$9),OFFSET(TH!N$1,SMALL(Dong2,ROWS($1:14)),)=$I$6),IF($I$6="1121",OFFSET(TH!M$1,SMALL(Dong2,ROWS($1:14)),),OFFSET(TH!K$1,SMALL(Dong2,ROWS($1:14)),)),0))</f>
        <v/>
      </c>
      <c r="G25" s="896" t="str">
        <f ca="1">IF(ROWS($1:14)&gt;COUNT(Dong2),"",IF(AND(IF($M$9="Q4",RIGHT(OFFSET(TH!G$1,SMALL(Dong2,ROWS($1:14)),),2)=$M$9,RIGHT(OFFSET(TH!G$1,SMALL(Dong2,ROWS($1:14)),),3)=$M$9),OFFSET(TH!O$1,SMALL(Dong2,ROWS($1:14)),)=$I$6),IF($I$6="1121",OFFSET(TH!M$1,SMALL(Dong2,ROWS($1:14)),),OFFSET(TH!K$1,SMALL(Dong2,ROWS($1:14)),)),0))</f>
        <v/>
      </c>
      <c r="H25" s="893">
        <f t="shared" ca="1" si="0"/>
        <v>0</v>
      </c>
      <c r="I25" s="893"/>
      <c r="L25" s="170"/>
    </row>
    <row r="26" spans="1:15" s="177" customFormat="1" ht="20.25" customHeight="1">
      <c r="A26" s="188" t="str">
        <f ca="1">IF(ROWS($1:15)&gt;COUNT(Dong2),"",OFFSET(TH!C$1,SMALL(Dong2,ROWS($1:15)),))</f>
        <v/>
      </c>
      <c r="B26" s="188" t="str">
        <f ca="1">IF(ROWS($1:15)&gt;COUNT(Dong2),"",OFFSET(TH!D$1,SMALL(Dong2,ROWS($1:15)),))</f>
        <v/>
      </c>
      <c r="C26" s="188" t="str">
        <f ca="1">IF(ROWS($1:15)&gt;COUNT(Dong2),"",OFFSET(TH!E$1,SMALL(Dong2,ROWS($1:15)),))</f>
        <v/>
      </c>
      <c r="D26" s="361" t="str">
        <f ca="1">IF(ROWS($1:15)&gt;COUNT(Dong2),"",OFFSET(TH!F$1,SMALL(Dong2,ROWS($1:15)),))</f>
        <v/>
      </c>
      <c r="E26" s="188" t="str">
        <f ca="1">IF(ROWS($1:15)&gt;COUNT(Dong2),"",IF(OFFSET(TH!O$1,SMALL(Dong2,ROWS($1:15)),)=$I$6,OFFSET(TH!N$1,SMALL(Dong2,ROWS($1:15)),),OFFSET(TH!O$1,SMALL(Dong2,ROWS($1:15)),)))</f>
        <v/>
      </c>
      <c r="F26" s="896" t="str">
        <f ca="1">IF(ROWS($1:15)&gt;COUNT(Dong2),"",IF(AND(IF($M$9="Q4",LEFT(OFFSET(TH!G$1,SMALL(Dong2,ROWS($1:15)),),2)=$M$9,LEFT(OFFSET(TH!G$1,SMALL(Dong2,ROWS($1:15)),),3)=$M$9),OFFSET(TH!N$1,SMALL(Dong2,ROWS($1:15)),)=$I$6),IF($I$6="1121",OFFSET(TH!M$1,SMALL(Dong2,ROWS($1:15)),),OFFSET(TH!K$1,SMALL(Dong2,ROWS($1:15)),)),0))</f>
        <v/>
      </c>
      <c r="G26" s="896" t="str">
        <f ca="1">IF(ROWS($1:15)&gt;COUNT(Dong2),"",IF(AND(IF($M$9="Q4",RIGHT(OFFSET(TH!G$1,SMALL(Dong2,ROWS($1:15)),),2)=$M$9,RIGHT(OFFSET(TH!G$1,SMALL(Dong2,ROWS($1:15)),),3)=$M$9),OFFSET(TH!O$1,SMALL(Dong2,ROWS($1:15)),)=$I$6),IF($I$6="1121",OFFSET(TH!M$1,SMALL(Dong2,ROWS($1:15)),),OFFSET(TH!K$1,SMALL(Dong2,ROWS($1:15)),)),0))</f>
        <v/>
      </c>
      <c r="H26" s="893">
        <f t="shared" ca="1" si="0"/>
        <v>0</v>
      </c>
      <c r="I26" s="893"/>
      <c r="L26" s="170"/>
    </row>
    <row r="27" spans="1:15" s="177" customFormat="1" ht="20.25" customHeight="1">
      <c r="A27" s="188" t="str">
        <f ca="1">IF(ROWS($1:16)&gt;COUNT(Dong2),"",OFFSET(TH!C$1,SMALL(Dong2,ROWS($1:16)),))</f>
        <v/>
      </c>
      <c r="B27" s="188" t="str">
        <f ca="1">IF(ROWS($1:16)&gt;COUNT(Dong2),"",OFFSET(TH!D$1,SMALL(Dong2,ROWS($1:16)),))</f>
        <v/>
      </c>
      <c r="C27" s="188" t="str">
        <f ca="1">IF(ROWS($1:16)&gt;COUNT(Dong2),"",OFFSET(TH!E$1,SMALL(Dong2,ROWS($1:16)),))</f>
        <v/>
      </c>
      <c r="D27" s="361" t="str">
        <f ca="1">IF(ROWS($1:16)&gt;COUNT(Dong2),"",OFFSET(TH!F$1,SMALL(Dong2,ROWS($1:16)),))</f>
        <v/>
      </c>
      <c r="E27" s="188" t="str">
        <f ca="1">IF(ROWS($1:16)&gt;COUNT(Dong2),"",IF(OFFSET(TH!O$1,SMALL(Dong2,ROWS($1:16)),)=$I$6,OFFSET(TH!N$1,SMALL(Dong2,ROWS($1:16)),),OFFSET(TH!O$1,SMALL(Dong2,ROWS($1:16)),)))</f>
        <v/>
      </c>
      <c r="F27" s="896" t="str">
        <f ca="1">IF(ROWS($1:16)&gt;COUNT(Dong2),"",IF(AND(IF($M$9="Q4",LEFT(OFFSET(TH!G$1,SMALL(Dong2,ROWS($1:16)),),2)=$M$9,LEFT(OFFSET(TH!G$1,SMALL(Dong2,ROWS($1:16)),),3)=$M$9),OFFSET(TH!N$1,SMALL(Dong2,ROWS($1:16)),)=$I$6),IF($I$6="1121",OFFSET(TH!M$1,SMALL(Dong2,ROWS($1:16)),),OFFSET(TH!K$1,SMALL(Dong2,ROWS($1:16)),)),0))</f>
        <v/>
      </c>
      <c r="G27" s="896" t="str">
        <f ca="1">IF(ROWS($1:16)&gt;COUNT(Dong2),"",IF(AND(IF($M$9="Q4",RIGHT(OFFSET(TH!G$1,SMALL(Dong2,ROWS($1:16)),),2)=$M$9,RIGHT(OFFSET(TH!G$1,SMALL(Dong2,ROWS($1:16)),),3)=$M$9),OFFSET(TH!O$1,SMALL(Dong2,ROWS($1:16)),)=$I$6),IF($I$6="1121",OFFSET(TH!M$1,SMALL(Dong2,ROWS($1:16)),),OFFSET(TH!K$1,SMALL(Dong2,ROWS($1:16)),)),0))</f>
        <v/>
      </c>
      <c r="H27" s="893">
        <f t="shared" ca="1" si="0"/>
        <v>0</v>
      </c>
      <c r="I27" s="893"/>
      <c r="L27" s="170"/>
    </row>
    <row r="28" spans="1:15" s="177" customFormat="1" ht="20.25" customHeight="1">
      <c r="A28" s="188" t="str">
        <f ca="1">IF(ROWS($1:17)&gt;COUNT(Dong2),"",OFFSET(TH!C$1,SMALL(Dong2,ROWS($1:17)),))</f>
        <v/>
      </c>
      <c r="B28" s="188" t="str">
        <f ca="1">IF(ROWS($1:17)&gt;COUNT(Dong2),"",OFFSET(TH!D$1,SMALL(Dong2,ROWS($1:17)),))</f>
        <v/>
      </c>
      <c r="C28" s="188" t="str">
        <f ca="1">IF(ROWS($1:17)&gt;COUNT(Dong2),"",OFFSET(TH!E$1,SMALL(Dong2,ROWS($1:17)),))</f>
        <v/>
      </c>
      <c r="D28" s="361" t="str">
        <f ca="1">IF(ROWS($1:17)&gt;COUNT(Dong2),"",OFFSET(TH!F$1,SMALL(Dong2,ROWS($1:17)),))</f>
        <v/>
      </c>
      <c r="E28" s="188" t="str">
        <f ca="1">IF(ROWS($1:17)&gt;COUNT(Dong2),"",IF(OFFSET(TH!O$1,SMALL(Dong2,ROWS($1:17)),)=$I$6,OFFSET(TH!N$1,SMALL(Dong2,ROWS($1:17)),),OFFSET(TH!O$1,SMALL(Dong2,ROWS($1:17)),)))</f>
        <v/>
      </c>
      <c r="F28" s="896" t="str">
        <f ca="1">IF(ROWS($1:17)&gt;COUNT(Dong2),"",IF(AND(IF($M$9="Q4",LEFT(OFFSET(TH!G$1,SMALL(Dong2,ROWS($1:17)),),2)=$M$9,LEFT(OFFSET(TH!G$1,SMALL(Dong2,ROWS($1:17)),),3)=$M$9),OFFSET(TH!N$1,SMALL(Dong2,ROWS($1:17)),)=$I$6),IF($I$6="1121",OFFSET(TH!M$1,SMALL(Dong2,ROWS($1:17)),),OFFSET(TH!K$1,SMALL(Dong2,ROWS($1:17)),)),0))</f>
        <v/>
      </c>
      <c r="G28" s="896" t="str">
        <f ca="1">IF(ROWS($1:17)&gt;COUNT(Dong2),"",IF(AND(IF($M$9="Q4",RIGHT(OFFSET(TH!G$1,SMALL(Dong2,ROWS($1:17)),),2)=$M$9,RIGHT(OFFSET(TH!G$1,SMALL(Dong2,ROWS($1:17)),),3)=$M$9),OFFSET(TH!O$1,SMALL(Dong2,ROWS($1:17)),)=$I$6),IF($I$6="1121",OFFSET(TH!M$1,SMALL(Dong2,ROWS($1:17)),),OFFSET(TH!K$1,SMALL(Dong2,ROWS($1:17)),)),0))</f>
        <v/>
      </c>
      <c r="H28" s="893">
        <f t="shared" ca="1" si="0"/>
        <v>0</v>
      </c>
      <c r="I28" s="893"/>
      <c r="L28" s="170"/>
    </row>
    <row r="29" spans="1:15" s="177" customFormat="1" ht="20.25" customHeight="1">
      <c r="A29" s="188" t="str">
        <f ca="1">IF(ROWS($1:18)&gt;COUNT(Dong2),"",OFFSET(TH!C$1,SMALL(Dong2,ROWS($1:18)),))</f>
        <v/>
      </c>
      <c r="B29" s="188" t="str">
        <f ca="1">IF(ROWS($1:18)&gt;COUNT(Dong2),"",OFFSET(TH!D$1,SMALL(Dong2,ROWS($1:18)),))</f>
        <v/>
      </c>
      <c r="C29" s="188" t="str">
        <f ca="1">IF(ROWS($1:18)&gt;COUNT(Dong2),"",OFFSET(TH!E$1,SMALL(Dong2,ROWS($1:18)),))</f>
        <v/>
      </c>
      <c r="D29" s="361" t="str">
        <f ca="1">IF(ROWS($1:18)&gt;COUNT(Dong2),"",OFFSET(TH!F$1,SMALL(Dong2,ROWS($1:18)),))</f>
        <v/>
      </c>
      <c r="E29" s="188" t="str">
        <f ca="1">IF(ROWS($1:18)&gt;COUNT(Dong2),"",IF(OFFSET(TH!O$1,SMALL(Dong2,ROWS($1:18)),)=$I$6,OFFSET(TH!N$1,SMALL(Dong2,ROWS($1:18)),),OFFSET(TH!O$1,SMALL(Dong2,ROWS($1:18)),)))</f>
        <v/>
      </c>
      <c r="F29" s="896" t="str">
        <f ca="1">IF(ROWS($1:18)&gt;COUNT(Dong2),"",IF(AND(IF($M$9="Q4",LEFT(OFFSET(TH!G$1,SMALL(Dong2,ROWS($1:18)),),2)=$M$9,LEFT(OFFSET(TH!G$1,SMALL(Dong2,ROWS($1:18)),),3)=$M$9),OFFSET(TH!N$1,SMALL(Dong2,ROWS($1:18)),)=$I$6),IF($I$6="1121",OFFSET(TH!M$1,SMALL(Dong2,ROWS($1:18)),),OFFSET(TH!K$1,SMALL(Dong2,ROWS($1:18)),)),0))</f>
        <v/>
      </c>
      <c r="G29" s="896" t="str">
        <f ca="1">IF(ROWS($1:18)&gt;COUNT(Dong2),"",IF(AND(IF($M$9="Q4",RIGHT(OFFSET(TH!G$1,SMALL(Dong2,ROWS($1:18)),),2)=$M$9,RIGHT(OFFSET(TH!G$1,SMALL(Dong2,ROWS($1:18)),),3)=$M$9),OFFSET(TH!O$1,SMALL(Dong2,ROWS($1:18)),)=$I$6),IF($I$6="1121",OFFSET(TH!M$1,SMALL(Dong2,ROWS($1:18)),),OFFSET(TH!K$1,SMALL(Dong2,ROWS($1:18)),)),0))</f>
        <v/>
      </c>
      <c r="H29" s="893">
        <f t="shared" ca="1" si="0"/>
        <v>0</v>
      </c>
      <c r="I29" s="893"/>
      <c r="L29" s="170"/>
    </row>
    <row r="30" spans="1:15" s="177" customFormat="1" ht="20.25" customHeight="1">
      <c r="A30" s="188" t="str">
        <f ca="1">IF(ROWS($1:19)&gt;COUNT(Dong2),"",OFFSET(TH!C$1,SMALL(Dong2,ROWS($1:19)),))</f>
        <v/>
      </c>
      <c r="B30" s="188" t="str">
        <f ca="1">IF(ROWS($1:19)&gt;COUNT(Dong2),"",OFFSET(TH!D$1,SMALL(Dong2,ROWS($1:19)),))</f>
        <v/>
      </c>
      <c r="C30" s="188" t="str">
        <f ca="1">IF(ROWS($1:19)&gt;COUNT(Dong2),"",OFFSET(TH!E$1,SMALL(Dong2,ROWS($1:19)),))</f>
        <v/>
      </c>
      <c r="D30" s="361" t="str">
        <f ca="1">IF(ROWS($1:19)&gt;COUNT(Dong2),"",OFFSET(TH!F$1,SMALL(Dong2,ROWS($1:19)),))</f>
        <v/>
      </c>
      <c r="E30" s="188" t="str">
        <f ca="1">IF(ROWS($1:19)&gt;COUNT(Dong2),"",IF(OFFSET(TH!O$1,SMALL(Dong2,ROWS($1:19)),)=$I$6,OFFSET(TH!N$1,SMALL(Dong2,ROWS($1:19)),),OFFSET(TH!O$1,SMALL(Dong2,ROWS($1:19)),)))</f>
        <v/>
      </c>
      <c r="F30" s="896" t="str">
        <f ca="1">IF(ROWS($1:19)&gt;COUNT(Dong2),"",IF(AND(IF($M$9="Q4",LEFT(OFFSET(TH!G$1,SMALL(Dong2,ROWS($1:19)),),2)=$M$9,LEFT(OFFSET(TH!G$1,SMALL(Dong2,ROWS($1:19)),),3)=$M$9),OFFSET(TH!N$1,SMALL(Dong2,ROWS($1:19)),)=$I$6),IF($I$6="1121",OFFSET(TH!M$1,SMALL(Dong2,ROWS($1:19)),),OFFSET(TH!K$1,SMALL(Dong2,ROWS($1:19)),)),0))</f>
        <v/>
      </c>
      <c r="G30" s="896" t="str">
        <f ca="1">IF(ROWS($1:19)&gt;COUNT(Dong2),"",IF(AND(IF($M$9="Q4",RIGHT(OFFSET(TH!G$1,SMALL(Dong2,ROWS($1:19)),),2)=$M$9,RIGHT(OFFSET(TH!G$1,SMALL(Dong2,ROWS($1:19)),),3)=$M$9),OFFSET(TH!O$1,SMALL(Dong2,ROWS($1:19)),)=$I$6),IF($I$6="1121",OFFSET(TH!M$1,SMALL(Dong2,ROWS($1:19)),),OFFSET(TH!K$1,SMALL(Dong2,ROWS($1:19)),)),0))</f>
        <v/>
      </c>
      <c r="H30" s="893">
        <f t="shared" ca="1" si="0"/>
        <v>0</v>
      </c>
      <c r="I30" s="893"/>
      <c r="L30" s="170"/>
    </row>
    <row r="31" spans="1:15" s="177" customFormat="1" ht="20.25" customHeight="1">
      <c r="A31" s="188" t="str">
        <f ca="1">IF(ROWS($1:20)&gt;COUNT(Dong2),"",OFFSET(TH!C$1,SMALL(Dong2,ROWS($1:20)),))</f>
        <v/>
      </c>
      <c r="B31" s="188" t="str">
        <f ca="1">IF(ROWS($1:20)&gt;COUNT(Dong2),"",OFFSET(TH!D$1,SMALL(Dong2,ROWS($1:20)),))</f>
        <v/>
      </c>
      <c r="C31" s="188" t="str">
        <f ca="1">IF(ROWS($1:20)&gt;COUNT(Dong2),"",OFFSET(TH!E$1,SMALL(Dong2,ROWS($1:20)),))</f>
        <v/>
      </c>
      <c r="D31" s="361" t="str">
        <f ca="1">IF(ROWS($1:20)&gt;COUNT(Dong2),"",OFFSET(TH!F$1,SMALL(Dong2,ROWS($1:20)),))</f>
        <v/>
      </c>
      <c r="E31" s="188" t="str">
        <f ca="1">IF(ROWS($1:20)&gt;COUNT(Dong2),"",IF(OFFSET(TH!O$1,SMALL(Dong2,ROWS($1:20)),)=$I$6,OFFSET(TH!N$1,SMALL(Dong2,ROWS($1:20)),),OFFSET(TH!O$1,SMALL(Dong2,ROWS($1:20)),)))</f>
        <v/>
      </c>
      <c r="F31" s="896" t="str">
        <f ca="1">IF(ROWS($1:20)&gt;COUNT(Dong2),"",IF(AND(IF($M$9="Q4",LEFT(OFFSET(TH!G$1,SMALL(Dong2,ROWS($1:20)),),2)=$M$9,LEFT(OFFSET(TH!G$1,SMALL(Dong2,ROWS($1:20)),),3)=$M$9),OFFSET(TH!N$1,SMALL(Dong2,ROWS($1:20)),)=$I$6),IF($I$6="1121",OFFSET(TH!M$1,SMALL(Dong2,ROWS($1:20)),),OFFSET(TH!K$1,SMALL(Dong2,ROWS($1:20)),)),0))</f>
        <v/>
      </c>
      <c r="G31" s="896" t="str">
        <f ca="1">IF(ROWS($1:20)&gt;COUNT(Dong2),"",IF(AND(IF($M$9="Q4",RIGHT(OFFSET(TH!G$1,SMALL(Dong2,ROWS($1:20)),),2)=$M$9,RIGHT(OFFSET(TH!G$1,SMALL(Dong2,ROWS($1:20)),),3)=$M$9),OFFSET(TH!O$1,SMALL(Dong2,ROWS($1:20)),)=$I$6),IF($I$6="1121",OFFSET(TH!M$1,SMALL(Dong2,ROWS($1:20)),),OFFSET(TH!K$1,SMALL(Dong2,ROWS($1:20)),)),0))</f>
        <v/>
      </c>
      <c r="H31" s="893">
        <f t="shared" ca="1" si="0"/>
        <v>0</v>
      </c>
      <c r="I31" s="893"/>
      <c r="L31" s="170"/>
    </row>
    <row r="32" spans="1:15" s="177" customFormat="1" ht="20.25" customHeight="1">
      <c r="A32" s="188" t="str">
        <f ca="1">IF(ROWS($1:21)&gt;COUNT(Dong2),"",OFFSET(TH!C$1,SMALL(Dong2,ROWS($1:21)),))</f>
        <v/>
      </c>
      <c r="B32" s="188" t="str">
        <f ca="1">IF(ROWS($1:21)&gt;COUNT(Dong2),"",OFFSET(TH!D$1,SMALL(Dong2,ROWS($1:21)),))</f>
        <v/>
      </c>
      <c r="C32" s="188" t="str">
        <f ca="1">IF(ROWS($1:21)&gt;COUNT(Dong2),"",OFFSET(TH!E$1,SMALL(Dong2,ROWS($1:21)),))</f>
        <v/>
      </c>
      <c r="D32" s="361" t="str">
        <f ca="1">IF(ROWS($1:21)&gt;COUNT(Dong2),"",OFFSET(TH!F$1,SMALL(Dong2,ROWS($1:21)),))</f>
        <v/>
      </c>
      <c r="E32" s="188" t="str">
        <f ca="1">IF(ROWS($1:21)&gt;COUNT(Dong2),"",IF(OFFSET(TH!O$1,SMALL(Dong2,ROWS($1:21)),)=$I$6,OFFSET(TH!N$1,SMALL(Dong2,ROWS($1:21)),),OFFSET(TH!O$1,SMALL(Dong2,ROWS($1:21)),)))</f>
        <v/>
      </c>
      <c r="F32" s="896" t="str">
        <f ca="1">IF(ROWS($1:21)&gt;COUNT(Dong2),"",IF(AND(IF($M$9="Q4",LEFT(OFFSET(TH!G$1,SMALL(Dong2,ROWS($1:21)),),2)=$M$9,LEFT(OFFSET(TH!G$1,SMALL(Dong2,ROWS($1:21)),),3)=$M$9),OFFSET(TH!N$1,SMALL(Dong2,ROWS($1:21)),)=$I$6),IF($I$6="1121",OFFSET(TH!M$1,SMALL(Dong2,ROWS($1:21)),),OFFSET(TH!K$1,SMALL(Dong2,ROWS($1:21)),)),0))</f>
        <v/>
      </c>
      <c r="G32" s="896" t="str">
        <f ca="1">IF(ROWS($1:21)&gt;COUNT(Dong2),"",IF(AND(IF($M$9="Q4",RIGHT(OFFSET(TH!G$1,SMALL(Dong2,ROWS($1:21)),),2)=$M$9,RIGHT(OFFSET(TH!G$1,SMALL(Dong2,ROWS($1:21)),),3)=$M$9),OFFSET(TH!O$1,SMALL(Dong2,ROWS($1:21)),)=$I$6),IF($I$6="1121",OFFSET(TH!M$1,SMALL(Dong2,ROWS($1:21)),),OFFSET(TH!K$1,SMALL(Dong2,ROWS($1:21)),)),0))</f>
        <v/>
      </c>
      <c r="H32" s="893">
        <f t="shared" ca="1" si="0"/>
        <v>0</v>
      </c>
      <c r="I32" s="893"/>
      <c r="L32" s="170"/>
    </row>
    <row r="33" spans="1:12" s="177" customFormat="1" ht="20.25" customHeight="1">
      <c r="A33" s="188" t="str">
        <f ca="1">IF(ROWS($1:22)&gt;COUNT(Dong2),"",OFFSET(TH!C$1,SMALL(Dong2,ROWS($1:22)),))</f>
        <v/>
      </c>
      <c r="B33" s="188" t="str">
        <f ca="1">IF(ROWS($1:22)&gt;COUNT(Dong2),"",OFFSET(TH!D$1,SMALL(Dong2,ROWS($1:22)),))</f>
        <v/>
      </c>
      <c r="C33" s="188" t="str">
        <f ca="1">IF(ROWS($1:22)&gt;COUNT(Dong2),"",OFFSET(TH!E$1,SMALL(Dong2,ROWS($1:22)),))</f>
        <v/>
      </c>
      <c r="D33" s="361" t="str">
        <f ca="1">IF(ROWS($1:22)&gt;COUNT(Dong2),"",OFFSET(TH!F$1,SMALL(Dong2,ROWS($1:22)),))</f>
        <v/>
      </c>
      <c r="E33" s="188" t="str">
        <f ca="1">IF(ROWS($1:22)&gt;COUNT(Dong2),"",IF(OFFSET(TH!O$1,SMALL(Dong2,ROWS($1:22)),)=$I$6,OFFSET(TH!N$1,SMALL(Dong2,ROWS($1:22)),),OFFSET(TH!O$1,SMALL(Dong2,ROWS($1:22)),)))</f>
        <v/>
      </c>
      <c r="F33" s="896" t="str">
        <f ca="1">IF(ROWS($1:22)&gt;COUNT(Dong2),"",IF(AND(IF($M$9="Q4",LEFT(OFFSET(TH!G$1,SMALL(Dong2,ROWS($1:22)),),2)=$M$9,LEFT(OFFSET(TH!G$1,SMALL(Dong2,ROWS($1:22)),),3)=$M$9),OFFSET(TH!N$1,SMALL(Dong2,ROWS($1:22)),)=$I$6),IF($I$6="1121",OFFSET(TH!M$1,SMALL(Dong2,ROWS($1:22)),),OFFSET(TH!K$1,SMALL(Dong2,ROWS($1:22)),)),0))</f>
        <v/>
      </c>
      <c r="G33" s="896" t="str">
        <f ca="1">IF(ROWS($1:22)&gt;COUNT(Dong2),"",IF(AND(IF($M$9="Q4",RIGHT(OFFSET(TH!G$1,SMALL(Dong2,ROWS($1:22)),),2)=$M$9,RIGHT(OFFSET(TH!G$1,SMALL(Dong2,ROWS($1:22)),),3)=$M$9),OFFSET(TH!O$1,SMALL(Dong2,ROWS($1:22)),)=$I$6),IF($I$6="1121",OFFSET(TH!M$1,SMALL(Dong2,ROWS($1:22)),),OFFSET(TH!K$1,SMALL(Dong2,ROWS($1:22)),)),0))</f>
        <v/>
      </c>
      <c r="H33" s="893">
        <f t="shared" ca="1" si="0"/>
        <v>0</v>
      </c>
      <c r="I33" s="893"/>
      <c r="L33" s="170"/>
    </row>
    <row r="34" spans="1:12" s="177" customFormat="1" ht="20.25" customHeight="1">
      <c r="A34" s="188" t="str">
        <f ca="1">IF(ROWS($1:23)&gt;COUNT(Dong2),"",OFFSET(TH!C$1,SMALL(Dong2,ROWS($1:23)),))</f>
        <v/>
      </c>
      <c r="B34" s="188" t="str">
        <f ca="1">IF(ROWS($1:23)&gt;COUNT(Dong2),"",OFFSET(TH!D$1,SMALL(Dong2,ROWS($1:23)),))</f>
        <v/>
      </c>
      <c r="C34" s="188" t="str">
        <f ca="1">IF(ROWS($1:23)&gt;COUNT(Dong2),"",OFFSET(TH!E$1,SMALL(Dong2,ROWS($1:23)),))</f>
        <v/>
      </c>
      <c r="D34" s="361" t="str">
        <f ca="1">IF(ROWS($1:23)&gt;COUNT(Dong2),"",OFFSET(TH!F$1,SMALL(Dong2,ROWS($1:23)),))</f>
        <v/>
      </c>
      <c r="E34" s="188" t="str">
        <f ca="1">IF(ROWS($1:23)&gt;COUNT(Dong2),"",IF(OFFSET(TH!O$1,SMALL(Dong2,ROWS($1:23)),)=$I$6,OFFSET(TH!N$1,SMALL(Dong2,ROWS($1:23)),),OFFSET(TH!O$1,SMALL(Dong2,ROWS($1:23)),)))</f>
        <v/>
      </c>
      <c r="F34" s="896" t="str">
        <f ca="1">IF(ROWS($1:23)&gt;COUNT(Dong2),"",IF(AND(IF($M$9="Q4",LEFT(OFFSET(TH!G$1,SMALL(Dong2,ROWS($1:23)),),2)=$M$9,LEFT(OFFSET(TH!G$1,SMALL(Dong2,ROWS($1:23)),),3)=$M$9),OFFSET(TH!N$1,SMALL(Dong2,ROWS($1:23)),)=$I$6),IF($I$6="1121",OFFSET(TH!M$1,SMALL(Dong2,ROWS($1:23)),),OFFSET(TH!K$1,SMALL(Dong2,ROWS($1:23)),)),0))</f>
        <v/>
      </c>
      <c r="G34" s="896" t="str">
        <f ca="1">IF(ROWS($1:23)&gt;COUNT(Dong2),"",IF(AND(IF($M$9="Q4",RIGHT(OFFSET(TH!G$1,SMALL(Dong2,ROWS($1:23)),),2)=$M$9,RIGHT(OFFSET(TH!G$1,SMALL(Dong2,ROWS($1:23)),),3)=$M$9),OFFSET(TH!O$1,SMALL(Dong2,ROWS($1:23)),)=$I$6),IF($I$6="1121",OFFSET(TH!M$1,SMALL(Dong2,ROWS($1:23)),),OFFSET(TH!K$1,SMALL(Dong2,ROWS($1:23)),)),0))</f>
        <v/>
      </c>
      <c r="H34" s="893">
        <f t="shared" ca="1" si="0"/>
        <v>0</v>
      </c>
      <c r="I34" s="893"/>
      <c r="L34" s="170"/>
    </row>
    <row r="35" spans="1:12" s="177" customFormat="1" ht="20.25" customHeight="1">
      <c r="A35" s="188" t="str">
        <f ca="1">IF(ROWS($1:24)&gt;COUNT(Dong2),"",OFFSET(TH!C$1,SMALL(Dong2,ROWS($1:24)),))</f>
        <v/>
      </c>
      <c r="B35" s="188" t="str">
        <f ca="1">IF(ROWS($1:24)&gt;COUNT(Dong2),"",OFFSET(TH!D$1,SMALL(Dong2,ROWS($1:24)),))</f>
        <v/>
      </c>
      <c r="C35" s="188" t="str">
        <f ca="1">IF(ROWS($1:24)&gt;COUNT(Dong2),"",OFFSET(TH!E$1,SMALL(Dong2,ROWS($1:24)),))</f>
        <v/>
      </c>
      <c r="D35" s="361" t="str">
        <f ca="1">IF(ROWS($1:24)&gt;COUNT(Dong2),"",OFFSET(TH!F$1,SMALL(Dong2,ROWS($1:24)),))</f>
        <v/>
      </c>
      <c r="E35" s="188" t="str">
        <f ca="1">IF(ROWS($1:24)&gt;COUNT(Dong2),"",IF(OFFSET(TH!O$1,SMALL(Dong2,ROWS($1:24)),)=$I$6,OFFSET(TH!N$1,SMALL(Dong2,ROWS($1:24)),),OFFSET(TH!O$1,SMALL(Dong2,ROWS($1:24)),)))</f>
        <v/>
      </c>
      <c r="F35" s="896" t="str">
        <f ca="1">IF(ROWS($1:24)&gt;COUNT(Dong2),"",IF(AND(IF($M$9="Q4",LEFT(OFFSET(TH!G$1,SMALL(Dong2,ROWS($1:24)),),2)=$M$9,LEFT(OFFSET(TH!G$1,SMALL(Dong2,ROWS($1:24)),),3)=$M$9),OFFSET(TH!N$1,SMALL(Dong2,ROWS($1:24)),)=$I$6),IF($I$6="1121",OFFSET(TH!M$1,SMALL(Dong2,ROWS($1:24)),),OFFSET(TH!K$1,SMALL(Dong2,ROWS($1:24)),)),0))</f>
        <v/>
      </c>
      <c r="G35" s="896" t="str">
        <f ca="1">IF(ROWS($1:24)&gt;COUNT(Dong2),"",IF(AND(IF($M$9="Q4",RIGHT(OFFSET(TH!G$1,SMALL(Dong2,ROWS($1:24)),),2)=$M$9,RIGHT(OFFSET(TH!G$1,SMALL(Dong2,ROWS($1:24)),),3)=$M$9),OFFSET(TH!O$1,SMALL(Dong2,ROWS($1:24)),)=$I$6),IF($I$6="1121",OFFSET(TH!M$1,SMALL(Dong2,ROWS($1:24)),),OFFSET(TH!K$1,SMALL(Dong2,ROWS($1:24)),)),0))</f>
        <v/>
      </c>
      <c r="H35" s="893">
        <f t="shared" ca="1" si="0"/>
        <v>0</v>
      </c>
      <c r="I35" s="893"/>
      <c r="L35" s="170"/>
    </row>
    <row r="36" spans="1:12" s="177" customFormat="1" ht="20.25" customHeight="1">
      <c r="A36" s="188" t="str">
        <f ca="1">IF(ROWS($1:25)&gt;COUNT(Dong2),"",OFFSET(TH!C$1,SMALL(Dong2,ROWS($1:25)),))</f>
        <v/>
      </c>
      <c r="B36" s="188" t="str">
        <f ca="1">IF(ROWS($1:25)&gt;COUNT(Dong2),"",OFFSET(TH!D$1,SMALL(Dong2,ROWS($1:25)),))</f>
        <v/>
      </c>
      <c r="C36" s="188" t="str">
        <f ca="1">IF(ROWS($1:25)&gt;COUNT(Dong2),"",OFFSET(TH!E$1,SMALL(Dong2,ROWS($1:25)),))</f>
        <v/>
      </c>
      <c r="D36" s="361" t="str">
        <f ca="1">IF(ROWS($1:25)&gt;COUNT(Dong2),"",OFFSET(TH!F$1,SMALL(Dong2,ROWS($1:25)),))</f>
        <v/>
      </c>
      <c r="E36" s="188" t="str">
        <f ca="1">IF(ROWS($1:25)&gt;COUNT(Dong2),"",IF(OFFSET(TH!O$1,SMALL(Dong2,ROWS($1:25)),)=$I$6,OFFSET(TH!N$1,SMALL(Dong2,ROWS($1:25)),),OFFSET(TH!O$1,SMALL(Dong2,ROWS($1:25)),)))</f>
        <v/>
      </c>
      <c r="F36" s="896" t="str">
        <f ca="1">IF(ROWS($1:25)&gt;COUNT(Dong2),"",IF(AND(IF($M$9="Q4",LEFT(OFFSET(TH!G$1,SMALL(Dong2,ROWS($1:25)),),2)=$M$9,LEFT(OFFSET(TH!G$1,SMALL(Dong2,ROWS($1:25)),),3)=$M$9),OFFSET(TH!N$1,SMALL(Dong2,ROWS($1:25)),)=$I$6),IF($I$6="1121",OFFSET(TH!M$1,SMALL(Dong2,ROWS($1:25)),),OFFSET(TH!K$1,SMALL(Dong2,ROWS($1:25)),)),0))</f>
        <v/>
      </c>
      <c r="G36" s="896" t="str">
        <f ca="1">IF(ROWS($1:25)&gt;COUNT(Dong2),"",IF(AND(IF($M$9="Q4",RIGHT(OFFSET(TH!G$1,SMALL(Dong2,ROWS($1:25)),),2)=$M$9,RIGHT(OFFSET(TH!G$1,SMALL(Dong2,ROWS($1:25)),),3)=$M$9),OFFSET(TH!O$1,SMALL(Dong2,ROWS($1:25)),)=$I$6),IF($I$6="1121",OFFSET(TH!M$1,SMALL(Dong2,ROWS($1:25)),),OFFSET(TH!K$1,SMALL(Dong2,ROWS($1:25)),)),0))</f>
        <v/>
      </c>
      <c r="H36" s="893">
        <f t="shared" ca="1" si="0"/>
        <v>0</v>
      </c>
      <c r="I36" s="893"/>
      <c r="L36" s="170"/>
    </row>
    <row r="37" spans="1:12" s="177" customFormat="1" ht="20.25" customHeight="1">
      <c r="A37" s="188" t="str">
        <f ca="1">IF(ROWS($1:26)&gt;COUNT(Dong2),"",OFFSET(TH!C$1,SMALL(Dong2,ROWS($1:26)),))</f>
        <v/>
      </c>
      <c r="B37" s="188" t="str">
        <f ca="1">IF(ROWS($1:26)&gt;COUNT(Dong2),"",OFFSET(TH!D$1,SMALL(Dong2,ROWS($1:26)),))</f>
        <v/>
      </c>
      <c r="C37" s="188" t="str">
        <f ca="1">IF(ROWS($1:26)&gt;COUNT(Dong2),"",OFFSET(TH!E$1,SMALL(Dong2,ROWS($1:26)),))</f>
        <v/>
      </c>
      <c r="D37" s="361" t="str">
        <f ca="1">IF(ROWS($1:26)&gt;COUNT(Dong2),"",OFFSET(TH!F$1,SMALL(Dong2,ROWS($1:26)),))</f>
        <v/>
      </c>
      <c r="E37" s="188" t="str">
        <f ca="1">IF(ROWS($1:26)&gt;COUNT(Dong2),"",IF(OFFSET(TH!O$1,SMALL(Dong2,ROWS($1:26)),)=$I$6,OFFSET(TH!N$1,SMALL(Dong2,ROWS($1:26)),),OFFSET(TH!O$1,SMALL(Dong2,ROWS($1:26)),)))</f>
        <v/>
      </c>
      <c r="F37" s="896" t="str">
        <f ca="1">IF(ROWS($1:26)&gt;COUNT(Dong2),"",IF(AND(IF($M$9="Q4",LEFT(OFFSET(TH!G$1,SMALL(Dong2,ROWS($1:26)),),2)=$M$9,LEFT(OFFSET(TH!G$1,SMALL(Dong2,ROWS($1:26)),),3)=$M$9),OFFSET(TH!N$1,SMALL(Dong2,ROWS($1:26)),)=$I$6),IF($I$6="1121",OFFSET(TH!M$1,SMALL(Dong2,ROWS($1:26)),),OFFSET(TH!K$1,SMALL(Dong2,ROWS($1:26)),)),0))</f>
        <v/>
      </c>
      <c r="G37" s="896" t="str">
        <f ca="1">IF(ROWS($1:26)&gt;COUNT(Dong2),"",IF(AND(IF($M$9="Q4",RIGHT(OFFSET(TH!G$1,SMALL(Dong2,ROWS($1:26)),),2)=$M$9,RIGHT(OFFSET(TH!G$1,SMALL(Dong2,ROWS($1:26)),),3)=$M$9),OFFSET(TH!O$1,SMALL(Dong2,ROWS($1:26)),)=$I$6),IF($I$6="1121",OFFSET(TH!M$1,SMALL(Dong2,ROWS($1:26)),),OFFSET(TH!K$1,SMALL(Dong2,ROWS($1:26)),)),0))</f>
        <v/>
      </c>
      <c r="H37" s="893">
        <f t="shared" ca="1" si="0"/>
        <v>0</v>
      </c>
      <c r="I37" s="893"/>
      <c r="L37" s="170"/>
    </row>
    <row r="38" spans="1:12" s="177" customFormat="1" ht="20.25" customHeight="1">
      <c r="A38" s="188" t="str">
        <f ca="1">IF(ROWS($1:27)&gt;COUNT(Dong2),"",OFFSET(TH!C$1,SMALL(Dong2,ROWS($1:27)),))</f>
        <v/>
      </c>
      <c r="B38" s="188" t="str">
        <f ca="1">IF(ROWS($1:27)&gt;COUNT(Dong2),"",OFFSET(TH!D$1,SMALL(Dong2,ROWS($1:27)),))</f>
        <v/>
      </c>
      <c r="C38" s="188" t="str">
        <f ca="1">IF(ROWS($1:27)&gt;COUNT(Dong2),"",OFFSET(TH!E$1,SMALL(Dong2,ROWS($1:27)),))</f>
        <v/>
      </c>
      <c r="D38" s="361" t="str">
        <f ca="1">IF(ROWS($1:27)&gt;COUNT(Dong2),"",OFFSET(TH!F$1,SMALL(Dong2,ROWS($1:27)),))</f>
        <v/>
      </c>
      <c r="E38" s="188" t="str">
        <f ca="1">IF(ROWS($1:27)&gt;COUNT(Dong2),"",IF(OFFSET(TH!O$1,SMALL(Dong2,ROWS($1:27)),)=$I$6,OFFSET(TH!N$1,SMALL(Dong2,ROWS($1:27)),),OFFSET(TH!O$1,SMALL(Dong2,ROWS($1:27)),)))</f>
        <v/>
      </c>
      <c r="F38" s="896" t="str">
        <f ca="1">IF(ROWS($1:27)&gt;COUNT(Dong2),"",IF(AND(IF($M$9="Q4",LEFT(OFFSET(TH!G$1,SMALL(Dong2,ROWS($1:27)),),2)=$M$9,LEFT(OFFSET(TH!G$1,SMALL(Dong2,ROWS($1:27)),),3)=$M$9),OFFSET(TH!N$1,SMALL(Dong2,ROWS($1:27)),)=$I$6),IF($I$6="1121",OFFSET(TH!M$1,SMALL(Dong2,ROWS($1:27)),),OFFSET(TH!K$1,SMALL(Dong2,ROWS($1:27)),)),0))</f>
        <v/>
      </c>
      <c r="G38" s="896" t="str">
        <f ca="1">IF(ROWS($1:27)&gt;COUNT(Dong2),"",IF(AND(IF($M$9="Q4",RIGHT(OFFSET(TH!G$1,SMALL(Dong2,ROWS($1:27)),),2)=$M$9,RIGHT(OFFSET(TH!G$1,SMALL(Dong2,ROWS($1:27)),),3)=$M$9),OFFSET(TH!O$1,SMALL(Dong2,ROWS($1:27)),)=$I$6),IF($I$6="1121",OFFSET(TH!M$1,SMALL(Dong2,ROWS($1:27)),),OFFSET(TH!K$1,SMALL(Dong2,ROWS($1:27)),)),0))</f>
        <v/>
      </c>
      <c r="H38" s="893">
        <f t="shared" ca="1" si="0"/>
        <v>0</v>
      </c>
      <c r="I38" s="893"/>
      <c r="L38" s="170"/>
    </row>
    <row r="39" spans="1:12" s="177" customFormat="1" ht="20.25" customHeight="1">
      <c r="A39" s="188" t="str">
        <f ca="1">IF(ROWS($1:28)&gt;COUNT(Dong2),"",OFFSET(TH!C$1,SMALL(Dong2,ROWS($1:28)),))</f>
        <v/>
      </c>
      <c r="B39" s="188" t="str">
        <f ca="1">IF(ROWS($1:28)&gt;COUNT(Dong2),"",OFFSET(TH!D$1,SMALL(Dong2,ROWS($1:28)),))</f>
        <v/>
      </c>
      <c r="C39" s="188" t="str">
        <f ca="1">IF(ROWS($1:28)&gt;COUNT(Dong2),"",OFFSET(TH!E$1,SMALL(Dong2,ROWS($1:28)),))</f>
        <v/>
      </c>
      <c r="D39" s="361" t="str">
        <f ca="1">IF(ROWS($1:28)&gt;COUNT(Dong2),"",OFFSET(TH!F$1,SMALL(Dong2,ROWS($1:28)),))</f>
        <v/>
      </c>
      <c r="E39" s="188" t="str">
        <f ca="1">IF(ROWS($1:28)&gt;COUNT(Dong2),"",IF(OFFSET(TH!O$1,SMALL(Dong2,ROWS($1:28)),)=$I$6,OFFSET(TH!N$1,SMALL(Dong2,ROWS($1:28)),),OFFSET(TH!O$1,SMALL(Dong2,ROWS($1:28)),)))</f>
        <v/>
      </c>
      <c r="F39" s="896" t="str">
        <f ca="1">IF(ROWS($1:28)&gt;COUNT(Dong2),"",IF(AND(IF($M$9="Q4",LEFT(OFFSET(TH!G$1,SMALL(Dong2,ROWS($1:28)),),2)=$M$9,LEFT(OFFSET(TH!G$1,SMALL(Dong2,ROWS($1:28)),),3)=$M$9),OFFSET(TH!N$1,SMALL(Dong2,ROWS($1:28)),)=$I$6),IF($I$6="1121",OFFSET(TH!M$1,SMALL(Dong2,ROWS($1:28)),),OFFSET(TH!K$1,SMALL(Dong2,ROWS($1:28)),)),0))</f>
        <v/>
      </c>
      <c r="G39" s="896" t="str">
        <f ca="1">IF(ROWS($1:28)&gt;COUNT(Dong2),"",IF(AND(IF($M$9="Q4",RIGHT(OFFSET(TH!G$1,SMALL(Dong2,ROWS($1:28)),),2)=$M$9,RIGHT(OFFSET(TH!G$1,SMALL(Dong2,ROWS($1:28)),),3)=$M$9),OFFSET(TH!O$1,SMALL(Dong2,ROWS($1:28)),)=$I$6),IF($I$6="1121",OFFSET(TH!M$1,SMALL(Dong2,ROWS($1:28)),),OFFSET(TH!K$1,SMALL(Dong2,ROWS($1:28)),)),0))</f>
        <v/>
      </c>
      <c r="H39" s="893">
        <f t="shared" ca="1" si="0"/>
        <v>0</v>
      </c>
      <c r="I39" s="893"/>
      <c r="L39" s="170"/>
    </row>
    <row r="40" spans="1:12" s="177" customFormat="1" ht="20.25" customHeight="1">
      <c r="A40" s="188" t="str">
        <f ca="1">IF(ROWS($1:29)&gt;COUNT(Dong2),"",OFFSET(TH!C$1,SMALL(Dong2,ROWS($1:29)),))</f>
        <v/>
      </c>
      <c r="B40" s="188" t="str">
        <f ca="1">IF(ROWS($1:29)&gt;COUNT(Dong2),"",OFFSET(TH!D$1,SMALL(Dong2,ROWS($1:29)),))</f>
        <v/>
      </c>
      <c r="C40" s="188" t="str">
        <f ca="1">IF(ROWS($1:29)&gt;COUNT(Dong2),"",OFFSET(TH!E$1,SMALL(Dong2,ROWS($1:29)),))</f>
        <v/>
      </c>
      <c r="D40" s="361" t="str">
        <f ca="1">IF(ROWS($1:29)&gt;COUNT(Dong2),"",OFFSET(TH!F$1,SMALL(Dong2,ROWS($1:29)),))</f>
        <v/>
      </c>
      <c r="E40" s="188" t="str">
        <f ca="1">IF(ROWS($1:29)&gt;COUNT(Dong2),"",IF(OFFSET(TH!O$1,SMALL(Dong2,ROWS($1:29)),)=$I$6,OFFSET(TH!N$1,SMALL(Dong2,ROWS($1:29)),),OFFSET(TH!O$1,SMALL(Dong2,ROWS($1:29)),)))</f>
        <v/>
      </c>
      <c r="F40" s="896" t="str">
        <f ca="1">IF(ROWS($1:29)&gt;COUNT(Dong2),"",IF(AND(IF($M$9="Q4",LEFT(OFFSET(TH!G$1,SMALL(Dong2,ROWS($1:29)),),2)=$M$9,LEFT(OFFSET(TH!G$1,SMALL(Dong2,ROWS($1:29)),),3)=$M$9),OFFSET(TH!N$1,SMALL(Dong2,ROWS($1:29)),)=$I$6),IF($I$6="1121",OFFSET(TH!M$1,SMALL(Dong2,ROWS($1:29)),),OFFSET(TH!K$1,SMALL(Dong2,ROWS($1:29)),)),0))</f>
        <v/>
      </c>
      <c r="G40" s="896" t="str">
        <f ca="1">IF(ROWS($1:29)&gt;COUNT(Dong2),"",IF(AND(IF($M$9="Q4",RIGHT(OFFSET(TH!G$1,SMALL(Dong2,ROWS($1:29)),),2)=$M$9,RIGHT(OFFSET(TH!G$1,SMALL(Dong2,ROWS($1:29)),),3)=$M$9),OFFSET(TH!O$1,SMALL(Dong2,ROWS($1:29)),)=$I$6),IF($I$6="1121",OFFSET(TH!M$1,SMALL(Dong2,ROWS($1:29)),),OFFSET(TH!K$1,SMALL(Dong2,ROWS($1:29)),)),0))</f>
        <v/>
      </c>
      <c r="H40" s="893">
        <f t="shared" ca="1" si="0"/>
        <v>0</v>
      </c>
      <c r="I40" s="893"/>
    </row>
    <row r="41" spans="1:12" s="177" customFormat="1" ht="20.25" customHeight="1">
      <c r="A41" s="188" t="str">
        <f ca="1">IF(ROWS($1:30)&gt;COUNT(Dong2),"",OFFSET(TH!C$1,SMALL(Dong2,ROWS($1:30)),))</f>
        <v/>
      </c>
      <c r="B41" s="188" t="str">
        <f ca="1">IF(ROWS($1:30)&gt;COUNT(Dong2),"",OFFSET(TH!D$1,SMALL(Dong2,ROWS($1:30)),))</f>
        <v/>
      </c>
      <c r="C41" s="188" t="str">
        <f ca="1">IF(ROWS($1:30)&gt;COUNT(Dong2),"",OFFSET(TH!E$1,SMALL(Dong2,ROWS($1:30)),))</f>
        <v/>
      </c>
      <c r="D41" s="361" t="str">
        <f ca="1">IF(ROWS($1:30)&gt;COUNT(Dong2),"",OFFSET(TH!F$1,SMALL(Dong2,ROWS($1:30)),))</f>
        <v/>
      </c>
      <c r="E41" s="188" t="str">
        <f ca="1">IF(ROWS($1:30)&gt;COUNT(Dong2),"",IF(OFFSET(TH!O$1,SMALL(Dong2,ROWS($1:30)),)=$I$6,OFFSET(TH!N$1,SMALL(Dong2,ROWS($1:30)),),OFFSET(TH!O$1,SMALL(Dong2,ROWS($1:30)),)))</f>
        <v/>
      </c>
      <c r="F41" s="896" t="str">
        <f ca="1">IF(ROWS($1:30)&gt;COUNT(Dong2),"",IF(AND(IF($M$9="Q4",LEFT(OFFSET(TH!G$1,SMALL(Dong2,ROWS($1:30)),),2)=$M$9,LEFT(OFFSET(TH!G$1,SMALL(Dong2,ROWS($1:30)),),3)=$M$9),OFFSET(TH!N$1,SMALL(Dong2,ROWS($1:30)),)=$I$6),IF($I$6="1121",OFFSET(TH!M$1,SMALL(Dong2,ROWS($1:30)),),OFFSET(TH!K$1,SMALL(Dong2,ROWS($1:30)),)),0))</f>
        <v/>
      </c>
      <c r="G41" s="896" t="str">
        <f ca="1">IF(ROWS($1:30)&gt;COUNT(Dong2),"",IF(AND(IF($M$9="Q4",RIGHT(OFFSET(TH!G$1,SMALL(Dong2,ROWS($1:30)),),2)=$M$9,RIGHT(OFFSET(TH!G$1,SMALL(Dong2,ROWS($1:30)),),3)=$M$9),OFFSET(TH!O$1,SMALL(Dong2,ROWS($1:30)),)=$I$6),IF($I$6="1121",OFFSET(TH!M$1,SMALL(Dong2,ROWS($1:30)),),OFFSET(TH!K$1,SMALL(Dong2,ROWS($1:30)),)),0))</f>
        <v/>
      </c>
      <c r="H41" s="893">
        <f t="shared" ca="1" si="0"/>
        <v>0</v>
      </c>
      <c r="I41" s="893"/>
    </row>
    <row r="42" spans="1:12" s="177" customFormat="1" ht="20.25" customHeight="1">
      <c r="A42" s="188" t="str">
        <f ca="1">IF(ROWS($1:31)&gt;COUNT(Dong2),"",OFFSET(TH!C$1,SMALL(Dong2,ROWS($1:31)),))</f>
        <v/>
      </c>
      <c r="B42" s="188" t="str">
        <f ca="1">IF(ROWS($1:31)&gt;COUNT(Dong2),"",OFFSET(TH!D$1,SMALL(Dong2,ROWS($1:31)),))</f>
        <v/>
      </c>
      <c r="C42" s="188" t="str">
        <f ca="1">IF(ROWS($1:31)&gt;COUNT(Dong2),"",OFFSET(TH!E$1,SMALL(Dong2,ROWS($1:31)),))</f>
        <v/>
      </c>
      <c r="D42" s="361" t="str">
        <f ca="1">IF(ROWS($1:31)&gt;COUNT(Dong2),"",OFFSET(TH!F$1,SMALL(Dong2,ROWS($1:31)),))</f>
        <v/>
      </c>
      <c r="E42" s="188" t="str">
        <f ca="1">IF(ROWS($1:31)&gt;COUNT(Dong2),"",IF(OFFSET(TH!O$1,SMALL(Dong2,ROWS($1:31)),)=$I$6,OFFSET(TH!N$1,SMALL(Dong2,ROWS($1:31)),),OFFSET(TH!O$1,SMALL(Dong2,ROWS($1:31)),)))</f>
        <v/>
      </c>
      <c r="F42" s="896" t="str">
        <f ca="1">IF(ROWS($1:31)&gt;COUNT(Dong2),"",IF(AND(IF($M$9="Q4",LEFT(OFFSET(TH!G$1,SMALL(Dong2,ROWS($1:31)),),2)=$M$9,LEFT(OFFSET(TH!G$1,SMALL(Dong2,ROWS($1:31)),),3)=$M$9),OFFSET(TH!N$1,SMALL(Dong2,ROWS($1:31)),)=$I$6),IF($I$6="1121",OFFSET(TH!M$1,SMALL(Dong2,ROWS($1:31)),),OFFSET(TH!K$1,SMALL(Dong2,ROWS($1:31)),)),0))</f>
        <v/>
      </c>
      <c r="G42" s="896" t="str">
        <f ca="1">IF(ROWS($1:31)&gt;COUNT(Dong2),"",IF(AND(IF($M$9="Q4",RIGHT(OFFSET(TH!G$1,SMALL(Dong2,ROWS($1:31)),),2)=$M$9,RIGHT(OFFSET(TH!G$1,SMALL(Dong2,ROWS($1:31)),),3)=$M$9),OFFSET(TH!O$1,SMALL(Dong2,ROWS($1:31)),)=$I$6),IF($I$6="1121",OFFSET(TH!M$1,SMALL(Dong2,ROWS($1:31)),),OFFSET(TH!K$1,SMALL(Dong2,ROWS($1:31)),)),0))</f>
        <v/>
      </c>
      <c r="H42" s="893">
        <f t="shared" ca="1" si="0"/>
        <v>0</v>
      </c>
      <c r="I42" s="893"/>
    </row>
    <row r="43" spans="1:12" s="177" customFormat="1" ht="20.25" customHeight="1">
      <c r="A43" s="188" t="str">
        <f ca="1">IF(ROWS($1:32)&gt;COUNT(Dong2),"",OFFSET(TH!C$1,SMALL(Dong2,ROWS($1:32)),))</f>
        <v/>
      </c>
      <c r="B43" s="188" t="str">
        <f ca="1">IF(ROWS($1:32)&gt;COUNT(Dong2),"",OFFSET(TH!D$1,SMALL(Dong2,ROWS($1:32)),))</f>
        <v/>
      </c>
      <c r="C43" s="188" t="str">
        <f ca="1">IF(ROWS($1:32)&gt;COUNT(Dong2),"",OFFSET(TH!E$1,SMALL(Dong2,ROWS($1:32)),))</f>
        <v/>
      </c>
      <c r="D43" s="361" t="str">
        <f ca="1">IF(ROWS($1:32)&gt;COUNT(Dong2),"",OFFSET(TH!F$1,SMALL(Dong2,ROWS($1:32)),))</f>
        <v/>
      </c>
      <c r="E43" s="188" t="str">
        <f ca="1">IF(ROWS($1:32)&gt;COUNT(Dong2),"",IF(OFFSET(TH!O$1,SMALL(Dong2,ROWS($1:32)),)=$I$6,OFFSET(TH!N$1,SMALL(Dong2,ROWS($1:32)),),OFFSET(TH!O$1,SMALL(Dong2,ROWS($1:32)),)))</f>
        <v/>
      </c>
      <c r="F43" s="896" t="str">
        <f ca="1">IF(ROWS($1:32)&gt;COUNT(Dong2),"",IF(AND(IF($M$9="Q4",LEFT(OFFSET(TH!G$1,SMALL(Dong2,ROWS($1:32)),),2)=$M$9,LEFT(OFFSET(TH!G$1,SMALL(Dong2,ROWS($1:32)),),3)=$M$9),OFFSET(TH!N$1,SMALL(Dong2,ROWS($1:32)),)=$I$6),IF($I$6="1121",OFFSET(TH!M$1,SMALL(Dong2,ROWS($1:32)),),OFFSET(TH!K$1,SMALL(Dong2,ROWS($1:32)),)),0))</f>
        <v/>
      </c>
      <c r="G43" s="896" t="str">
        <f ca="1">IF(ROWS($1:32)&gt;COUNT(Dong2),"",IF(AND(IF($M$9="Q4",RIGHT(OFFSET(TH!G$1,SMALL(Dong2,ROWS($1:32)),),2)=$M$9,RIGHT(OFFSET(TH!G$1,SMALL(Dong2,ROWS($1:32)),),3)=$M$9),OFFSET(TH!O$1,SMALL(Dong2,ROWS($1:32)),)=$I$6),IF($I$6="1121",OFFSET(TH!M$1,SMALL(Dong2,ROWS($1:32)),),OFFSET(TH!K$1,SMALL(Dong2,ROWS($1:32)),)),0))</f>
        <v/>
      </c>
      <c r="H43" s="893">
        <f t="shared" ca="1" si="0"/>
        <v>0</v>
      </c>
      <c r="I43" s="893"/>
    </row>
    <row r="44" spans="1:12" s="177" customFormat="1" ht="20.25" customHeight="1">
      <c r="A44" s="188" t="str">
        <f ca="1">IF(ROWS($1:33)&gt;COUNT(Dong2),"",OFFSET(TH!C$1,SMALL(Dong2,ROWS($1:33)),))</f>
        <v/>
      </c>
      <c r="B44" s="188" t="str">
        <f ca="1">IF(ROWS($1:33)&gt;COUNT(Dong2),"",OFFSET(TH!D$1,SMALL(Dong2,ROWS($1:33)),))</f>
        <v/>
      </c>
      <c r="C44" s="188" t="str">
        <f ca="1">IF(ROWS($1:33)&gt;COUNT(Dong2),"",OFFSET(TH!E$1,SMALL(Dong2,ROWS($1:33)),))</f>
        <v/>
      </c>
      <c r="D44" s="361" t="str">
        <f ca="1">IF(ROWS($1:33)&gt;COUNT(Dong2),"",OFFSET(TH!F$1,SMALL(Dong2,ROWS($1:33)),))</f>
        <v/>
      </c>
      <c r="E44" s="188" t="str">
        <f ca="1">IF(ROWS($1:33)&gt;COUNT(Dong2),"",IF(OFFSET(TH!O$1,SMALL(Dong2,ROWS($1:33)),)=$I$6,OFFSET(TH!N$1,SMALL(Dong2,ROWS($1:33)),),OFFSET(TH!O$1,SMALL(Dong2,ROWS($1:33)),)))</f>
        <v/>
      </c>
      <c r="F44" s="896" t="str">
        <f ca="1">IF(ROWS($1:33)&gt;COUNT(Dong2),"",IF(AND(IF($M$9="Q4",LEFT(OFFSET(TH!G$1,SMALL(Dong2,ROWS($1:33)),),2)=$M$9,LEFT(OFFSET(TH!G$1,SMALL(Dong2,ROWS($1:33)),),3)=$M$9),OFFSET(TH!N$1,SMALL(Dong2,ROWS($1:33)),)=$I$6),IF($I$6="1121",OFFSET(TH!M$1,SMALL(Dong2,ROWS($1:33)),),OFFSET(TH!K$1,SMALL(Dong2,ROWS($1:33)),)),0))</f>
        <v/>
      </c>
      <c r="G44" s="896" t="str">
        <f ca="1">IF(ROWS($1:33)&gt;COUNT(Dong2),"",IF(AND(IF($M$9="Q4",RIGHT(OFFSET(TH!G$1,SMALL(Dong2,ROWS($1:33)),),2)=$M$9,RIGHT(OFFSET(TH!G$1,SMALL(Dong2,ROWS($1:33)),),3)=$M$9),OFFSET(TH!O$1,SMALL(Dong2,ROWS($1:33)),)=$I$6),IF($I$6="1121",OFFSET(TH!M$1,SMALL(Dong2,ROWS($1:33)),),OFFSET(TH!K$1,SMALL(Dong2,ROWS($1:33)),)),0))</f>
        <v/>
      </c>
      <c r="H44" s="893">
        <f t="shared" ca="1" si="0"/>
        <v>0</v>
      </c>
      <c r="I44" s="893"/>
    </row>
    <row r="45" spans="1:12" s="177" customFormat="1" ht="20.25" customHeight="1">
      <c r="A45" s="188" t="str">
        <f ca="1">IF(ROWS($1:34)&gt;COUNT(Dong2),"",OFFSET(TH!C$1,SMALL(Dong2,ROWS($1:34)),))</f>
        <v/>
      </c>
      <c r="B45" s="188" t="str">
        <f ca="1">IF(ROWS($1:34)&gt;COUNT(Dong2),"",OFFSET(TH!D$1,SMALL(Dong2,ROWS($1:34)),))</f>
        <v/>
      </c>
      <c r="C45" s="188" t="str">
        <f ca="1">IF(ROWS($1:34)&gt;COUNT(Dong2),"",OFFSET(TH!E$1,SMALL(Dong2,ROWS($1:34)),))</f>
        <v/>
      </c>
      <c r="D45" s="361" t="str">
        <f ca="1">IF(ROWS($1:34)&gt;COUNT(Dong2),"",OFFSET(TH!F$1,SMALL(Dong2,ROWS($1:34)),))</f>
        <v/>
      </c>
      <c r="E45" s="188" t="str">
        <f ca="1">IF(ROWS($1:34)&gt;COUNT(Dong2),"",IF(OFFSET(TH!O$1,SMALL(Dong2,ROWS($1:34)),)=$I$6,OFFSET(TH!N$1,SMALL(Dong2,ROWS($1:34)),),OFFSET(TH!O$1,SMALL(Dong2,ROWS($1:34)),)))</f>
        <v/>
      </c>
      <c r="F45" s="896" t="str">
        <f ca="1">IF(ROWS($1:34)&gt;COUNT(Dong2),"",IF(AND(IF($M$9="Q4",LEFT(OFFSET(TH!G$1,SMALL(Dong2,ROWS($1:34)),),2)=$M$9,LEFT(OFFSET(TH!G$1,SMALL(Dong2,ROWS($1:34)),),3)=$M$9),OFFSET(TH!N$1,SMALL(Dong2,ROWS($1:34)),)=$I$6),IF($I$6="1121",OFFSET(TH!M$1,SMALL(Dong2,ROWS($1:34)),),OFFSET(TH!K$1,SMALL(Dong2,ROWS($1:34)),)),0))</f>
        <v/>
      </c>
      <c r="G45" s="896" t="str">
        <f ca="1">IF(ROWS($1:34)&gt;COUNT(Dong2),"",IF(AND(IF($M$9="Q4",RIGHT(OFFSET(TH!G$1,SMALL(Dong2,ROWS($1:34)),),2)=$M$9,RIGHT(OFFSET(TH!G$1,SMALL(Dong2,ROWS($1:34)),),3)=$M$9),OFFSET(TH!O$1,SMALL(Dong2,ROWS($1:34)),)=$I$6),IF($I$6="1121",OFFSET(TH!M$1,SMALL(Dong2,ROWS($1:34)),),OFFSET(TH!K$1,SMALL(Dong2,ROWS($1:34)),)),0))</f>
        <v/>
      </c>
      <c r="H45" s="893">
        <f t="shared" ca="1" si="0"/>
        <v>0</v>
      </c>
      <c r="I45" s="893"/>
    </row>
    <row r="46" spans="1:12" s="177" customFormat="1" ht="20.25" customHeight="1">
      <c r="A46" s="188" t="str">
        <f ca="1">IF(ROWS($1:35)&gt;COUNT(Dong2),"",OFFSET(TH!C$1,SMALL(Dong2,ROWS($1:35)),))</f>
        <v/>
      </c>
      <c r="B46" s="188" t="str">
        <f ca="1">IF(ROWS($1:35)&gt;COUNT(Dong2),"",OFFSET(TH!D$1,SMALL(Dong2,ROWS($1:35)),))</f>
        <v/>
      </c>
      <c r="C46" s="188" t="str">
        <f ca="1">IF(ROWS($1:35)&gt;COUNT(Dong2),"",OFFSET(TH!E$1,SMALL(Dong2,ROWS($1:35)),))</f>
        <v/>
      </c>
      <c r="D46" s="361" t="str">
        <f ca="1">IF(ROWS($1:35)&gt;COUNT(Dong2),"",OFFSET(TH!F$1,SMALL(Dong2,ROWS($1:35)),))</f>
        <v/>
      </c>
      <c r="E46" s="188" t="str">
        <f ca="1">IF(ROWS($1:35)&gt;COUNT(Dong2),"",IF(OFFSET(TH!O$1,SMALL(Dong2,ROWS($1:35)),)=$I$6,OFFSET(TH!N$1,SMALL(Dong2,ROWS($1:35)),),OFFSET(TH!O$1,SMALL(Dong2,ROWS($1:35)),)))</f>
        <v/>
      </c>
      <c r="F46" s="896" t="str">
        <f ca="1">IF(ROWS($1:35)&gt;COUNT(Dong2),"",IF(AND(IF($M$9="Q4",LEFT(OFFSET(TH!G$1,SMALL(Dong2,ROWS($1:35)),),2)=$M$9,LEFT(OFFSET(TH!G$1,SMALL(Dong2,ROWS($1:35)),),3)=$M$9),OFFSET(TH!N$1,SMALL(Dong2,ROWS($1:35)),)=$I$6),IF($I$6="1121",OFFSET(TH!M$1,SMALL(Dong2,ROWS($1:35)),),OFFSET(TH!K$1,SMALL(Dong2,ROWS($1:35)),)),0))</f>
        <v/>
      </c>
      <c r="G46" s="896" t="str">
        <f ca="1">IF(ROWS($1:35)&gt;COUNT(Dong2),"",IF(AND(IF($M$9="Q4",RIGHT(OFFSET(TH!G$1,SMALL(Dong2,ROWS($1:35)),),2)=$M$9,RIGHT(OFFSET(TH!G$1,SMALL(Dong2,ROWS($1:35)),),3)=$M$9),OFFSET(TH!O$1,SMALL(Dong2,ROWS($1:35)),)=$I$6),IF($I$6="1121",OFFSET(TH!M$1,SMALL(Dong2,ROWS($1:35)),),OFFSET(TH!K$1,SMALL(Dong2,ROWS($1:35)),)),0))</f>
        <v/>
      </c>
      <c r="H46" s="893">
        <f t="shared" ca="1" si="0"/>
        <v>0</v>
      </c>
      <c r="I46" s="893"/>
    </row>
    <row r="47" spans="1:12" s="177" customFormat="1" ht="20.25" customHeight="1">
      <c r="A47" s="188" t="str">
        <f ca="1">IF(ROWS($1:36)&gt;COUNT(Dong2),"",OFFSET(TH!C$1,SMALL(Dong2,ROWS($1:36)),))</f>
        <v/>
      </c>
      <c r="B47" s="188" t="str">
        <f ca="1">IF(ROWS($1:36)&gt;COUNT(Dong2),"",OFFSET(TH!D$1,SMALL(Dong2,ROWS($1:36)),))</f>
        <v/>
      </c>
      <c r="C47" s="188" t="str">
        <f ca="1">IF(ROWS($1:36)&gt;COUNT(Dong2),"",OFFSET(TH!E$1,SMALL(Dong2,ROWS($1:36)),))</f>
        <v/>
      </c>
      <c r="D47" s="361" t="str">
        <f ca="1">IF(ROWS($1:36)&gt;COUNT(Dong2),"",OFFSET(TH!F$1,SMALL(Dong2,ROWS($1:36)),))</f>
        <v/>
      </c>
      <c r="E47" s="188" t="str">
        <f ca="1">IF(ROWS($1:36)&gt;COUNT(Dong2),"",IF(OFFSET(TH!O$1,SMALL(Dong2,ROWS($1:36)),)=$I$6,OFFSET(TH!N$1,SMALL(Dong2,ROWS($1:36)),),OFFSET(TH!O$1,SMALL(Dong2,ROWS($1:36)),)))</f>
        <v/>
      </c>
      <c r="F47" s="896" t="str">
        <f ca="1">IF(ROWS($1:36)&gt;COUNT(Dong2),"",IF(AND(IF($M$9="Q4",LEFT(OFFSET(TH!G$1,SMALL(Dong2,ROWS($1:36)),),2)=$M$9,LEFT(OFFSET(TH!G$1,SMALL(Dong2,ROWS($1:36)),),3)=$M$9),OFFSET(TH!N$1,SMALL(Dong2,ROWS($1:36)),)=$I$6),IF($I$6="1121",OFFSET(TH!M$1,SMALL(Dong2,ROWS($1:36)),),OFFSET(TH!K$1,SMALL(Dong2,ROWS($1:36)),)),0))</f>
        <v/>
      </c>
      <c r="G47" s="896" t="str">
        <f ca="1">IF(ROWS($1:36)&gt;COUNT(Dong2),"",IF(AND(IF($M$9="Q4",RIGHT(OFFSET(TH!G$1,SMALL(Dong2,ROWS($1:36)),),2)=$M$9,RIGHT(OFFSET(TH!G$1,SMALL(Dong2,ROWS($1:36)),),3)=$M$9),OFFSET(TH!O$1,SMALL(Dong2,ROWS($1:36)),)=$I$6),IF($I$6="1121",OFFSET(TH!M$1,SMALL(Dong2,ROWS($1:36)),),OFFSET(TH!K$1,SMALL(Dong2,ROWS($1:36)),)),0))</f>
        <v/>
      </c>
      <c r="H47" s="893">
        <f t="shared" ca="1" si="0"/>
        <v>0</v>
      </c>
      <c r="I47" s="893"/>
    </row>
    <row r="48" spans="1:12" s="177" customFormat="1" ht="20.25" customHeight="1">
      <c r="A48" s="188" t="str">
        <f ca="1">IF(ROWS($1:37)&gt;COUNT(Dong2),"",OFFSET(TH!C$1,SMALL(Dong2,ROWS($1:37)),))</f>
        <v/>
      </c>
      <c r="B48" s="188" t="str">
        <f ca="1">IF(ROWS($1:37)&gt;COUNT(Dong2),"",OFFSET(TH!D$1,SMALL(Dong2,ROWS($1:37)),))</f>
        <v/>
      </c>
      <c r="C48" s="188" t="str">
        <f ca="1">IF(ROWS($1:37)&gt;COUNT(Dong2),"",OFFSET(TH!E$1,SMALL(Dong2,ROWS($1:37)),))</f>
        <v/>
      </c>
      <c r="D48" s="361" t="str">
        <f ca="1">IF(ROWS($1:37)&gt;COUNT(Dong2),"",OFFSET(TH!F$1,SMALL(Dong2,ROWS($1:37)),))</f>
        <v/>
      </c>
      <c r="E48" s="188" t="str">
        <f ca="1">IF(ROWS($1:37)&gt;COUNT(Dong2),"",IF(OFFSET(TH!O$1,SMALL(Dong2,ROWS($1:37)),)=$I$6,OFFSET(TH!N$1,SMALL(Dong2,ROWS($1:37)),),OFFSET(TH!O$1,SMALL(Dong2,ROWS($1:37)),)))</f>
        <v/>
      </c>
      <c r="F48" s="896" t="str">
        <f ca="1">IF(ROWS($1:37)&gt;COUNT(Dong2),"",IF(AND(IF($M$9="Q4",LEFT(OFFSET(TH!G$1,SMALL(Dong2,ROWS($1:37)),),2)=$M$9,LEFT(OFFSET(TH!G$1,SMALL(Dong2,ROWS($1:37)),),3)=$M$9),OFFSET(TH!N$1,SMALL(Dong2,ROWS($1:37)),)=$I$6),IF($I$6="1121",OFFSET(TH!M$1,SMALL(Dong2,ROWS($1:37)),),OFFSET(TH!K$1,SMALL(Dong2,ROWS($1:37)),)),0))</f>
        <v/>
      </c>
      <c r="G48" s="896" t="str">
        <f ca="1">IF(ROWS($1:37)&gt;COUNT(Dong2),"",IF(AND(IF($M$9="Q4",RIGHT(OFFSET(TH!G$1,SMALL(Dong2,ROWS($1:37)),),2)=$M$9,RIGHT(OFFSET(TH!G$1,SMALL(Dong2,ROWS($1:37)),),3)=$M$9),OFFSET(TH!O$1,SMALL(Dong2,ROWS($1:37)),)=$I$6),IF($I$6="1121",OFFSET(TH!M$1,SMALL(Dong2,ROWS($1:37)),),OFFSET(TH!K$1,SMALL(Dong2,ROWS($1:37)),)),0))</f>
        <v/>
      </c>
      <c r="H48" s="893">
        <f t="shared" ca="1" si="0"/>
        <v>0</v>
      </c>
      <c r="I48" s="893"/>
    </row>
    <row r="49" spans="1:9" s="177" customFormat="1" ht="20.25" customHeight="1">
      <c r="A49" s="188" t="str">
        <f ca="1">IF(ROWS($1:38)&gt;COUNT(Dong2),"",OFFSET(TH!C$1,SMALL(Dong2,ROWS($1:38)),))</f>
        <v/>
      </c>
      <c r="B49" s="188" t="str">
        <f ca="1">IF(ROWS($1:38)&gt;COUNT(Dong2),"",OFFSET(TH!D$1,SMALL(Dong2,ROWS($1:38)),))</f>
        <v/>
      </c>
      <c r="C49" s="188" t="str">
        <f ca="1">IF(ROWS($1:38)&gt;COUNT(Dong2),"",OFFSET(TH!E$1,SMALL(Dong2,ROWS($1:38)),))</f>
        <v/>
      </c>
      <c r="D49" s="361" t="str">
        <f ca="1">IF(ROWS($1:38)&gt;COUNT(Dong2),"",OFFSET(TH!F$1,SMALL(Dong2,ROWS($1:38)),))</f>
        <v/>
      </c>
      <c r="E49" s="188" t="str">
        <f ca="1">IF(ROWS($1:38)&gt;COUNT(Dong2),"",IF(OFFSET(TH!O$1,SMALL(Dong2,ROWS($1:38)),)=$I$6,OFFSET(TH!N$1,SMALL(Dong2,ROWS($1:38)),),OFFSET(TH!O$1,SMALL(Dong2,ROWS($1:38)),)))</f>
        <v/>
      </c>
      <c r="F49" s="896" t="str">
        <f ca="1">IF(ROWS($1:38)&gt;COUNT(Dong2),"",IF(AND(IF($M$9="Q4",LEFT(OFFSET(TH!G$1,SMALL(Dong2,ROWS($1:38)),),2)=$M$9,LEFT(OFFSET(TH!G$1,SMALL(Dong2,ROWS($1:38)),),3)=$M$9),OFFSET(TH!N$1,SMALL(Dong2,ROWS($1:38)),)=$I$6),IF($I$6="1121",OFFSET(TH!M$1,SMALL(Dong2,ROWS($1:38)),),OFFSET(TH!K$1,SMALL(Dong2,ROWS($1:38)),)),0))</f>
        <v/>
      </c>
      <c r="G49" s="896" t="str">
        <f ca="1">IF(ROWS($1:38)&gt;COUNT(Dong2),"",IF(AND(IF($M$9="Q4",RIGHT(OFFSET(TH!G$1,SMALL(Dong2,ROWS($1:38)),),2)=$M$9,RIGHT(OFFSET(TH!G$1,SMALL(Dong2,ROWS($1:38)),),3)=$M$9),OFFSET(TH!O$1,SMALL(Dong2,ROWS($1:38)),)=$I$6),IF($I$6="1121",OFFSET(TH!M$1,SMALL(Dong2,ROWS($1:38)),),OFFSET(TH!K$1,SMALL(Dong2,ROWS($1:38)),)),0))</f>
        <v/>
      </c>
      <c r="H49" s="893">
        <f t="shared" ca="1" si="0"/>
        <v>0</v>
      </c>
      <c r="I49" s="893"/>
    </row>
    <row r="50" spans="1:9" s="177" customFormat="1" ht="20.25" customHeight="1">
      <c r="A50" s="188" t="str">
        <f ca="1">IF(ROWS($1:39)&gt;COUNT(Dong2),"",OFFSET(TH!C$1,SMALL(Dong2,ROWS($1:39)),))</f>
        <v/>
      </c>
      <c r="B50" s="188" t="str">
        <f ca="1">IF(ROWS($1:39)&gt;COUNT(Dong2),"",OFFSET(TH!D$1,SMALL(Dong2,ROWS($1:39)),))</f>
        <v/>
      </c>
      <c r="C50" s="188" t="str">
        <f ca="1">IF(ROWS($1:39)&gt;COUNT(Dong2),"",OFFSET(TH!E$1,SMALL(Dong2,ROWS($1:39)),))</f>
        <v/>
      </c>
      <c r="D50" s="361" t="str">
        <f ca="1">IF(ROWS($1:39)&gt;COUNT(Dong2),"",OFFSET(TH!F$1,SMALL(Dong2,ROWS($1:39)),))</f>
        <v/>
      </c>
      <c r="E50" s="188" t="str">
        <f ca="1">IF(ROWS($1:39)&gt;COUNT(Dong2),"",IF(OFFSET(TH!O$1,SMALL(Dong2,ROWS($1:39)),)=$I$6,OFFSET(TH!N$1,SMALL(Dong2,ROWS($1:39)),),OFFSET(TH!O$1,SMALL(Dong2,ROWS($1:39)),)))</f>
        <v/>
      </c>
      <c r="F50" s="896" t="str">
        <f ca="1">IF(ROWS($1:39)&gt;COUNT(Dong2),"",IF(AND(IF($M$9="Q4",LEFT(OFFSET(TH!G$1,SMALL(Dong2,ROWS($1:39)),),2)=$M$9,LEFT(OFFSET(TH!G$1,SMALL(Dong2,ROWS($1:39)),),3)=$M$9),OFFSET(TH!N$1,SMALL(Dong2,ROWS($1:39)),)=$I$6),IF($I$6="1121",OFFSET(TH!M$1,SMALL(Dong2,ROWS($1:39)),),OFFSET(TH!K$1,SMALL(Dong2,ROWS($1:39)),)),0))</f>
        <v/>
      </c>
      <c r="G50" s="896" t="str">
        <f ca="1">IF(ROWS($1:39)&gt;COUNT(Dong2),"",IF(AND(IF($M$9="Q4",RIGHT(OFFSET(TH!G$1,SMALL(Dong2,ROWS($1:39)),),2)=$M$9,RIGHT(OFFSET(TH!G$1,SMALL(Dong2,ROWS($1:39)),),3)=$M$9),OFFSET(TH!O$1,SMALL(Dong2,ROWS($1:39)),)=$I$6),IF($I$6="1121",OFFSET(TH!M$1,SMALL(Dong2,ROWS($1:39)),),OFFSET(TH!K$1,SMALL(Dong2,ROWS($1:39)),)),0))</f>
        <v/>
      </c>
      <c r="H50" s="893">
        <f t="shared" ca="1" si="0"/>
        <v>0</v>
      </c>
      <c r="I50" s="893"/>
    </row>
    <row r="51" spans="1:9" s="177" customFormat="1" ht="20.25" customHeight="1">
      <c r="A51" s="188" t="str">
        <f ca="1">IF(ROWS($1:40)&gt;COUNT(Dong2),"",OFFSET(TH!C$1,SMALL(Dong2,ROWS($1:40)),))</f>
        <v/>
      </c>
      <c r="B51" s="188" t="str">
        <f ca="1">IF(ROWS($1:40)&gt;COUNT(Dong2),"",OFFSET(TH!D$1,SMALL(Dong2,ROWS($1:40)),))</f>
        <v/>
      </c>
      <c r="C51" s="188" t="str">
        <f ca="1">IF(ROWS($1:40)&gt;COUNT(Dong2),"",OFFSET(TH!E$1,SMALL(Dong2,ROWS($1:40)),))</f>
        <v/>
      </c>
      <c r="D51" s="361" t="str">
        <f ca="1">IF(ROWS($1:40)&gt;COUNT(Dong2),"",OFFSET(TH!F$1,SMALL(Dong2,ROWS($1:40)),))</f>
        <v/>
      </c>
      <c r="E51" s="188" t="str">
        <f ca="1">IF(ROWS($1:40)&gt;COUNT(Dong2),"",IF(OFFSET(TH!O$1,SMALL(Dong2,ROWS($1:40)),)=$I$6,OFFSET(TH!N$1,SMALL(Dong2,ROWS($1:40)),),OFFSET(TH!O$1,SMALL(Dong2,ROWS($1:40)),)))</f>
        <v/>
      </c>
      <c r="F51" s="896" t="str">
        <f ca="1">IF(ROWS($1:40)&gt;COUNT(Dong2),"",IF(AND(IF($M$9="Q4",LEFT(OFFSET(TH!G$1,SMALL(Dong2,ROWS($1:40)),),2)=$M$9,LEFT(OFFSET(TH!G$1,SMALL(Dong2,ROWS($1:40)),),3)=$M$9),OFFSET(TH!N$1,SMALL(Dong2,ROWS($1:40)),)=$I$6),IF($I$6="1121",OFFSET(TH!M$1,SMALL(Dong2,ROWS($1:40)),),OFFSET(TH!K$1,SMALL(Dong2,ROWS($1:40)),)),0))</f>
        <v/>
      </c>
      <c r="G51" s="896" t="str">
        <f ca="1">IF(ROWS($1:40)&gt;COUNT(Dong2),"",IF(AND(IF($M$9="Q4",RIGHT(OFFSET(TH!G$1,SMALL(Dong2,ROWS($1:40)),),2)=$M$9,RIGHT(OFFSET(TH!G$1,SMALL(Dong2,ROWS($1:40)),),3)=$M$9),OFFSET(TH!O$1,SMALL(Dong2,ROWS($1:40)),)=$I$6),IF($I$6="1121",OFFSET(TH!M$1,SMALL(Dong2,ROWS($1:40)),),OFFSET(TH!K$1,SMALL(Dong2,ROWS($1:40)),)),0))</f>
        <v/>
      </c>
      <c r="H51" s="893">
        <f t="shared" ca="1" si="0"/>
        <v>0</v>
      </c>
      <c r="I51" s="893"/>
    </row>
    <row r="52" spans="1:9" s="177" customFormat="1" ht="20.25" customHeight="1">
      <c r="A52" s="188" t="str">
        <f ca="1">IF(ROWS($1:41)&gt;COUNT(Dong2),"",OFFSET(TH!C$1,SMALL(Dong2,ROWS($1:41)),))</f>
        <v/>
      </c>
      <c r="B52" s="188" t="str">
        <f ca="1">IF(ROWS($1:41)&gt;COUNT(Dong2),"",OFFSET(TH!D$1,SMALL(Dong2,ROWS($1:41)),))</f>
        <v/>
      </c>
      <c r="C52" s="188" t="str">
        <f ca="1">IF(ROWS($1:41)&gt;COUNT(Dong2),"",OFFSET(TH!E$1,SMALL(Dong2,ROWS($1:41)),))</f>
        <v/>
      </c>
      <c r="D52" s="361" t="str">
        <f ca="1">IF(ROWS($1:41)&gt;COUNT(Dong2),"",OFFSET(TH!F$1,SMALL(Dong2,ROWS($1:41)),))</f>
        <v/>
      </c>
      <c r="E52" s="188" t="str">
        <f ca="1">IF(ROWS($1:41)&gt;COUNT(Dong2),"",IF(OFFSET(TH!O$1,SMALL(Dong2,ROWS($1:41)),)=$I$6,OFFSET(TH!N$1,SMALL(Dong2,ROWS($1:41)),),OFFSET(TH!O$1,SMALL(Dong2,ROWS($1:41)),)))</f>
        <v/>
      </c>
      <c r="F52" s="896" t="str">
        <f ca="1">IF(ROWS($1:41)&gt;COUNT(Dong2),"",IF(AND(IF($M$9="Q4",LEFT(OFFSET(TH!G$1,SMALL(Dong2,ROWS($1:41)),),2)=$M$9,LEFT(OFFSET(TH!G$1,SMALL(Dong2,ROWS($1:41)),),3)=$M$9),OFFSET(TH!N$1,SMALL(Dong2,ROWS($1:41)),)=$I$6),IF($I$6="1121",OFFSET(TH!M$1,SMALL(Dong2,ROWS($1:41)),),OFFSET(TH!K$1,SMALL(Dong2,ROWS($1:41)),)),0))</f>
        <v/>
      </c>
      <c r="G52" s="896" t="str">
        <f ca="1">IF(ROWS($1:41)&gt;COUNT(Dong2),"",IF(AND(IF($M$9="Q4",RIGHT(OFFSET(TH!G$1,SMALL(Dong2,ROWS($1:41)),),2)=$M$9,RIGHT(OFFSET(TH!G$1,SMALL(Dong2,ROWS($1:41)),),3)=$M$9),OFFSET(TH!O$1,SMALL(Dong2,ROWS($1:41)),)=$I$6),IF($I$6="1121",OFFSET(TH!M$1,SMALL(Dong2,ROWS($1:41)),),OFFSET(TH!K$1,SMALL(Dong2,ROWS($1:41)),)),0))</f>
        <v/>
      </c>
      <c r="H52" s="893">
        <f t="shared" ca="1" si="0"/>
        <v>0</v>
      </c>
      <c r="I52" s="893"/>
    </row>
    <row r="53" spans="1:9" s="177" customFormat="1" ht="20.25" customHeight="1">
      <c r="A53" s="188" t="str">
        <f ca="1">IF(ROWS($1:42)&gt;COUNT(Dong2),"",OFFSET(TH!C$1,SMALL(Dong2,ROWS($1:42)),))</f>
        <v/>
      </c>
      <c r="B53" s="188" t="str">
        <f ca="1">IF(ROWS($1:42)&gt;COUNT(Dong2),"",OFFSET(TH!D$1,SMALL(Dong2,ROWS($1:42)),))</f>
        <v/>
      </c>
      <c r="C53" s="188" t="str">
        <f ca="1">IF(ROWS($1:42)&gt;COUNT(Dong2),"",OFFSET(TH!E$1,SMALL(Dong2,ROWS($1:42)),))</f>
        <v/>
      </c>
      <c r="D53" s="361" t="str">
        <f ca="1">IF(ROWS($1:42)&gt;COUNT(Dong2),"",OFFSET(TH!F$1,SMALL(Dong2,ROWS($1:42)),))</f>
        <v/>
      </c>
      <c r="E53" s="188" t="str">
        <f ca="1">IF(ROWS($1:42)&gt;COUNT(Dong2),"",IF(OFFSET(TH!O$1,SMALL(Dong2,ROWS($1:42)),)=$I$6,OFFSET(TH!N$1,SMALL(Dong2,ROWS($1:42)),),OFFSET(TH!O$1,SMALL(Dong2,ROWS($1:42)),)))</f>
        <v/>
      </c>
      <c r="F53" s="896" t="str">
        <f ca="1">IF(ROWS($1:42)&gt;COUNT(Dong2),"",IF(AND(IF($M$9="Q4",LEFT(OFFSET(TH!G$1,SMALL(Dong2,ROWS($1:42)),),2)=$M$9,LEFT(OFFSET(TH!G$1,SMALL(Dong2,ROWS($1:42)),),3)=$M$9),OFFSET(TH!N$1,SMALL(Dong2,ROWS($1:42)),)=$I$6),IF($I$6="1121",OFFSET(TH!M$1,SMALL(Dong2,ROWS($1:42)),),OFFSET(TH!K$1,SMALL(Dong2,ROWS($1:42)),)),0))</f>
        <v/>
      </c>
      <c r="G53" s="896" t="str">
        <f ca="1">IF(ROWS($1:42)&gt;COUNT(Dong2),"",IF(AND(IF($M$9="Q4",RIGHT(OFFSET(TH!G$1,SMALL(Dong2,ROWS($1:42)),),2)=$M$9,RIGHT(OFFSET(TH!G$1,SMALL(Dong2,ROWS($1:42)),),3)=$M$9),OFFSET(TH!O$1,SMALL(Dong2,ROWS($1:42)),)=$I$6),IF($I$6="1121",OFFSET(TH!M$1,SMALL(Dong2,ROWS($1:42)),),OFFSET(TH!K$1,SMALL(Dong2,ROWS($1:42)),)),0))</f>
        <v/>
      </c>
      <c r="H53" s="893">
        <f t="shared" ref="H53:H82" ca="1" si="1">IF(A53&lt;&gt;"",H52+F53-G53,0)</f>
        <v>0</v>
      </c>
      <c r="I53" s="893"/>
    </row>
    <row r="54" spans="1:9" s="177" customFormat="1" ht="20.25" customHeight="1">
      <c r="A54" s="188" t="str">
        <f ca="1">IF(ROWS($1:43)&gt;COUNT(Dong2),"",OFFSET(TH!C$1,SMALL(Dong2,ROWS($1:43)),))</f>
        <v/>
      </c>
      <c r="B54" s="188" t="str">
        <f ca="1">IF(ROWS($1:43)&gt;COUNT(Dong2),"",OFFSET(TH!D$1,SMALL(Dong2,ROWS($1:43)),))</f>
        <v/>
      </c>
      <c r="C54" s="188" t="str">
        <f ca="1">IF(ROWS($1:43)&gt;COUNT(Dong2),"",OFFSET(TH!E$1,SMALL(Dong2,ROWS($1:43)),))</f>
        <v/>
      </c>
      <c r="D54" s="361" t="str">
        <f ca="1">IF(ROWS($1:43)&gt;COUNT(Dong2),"",OFFSET(TH!F$1,SMALL(Dong2,ROWS($1:43)),))</f>
        <v/>
      </c>
      <c r="E54" s="188" t="str">
        <f ca="1">IF(ROWS($1:43)&gt;COUNT(Dong2),"",IF(OFFSET(TH!O$1,SMALL(Dong2,ROWS($1:43)),)=$I$6,OFFSET(TH!N$1,SMALL(Dong2,ROWS($1:43)),),OFFSET(TH!O$1,SMALL(Dong2,ROWS($1:43)),)))</f>
        <v/>
      </c>
      <c r="F54" s="896" t="str">
        <f ca="1">IF(ROWS($1:43)&gt;COUNT(Dong2),"",IF(AND(IF($M$9="Q4",LEFT(OFFSET(TH!G$1,SMALL(Dong2,ROWS($1:43)),),2)=$M$9,LEFT(OFFSET(TH!G$1,SMALL(Dong2,ROWS($1:43)),),3)=$M$9),OFFSET(TH!N$1,SMALL(Dong2,ROWS($1:43)),)=$I$6),IF($I$6="1121",OFFSET(TH!M$1,SMALL(Dong2,ROWS($1:43)),),OFFSET(TH!K$1,SMALL(Dong2,ROWS($1:43)),)),0))</f>
        <v/>
      </c>
      <c r="G54" s="896" t="str">
        <f ca="1">IF(ROWS($1:43)&gt;COUNT(Dong2),"",IF(AND(IF($M$9="Q4",RIGHT(OFFSET(TH!G$1,SMALL(Dong2,ROWS($1:43)),),2)=$M$9,RIGHT(OFFSET(TH!G$1,SMALL(Dong2,ROWS($1:43)),),3)=$M$9),OFFSET(TH!O$1,SMALL(Dong2,ROWS($1:43)),)=$I$6),IF($I$6="1121",OFFSET(TH!M$1,SMALL(Dong2,ROWS($1:43)),),OFFSET(TH!K$1,SMALL(Dong2,ROWS($1:43)),)),0))</f>
        <v/>
      </c>
      <c r="H54" s="893">
        <f t="shared" ca="1" si="1"/>
        <v>0</v>
      </c>
      <c r="I54" s="893"/>
    </row>
    <row r="55" spans="1:9" s="177" customFormat="1" ht="20.25" customHeight="1">
      <c r="A55" s="188" t="str">
        <f ca="1">IF(ROWS($1:44)&gt;COUNT(Dong2),"",OFFSET(TH!C$1,SMALL(Dong2,ROWS($1:44)),))</f>
        <v/>
      </c>
      <c r="B55" s="188" t="str">
        <f ca="1">IF(ROWS($1:44)&gt;COUNT(Dong2),"",OFFSET(TH!D$1,SMALL(Dong2,ROWS($1:44)),))</f>
        <v/>
      </c>
      <c r="C55" s="188" t="str">
        <f ca="1">IF(ROWS($1:44)&gt;COUNT(Dong2),"",OFFSET(TH!E$1,SMALL(Dong2,ROWS($1:44)),))</f>
        <v/>
      </c>
      <c r="D55" s="361" t="str">
        <f ca="1">IF(ROWS($1:44)&gt;COUNT(Dong2),"",OFFSET(TH!F$1,SMALL(Dong2,ROWS($1:44)),))</f>
        <v/>
      </c>
      <c r="E55" s="188" t="str">
        <f ca="1">IF(ROWS($1:44)&gt;COUNT(Dong2),"",IF(OFFSET(TH!O$1,SMALL(Dong2,ROWS($1:44)),)=$I$6,OFFSET(TH!N$1,SMALL(Dong2,ROWS($1:44)),),OFFSET(TH!O$1,SMALL(Dong2,ROWS($1:44)),)))</f>
        <v/>
      </c>
      <c r="F55" s="896" t="str">
        <f ca="1">IF(ROWS($1:44)&gt;COUNT(Dong2),"",IF(AND(IF($M$9="Q4",LEFT(OFFSET(TH!G$1,SMALL(Dong2,ROWS($1:44)),),2)=$M$9,LEFT(OFFSET(TH!G$1,SMALL(Dong2,ROWS($1:44)),),3)=$M$9),OFFSET(TH!N$1,SMALL(Dong2,ROWS($1:44)),)=$I$6),IF($I$6="1121",OFFSET(TH!M$1,SMALL(Dong2,ROWS($1:44)),),OFFSET(TH!K$1,SMALL(Dong2,ROWS($1:44)),)),0))</f>
        <v/>
      </c>
      <c r="G55" s="896" t="str">
        <f ca="1">IF(ROWS($1:44)&gt;COUNT(Dong2),"",IF(AND(IF($M$9="Q4",RIGHT(OFFSET(TH!G$1,SMALL(Dong2,ROWS($1:44)),),2)=$M$9,RIGHT(OFFSET(TH!G$1,SMALL(Dong2,ROWS($1:44)),),3)=$M$9),OFFSET(TH!O$1,SMALL(Dong2,ROWS($1:44)),)=$I$6),IF($I$6="1121",OFFSET(TH!M$1,SMALL(Dong2,ROWS($1:44)),),OFFSET(TH!K$1,SMALL(Dong2,ROWS($1:44)),)),0))</f>
        <v/>
      </c>
      <c r="H55" s="893">
        <f t="shared" ca="1" si="1"/>
        <v>0</v>
      </c>
      <c r="I55" s="893"/>
    </row>
    <row r="56" spans="1:9" s="177" customFormat="1" ht="20.25" customHeight="1">
      <c r="A56" s="188" t="str">
        <f ca="1">IF(ROWS($1:45)&gt;COUNT(Dong2),"",OFFSET(TH!C$1,SMALL(Dong2,ROWS($1:45)),))</f>
        <v/>
      </c>
      <c r="B56" s="188" t="str">
        <f ca="1">IF(ROWS($1:45)&gt;COUNT(Dong2),"",OFFSET(TH!D$1,SMALL(Dong2,ROWS($1:45)),))</f>
        <v/>
      </c>
      <c r="C56" s="188" t="str">
        <f ca="1">IF(ROWS($1:45)&gt;COUNT(Dong2),"",OFFSET(TH!E$1,SMALL(Dong2,ROWS($1:45)),))</f>
        <v/>
      </c>
      <c r="D56" s="361" t="str">
        <f ca="1">IF(ROWS($1:45)&gt;COUNT(Dong2),"",OFFSET(TH!F$1,SMALL(Dong2,ROWS($1:45)),))</f>
        <v/>
      </c>
      <c r="E56" s="188" t="str">
        <f ca="1">IF(ROWS($1:45)&gt;COUNT(Dong2),"",IF(OFFSET(TH!O$1,SMALL(Dong2,ROWS($1:45)),)=$I$6,OFFSET(TH!N$1,SMALL(Dong2,ROWS($1:45)),),OFFSET(TH!O$1,SMALL(Dong2,ROWS($1:45)),)))</f>
        <v/>
      </c>
      <c r="F56" s="896" t="str">
        <f ca="1">IF(ROWS($1:45)&gt;COUNT(Dong2),"",IF(AND(IF($M$9="Q4",LEFT(OFFSET(TH!G$1,SMALL(Dong2,ROWS($1:45)),),2)=$M$9,LEFT(OFFSET(TH!G$1,SMALL(Dong2,ROWS($1:45)),),3)=$M$9),OFFSET(TH!N$1,SMALL(Dong2,ROWS($1:45)),)=$I$6),IF($I$6="1121",OFFSET(TH!M$1,SMALL(Dong2,ROWS($1:45)),),OFFSET(TH!K$1,SMALL(Dong2,ROWS($1:45)),)),0))</f>
        <v/>
      </c>
      <c r="G56" s="896" t="str">
        <f ca="1">IF(ROWS($1:45)&gt;COUNT(Dong2),"",IF(AND(IF($M$9="Q4",RIGHT(OFFSET(TH!G$1,SMALL(Dong2,ROWS($1:45)),),2)=$M$9,RIGHT(OFFSET(TH!G$1,SMALL(Dong2,ROWS($1:45)),),3)=$M$9),OFFSET(TH!O$1,SMALL(Dong2,ROWS($1:45)),)=$I$6),IF($I$6="1121",OFFSET(TH!M$1,SMALL(Dong2,ROWS($1:45)),),OFFSET(TH!K$1,SMALL(Dong2,ROWS($1:45)),)),0))</f>
        <v/>
      </c>
      <c r="H56" s="893">
        <f t="shared" ca="1" si="1"/>
        <v>0</v>
      </c>
      <c r="I56" s="893"/>
    </row>
    <row r="57" spans="1:9" s="177" customFormat="1" ht="20.25" customHeight="1">
      <c r="A57" s="188" t="str">
        <f ca="1">IF(ROWS($1:46)&gt;COUNT(Dong2),"",OFFSET(TH!C$1,SMALL(Dong2,ROWS($1:46)),))</f>
        <v/>
      </c>
      <c r="B57" s="188" t="str">
        <f ca="1">IF(ROWS($1:46)&gt;COUNT(Dong2),"",OFFSET(TH!D$1,SMALL(Dong2,ROWS($1:46)),))</f>
        <v/>
      </c>
      <c r="C57" s="188" t="str">
        <f ca="1">IF(ROWS($1:46)&gt;COUNT(Dong2),"",OFFSET(TH!E$1,SMALL(Dong2,ROWS($1:46)),))</f>
        <v/>
      </c>
      <c r="D57" s="361" t="str">
        <f ca="1">IF(ROWS($1:46)&gt;COUNT(Dong2),"",OFFSET(TH!F$1,SMALL(Dong2,ROWS($1:46)),))</f>
        <v/>
      </c>
      <c r="E57" s="188" t="str">
        <f ca="1">IF(ROWS($1:46)&gt;COUNT(Dong2),"",IF(OFFSET(TH!O$1,SMALL(Dong2,ROWS($1:46)),)=$I$6,OFFSET(TH!N$1,SMALL(Dong2,ROWS($1:46)),),OFFSET(TH!O$1,SMALL(Dong2,ROWS($1:46)),)))</f>
        <v/>
      </c>
      <c r="F57" s="896" t="str">
        <f ca="1">IF(ROWS($1:46)&gt;COUNT(Dong2),"",IF(AND(IF($M$9="Q4",LEFT(OFFSET(TH!G$1,SMALL(Dong2,ROWS($1:46)),),2)=$M$9,LEFT(OFFSET(TH!G$1,SMALL(Dong2,ROWS($1:46)),),3)=$M$9),OFFSET(TH!N$1,SMALL(Dong2,ROWS($1:46)),)=$I$6),IF($I$6="1121",OFFSET(TH!M$1,SMALL(Dong2,ROWS($1:46)),),OFFSET(TH!K$1,SMALL(Dong2,ROWS($1:46)),)),0))</f>
        <v/>
      </c>
      <c r="G57" s="896" t="str">
        <f ca="1">IF(ROWS($1:46)&gt;COUNT(Dong2),"",IF(AND(IF($M$9="Q4",RIGHT(OFFSET(TH!G$1,SMALL(Dong2,ROWS($1:46)),),2)=$M$9,RIGHT(OFFSET(TH!G$1,SMALL(Dong2,ROWS($1:46)),),3)=$M$9),OFFSET(TH!O$1,SMALL(Dong2,ROWS($1:46)),)=$I$6),IF($I$6="1121",OFFSET(TH!M$1,SMALL(Dong2,ROWS($1:46)),),OFFSET(TH!K$1,SMALL(Dong2,ROWS($1:46)),)),0))</f>
        <v/>
      </c>
      <c r="H57" s="893">
        <f t="shared" ca="1" si="1"/>
        <v>0</v>
      </c>
      <c r="I57" s="893"/>
    </row>
    <row r="58" spans="1:9" s="177" customFormat="1" ht="20.25" customHeight="1">
      <c r="A58" s="188" t="str">
        <f ca="1">IF(ROWS($1:47)&gt;COUNT(Dong2),"",OFFSET(TH!C$1,SMALL(Dong2,ROWS($1:47)),))</f>
        <v/>
      </c>
      <c r="B58" s="188" t="str">
        <f ca="1">IF(ROWS($1:47)&gt;COUNT(Dong2),"",OFFSET(TH!D$1,SMALL(Dong2,ROWS($1:47)),))</f>
        <v/>
      </c>
      <c r="C58" s="188" t="str">
        <f ca="1">IF(ROWS($1:47)&gt;COUNT(Dong2),"",OFFSET(TH!E$1,SMALL(Dong2,ROWS($1:47)),))</f>
        <v/>
      </c>
      <c r="D58" s="361" t="str">
        <f ca="1">IF(ROWS($1:47)&gt;COUNT(Dong2),"",OFFSET(TH!F$1,SMALL(Dong2,ROWS($1:47)),))</f>
        <v/>
      </c>
      <c r="E58" s="188" t="str">
        <f ca="1">IF(ROWS($1:47)&gt;COUNT(Dong2),"",IF(OFFSET(TH!O$1,SMALL(Dong2,ROWS($1:47)),)=$I$6,OFFSET(TH!N$1,SMALL(Dong2,ROWS($1:47)),),OFFSET(TH!O$1,SMALL(Dong2,ROWS($1:47)),)))</f>
        <v/>
      </c>
      <c r="F58" s="896" t="str">
        <f ca="1">IF(ROWS($1:47)&gt;COUNT(Dong2),"",IF(AND(IF($M$9="Q4",LEFT(OFFSET(TH!G$1,SMALL(Dong2,ROWS($1:47)),),2)=$M$9,LEFT(OFFSET(TH!G$1,SMALL(Dong2,ROWS($1:47)),),3)=$M$9),OFFSET(TH!N$1,SMALL(Dong2,ROWS($1:47)),)=$I$6),IF($I$6="1121",OFFSET(TH!M$1,SMALL(Dong2,ROWS($1:47)),),OFFSET(TH!K$1,SMALL(Dong2,ROWS($1:47)),)),0))</f>
        <v/>
      </c>
      <c r="G58" s="896" t="str">
        <f ca="1">IF(ROWS($1:47)&gt;COUNT(Dong2),"",IF(AND(IF($M$9="Q4",RIGHT(OFFSET(TH!G$1,SMALL(Dong2,ROWS($1:47)),),2)=$M$9,RIGHT(OFFSET(TH!G$1,SMALL(Dong2,ROWS($1:47)),),3)=$M$9),OFFSET(TH!O$1,SMALL(Dong2,ROWS($1:47)),)=$I$6),IF($I$6="1121",OFFSET(TH!M$1,SMALL(Dong2,ROWS($1:47)),),OFFSET(TH!K$1,SMALL(Dong2,ROWS($1:47)),)),0))</f>
        <v/>
      </c>
      <c r="H58" s="893">
        <f t="shared" ca="1" si="1"/>
        <v>0</v>
      </c>
      <c r="I58" s="893"/>
    </row>
    <row r="59" spans="1:9" s="177" customFormat="1" ht="20.25" customHeight="1">
      <c r="A59" s="188" t="str">
        <f ca="1">IF(ROWS($1:48)&gt;COUNT(Dong2),"",OFFSET(TH!C$1,SMALL(Dong2,ROWS($1:48)),))</f>
        <v/>
      </c>
      <c r="B59" s="188" t="str">
        <f ca="1">IF(ROWS($1:48)&gt;COUNT(Dong2),"",OFFSET(TH!D$1,SMALL(Dong2,ROWS($1:48)),))</f>
        <v/>
      </c>
      <c r="C59" s="188" t="str">
        <f ca="1">IF(ROWS($1:48)&gt;COUNT(Dong2),"",OFFSET(TH!E$1,SMALL(Dong2,ROWS($1:48)),))</f>
        <v/>
      </c>
      <c r="D59" s="361" t="str">
        <f ca="1">IF(ROWS($1:48)&gt;COUNT(Dong2),"",OFFSET(TH!F$1,SMALL(Dong2,ROWS($1:48)),))</f>
        <v/>
      </c>
      <c r="E59" s="188" t="str">
        <f ca="1">IF(ROWS($1:48)&gt;COUNT(Dong2),"",IF(OFFSET(TH!O$1,SMALL(Dong2,ROWS($1:48)),)=$I$6,OFFSET(TH!N$1,SMALL(Dong2,ROWS($1:48)),),OFFSET(TH!O$1,SMALL(Dong2,ROWS($1:48)),)))</f>
        <v/>
      </c>
      <c r="F59" s="896" t="str">
        <f ca="1">IF(ROWS($1:48)&gt;COUNT(Dong2),"",IF(AND(IF($M$9="Q4",LEFT(OFFSET(TH!G$1,SMALL(Dong2,ROWS($1:48)),),2)=$M$9,LEFT(OFFSET(TH!G$1,SMALL(Dong2,ROWS($1:48)),),3)=$M$9),OFFSET(TH!N$1,SMALL(Dong2,ROWS($1:48)),)=$I$6),IF($I$6="1121",OFFSET(TH!M$1,SMALL(Dong2,ROWS($1:48)),),OFFSET(TH!K$1,SMALL(Dong2,ROWS($1:48)),)),0))</f>
        <v/>
      </c>
      <c r="G59" s="896" t="str">
        <f ca="1">IF(ROWS($1:48)&gt;COUNT(Dong2),"",IF(AND(IF($M$9="Q4",RIGHT(OFFSET(TH!G$1,SMALL(Dong2,ROWS($1:48)),),2)=$M$9,RIGHT(OFFSET(TH!G$1,SMALL(Dong2,ROWS($1:48)),),3)=$M$9),OFFSET(TH!O$1,SMALL(Dong2,ROWS($1:48)),)=$I$6),IF($I$6="1121",OFFSET(TH!M$1,SMALL(Dong2,ROWS($1:48)),),OFFSET(TH!K$1,SMALL(Dong2,ROWS($1:48)),)),0))</f>
        <v/>
      </c>
      <c r="H59" s="893">
        <f t="shared" ca="1" si="1"/>
        <v>0</v>
      </c>
      <c r="I59" s="893"/>
    </row>
    <row r="60" spans="1:9" s="177" customFormat="1" ht="20.25" customHeight="1">
      <c r="A60" s="188" t="str">
        <f ca="1">IF(ROWS($1:49)&gt;COUNT(Dong2),"",OFFSET(TH!C$1,SMALL(Dong2,ROWS($1:49)),))</f>
        <v/>
      </c>
      <c r="B60" s="188" t="str">
        <f ca="1">IF(ROWS($1:49)&gt;COUNT(Dong2),"",OFFSET(TH!D$1,SMALL(Dong2,ROWS($1:49)),))</f>
        <v/>
      </c>
      <c r="C60" s="188" t="str">
        <f ca="1">IF(ROWS($1:49)&gt;COUNT(Dong2),"",OFFSET(TH!E$1,SMALL(Dong2,ROWS($1:49)),))</f>
        <v/>
      </c>
      <c r="D60" s="361" t="str">
        <f ca="1">IF(ROWS($1:49)&gt;COUNT(Dong2),"",OFFSET(TH!F$1,SMALL(Dong2,ROWS($1:49)),))</f>
        <v/>
      </c>
      <c r="E60" s="188" t="str">
        <f ca="1">IF(ROWS($1:49)&gt;COUNT(Dong2),"",IF(OFFSET(TH!O$1,SMALL(Dong2,ROWS($1:49)),)=$I$6,OFFSET(TH!N$1,SMALL(Dong2,ROWS($1:49)),),OFFSET(TH!O$1,SMALL(Dong2,ROWS($1:49)),)))</f>
        <v/>
      </c>
      <c r="F60" s="896" t="str">
        <f ca="1">IF(ROWS($1:49)&gt;COUNT(Dong2),"",IF(AND(IF($M$9="Q4",LEFT(OFFSET(TH!G$1,SMALL(Dong2,ROWS($1:49)),),2)=$M$9,LEFT(OFFSET(TH!G$1,SMALL(Dong2,ROWS($1:49)),),3)=$M$9),OFFSET(TH!N$1,SMALL(Dong2,ROWS($1:49)),)=$I$6),IF($I$6="1121",OFFSET(TH!M$1,SMALL(Dong2,ROWS($1:49)),),OFFSET(TH!K$1,SMALL(Dong2,ROWS($1:49)),)),0))</f>
        <v/>
      </c>
      <c r="G60" s="896" t="str">
        <f ca="1">IF(ROWS($1:49)&gt;COUNT(Dong2),"",IF(AND(IF($M$9="Q4",RIGHT(OFFSET(TH!G$1,SMALL(Dong2,ROWS($1:49)),),2)=$M$9,RIGHT(OFFSET(TH!G$1,SMALL(Dong2,ROWS($1:49)),),3)=$M$9),OFFSET(TH!O$1,SMALL(Dong2,ROWS($1:49)),)=$I$6),IF($I$6="1121",OFFSET(TH!M$1,SMALL(Dong2,ROWS($1:49)),),OFFSET(TH!K$1,SMALL(Dong2,ROWS($1:49)),)),0))</f>
        <v/>
      </c>
      <c r="H60" s="893">
        <f t="shared" ca="1" si="1"/>
        <v>0</v>
      </c>
      <c r="I60" s="893"/>
    </row>
    <row r="61" spans="1:9" s="177" customFormat="1" ht="20.25" customHeight="1">
      <c r="A61" s="188" t="str">
        <f ca="1">IF(ROWS($1:50)&gt;COUNT(Dong2),"",OFFSET(TH!C$1,SMALL(Dong2,ROWS($1:50)),))</f>
        <v/>
      </c>
      <c r="B61" s="188" t="str">
        <f ca="1">IF(ROWS($1:50)&gt;COUNT(Dong2),"",OFFSET(TH!D$1,SMALL(Dong2,ROWS($1:50)),))</f>
        <v/>
      </c>
      <c r="C61" s="188" t="str">
        <f ca="1">IF(ROWS($1:50)&gt;COUNT(Dong2),"",OFFSET(TH!E$1,SMALL(Dong2,ROWS($1:50)),))</f>
        <v/>
      </c>
      <c r="D61" s="361" t="str">
        <f ca="1">IF(ROWS($1:50)&gt;COUNT(Dong2),"",OFFSET(TH!F$1,SMALL(Dong2,ROWS($1:50)),))</f>
        <v/>
      </c>
      <c r="E61" s="188" t="str">
        <f ca="1">IF(ROWS($1:50)&gt;COUNT(Dong2),"",IF(OFFSET(TH!O$1,SMALL(Dong2,ROWS($1:50)),)=$I$6,OFFSET(TH!N$1,SMALL(Dong2,ROWS($1:50)),),OFFSET(TH!O$1,SMALL(Dong2,ROWS($1:50)),)))</f>
        <v/>
      </c>
      <c r="F61" s="896" t="str">
        <f ca="1">IF(ROWS($1:50)&gt;COUNT(Dong2),"",IF(AND(IF($M$9="Q4",LEFT(OFFSET(TH!G$1,SMALL(Dong2,ROWS($1:50)),),2)=$M$9,LEFT(OFFSET(TH!G$1,SMALL(Dong2,ROWS($1:50)),),3)=$M$9),OFFSET(TH!N$1,SMALL(Dong2,ROWS($1:50)),)=$I$6),IF($I$6="1121",OFFSET(TH!M$1,SMALL(Dong2,ROWS($1:50)),),OFFSET(TH!K$1,SMALL(Dong2,ROWS($1:50)),)),0))</f>
        <v/>
      </c>
      <c r="G61" s="896" t="str">
        <f ca="1">IF(ROWS($1:50)&gt;COUNT(Dong2),"",IF(AND(IF($M$9="Q4",RIGHT(OFFSET(TH!G$1,SMALL(Dong2,ROWS($1:50)),),2)=$M$9,RIGHT(OFFSET(TH!G$1,SMALL(Dong2,ROWS($1:50)),),3)=$M$9),OFFSET(TH!O$1,SMALL(Dong2,ROWS($1:50)),)=$I$6),IF($I$6="1121",OFFSET(TH!M$1,SMALL(Dong2,ROWS($1:50)),),OFFSET(TH!K$1,SMALL(Dong2,ROWS($1:50)),)),0))</f>
        <v/>
      </c>
      <c r="H61" s="893">
        <f t="shared" ca="1" si="1"/>
        <v>0</v>
      </c>
      <c r="I61" s="893"/>
    </row>
    <row r="62" spans="1:9" s="177" customFormat="1" ht="20.25" customHeight="1">
      <c r="A62" s="188" t="str">
        <f ca="1">IF(ROWS($1:51)&gt;COUNT(Dong2),"",OFFSET(TH!C$1,SMALL(Dong2,ROWS($1:51)),))</f>
        <v/>
      </c>
      <c r="B62" s="188" t="str">
        <f ca="1">IF(ROWS($1:51)&gt;COUNT(Dong2),"",OFFSET(TH!D$1,SMALL(Dong2,ROWS($1:51)),))</f>
        <v/>
      </c>
      <c r="C62" s="188" t="str">
        <f ca="1">IF(ROWS($1:51)&gt;COUNT(Dong2),"",OFFSET(TH!E$1,SMALL(Dong2,ROWS($1:51)),))</f>
        <v/>
      </c>
      <c r="D62" s="361" t="str">
        <f ca="1">IF(ROWS($1:51)&gt;COUNT(Dong2),"",OFFSET(TH!F$1,SMALL(Dong2,ROWS($1:51)),))</f>
        <v/>
      </c>
      <c r="E62" s="188" t="str">
        <f ca="1">IF(ROWS($1:51)&gt;COUNT(Dong2),"",IF(OFFSET(TH!O$1,SMALL(Dong2,ROWS($1:51)),)=$I$6,OFFSET(TH!N$1,SMALL(Dong2,ROWS($1:51)),),OFFSET(TH!O$1,SMALL(Dong2,ROWS($1:51)),)))</f>
        <v/>
      </c>
      <c r="F62" s="896" t="str">
        <f ca="1">IF(ROWS($1:51)&gt;COUNT(Dong2),"",IF(AND(IF($M$9="Q4",LEFT(OFFSET(TH!G$1,SMALL(Dong2,ROWS($1:51)),),2)=$M$9,LEFT(OFFSET(TH!G$1,SMALL(Dong2,ROWS($1:51)),),3)=$M$9),OFFSET(TH!N$1,SMALL(Dong2,ROWS($1:51)),)=$I$6),IF($I$6="1121",OFFSET(TH!M$1,SMALL(Dong2,ROWS($1:51)),),OFFSET(TH!K$1,SMALL(Dong2,ROWS($1:51)),)),0))</f>
        <v/>
      </c>
      <c r="G62" s="896" t="str">
        <f ca="1">IF(ROWS($1:51)&gt;COUNT(Dong2),"",IF(AND(IF($M$9="Q4",RIGHT(OFFSET(TH!G$1,SMALL(Dong2,ROWS($1:51)),),2)=$M$9,RIGHT(OFFSET(TH!G$1,SMALL(Dong2,ROWS($1:51)),),3)=$M$9),OFFSET(TH!O$1,SMALL(Dong2,ROWS($1:51)),)=$I$6),IF($I$6="1121",OFFSET(TH!M$1,SMALL(Dong2,ROWS($1:51)),),OFFSET(TH!K$1,SMALL(Dong2,ROWS($1:51)),)),0))</f>
        <v/>
      </c>
      <c r="H62" s="893">
        <f t="shared" ca="1" si="1"/>
        <v>0</v>
      </c>
      <c r="I62" s="893"/>
    </row>
    <row r="63" spans="1:9" s="177" customFormat="1" ht="20.25" customHeight="1">
      <c r="A63" s="188" t="str">
        <f ca="1">IF(ROWS($1:52)&gt;COUNT(Dong2),"",OFFSET(TH!C$1,SMALL(Dong2,ROWS($1:52)),))</f>
        <v/>
      </c>
      <c r="B63" s="188" t="str">
        <f ca="1">IF(ROWS($1:52)&gt;COUNT(Dong2),"",OFFSET(TH!D$1,SMALL(Dong2,ROWS($1:52)),))</f>
        <v/>
      </c>
      <c r="C63" s="188" t="str">
        <f ca="1">IF(ROWS($1:52)&gt;COUNT(Dong2),"",OFFSET(TH!E$1,SMALL(Dong2,ROWS($1:52)),))</f>
        <v/>
      </c>
      <c r="D63" s="361" t="str">
        <f ca="1">IF(ROWS($1:52)&gt;COUNT(Dong2),"",OFFSET(TH!F$1,SMALL(Dong2,ROWS($1:52)),))</f>
        <v/>
      </c>
      <c r="E63" s="188" t="str">
        <f ca="1">IF(ROWS($1:52)&gt;COUNT(Dong2),"",IF(OFFSET(TH!O$1,SMALL(Dong2,ROWS($1:52)),)=$I$6,OFFSET(TH!N$1,SMALL(Dong2,ROWS($1:52)),),OFFSET(TH!O$1,SMALL(Dong2,ROWS($1:52)),)))</f>
        <v/>
      </c>
      <c r="F63" s="896" t="str">
        <f ca="1">IF(ROWS($1:52)&gt;COUNT(Dong2),"",IF(AND(IF($M$9="Q4",LEFT(OFFSET(TH!G$1,SMALL(Dong2,ROWS($1:52)),),2)=$M$9,LEFT(OFFSET(TH!G$1,SMALL(Dong2,ROWS($1:52)),),3)=$M$9),OFFSET(TH!N$1,SMALL(Dong2,ROWS($1:52)),)=$I$6),IF($I$6="1121",OFFSET(TH!M$1,SMALL(Dong2,ROWS($1:52)),),OFFSET(TH!K$1,SMALL(Dong2,ROWS($1:52)),)),0))</f>
        <v/>
      </c>
      <c r="G63" s="896" t="str">
        <f ca="1">IF(ROWS($1:52)&gt;COUNT(Dong2),"",IF(AND(IF($M$9="Q4",RIGHT(OFFSET(TH!G$1,SMALL(Dong2,ROWS($1:52)),),2)=$M$9,RIGHT(OFFSET(TH!G$1,SMALL(Dong2,ROWS($1:52)),),3)=$M$9),OFFSET(TH!O$1,SMALL(Dong2,ROWS($1:52)),)=$I$6),IF($I$6="1121",OFFSET(TH!M$1,SMALL(Dong2,ROWS($1:52)),),OFFSET(TH!K$1,SMALL(Dong2,ROWS($1:52)),)),0))</f>
        <v/>
      </c>
      <c r="H63" s="893">
        <f t="shared" ca="1" si="1"/>
        <v>0</v>
      </c>
      <c r="I63" s="893"/>
    </row>
    <row r="64" spans="1:9" s="177" customFormat="1" ht="20.25" customHeight="1">
      <c r="A64" s="188" t="str">
        <f ca="1">IF(ROWS($1:53)&gt;COUNT(Dong2),"",OFFSET(TH!C$1,SMALL(Dong2,ROWS($1:53)),))</f>
        <v/>
      </c>
      <c r="B64" s="188" t="str">
        <f ca="1">IF(ROWS($1:53)&gt;COUNT(Dong2),"",OFFSET(TH!D$1,SMALL(Dong2,ROWS($1:53)),))</f>
        <v/>
      </c>
      <c r="C64" s="188" t="str">
        <f ca="1">IF(ROWS($1:53)&gt;COUNT(Dong2),"",OFFSET(TH!E$1,SMALL(Dong2,ROWS($1:53)),))</f>
        <v/>
      </c>
      <c r="D64" s="361" t="str">
        <f ca="1">IF(ROWS($1:53)&gt;COUNT(Dong2),"",OFFSET(TH!F$1,SMALL(Dong2,ROWS($1:53)),))</f>
        <v/>
      </c>
      <c r="E64" s="188" t="str">
        <f ca="1">IF(ROWS($1:53)&gt;COUNT(Dong2),"",IF(OFFSET(TH!O$1,SMALL(Dong2,ROWS($1:53)),)=$I$6,OFFSET(TH!N$1,SMALL(Dong2,ROWS($1:53)),),OFFSET(TH!O$1,SMALL(Dong2,ROWS($1:53)),)))</f>
        <v/>
      </c>
      <c r="F64" s="896" t="str">
        <f ca="1">IF(ROWS($1:53)&gt;COUNT(Dong2),"",IF(AND(IF($M$9="Q4",LEFT(OFFSET(TH!G$1,SMALL(Dong2,ROWS($1:53)),),2)=$M$9,LEFT(OFFSET(TH!G$1,SMALL(Dong2,ROWS($1:53)),),3)=$M$9),OFFSET(TH!N$1,SMALL(Dong2,ROWS($1:53)),)=$I$6),IF($I$6="1121",OFFSET(TH!M$1,SMALL(Dong2,ROWS($1:53)),),OFFSET(TH!K$1,SMALL(Dong2,ROWS($1:53)),)),0))</f>
        <v/>
      </c>
      <c r="G64" s="896" t="str">
        <f ca="1">IF(ROWS($1:53)&gt;COUNT(Dong2),"",IF(AND(IF($M$9="Q4",RIGHT(OFFSET(TH!G$1,SMALL(Dong2,ROWS($1:53)),),2)=$M$9,RIGHT(OFFSET(TH!G$1,SMALL(Dong2,ROWS($1:53)),),3)=$M$9),OFFSET(TH!O$1,SMALL(Dong2,ROWS($1:53)),)=$I$6),IF($I$6="1121",OFFSET(TH!M$1,SMALL(Dong2,ROWS($1:53)),),OFFSET(TH!K$1,SMALL(Dong2,ROWS($1:53)),)),0))</f>
        <v/>
      </c>
      <c r="H64" s="893">
        <f t="shared" ca="1" si="1"/>
        <v>0</v>
      </c>
      <c r="I64" s="893"/>
    </row>
    <row r="65" spans="1:9" s="177" customFormat="1" ht="20.25" customHeight="1">
      <c r="A65" s="188" t="str">
        <f ca="1">IF(ROWS($1:54)&gt;COUNT(Dong2),"",OFFSET(TH!C$1,SMALL(Dong2,ROWS($1:54)),))</f>
        <v/>
      </c>
      <c r="B65" s="188" t="str">
        <f ca="1">IF(ROWS($1:54)&gt;COUNT(Dong2),"",OFFSET(TH!D$1,SMALL(Dong2,ROWS($1:54)),))</f>
        <v/>
      </c>
      <c r="C65" s="188" t="str">
        <f ca="1">IF(ROWS($1:54)&gt;COUNT(Dong2),"",OFFSET(TH!E$1,SMALL(Dong2,ROWS($1:54)),))</f>
        <v/>
      </c>
      <c r="D65" s="361" t="str">
        <f ca="1">IF(ROWS($1:54)&gt;COUNT(Dong2),"",OFFSET(TH!F$1,SMALL(Dong2,ROWS($1:54)),))</f>
        <v/>
      </c>
      <c r="E65" s="188" t="str">
        <f ca="1">IF(ROWS($1:54)&gt;COUNT(Dong2),"",IF(OFFSET(TH!O$1,SMALL(Dong2,ROWS($1:54)),)=$I$6,OFFSET(TH!N$1,SMALL(Dong2,ROWS($1:54)),),OFFSET(TH!O$1,SMALL(Dong2,ROWS($1:54)),)))</f>
        <v/>
      </c>
      <c r="F65" s="896" t="str">
        <f ca="1">IF(ROWS($1:54)&gt;COUNT(Dong2),"",IF(AND(IF($M$9="Q4",LEFT(OFFSET(TH!G$1,SMALL(Dong2,ROWS($1:54)),),2)=$M$9,LEFT(OFFSET(TH!G$1,SMALL(Dong2,ROWS($1:54)),),3)=$M$9),OFFSET(TH!N$1,SMALL(Dong2,ROWS($1:54)),)=$I$6),IF($I$6="1121",OFFSET(TH!M$1,SMALL(Dong2,ROWS($1:54)),),OFFSET(TH!K$1,SMALL(Dong2,ROWS($1:54)),)),0))</f>
        <v/>
      </c>
      <c r="G65" s="896" t="str">
        <f ca="1">IF(ROWS($1:54)&gt;COUNT(Dong2),"",IF(AND(IF($M$9="Q4",RIGHT(OFFSET(TH!G$1,SMALL(Dong2,ROWS($1:54)),),2)=$M$9,RIGHT(OFFSET(TH!G$1,SMALL(Dong2,ROWS($1:54)),),3)=$M$9),OFFSET(TH!O$1,SMALL(Dong2,ROWS($1:54)),)=$I$6),IF($I$6="1121",OFFSET(TH!M$1,SMALL(Dong2,ROWS($1:54)),),OFFSET(TH!K$1,SMALL(Dong2,ROWS($1:54)),)),0))</f>
        <v/>
      </c>
      <c r="H65" s="893">
        <f t="shared" ca="1" si="1"/>
        <v>0</v>
      </c>
      <c r="I65" s="893"/>
    </row>
    <row r="66" spans="1:9" s="177" customFormat="1" ht="20.25" customHeight="1">
      <c r="A66" s="188" t="str">
        <f ca="1">IF(ROWS($1:55)&gt;COUNT(Dong2),"",OFFSET(TH!C$1,SMALL(Dong2,ROWS($1:55)),))</f>
        <v/>
      </c>
      <c r="B66" s="188" t="str">
        <f ca="1">IF(ROWS($1:55)&gt;COUNT(Dong2),"",OFFSET(TH!D$1,SMALL(Dong2,ROWS($1:55)),))</f>
        <v/>
      </c>
      <c r="C66" s="188" t="str">
        <f ca="1">IF(ROWS($1:55)&gt;COUNT(Dong2),"",OFFSET(TH!E$1,SMALL(Dong2,ROWS($1:55)),))</f>
        <v/>
      </c>
      <c r="D66" s="361" t="str">
        <f ca="1">IF(ROWS($1:55)&gt;COUNT(Dong2),"",OFFSET(TH!F$1,SMALL(Dong2,ROWS($1:55)),))</f>
        <v/>
      </c>
      <c r="E66" s="188" t="str">
        <f ca="1">IF(ROWS($1:55)&gt;COUNT(Dong2),"",IF(OFFSET(TH!O$1,SMALL(Dong2,ROWS($1:55)),)=$I$6,OFFSET(TH!N$1,SMALL(Dong2,ROWS($1:55)),),OFFSET(TH!O$1,SMALL(Dong2,ROWS($1:55)),)))</f>
        <v/>
      </c>
      <c r="F66" s="896" t="str">
        <f ca="1">IF(ROWS($1:55)&gt;COUNT(Dong2),"",IF(AND(IF($M$9="Q4",LEFT(OFFSET(TH!G$1,SMALL(Dong2,ROWS($1:55)),),2)=$M$9,LEFT(OFFSET(TH!G$1,SMALL(Dong2,ROWS($1:55)),),3)=$M$9),OFFSET(TH!N$1,SMALL(Dong2,ROWS($1:55)),)=$I$6),IF($I$6="1121",OFFSET(TH!M$1,SMALL(Dong2,ROWS($1:55)),),OFFSET(TH!K$1,SMALL(Dong2,ROWS($1:55)),)),0))</f>
        <v/>
      </c>
      <c r="G66" s="896" t="str">
        <f ca="1">IF(ROWS($1:55)&gt;COUNT(Dong2),"",IF(AND(IF($M$9="Q4",RIGHT(OFFSET(TH!G$1,SMALL(Dong2,ROWS($1:55)),),2)=$M$9,RIGHT(OFFSET(TH!G$1,SMALL(Dong2,ROWS($1:55)),),3)=$M$9),OFFSET(TH!O$1,SMALL(Dong2,ROWS($1:55)),)=$I$6),IF($I$6="1121",OFFSET(TH!M$1,SMALL(Dong2,ROWS($1:55)),),OFFSET(TH!K$1,SMALL(Dong2,ROWS($1:55)),)),0))</f>
        <v/>
      </c>
      <c r="H66" s="893">
        <f t="shared" ca="1" si="1"/>
        <v>0</v>
      </c>
      <c r="I66" s="893"/>
    </row>
    <row r="67" spans="1:9" s="177" customFormat="1" ht="20.25" customHeight="1">
      <c r="A67" s="188" t="str">
        <f ca="1">IF(ROWS($1:56)&gt;COUNT(Dong2),"",OFFSET(TH!C$1,SMALL(Dong2,ROWS($1:56)),))</f>
        <v/>
      </c>
      <c r="B67" s="188" t="str">
        <f ca="1">IF(ROWS($1:56)&gt;COUNT(Dong2),"",OFFSET(TH!D$1,SMALL(Dong2,ROWS($1:56)),))</f>
        <v/>
      </c>
      <c r="C67" s="188" t="str">
        <f ca="1">IF(ROWS($1:56)&gt;COUNT(Dong2),"",OFFSET(TH!E$1,SMALL(Dong2,ROWS($1:56)),))</f>
        <v/>
      </c>
      <c r="D67" s="361" t="str">
        <f ca="1">IF(ROWS($1:56)&gt;COUNT(Dong2),"",OFFSET(TH!F$1,SMALL(Dong2,ROWS($1:56)),))</f>
        <v/>
      </c>
      <c r="E67" s="188" t="str">
        <f ca="1">IF(ROWS($1:56)&gt;COUNT(Dong2),"",IF(OFFSET(TH!O$1,SMALL(Dong2,ROWS($1:56)),)=$I$6,OFFSET(TH!N$1,SMALL(Dong2,ROWS($1:56)),),OFFSET(TH!O$1,SMALL(Dong2,ROWS($1:56)),)))</f>
        <v/>
      </c>
      <c r="F67" s="896" t="str">
        <f ca="1">IF(ROWS($1:56)&gt;COUNT(Dong2),"",IF(AND(IF($M$9="Q4",LEFT(OFFSET(TH!G$1,SMALL(Dong2,ROWS($1:56)),),2)=$M$9,LEFT(OFFSET(TH!G$1,SMALL(Dong2,ROWS($1:56)),),3)=$M$9),OFFSET(TH!N$1,SMALL(Dong2,ROWS($1:56)),)=$I$6),IF($I$6="1121",OFFSET(TH!M$1,SMALL(Dong2,ROWS($1:56)),),OFFSET(TH!K$1,SMALL(Dong2,ROWS($1:56)),)),0))</f>
        <v/>
      </c>
      <c r="G67" s="896" t="str">
        <f ca="1">IF(ROWS($1:56)&gt;COUNT(Dong2),"",IF(AND(IF($M$9="Q4",RIGHT(OFFSET(TH!G$1,SMALL(Dong2,ROWS($1:56)),),2)=$M$9,RIGHT(OFFSET(TH!G$1,SMALL(Dong2,ROWS($1:56)),),3)=$M$9),OFFSET(TH!O$1,SMALL(Dong2,ROWS($1:56)),)=$I$6),IF($I$6="1121",OFFSET(TH!M$1,SMALL(Dong2,ROWS($1:56)),),OFFSET(TH!K$1,SMALL(Dong2,ROWS($1:56)),)),0))</f>
        <v/>
      </c>
      <c r="H67" s="893">
        <f t="shared" ca="1" si="1"/>
        <v>0</v>
      </c>
      <c r="I67" s="893"/>
    </row>
    <row r="68" spans="1:9" s="177" customFormat="1" ht="20.25" customHeight="1">
      <c r="A68" s="188" t="str">
        <f ca="1">IF(ROWS($1:57)&gt;COUNT(Dong2),"",OFFSET(TH!C$1,SMALL(Dong2,ROWS($1:57)),))</f>
        <v/>
      </c>
      <c r="B68" s="188" t="str">
        <f ca="1">IF(ROWS($1:57)&gt;COUNT(Dong2),"",OFFSET(TH!D$1,SMALL(Dong2,ROWS($1:57)),))</f>
        <v/>
      </c>
      <c r="C68" s="188" t="str">
        <f ca="1">IF(ROWS($1:57)&gt;COUNT(Dong2),"",OFFSET(TH!E$1,SMALL(Dong2,ROWS($1:57)),))</f>
        <v/>
      </c>
      <c r="D68" s="361" t="str">
        <f ca="1">IF(ROWS($1:57)&gt;COUNT(Dong2),"",OFFSET(TH!F$1,SMALL(Dong2,ROWS($1:57)),))</f>
        <v/>
      </c>
      <c r="E68" s="188" t="str">
        <f ca="1">IF(ROWS($1:57)&gt;COUNT(Dong2),"",IF(OFFSET(TH!O$1,SMALL(Dong2,ROWS($1:57)),)=$I$6,OFFSET(TH!N$1,SMALL(Dong2,ROWS($1:57)),),OFFSET(TH!O$1,SMALL(Dong2,ROWS($1:57)),)))</f>
        <v/>
      </c>
      <c r="F68" s="896" t="str">
        <f ca="1">IF(ROWS($1:57)&gt;COUNT(Dong2),"",IF(AND(IF($M$9="Q4",LEFT(OFFSET(TH!G$1,SMALL(Dong2,ROWS($1:57)),),2)=$M$9,LEFT(OFFSET(TH!G$1,SMALL(Dong2,ROWS($1:57)),),3)=$M$9),OFFSET(TH!N$1,SMALL(Dong2,ROWS($1:57)),)=$I$6),IF($I$6="1121",OFFSET(TH!M$1,SMALL(Dong2,ROWS($1:57)),),OFFSET(TH!K$1,SMALL(Dong2,ROWS($1:57)),)),0))</f>
        <v/>
      </c>
      <c r="G68" s="896" t="str">
        <f ca="1">IF(ROWS($1:57)&gt;COUNT(Dong2),"",IF(AND(IF($M$9="Q4",RIGHT(OFFSET(TH!G$1,SMALL(Dong2,ROWS($1:57)),),2)=$M$9,RIGHT(OFFSET(TH!G$1,SMALL(Dong2,ROWS($1:57)),),3)=$M$9),OFFSET(TH!O$1,SMALL(Dong2,ROWS($1:57)),)=$I$6),IF($I$6="1121",OFFSET(TH!M$1,SMALL(Dong2,ROWS($1:57)),),OFFSET(TH!K$1,SMALL(Dong2,ROWS($1:57)),)),0))</f>
        <v/>
      </c>
      <c r="H68" s="893">
        <f t="shared" ca="1" si="1"/>
        <v>0</v>
      </c>
      <c r="I68" s="893"/>
    </row>
    <row r="69" spans="1:9" s="177" customFormat="1" ht="20.25" customHeight="1">
      <c r="A69" s="188" t="str">
        <f ca="1">IF(ROWS($1:58)&gt;COUNT(Dong2),"",OFFSET(TH!C$1,SMALL(Dong2,ROWS($1:58)),))</f>
        <v/>
      </c>
      <c r="B69" s="188" t="str">
        <f ca="1">IF(ROWS($1:58)&gt;COUNT(Dong2),"",OFFSET(TH!D$1,SMALL(Dong2,ROWS($1:58)),))</f>
        <v/>
      </c>
      <c r="C69" s="188" t="str">
        <f ca="1">IF(ROWS($1:58)&gt;COUNT(Dong2),"",OFFSET(TH!E$1,SMALL(Dong2,ROWS($1:58)),))</f>
        <v/>
      </c>
      <c r="D69" s="361" t="str">
        <f ca="1">IF(ROWS($1:58)&gt;COUNT(Dong2),"",OFFSET(TH!F$1,SMALL(Dong2,ROWS($1:58)),))</f>
        <v/>
      </c>
      <c r="E69" s="188" t="str">
        <f ca="1">IF(ROWS($1:58)&gt;COUNT(Dong2),"",IF(OFFSET(TH!O$1,SMALL(Dong2,ROWS($1:58)),)=$I$6,OFFSET(TH!N$1,SMALL(Dong2,ROWS($1:58)),),OFFSET(TH!O$1,SMALL(Dong2,ROWS($1:58)),)))</f>
        <v/>
      </c>
      <c r="F69" s="896" t="str">
        <f ca="1">IF(ROWS($1:58)&gt;COUNT(Dong2),"",IF(AND(IF($M$9="Q4",LEFT(OFFSET(TH!G$1,SMALL(Dong2,ROWS($1:58)),),2)=$M$9,LEFT(OFFSET(TH!G$1,SMALL(Dong2,ROWS($1:58)),),3)=$M$9),OFFSET(TH!N$1,SMALL(Dong2,ROWS($1:58)),)=$I$6),IF($I$6="1121",OFFSET(TH!M$1,SMALL(Dong2,ROWS($1:58)),),OFFSET(TH!K$1,SMALL(Dong2,ROWS($1:58)),)),0))</f>
        <v/>
      </c>
      <c r="G69" s="896" t="str">
        <f ca="1">IF(ROWS($1:58)&gt;COUNT(Dong2),"",IF(AND(IF($M$9="Q4",RIGHT(OFFSET(TH!G$1,SMALL(Dong2,ROWS($1:58)),),2)=$M$9,RIGHT(OFFSET(TH!G$1,SMALL(Dong2,ROWS($1:58)),),3)=$M$9),OFFSET(TH!O$1,SMALL(Dong2,ROWS($1:58)),)=$I$6),IF($I$6="1121",OFFSET(TH!M$1,SMALL(Dong2,ROWS($1:58)),),OFFSET(TH!K$1,SMALL(Dong2,ROWS($1:58)),)),0))</f>
        <v/>
      </c>
      <c r="H69" s="893">
        <f t="shared" ca="1" si="1"/>
        <v>0</v>
      </c>
      <c r="I69" s="893"/>
    </row>
    <row r="70" spans="1:9" s="177" customFormat="1" ht="20.25" customHeight="1">
      <c r="A70" s="188" t="str">
        <f ca="1">IF(ROWS($1:59)&gt;COUNT(Dong2),"",OFFSET(TH!C$1,SMALL(Dong2,ROWS($1:59)),))</f>
        <v/>
      </c>
      <c r="B70" s="188" t="str">
        <f ca="1">IF(ROWS($1:59)&gt;COUNT(Dong2),"",OFFSET(TH!D$1,SMALL(Dong2,ROWS($1:59)),))</f>
        <v/>
      </c>
      <c r="C70" s="188" t="str">
        <f ca="1">IF(ROWS($1:59)&gt;COUNT(Dong2),"",OFFSET(TH!E$1,SMALL(Dong2,ROWS($1:59)),))</f>
        <v/>
      </c>
      <c r="D70" s="361" t="str">
        <f ca="1">IF(ROWS($1:59)&gt;COUNT(Dong2),"",OFFSET(TH!F$1,SMALL(Dong2,ROWS($1:59)),))</f>
        <v/>
      </c>
      <c r="E70" s="188" t="str">
        <f ca="1">IF(ROWS($1:59)&gt;COUNT(Dong2),"",IF(OFFSET(TH!O$1,SMALL(Dong2,ROWS($1:59)),)=$I$6,OFFSET(TH!N$1,SMALL(Dong2,ROWS($1:59)),),OFFSET(TH!O$1,SMALL(Dong2,ROWS($1:59)),)))</f>
        <v/>
      </c>
      <c r="F70" s="896" t="str">
        <f ca="1">IF(ROWS($1:59)&gt;COUNT(Dong2),"",IF(AND(IF($M$9="Q4",LEFT(OFFSET(TH!G$1,SMALL(Dong2,ROWS($1:59)),),2)=$M$9,LEFT(OFFSET(TH!G$1,SMALL(Dong2,ROWS($1:59)),),3)=$M$9),OFFSET(TH!N$1,SMALL(Dong2,ROWS($1:59)),)=$I$6),IF($I$6="1121",OFFSET(TH!M$1,SMALL(Dong2,ROWS($1:59)),),OFFSET(TH!K$1,SMALL(Dong2,ROWS($1:59)),)),0))</f>
        <v/>
      </c>
      <c r="G70" s="896" t="str">
        <f ca="1">IF(ROWS($1:59)&gt;COUNT(Dong2),"",IF(AND(IF($M$9="Q4",RIGHT(OFFSET(TH!G$1,SMALL(Dong2,ROWS($1:59)),),2)=$M$9,RIGHT(OFFSET(TH!G$1,SMALL(Dong2,ROWS($1:59)),),3)=$M$9),OFFSET(TH!O$1,SMALL(Dong2,ROWS($1:59)),)=$I$6),IF($I$6="1121",OFFSET(TH!M$1,SMALL(Dong2,ROWS($1:59)),),OFFSET(TH!K$1,SMALL(Dong2,ROWS($1:59)),)),0))</f>
        <v/>
      </c>
      <c r="H70" s="893">
        <f t="shared" ca="1" si="1"/>
        <v>0</v>
      </c>
      <c r="I70" s="893"/>
    </row>
    <row r="71" spans="1:9" s="177" customFormat="1" ht="20.25" customHeight="1">
      <c r="A71" s="188" t="str">
        <f ca="1">IF(ROWS($1:60)&gt;COUNT(Dong2),"",OFFSET(TH!C$1,SMALL(Dong2,ROWS($1:60)),))</f>
        <v/>
      </c>
      <c r="B71" s="188" t="str">
        <f ca="1">IF(ROWS($1:60)&gt;COUNT(Dong2),"",OFFSET(TH!D$1,SMALL(Dong2,ROWS($1:60)),))</f>
        <v/>
      </c>
      <c r="C71" s="188" t="str">
        <f ca="1">IF(ROWS($1:60)&gt;COUNT(Dong2),"",OFFSET(TH!E$1,SMALL(Dong2,ROWS($1:60)),))</f>
        <v/>
      </c>
      <c r="D71" s="361" t="str">
        <f ca="1">IF(ROWS($1:60)&gt;COUNT(Dong2),"",OFFSET(TH!F$1,SMALL(Dong2,ROWS($1:60)),))</f>
        <v/>
      </c>
      <c r="E71" s="188" t="str">
        <f ca="1">IF(ROWS($1:60)&gt;COUNT(Dong2),"",IF(OFFSET(TH!O$1,SMALL(Dong2,ROWS($1:60)),)=$I$6,OFFSET(TH!N$1,SMALL(Dong2,ROWS($1:60)),),OFFSET(TH!O$1,SMALL(Dong2,ROWS($1:60)),)))</f>
        <v/>
      </c>
      <c r="F71" s="896" t="str">
        <f ca="1">IF(ROWS($1:60)&gt;COUNT(Dong2),"",IF(AND(IF($M$9="Q4",LEFT(OFFSET(TH!G$1,SMALL(Dong2,ROWS($1:60)),),2)=$M$9,LEFT(OFFSET(TH!G$1,SMALL(Dong2,ROWS($1:60)),),3)=$M$9),OFFSET(TH!N$1,SMALL(Dong2,ROWS($1:60)),)=$I$6),IF($I$6="1121",OFFSET(TH!M$1,SMALL(Dong2,ROWS($1:60)),),OFFSET(TH!K$1,SMALL(Dong2,ROWS($1:60)),)),0))</f>
        <v/>
      </c>
      <c r="G71" s="896" t="str">
        <f ca="1">IF(ROWS($1:60)&gt;COUNT(Dong2),"",IF(AND(IF($M$9="Q4",RIGHT(OFFSET(TH!G$1,SMALL(Dong2,ROWS($1:60)),),2)=$M$9,RIGHT(OFFSET(TH!G$1,SMALL(Dong2,ROWS($1:60)),),3)=$M$9),OFFSET(TH!O$1,SMALL(Dong2,ROWS($1:60)),)=$I$6),IF($I$6="1121",OFFSET(TH!M$1,SMALL(Dong2,ROWS($1:60)),),OFFSET(TH!K$1,SMALL(Dong2,ROWS($1:60)),)),0))</f>
        <v/>
      </c>
      <c r="H71" s="893">
        <f t="shared" ca="1" si="1"/>
        <v>0</v>
      </c>
      <c r="I71" s="893"/>
    </row>
    <row r="72" spans="1:9" s="177" customFormat="1" ht="20.25" customHeight="1">
      <c r="A72" s="188" t="str">
        <f ca="1">IF(ROWS($1:61)&gt;COUNT(Dong2),"",OFFSET(TH!C$1,SMALL(Dong2,ROWS($1:61)),))</f>
        <v/>
      </c>
      <c r="B72" s="188" t="str">
        <f ca="1">IF(ROWS($1:61)&gt;COUNT(Dong2),"",OFFSET(TH!D$1,SMALL(Dong2,ROWS($1:61)),))</f>
        <v/>
      </c>
      <c r="C72" s="188" t="str">
        <f ca="1">IF(ROWS($1:61)&gt;COUNT(Dong2),"",OFFSET(TH!E$1,SMALL(Dong2,ROWS($1:61)),))</f>
        <v/>
      </c>
      <c r="D72" s="361" t="str">
        <f ca="1">IF(ROWS($1:61)&gt;COUNT(Dong2),"",OFFSET(TH!F$1,SMALL(Dong2,ROWS($1:61)),))</f>
        <v/>
      </c>
      <c r="E72" s="188" t="str">
        <f ca="1">IF(ROWS($1:61)&gt;COUNT(Dong2),"",IF(OFFSET(TH!O$1,SMALL(Dong2,ROWS($1:61)),)=$I$6,OFFSET(TH!N$1,SMALL(Dong2,ROWS($1:61)),),OFFSET(TH!O$1,SMALL(Dong2,ROWS($1:61)),)))</f>
        <v/>
      </c>
      <c r="F72" s="896" t="str">
        <f ca="1">IF(ROWS($1:61)&gt;COUNT(Dong2),"",IF(AND(IF($M$9="Q4",LEFT(OFFSET(TH!G$1,SMALL(Dong2,ROWS($1:61)),),2)=$M$9,LEFT(OFFSET(TH!G$1,SMALL(Dong2,ROWS($1:61)),),3)=$M$9),OFFSET(TH!N$1,SMALL(Dong2,ROWS($1:61)),)=$I$6),IF($I$6="1121",OFFSET(TH!M$1,SMALL(Dong2,ROWS($1:61)),),OFFSET(TH!K$1,SMALL(Dong2,ROWS($1:61)),)),0))</f>
        <v/>
      </c>
      <c r="G72" s="896" t="str">
        <f ca="1">IF(ROWS($1:61)&gt;COUNT(Dong2),"",IF(AND(IF($M$9="Q4",RIGHT(OFFSET(TH!G$1,SMALL(Dong2,ROWS($1:61)),),2)=$M$9,RIGHT(OFFSET(TH!G$1,SMALL(Dong2,ROWS($1:61)),),3)=$M$9),OFFSET(TH!O$1,SMALL(Dong2,ROWS($1:61)),)=$I$6),IF($I$6="1121",OFFSET(TH!M$1,SMALL(Dong2,ROWS($1:61)),),OFFSET(TH!K$1,SMALL(Dong2,ROWS($1:61)),)),0))</f>
        <v/>
      </c>
      <c r="H72" s="893">
        <f t="shared" ca="1" si="1"/>
        <v>0</v>
      </c>
      <c r="I72" s="893"/>
    </row>
    <row r="73" spans="1:9" s="177" customFormat="1" ht="20.25" customHeight="1">
      <c r="A73" s="188" t="str">
        <f ca="1">IF(ROWS($1:62)&gt;COUNT(Dong2),"",OFFSET(TH!C$1,SMALL(Dong2,ROWS($1:62)),))</f>
        <v/>
      </c>
      <c r="B73" s="188" t="str">
        <f ca="1">IF(ROWS($1:62)&gt;COUNT(Dong2),"",OFFSET(TH!D$1,SMALL(Dong2,ROWS($1:62)),))</f>
        <v/>
      </c>
      <c r="C73" s="188" t="str">
        <f ca="1">IF(ROWS($1:62)&gt;COUNT(Dong2),"",OFFSET(TH!E$1,SMALL(Dong2,ROWS($1:62)),))</f>
        <v/>
      </c>
      <c r="D73" s="361" t="str">
        <f ca="1">IF(ROWS($1:62)&gt;COUNT(Dong2),"",OFFSET(TH!F$1,SMALL(Dong2,ROWS($1:62)),))</f>
        <v/>
      </c>
      <c r="E73" s="188" t="str">
        <f ca="1">IF(ROWS($1:62)&gt;COUNT(Dong2),"",IF(OFFSET(TH!O$1,SMALL(Dong2,ROWS($1:62)),)=$I$6,OFFSET(TH!N$1,SMALL(Dong2,ROWS($1:62)),),OFFSET(TH!O$1,SMALL(Dong2,ROWS($1:62)),)))</f>
        <v/>
      </c>
      <c r="F73" s="896" t="str">
        <f ca="1">IF(ROWS($1:62)&gt;COUNT(Dong2),"",IF(AND(IF($M$9="Q4",LEFT(OFFSET(TH!G$1,SMALL(Dong2,ROWS($1:62)),),2)=$M$9,LEFT(OFFSET(TH!G$1,SMALL(Dong2,ROWS($1:62)),),3)=$M$9),OFFSET(TH!N$1,SMALL(Dong2,ROWS($1:62)),)=$I$6),IF($I$6="1121",OFFSET(TH!M$1,SMALL(Dong2,ROWS($1:62)),),OFFSET(TH!K$1,SMALL(Dong2,ROWS($1:62)),)),0))</f>
        <v/>
      </c>
      <c r="G73" s="896" t="str">
        <f ca="1">IF(ROWS($1:62)&gt;COUNT(Dong2),"",IF(AND(IF($M$9="Q4",RIGHT(OFFSET(TH!G$1,SMALL(Dong2,ROWS($1:62)),),2)=$M$9,RIGHT(OFFSET(TH!G$1,SMALL(Dong2,ROWS($1:62)),),3)=$M$9),OFFSET(TH!O$1,SMALL(Dong2,ROWS($1:62)),)=$I$6),IF($I$6="1121",OFFSET(TH!M$1,SMALL(Dong2,ROWS($1:62)),),OFFSET(TH!K$1,SMALL(Dong2,ROWS($1:62)),)),0))</f>
        <v/>
      </c>
      <c r="H73" s="893">
        <f t="shared" ca="1" si="1"/>
        <v>0</v>
      </c>
      <c r="I73" s="893"/>
    </row>
    <row r="74" spans="1:9" s="177" customFormat="1" ht="20.25" customHeight="1">
      <c r="A74" s="188" t="str">
        <f ca="1">IF(ROWS($1:63)&gt;COUNT(Dong2),"",OFFSET(TH!C$1,SMALL(Dong2,ROWS($1:63)),))</f>
        <v/>
      </c>
      <c r="B74" s="188" t="str">
        <f ca="1">IF(ROWS($1:63)&gt;COUNT(Dong2),"",OFFSET(TH!D$1,SMALL(Dong2,ROWS($1:63)),))</f>
        <v/>
      </c>
      <c r="C74" s="188" t="str">
        <f ca="1">IF(ROWS($1:63)&gt;COUNT(Dong2),"",OFFSET(TH!E$1,SMALL(Dong2,ROWS($1:63)),))</f>
        <v/>
      </c>
      <c r="D74" s="361" t="str">
        <f ca="1">IF(ROWS($1:63)&gt;COUNT(Dong2),"",OFFSET(TH!F$1,SMALL(Dong2,ROWS($1:63)),))</f>
        <v/>
      </c>
      <c r="E74" s="188" t="str">
        <f ca="1">IF(ROWS($1:63)&gt;COUNT(Dong2),"",IF(OFFSET(TH!O$1,SMALL(Dong2,ROWS($1:63)),)=$I$6,OFFSET(TH!N$1,SMALL(Dong2,ROWS($1:63)),),OFFSET(TH!O$1,SMALL(Dong2,ROWS($1:63)),)))</f>
        <v/>
      </c>
      <c r="F74" s="896" t="str">
        <f ca="1">IF(ROWS($1:63)&gt;COUNT(Dong2),"",IF(AND(IF($M$9="Q4",LEFT(OFFSET(TH!G$1,SMALL(Dong2,ROWS($1:63)),),2)=$M$9,LEFT(OFFSET(TH!G$1,SMALL(Dong2,ROWS($1:63)),),3)=$M$9),OFFSET(TH!N$1,SMALL(Dong2,ROWS($1:63)),)=$I$6),IF($I$6="1121",OFFSET(TH!M$1,SMALL(Dong2,ROWS($1:63)),),OFFSET(TH!K$1,SMALL(Dong2,ROWS($1:63)),)),0))</f>
        <v/>
      </c>
      <c r="G74" s="896" t="str">
        <f ca="1">IF(ROWS($1:63)&gt;COUNT(Dong2),"",IF(AND(IF($M$9="Q4",RIGHT(OFFSET(TH!G$1,SMALL(Dong2,ROWS($1:63)),),2)=$M$9,RIGHT(OFFSET(TH!G$1,SMALL(Dong2,ROWS($1:63)),),3)=$M$9),OFFSET(TH!O$1,SMALL(Dong2,ROWS($1:63)),)=$I$6),IF($I$6="1121",OFFSET(TH!M$1,SMALL(Dong2,ROWS($1:63)),),OFFSET(TH!K$1,SMALL(Dong2,ROWS($1:63)),)),0))</f>
        <v/>
      </c>
      <c r="H74" s="893">
        <f t="shared" ca="1" si="1"/>
        <v>0</v>
      </c>
      <c r="I74" s="893"/>
    </row>
    <row r="75" spans="1:9" s="177" customFormat="1" ht="20.25" customHeight="1">
      <c r="A75" s="188" t="str">
        <f ca="1">IF(ROWS($1:64)&gt;COUNT(Dong2),"",OFFSET(TH!C$1,SMALL(Dong2,ROWS($1:64)),))</f>
        <v/>
      </c>
      <c r="B75" s="188" t="str">
        <f ca="1">IF(ROWS($1:64)&gt;COUNT(Dong2),"",OFFSET(TH!D$1,SMALL(Dong2,ROWS($1:64)),))</f>
        <v/>
      </c>
      <c r="C75" s="188" t="str">
        <f ca="1">IF(ROWS($1:64)&gt;COUNT(Dong2),"",OFFSET(TH!E$1,SMALL(Dong2,ROWS($1:64)),))</f>
        <v/>
      </c>
      <c r="D75" s="361" t="str">
        <f ca="1">IF(ROWS($1:64)&gt;COUNT(Dong2),"",OFFSET(TH!F$1,SMALL(Dong2,ROWS($1:64)),))</f>
        <v/>
      </c>
      <c r="E75" s="188" t="str">
        <f ca="1">IF(ROWS($1:64)&gt;COUNT(Dong2),"",IF(OFFSET(TH!O$1,SMALL(Dong2,ROWS($1:64)),)=$I$6,OFFSET(TH!N$1,SMALL(Dong2,ROWS($1:64)),),OFFSET(TH!O$1,SMALL(Dong2,ROWS($1:64)),)))</f>
        <v/>
      </c>
      <c r="F75" s="896" t="str">
        <f ca="1">IF(ROWS($1:64)&gt;COUNT(Dong2),"",IF(AND(IF($M$9="Q4",LEFT(OFFSET(TH!G$1,SMALL(Dong2,ROWS($1:64)),),2)=$M$9,LEFT(OFFSET(TH!G$1,SMALL(Dong2,ROWS($1:64)),),3)=$M$9),OFFSET(TH!N$1,SMALL(Dong2,ROWS($1:64)),)=$I$6),IF($I$6="1121",OFFSET(TH!M$1,SMALL(Dong2,ROWS($1:64)),),OFFSET(TH!K$1,SMALL(Dong2,ROWS($1:64)),)),0))</f>
        <v/>
      </c>
      <c r="G75" s="896" t="str">
        <f ca="1">IF(ROWS($1:64)&gt;COUNT(Dong2),"",IF(AND(IF($M$9="Q4",RIGHT(OFFSET(TH!G$1,SMALL(Dong2,ROWS($1:64)),),2)=$M$9,RIGHT(OFFSET(TH!G$1,SMALL(Dong2,ROWS($1:64)),),3)=$M$9),OFFSET(TH!O$1,SMALL(Dong2,ROWS($1:64)),)=$I$6),IF($I$6="1121",OFFSET(TH!M$1,SMALL(Dong2,ROWS($1:64)),),OFFSET(TH!K$1,SMALL(Dong2,ROWS($1:64)),)),0))</f>
        <v/>
      </c>
      <c r="H75" s="893">
        <f t="shared" ca="1" si="1"/>
        <v>0</v>
      </c>
      <c r="I75" s="893"/>
    </row>
    <row r="76" spans="1:9" s="177" customFormat="1" ht="20.25" customHeight="1">
      <c r="A76" s="188" t="str">
        <f ca="1">IF(ROWS($1:65)&gt;COUNT(Dong2),"",OFFSET(TH!C$1,SMALL(Dong2,ROWS($1:65)),))</f>
        <v/>
      </c>
      <c r="B76" s="188" t="str">
        <f ca="1">IF(ROWS($1:65)&gt;COUNT(Dong2),"",OFFSET(TH!D$1,SMALL(Dong2,ROWS($1:65)),))</f>
        <v/>
      </c>
      <c r="C76" s="188" t="str">
        <f ca="1">IF(ROWS($1:65)&gt;COUNT(Dong2),"",OFFSET(TH!E$1,SMALL(Dong2,ROWS($1:65)),))</f>
        <v/>
      </c>
      <c r="D76" s="361" t="str">
        <f ca="1">IF(ROWS($1:65)&gt;COUNT(Dong2),"",OFFSET(TH!F$1,SMALL(Dong2,ROWS($1:65)),))</f>
        <v/>
      </c>
      <c r="E76" s="188" t="str">
        <f ca="1">IF(ROWS($1:65)&gt;COUNT(Dong2),"",IF(OFFSET(TH!O$1,SMALL(Dong2,ROWS($1:65)),)=$I$6,OFFSET(TH!N$1,SMALL(Dong2,ROWS($1:65)),),OFFSET(TH!O$1,SMALL(Dong2,ROWS($1:65)),)))</f>
        <v/>
      </c>
      <c r="F76" s="896" t="str">
        <f ca="1">IF(ROWS($1:65)&gt;COUNT(Dong2),"",IF(AND(IF($M$9="Q4",LEFT(OFFSET(TH!G$1,SMALL(Dong2,ROWS($1:65)),),2)=$M$9,LEFT(OFFSET(TH!G$1,SMALL(Dong2,ROWS($1:65)),),3)=$M$9),OFFSET(TH!N$1,SMALL(Dong2,ROWS($1:65)),)=$I$6),IF($I$6="1121",OFFSET(TH!M$1,SMALL(Dong2,ROWS($1:65)),),OFFSET(TH!K$1,SMALL(Dong2,ROWS($1:65)),)),0))</f>
        <v/>
      </c>
      <c r="G76" s="896" t="str">
        <f ca="1">IF(ROWS($1:65)&gt;COUNT(Dong2),"",IF(AND(IF($M$9="Q4",RIGHT(OFFSET(TH!G$1,SMALL(Dong2,ROWS($1:65)),),2)=$M$9,RIGHT(OFFSET(TH!G$1,SMALL(Dong2,ROWS($1:65)),),3)=$M$9),OFFSET(TH!O$1,SMALL(Dong2,ROWS($1:65)),)=$I$6),IF($I$6="1121",OFFSET(TH!M$1,SMALL(Dong2,ROWS($1:65)),),OFFSET(TH!K$1,SMALL(Dong2,ROWS($1:65)),)),0))</f>
        <v/>
      </c>
      <c r="H76" s="893">
        <f t="shared" ca="1" si="1"/>
        <v>0</v>
      </c>
      <c r="I76" s="893"/>
    </row>
    <row r="77" spans="1:9" s="177" customFormat="1" ht="20.25" customHeight="1">
      <c r="A77" s="188" t="str">
        <f ca="1">IF(ROWS($1:66)&gt;COUNT(Dong2),"",OFFSET(TH!C$1,SMALL(Dong2,ROWS($1:66)),))</f>
        <v/>
      </c>
      <c r="B77" s="188" t="str">
        <f ca="1">IF(ROWS($1:66)&gt;COUNT(Dong2),"",OFFSET(TH!D$1,SMALL(Dong2,ROWS($1:66)),))</f>
        <v/>
      </c>
      <c r="C77" s="188" t="str">
        <f ca="1">IF(ROWS($1:66)&gt;COUNT(Dong2),"",OFFSET(TH!E$1,SMALL(Dong2,ROWS($1:66)),))</f>
        <v/>
      </c>
      <c r="D77" s="361" t="str">
        <f ca="1">IF(ROWS($1:66)&gt;COUNT(Dong2),"",OFFSET(TH!F$1,SMALL(Dong2,ROWS($1:66)),))</f>
        <v/>
      </c>
      <c r="E77" s="188" t="str">
        <f ca="1">IF(ROWS($1:66)&gt;COUNT(Dong2),"",IF(OFFSET(TH!O$1,SMALL(Dong2,ROWS($1:66)),)=$I$6,OFFSET(TH!N$1,SMALL(Dong2,ROWS($1:66)),),OFFSET(TH!O$1,SMALL(Dong2,ROWS($1:66)),)))</f>
        <v/>
      </c>
      <c r="F77" s="896" t="str">
        <f ca="1">IF(ROWS($1:66)&gt;COUNT(Dong2),"",IF(AND(IF($M$9="Q4",LEFT(OFFSET(TH!G$1,SMALL(Dong2,ROWS($1:66)),),2)=$M$9,LEFT(OFFSET(TH!G$1,SMALL(Dong2,ROWS($1:66)),),3)=$M$9),OFFSET(TH!N$1,SMALL(Dong2,ROWS($1:66)),)=$I$6),IF($I$6="1121",OFFSET(TH!M$1,SMALL(Dong2,ROWS($1:66)),),OFFSET(TH!K$1,SMALL(Dong2,ROWS($1:66)),)),0))</f>
        <v/>
      </c>
      <c r="G77" s="896" t="str">
        <f ca="1">IF(ROWS($1:66)&gt;COUNT(Dong2),"",IF(AND(IF($M$9="Q4",RIGHT(OFFSET(TH!G$1,SMALL(Dong2,ROWS($1:66)),),2)=$M$9,RIGHT(OFFSET(TH!G$1,SMALL(Dong2,ROWS($1:66)),),3)=$M$9),OFFSET(TH!O$1,SMALL(Dong2,ROWS($1:66)),)=$I$6),IF($I$6="1121",OFFSET(TH!M$1,SMALL(Dong2,ROWS($1:66)),),OFFSET(TH!K$1,SMALL(Dong2,ROWS($1:66)),)),0))</f>
        <v/>
      </c>
      <c r="H77" s="893">
        <f t="shared" ca="1" si="1"/>
        <v>0</v>
      </c>
      <c r="I77" s="893"/>
    </row>
    <row r="78" spans="1:9" s="177" customFormat="1" ht="20.25" customHeight="1">
      <c r="A78" s="188" t="str">
        <f ca="1">IF(ROWS($1:67)&gt;COUNT(Dong2),"",OFFSET(TH!C$1,SMALL(Dong2,ROWS($1:67)),))</f>
        <v/>
      </c>
      <c r="B78" s="188" t="str">
        <f ca="1">IF(ROWS($1:67)&gt;COUNT(Dong2),"",OFFSET(TH!D$1,SMALL(Dong2,ROWS($1:67)),))</f>
        <v/>
      </c>
      <c r="C78" s="188" t="str">
        <f ca="1">IF(ROWS($1:67)&gt;COUNT(Dong2),"",OFFSET(TH!E$1,SMALL(Dong2,ROWS($1:67)),))</f>
        <v/>
      </c>
      <c r="D78" s="361" t="str">
        <f ca="1">IF(ROWS($1:67)&gt;COUNT(Dong2),"",OFFSET(TH!F$1,SMALL(Dong2,ROWS($1:67)),))</f>
        <v/>
      </c>
      <c r="E78" s="188" t="str">
        <f ca="1">IF(ROWS($1:67)&gt;COUNT(Dong2),"",IF(OFFSET(TH!O$1,SMALL(Dong2,ROWS($1:67)),)=$I$6,OFFSET(TH!N$1,SMALL(Dong2,ROWS($1:67)),),OFFSET(TH!O$1,SMALL(Dong2,ROWS($1:67)),)))</f>
        <v/>
      </c>
      <c r="F78" s="896" t="str">
        <f ca="1">IF(ROWS($1:67)&gt;COUNT(Dong2),"",IF(AND(IF($M$9="Q4",LEFT(OFFSET(TH!G$1,SMALL(Dong2,ROWS($1:67)),),2)=$M$9,LEFT(OFFSET(TH!G$1,SMALL(Dong2,ROWS($1:67)),),3)=$M$9),OFFSET(TH!N$1,SMALL(Dong2,ROWS($1:67)),)=$I$6),IF($I$6="1121",OFFSET(TH!M$1,SMALL(Dong2,ROWS($1:67)),),OFFSET(TH!K$1,SMALL(Dong2,ROWS($1:67)),)),0))</f>
        <v/>
      </c>
      <c r="G78" s="896" t="str">
        <f ca="1">IF(ROWS($1:67)&gt;COUNT(Dong2),"",IF(AND(IF($M$9="Q4",RIGHT(OFFSET(TH!G$1,SMALL(Dong2,ROWS($1:67)),),2)=$M$9,RIGHT(OFFSET(TH!G$1,SMALL(Dong2,ROWS($1:67)),),3)=$M$9),OFFSET(TH!O$1,SMALL(Dong2,ROWS($1:67)),)=$I$6),IF($I$6="1121",OFFSET(TH!M$1,SMALL(Dong2,ROWS($1:67)),),OFFSET(TH!K$1,SMALL(Dong2,ROWS($1:67)),)),0))</f>
        <v/>
      </c>
      <c r="H78" s="893">
        <f t="shared" ca="1" si="1"/>
        <v>0</v>
      </c>
      <c r="I78" s="893"/>
    </row>
    <row r="79" spans="1:9" s="177" customFormat="1" ht="20.25" customHeight="1">
      <c r="A79" s="188" t="str">
        <f ca="1">IF(ROWS($1:68)&gt;COUNT(Dong2),"",OFFSET(TH!C$1,SMALL(Dong2,ROWS($1:68)),))</f>
        <v/>
      </c>
      <c r="B79" s="188" t="str">
        <f ca="1">IF(ROWS($1:68)&gt;COUNT(Dong2),"",OFFSET(TH!D$1,SMALL(Dong2,ROWS($1:68)),))</f>
        <v/>
      </c>
      <c r="C79" s="188" t="str">
        <f ca="1">IF(ROWS($1:68)&gt;COUNT(Dong2),"",OFFSET(TH!E$1,SMALL(Dong2,ROWS($1:68)),))</f>
        <v/>
      </c>
      <c r="D79" s="361" t="str">
        <f ca="1">IF(ROWS($1:68)&gt;COUNT(Dong2),"",OFFSET(TH!F$1,SMALL(Dong2,ROWS($1:68)),))</f>
        <v/>
      </c>
      <c r="E79" s="188" t="str">
        <f ca="1">IF(ROWS($1:68)&gt;COUNT(Dong2),"",IF(OFFSET(TH!O$1,SMALL(Dong2,ROWS($1:68)),)=$I$6,OFFSET(TH!N$1,SMALL(Dong2,ROWS($1:68)),),OFFSET(TH!O$1,SMALL(Dong2,ROWS($1:68)),)))</f>
        <v/>
      </c>
      <c r="F79" s="896" t="str">
        <f ca="1">IF(ROWS($1:68)&gt;COUNT(Dong2),"",IF(AND(IF($M$9="Q4",LEFT(OFFSET(TH!G$1,SMALL(Dong2,ROWS($1:68)),),2)=$M$9,LEFT(OFFSET(TH!G$1,SMALL(Dong2,ROWS($1:68)),),3)=$M$9),OFFSET(TH!N$1,SMALL(Dong2,ROWS($1:68)),)=$I$6),IF($I$6="1121",OFFSET(TH!M$1,SMALL(Dong2,ROWS($1:68)),),OFFSET(TH!K$1,SMALL(Dong2,ROWS($1:68)),)),0))</f>
        <v/>
      </c>
      <c r="G79" s="896" t="str">
        <f ca="1">IF(ROWS($1:68)&gt;COUNT(Dong2),"",IF(AND(IF($M$9="Q4",RIGHT(OFFSET(TH!G$1,SMALL(Dong2,ROWS($1:68)),),2)=$M$9,RIGHT(OFFSET(TH!G$1,SMALL(Dong2,ROWS($1:68)),),3)=$M$9),OFFSET(TH!O$1,SMALL(Dong2,ROWS($1:68)),)=$I$6),IF($I$6="1121",OFFSET(TH!M$1,SMALL(Dong2,ROWS($1:68)),),OFFSET(TH!K$1,SMALL(Dong2,ROWS($1:68)),)),0))</f>
        <v/>
      </c>
      <c r="H79" s="893">
        <f t="shared" ca="1" si="1"/>
        <v>0</v>
      </c>
      <c r="I79" s="893"/>
    </row>
    <row r="80" spans="1:9" s="177" customFormat="1" ht="20.25" customHeight="1">
      <c r="A80" s="188" t="str">
        <f ca="1">IF(ROWS($1:69)&gt;COUNT(Dong2),"",OFFSET(TH!C$1,SMALL(Dong2,ROWS($1:69)),))</f>
        <v/>
      </c>
      <c r="B80" s="188" t="str">
        <f ca="1">IF(ROWS($1:69)&gt;COUNT(Dong2),"",OFFSET(TH!D$1,SMALL(Dong2,ROWS($1:69)),))</f>
        <v/>
      </c>
      <c r="C80" s="188" t="str">
        <f ca="1">IF(ROWS($1:69)&gt;COUNT(Dong2),"",OFFSET(TH!E$1,SMALL(Dong2,ROWS($1:69)),))</f>
        <v/>
      </c>
      <c r="D80" s="361" t="str">
        <f ca="1">IF(ROWS($1:69)&gt;COUNT(Dong2),"",OFFSET(TH!F$1,SMALL(Dong2,ROWS($1:69)),))</f>
        <v/>
      </c>
      <c r="E80" s="188" t="str">
        <f ca="1">IF(ROWS($1:69)&gt;COUNT(Dong2),"",IF(OFFSET(TH!O$1,SMALL(Dong2,ROWS($1:69)),)=$I$6,OFFSET(TH!N$1,SMALL(Dong2,ROWS($1:69)),),OFFSET(TH!O$1,SMALL(Dong2,ROWS($1:69)),)))</f>
        <v/>
      </c>
      <c r="F80" s="896" t="str">
        <f ca="1">IF(ROWS($1:69)&gt;COUNT(Dong2),"",IF(AND(IF($M$9="Q4",LEFT(OFFSET(TH!G$1,SMALL(Dong2,ROWS($1:69)),),2)=$M$9,LEFT(OFFSET(TH!G$1,SMALL(Dong2,ROWS($1:69)),),3)=$M$9),OFFSET(TH!N$1,SMALL(Dong2,ROWS($1:69)),)=$I$6),IF($I$6="1121",OFFSET(TH!M$1,SMALL(Dong2,ROWS($1:69)),),OFFSET(TH!K$1,SMALL(Dong2,ROWS($1:69)),)),0))</f>
        <v/>
      </c>
      <c r="G80" s="896" t="str">
        <f ca="1">IF(ROWS($1:69)&gt;COUNT(Dong2),"",IF(AND(IF($M$9="Q4",RIGHT(OFFSET(TH!G$1,SMALL(Dong2,ROWS($1:69)),),2)=$M$9,RIGHT(OFFSET(TH!G$1,SMALL(Dong2,ROWS($1:69)),),3)=$M$9),OFFSET(TH!O$1,SMALL(Dong2,ROWS($1:69)),)=$I$6),IF($I$6="1121",OFFSET(TH!M$1,SMALL(Dong2,ROWS($1:69)),),OFFSET(TH!K$1,SMALL(Dong2,ROWS($1:69)),)),0))</f>
        <v/>
      </c>
      <c r="H80" s="893">
        <f t="shared" ca="1" si="1"/>
        <v>0</v>
      </c>
      <c r="I80" s="893"/>
    </row>
    <row r="81" spans="1:12" s="177" customFormat="1" ht="20.25" customHeight="1">
      <c r="A81" s="188" t="str">
        <f ca="1">IF(ROWS($1:70)&gt;COUNT(Dong2),"",OFFSET(TH!C$1,SMALL(Dong2,ROWS($1:70)),))</f>
        <v/>
      </c>
      <c r="B81" s="188" t="str">
        <f ca="1">IF(ROWS($1:70)&gt;COUNT(Dong2),"",OFFSET(TH!D$1,SMALL(Dong2,ROWS($1:70)),))</f>
        <v/>
      </c>
      <c r="C81" s="188" t="str">
        <f ca="1">IF(ROWS($1:70)&gt;COUNT(Dong2),"",OFFSET(TH!E$1,SMALL(Dong2,ROWS($1:70)),))</f>
        <v/>
      </c>
      <c r="D81" s="361" t="str">
        <f ca="1">IF(ROWS($1:70)&gt;COUNT(Dong2),"",OFFSET(TH!F$1,SMALL(Dong2,ROWS($1:70)),))</f>
        <v/>
      </c>
      <c r="E81" s="188" t="str">
        <f ca="1">IF(ROWS($1:70)&gt;COUNT(Dong2),"",IF(OFFSET(TH!O$1,SMALL(Dong2,ROWS($1:70)),)=$I$6,OFFSET(TH!N$1,SMALL(Dong2,ROWS($1:70)),),OFFSET(TH!O$1,SMALL(Dong2,ROWS($1:70)),)))</f>
        <v/>
      </c>
      <c r="F81" s="896" t="str">
        <f ca="1">IF(ROWS($1:70)&gt;COUNT(Dong2),"",IF(AND(IF($M$9="Q4",LEFT(OFFSET(TH!G$1,SMALL(Dong2,ROWS($1:70)),),2)=$M$9,LEFT(OFFSET(TH!G$1,SMALL(Dong2,ROWS($1:70)),),3)=$M$9),OFFSET(TH!N$1,SMALL(Dong2,ROWS($1:70)),)=$I$6),IF($I$6="1121",OFFSET(TH!M$1,SMALL(Dong2,ROWS($1:70)),),OFFSET(TH!K$1,SMALL(Dong2,ROWS($1:70)),)),0))</f>
        <v/>
      </c>
      <c r="G81" s="896" t="str">
        <f ca="1">IF(ROWS($1:70)&gt;COUNT(Dong2),"",IF(AND(IF($M$9="Q4",RIGHT(OFFSET(TH!G$1,SMALL(Dong2,ROWS($1:70)),),2)=$M$9,RIGHT(OFFSET(TH!G$1,SMALL(Dong2,ROWS($1:70)),),3)=$M$9),OFFSET(TH!O$1,SMALL(Dong2,ROWS($1:70)),)=$I$6),IF($I$6="1121",OFFSET(TH!M$1,SMALL(Dong2,ROWS($1:70)),),OFFSET(TH!K$1,SMALL(Dong2,ROWS($1:70)),)),0))</f>
        <v/>
      </c>
      <c r="H81" s="893">
        <f t="shared" ca="1" si="1"/>
        <v>0</v>
      </c>
      <c r="I81" s="893"/>
    </row>
    <row r="82" spans="1:12" s="177" customFormat="1" ht="20.25" customHeight="1">
      <c r="A82" s="188" t="str">
        <f ca="1">IF(ROWS($1:71)&gt;COUNT(Dong2),"",OFFSET(TH!C$1,SMALL(Dong2,ROWS($1:71)),))</f>
        <v/>
      </c>
      <c r="B82" s="188" t="str">
        <f ca="1">IF(ROWS($1:71)&gt;COUNT(Dong2),"",OFFSET(TH!D$1,SMALL(Dong2,ROWS($1:71)),))</f>
        <v/>
      </c>
      <c r="C82" s="188" t="str">
        <f ca="1">IF(ROWS($1:71)&gt;COUNT(Dong2),"",OFFSET(TH!E$1,SMALL(Dong2,ROWS($1:71)),))</f>
        <v/>
      </c>
      <c r="D82" s="361" t="str">
        <f ca="1">IF(ROWS($1:71)&gt;COUNT(Dong2),"",OFFSET(TH!F$1,SMALL(Dong2,ROWS($1:71)),))</f>
        <v/>
      </c>
      <c r="E82" s="188" t="str">
        <f ca="1">IF(ROWS($1:71)&gt;COUNT(Dong2),"",IF(OFFSET(TH!O$1,SMALL(Dong2,ROWS($1:71)),)=$I$6,OFFSET(TH!N$1,SMALL(Dong2,ROWS($1:71)),),OFFSET(TH!O$1,SMALL(Dong2,ROWS($1:71)),)))</f>
        <v/>
      </c>
      <c r="F82" s="896" t="str">
        <f ca="1">IF(ROWS($1:71)&gt;COUNT(Dong2),"",IF(AND(IF($M$9="Q4",LEFT(OFFSET(TH!G$1,SMALL(Dong2,ROWS($1:71)),),2)=$M$9,LEFT(OFFSET(TH!G$1,SMALL(Dong2,ROWS($1:71)),),3)=$M$9),OFFSET(TH!N$1,SMALL(Dong2,ROWS($1:71)),)=$I$6),IF($I$6="1121",OFFSET(TH!M$1,SMALL(Dong2,ROWS($1:71)),),OFFSET(TH!K$1,SMALL(Dong2,ROWS($1:71)),)),0))</f>
        <v/>
      </c>
      <c r="G82" s="896" t="str">
        <f ca="1">IF(ROWS($1:71)&gt;COUNT(Dong2),"",IF(AND(IF($M$9="Q4",RIGHT(OFFSET(TH!G$1,SMALL(Dong2,ROWS($1:71)),),2)=$M$9,RIGHT(OFFSET(TH!G$1,SMALL(Dong2,ROWS($1:71)),),3)=$M$9),OFFSET(TH!O$1,SMALL(Dong2,ROWS($1:71)),)=$I$6),IF($I$6="1121",OFFSET(TH!M$1,SMALL(Dong2,ROWS($1:71)),),OFFSET(TH!K$1,SMALL(Dong2,ROWS($1:71)),)),0))</f>
        <v/>
      </c>
      <c r="H82" s="893">
        <f t="shared" ca="1" si="1"/>
        <v>0</v>
      </c>
      <c r="I82" s="893"/>
    </row>
    <row r="83" spans="1:12" s="177" customFormat="1" ht="20.25" customHeight="1">
      <c r="A83" s="188" t="str">
        <f ca="1">IF(ROWS($1:72)&gt;COUNT(Dong2),"",OFFSET(TH!C$1,SMALL(Dong2,ROWS($1:72)),))</f>
        <v/>
      </c>
      <c r="B83" s="188" t="str">
        <f ca="1">IF(ROWS($1:72)&gt;COUNT(Dong2),"",OFFSET(TH!D$1,SMALL(Dong2,ROWS($1:72)),))</f>
        <v/>
      </c>
      <c r="C83" s="188" t="str">
        <f ca="1">IF(ROWS($1:72)&gt;COUNT(Dong2),"",OFFSET(TH!E$1,SMALL(Dong2,ROWS($1:72)),))</f>
        <v/>
      </c>
      <c r="D83" s="361" t="str">
        <f ca="1">IF(ROWS($1:72)&gt;COUNT(Dong2),"",OFFSET(TH!F$1,SMALL(Dong2,ROWS($1:72)),))</f>
        <v/>
      </c>
      <c r="E83" s="188" t="str">
        <f ca="1">IF(ROWS($1:72)&gt;COUNT(Dong2),"",IF(OFFSET(TH!O$1,SMALL(Dong2,ROWS($1:72)),)=$I$6,OFFSET(TH!N$1,SMALL(Dong2,ROWS($1:72)),),OFFSET(TH!O$1,SMALL(Dong2,ROWS($1:72)),)))</f>
        <v/>
      </c>
      <c r="F83" s="896" t="str">
        <f ca="1">IF(ROWS($1:72)&gt;COUNT(Dong2),"",IF(AND(IF($M$9="Q4",LEFT(OFFSET(TH!G$1,SMALL(Dong2,ROWS($1:72)),),2)=$M$9,LEFT(OFFSET(TH!G$1,SMALL(Dong2,ROWS($1:72)),),3)=$M$9),OFFSET(TH!N$1,SMALL(Dong2,ROWS($1:72)),)=$I$6),IF($I$6="1121",OFFSET(TH!M$1,SMALL(Dong2,ROWS($1:72)),),OFFSET(TH!K$1,SMALL(Dong2,ROWS($1:72)),)),0))</f>
        <v/>
      </c>
      <c r="G83" s="896" t="str">
        <f ca="1">IF(ROWS($1:72)&gt;COUNT(Dong2),"",IF(AND(IF($M$9="Q4",RIGHT(OFFSET(TH!G$1,SMALL(Dong2,ROWS($1:72)),),2)=$M$9,RIGHT(OFFSET(TH!G$1,SMALL(Dong2,ROWS($1:72)),),3)=$M$9),OFFSET(TH!O$1,SMALL(Dong2,ROWS($1:72)),)=$I$6),IF($I$6="1121",OFFSET(TH!M$1,SMALL(Dong2,ROWS($1:72)),),OFFSET(TH!K$1,SMALL(Dong2,ROWS($1:72)),)),0))</f>
        <v/>
      </c>
      <c r="H83" s="893">
        <f ca="1">IF(A83&lt;&gt;"",H82+F83-G83,0)</f>
        <v>0</v>
      </c>
      <c r="I83" s="893"/>
    </row>
    <row r="84" spans="1:12" s="177" customFormat="1" ht="20.25" customHeight="1">
      <c r="A84" s="188" t="str">
        <f ca="1">IF(ROWS($1:73)&gt;COUNT(Dong2),"",OFFSET(TH!C$1,SMALL(Dong2,ROWS($1:73)),))</f>
        <v/>
      </c>
      <c r="B84" s="188" t="str">
        <f ca="1">IF(ROWS($1:73)&gt;COUNT(Dong2),"",OFFSET(TH!D$1,SMALL(Dong2,ROWS($1:73)),))</f>
        <v/>
      </c>
      <c r="C84" s="188" t="str">
        <f ca="1">IF(ROWS($1:73)&gt;COUNT(Dong2),"",OFFSET(TH!E$1,SMALL(Dong2,ROWS($1:73)),))</f>
        <v/>
      </c>
      <c r="D84" s="361" t="str">
        <f ca="1">IF(ROWS($1:73)&gt;COUNT(Dong2),"",OFFSET(TH!F$1,SMALL(Dong2,ROWS($1:73)),))</f>
        <v/>
      </c>
      <c r="E84" s="188" t="str">
        <f ca="1">IF(ROWS($1:73)&gt;COUNT(Dong2),"",IF(OFFSET(TH!O$1,SMALL(Dong2,ROWS($1:73)),)=$I$6,OFFSET(TH!N$1,SMALL(Dong2,ROWS($1:73)),),OFFSET(TH!O$1,SMALL(Dong2,ROWS($1:73)),)))</f>
        <v/>
      </c>
      <c r="F84" s="896" t="str">
        <f ca="1">IF(ROWS($1:73)&gt;COUNT(Dong2),"",IF(AND(IF($M$9="Q4",LEFT(OFFSET(TH!G$1,SMALL(Dong2,ROWS($1:73)),),2)=$M$9,LEFT(OFFSET(TH!G$1,SMALL(Dong2,ROWS($1:73)),),3)=$M$9),OFFSET(TH!N$1,SMALL(Dong2,ROWS($1:73)),)=$I$6),IF($I$6="1121",OFFSET(TH!M$1,SMALL(Dong2,ROWS($1:73)),),OFFSET(TH!K$1,SMALL(Dong2,ROWS($1:73)),)),0))</f>
        <v/>
      </c>
      <c r="G84" s="896" t="str">
        <f ca="1">IF(ROWS($1:73)&gt;COUNT(Dong2),"",IF(AND(IF($M$9="Q4",RIGHT(OFFSET(TH!G$1,SMALL(Dong2,ROWS($1:73)),),2)=$M$9,RIGHT(OFFSET(TH!G$1,SMALL(Dong2,ROWS($1:73)),),3)=$M$9),OFFSET(TH!O$1,SMALL(Dong2,ROWS($1:73)),)=$I$6),IF($I$6="1121",OFFSET(TH!M$1,SMALL(Dong2,ROWS($1:73)),),OFFSET(TH!K$1,SMALL(Dong2,ROWS($1:73)),)),0))</f>
        <v/>
      </c>
      <c r="H84" s="893">
        <f ca="1">IF(A84&lt;&gt;"",H83+F84-G84,0)</f>
        <v>0</v>
      </c>
      <c r="I84" s="893"/>
    </row>
    <row r="85" spans="1:12" s="177" customFormat="1" ht="20.25" customHeight="1">
      <c r="A85" s="188"/>
      <c r="B85" s="188"/>
      <c r="C85" s="188"/>
      <c r="D85" s="361"/>
      <c r="E85" s="188"/>
      <c r="F85" s="896"/>
      <c r="G85" s="896"/>
      <c r="H85" s="893"/>
      <c r="I85" s="893"/>
    </row>
    <row r="86" spans="1:12" s="187" customFormat="1" ht="20.25" customHeight="1">
      <c r="A86" s="189"/>
      <c r="B86" s="190"/>
      <c r="C86" s="189"/>
      <c r="D86" s="186" t="s">
        <v>158</v>
      </c>
      <c r="E86" s="191"/>
      <c r="F86" s="895">
        <f ca="1">SUM(F12:F85)</f>
        <v>0</v>
      </c>
      <c r="G86" s="895">
        <f ca="1">SUM(G12:G85)</f>
        <v>0</v>
      </c>
      <c r="H86" s="892">
        <f ca="1">H11+F86-G86</f>
        <v>12092853</v>
      </c>
      <c r="I86" s="894"/>
    </row>
    <row r="87" spans="1:12" s="187" customFormat="1" ht="20.25" customHeight="1">
      <c r="A87" s="189"/>
      <c r="B87" s="190"/>
      <c r="C87" s="189"/>
      <c r="D87" s="186" t="s">
        <v>10</v>
      </c>
      <c r="E87" s="191"/>
      <c r="F87" s="192"/>
      <c r="G87" s="192"/>
      <c r="H87" s="892">
        <f ca="1">H86</f>
        <v>12092853</v>
      </c>
      <c r="I87" s="191"/>
    </row>
    <row r="88" spans="1:12" s="187" customFormat="1" ht="22.5" customHeight="1">
      <c r="A88" s="399" t="s">
        <v>235</v>
      </c>
      <c r="B88" s="193"/>
      <c r="F88" s="194"/>
      <c r="H88" s="1077"/>
      <c r="I88" s="195"/>
    </row>
    <row r="89" spans="1:12" s="187" customFormat="1" ht="12.75">
      <c r="A89" s="214" t="e">
        <f ca="1">"- Ngày mở sổ: "&amp;DAY($A$12)&amp;"/"&amp;MONTH($A$12)&amp;"/ 2015"</f>
        <v>#VALUE!</v>
      </c>
      <c r="B89" s="196"/>
      <c r="F89" s="194"/>
      <c r="H89" s="1077"/>
      <c r="I89" s="195"/>
    </row>
    <row r="90" spans="1:12" s="187" customFormat="1" ht="12.75">
      <c r="A90" s="197"/>
      <c r="B90" s="198"/>
      <c r="C90" s="199"/>
      <c r="F90" s="194"/>
      <c r="G90" s="304" t="str">
        <f>"Ngày "&amp;IF(OR($K$9=4,$K$9=6,$K$9=9,$K$9=11),"30",IF($K$9=2,"28","31"))&amp;" tháng "&amp;$K$9&amp;"  năm  2016 "</f>
        <v xml:space="preserve">Ngày 30 tháng 4  năm  2016 </v>
      </c>
      <c r="H90" s="1077"/>
    </row>
    <row r="91" spans="1:12" s="187" customFormat="1" ht="17.25" customHeight="1">
      <c r="B91" s="200" t="s">
        <v>11</v>
      </c>
      <c r="D91" s="200" t="s">
        <v>12</v>
      </c>
      <c r="F91" s="201"/>
      <c r="G91" s="341" t="s">
        <v>131</v>
      </c>
      <c r="H91" s="1078"/>
      <c r="I91" s="362"/>
      <c r="J91" s="202"/>
      <c r="K91" s="197"/>
      <c r="L91" s="197"/>
    </row>
    <row r="92" spans="1:12" s="187" customFormat="1" ht="12.75">
      <c r="B92" s="342" t="s">
        <v>13</v>
      </c>
      <c r="D92" s="203" t="s">
        <v>13</v>
      </c>
      <c r="F92" s="204"/>
      <c r="G92" s="343" t="s">
        <v>161</v>
      </c>
      <c r="H92" s="1077"/>
      <c r="K92" s="205"/>
      <c r="L92" s="205"/>
    </row>
    <row r="99" spans="2:7">
      <c r="B99" s="350" t="s">
        <v>230</v>
      </c>
      <c r="G99" s="363"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D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4.28515625" style="827" customWidth="1"/>
    <col min="2" max="2" width="32.28515625" style="827" customWidth="1"/>
    <col min="3" max="3" width="10.5703125" style="217" customWidth="1"/>
    <col min="4" max="4" width="14" style="828" customWidth="1"/>
    <col min="5" max="5" width="10.85546875" style="217" customWidth="1"/>
    <col min="6" max="6" width="12.140625" style="828" customWidth="1"/>
    <col min="7" max="7" width="12.7109375" style="217" customWidth="1"/>
    <col min="8" max="8" width="13" style="828" customWidth="1"/>
    <col min="9" max="9" width="14.42578125" style="217" customWidth="1"/>
    <col min="10" max="10" width="13.85546875" style="828" customWidth="1"/>
    <col min="11" max="11" width="11.140625" style="217" customWidth="1"/>
    <col min="12" max="12" width="12.5703125" style="828" customWidth="1"/>
    <col min="13" max="13" width="9.85546875" style="217" customWidth="1"/>
    <col min="14" max="14" width="11.140625" style="828" customWidth="1"/>
    <col min="15" max="16384" width="8" style="827"/>
  </cols>
  <sheetData>
    <row r="1" spans="1:14" ht="21" customHeight="1">
      <c r="A1" s="1172" t="s">
        <v>596</v>
      </c>
      <c r="B1" s="1172"/>
      <c r="C1" s="1172"/>
      <c r="D1" s="1172"/>
      <c r="E1" s="1172"/>
      <c r="F1" s="1172"/>
      <c r="G1" s="1172"/>
      <c r="H1" s="1172"/>
      <c r="I1" s="1172"/>
      <c r="J1" s="1172"/>
      <c r="K1" s="1172"/>
      <c r="L1" s="1172"/>
      <c r="M1" s="1172"/>
      <c r="N1" s="1172"/>
    </row>
    <row r="2" spans="1:14" s="10" customFormat="1" ht="15.75" customHeight="1">
      <c r="A2" s="1173" t="s">
        <v>37</v>
      </c>
      <c r="B2" s="1171" t="s">
        <v>38</v>
      </c>
      <c r="C2" s="840" t="s">
        <v>39</v>
      </c>
      <c r="D2" s="839"/>
      <c r="E2" s="840"/>
      <c r="F2" s="839"/>
      <c r="G2" s="840" t="s">
        <v>40</v>
      </c>
      <c r="H2" s="839"/>
      <c r="I2" s="840"/>
      <c r="J2" s="839"/>
      <c r="K2" s="840" t="s">
        <v>44</v>
      </c>
      <c r="L2" s="839"/>
      <c r="M2" s="840"/>
      <c r="N2" s="839"/>
    </row>
    <row r="3" spans="1:14" s="10" customFormat="1" ht="15.75" customHeight="1">
      <c r="A3" s="1173"/>
      <c r="B3" s="1171"/>
      <c r="C3" s="1169" t="s">
        <v>45</v>
      </c>
      <c r="D3" s="1170"/>
      <c r="E3" s="1171" t="s">
        <v>46</v>
      </c>
      <c r="F3" s="1171"/>
      <c r="G3" s="1171" t="s">
        <v>45</v>
      </c>
      <c r="H3" s="1171"/>
      <c r="I3" s="1171" t="s">
        <v>46</v>
      </c>
      <c r="J3" s="1171"/>
      <c r="K3" s="1171" t="s">
        <v>45</v>
      </c>
      <c r="L3" s="1171"/>
      <c r="M3" s="1171" t="s">
        <v>46</v>
      </c>
      <c r="N3" s="1171"/>
    </row>
    <row r="4" spans="1:14" s="10" customFormat="1" ht="15.75" customHeight="1">
      <c r="A4" s="1173"/>
      <c r="B4" s="1171"/>
      <c r="C4" s="925" t="s">
        <v>247</v>
      </c>
      <c r="D4" s="838" t="s">
        <v>595</v>
      </c>
      <c r="E4" s="925" t="s">
        <v>247</v>
      </c>
      <c r="F4" s="838" t="s">
        <v>595</v>
      </c>
      <c r="G4" s="925" t="s">
        <v>247</v>
      </c>
      <c r="H4" s="838" t="s">
        <v>595</v>
      </c>
      <c r="I4" s="925" t="s">
        <v>247</v>
      </c>
      <c r="J4" s="838" t="s">
        <v>595</v>
      </c>
      <c r="K4" s="925" t="s">
        <v>247</v>
      </c>
      <c r="L4" s="838" t="s">
        <v>595</v>
      </c>
      <c r="M4" s="925" t="s">
        <v>247</v>
      </c>
      <c r="N4" s="838" t="s">
        <v>595</v>
      </c>
    </row>
    <row r="5" spans="1:14" s="10" customFormat="1" ht="18" customHeight="1">
      <c r="A5" s="837">
        <f>IF(B5&lt;&gt;"",ROW()-4,"")</f>
        <v>1</v>
      </c>
      <c r="B5" s="1079" t="s">
        <v>845</v>
      </c>
      <c r="C5" s="931">
        <v>0</v>
      </c>
      <c r="D5" s="932">
        <v>0</v>
      </c>
      <c r="E5" s="931">
        <v>0</v>
      </c>
      <c r="F5" s="932">
        <v>0</v>
      </c>
      <c r="G5" s="931">
        <f t="array" ref="G5">SUM(IF("131"&amp;B5=KHN&amp;KH,_TH))</f>
        <v>0</v>
      </c>
      <c r="H5" s="932">
        <f t="array" ref="H5">SUM(IF("131"&amp;B5=KHN&amp;KH,TH))</f>
        <v>114165700</v>
      </c>
      <c r="I5" s="931">
        <f t="array" ref="I5">SUM(IF("131"&amp;B5=KHC&amp;KH,_TH))</f>
        <v>0</v>
      </c>
      <c r="J5" s="932">
        <f t="array" ref="J5">SUM(IF("131"&amp;B5=KHC&amp;KH,TH))</f>
        <v>0</v>
      </c>
      <c r="K5" s="836">
        <f t="shared" ref="K5:K11" si="0">ROUND(MAX(C5+G5-E5-I5,0),2)</f>
        <v>0</v>
      </c>
      <c r="L5" s="835">
        <f t="shared" ref="L5:L11" si="1">ROUND(MAX(D5+H5-F5-J5,0),0)</f>
        <v>114165700</v>
      </c>
      <c r="M5" s="836">
        <f t="shared" ref="M5:M11" si="2">ROUND(MAX(E5+I5-C5-G5,0),2)</f>
        <v>0</v>
      </c>
      <c r="N5" s="835">
        <f t="shared" ref="N5:N11" si="3">ROUND(MAX(F5+J5-D5-H5,0),0)</f>
        <v>0</v>
      </c>
    </row>
    <row r="6" spans="1:14" s="10" customFormat="1" ht="18" customHeight="1">
      <c r="A6" s="837">
        <f t="shared" ref="A6:A16" si="4">IF(B6&lt;&gt;"",ROW()-4,"")</f>
        <v>2</v>
      </c>
      <c r="B6" s="7" t="s">
        <v>594</v>
      </c>
      <c r="C6" s="833">
        <v>0</v>
      </c>
      <c r="D6" s="832">
        <v>0</v>
      </c>
      <c r="E6" s="833">
        <v>0</v>
      </c>
      <c r="F6" s="832">
        <v>0</v>
      </c>
      <c r="G6" s="833">
        <f t="array" ref="G6">SUM(IF("131"&amp;B6=KHN&amp;KH,_TH))</f>
        <v>0</v>
      </c>
      <c r="H6" s="832">
        <f t="array" ref="H6">SUM(IF("131"&amp;B6=KHN&amp;KH,TH))</f>
        <v>0</v>
      </c>
      <c r="I6" s="833">
        <f t="array" ref="I6">SUM(IF("131"&amp;B6=KHC&amp;KH,_TH))</f>
        <v>0</v>
      </c>
      <c r="J6" s="832">
        <f t="array" ref="J6">SUM(IF("131"&amp;B6=KHC&amp;KH,TH))</f>
        <v>0</v>
      </c>
      <c r="K6" s="831">
        <f t="shared" si="0"/>
        <v>0</v>
      </c>
      <c r="L6" s="394">
        <f t="shared" si="1"/>
        <v>0</v>
      </c>
      <c r="M6" s="831">
        <f t="shared" si="2"/>
        <v>0</v>
      </c>
      <c r="N6" s="394">
        <f t="shared" si="3"/>
        <v>0</v>
      </c>
    </row>
    <row r="7" spans="1:14" s="10" customFormat="1" ht="18" customHeight="1">
      <c r="A7" s="837">
        <f t="shared" si="4"/>
        <v>3</v>
      </c>
      <c r="B7" s="7" t="s">
        <v>593</v>
      </c>
      <c r="C7" s="833">
        <v>44066.42</v>
      </c>
      <c r="D7" s="832">
        <v>986296391</v>
      </c>
      <c r="E7" s="833">
        <v>0</v>
      </c>
      <c r="F7" s="832">
        <v>0</v>
      </c>
      <c r="G7" s="833">
        <f t="array" ref="G7">SUM(IF("131"&amp;B7=KHN&amp;KH,_TH))</f>
        <v>0</v>
      </c>
      <c r="H7" s="832">
        <f t="array" ref="H7">SUM(IF("131"&amp;B7=KHN&amp;KH,TH))</f>
        <v>0</v>
      </c>
      <c r="I7" s="833">
        <f t="array" ref="I7">SUM(IF("131"&amp;B7=KHC&amp;KH,_TH))</f>
        <v>0</v>
      </c>
      <c r="J7" s="832">
        <f t="array" ref="J7">SUM(IF("131"&amp;B7=KHC&amp;KH,TH))</f>
        <v>0</v>
      </c>
      <c r="K7" s="831">
        <f t="shared" si="0"/>
        <v>44066.42</v>
      </c>
      <c r="L7" s="394">
        <f t="shared" si="1"/>
        <v>986296391</v>
      </c>
      <c r="M7" s="831">
        <f t="shared" si="2"/>
        <v>0</v>
      </c>
      <c r="N7" s="394">
        <f t="shared" si="3"/>
        <v>0</v>
      </c>
    </row>
    <row r="8" spans="1:14" s="10" customFormat="1" ht="18" customHeight="1">
      <c r="A8" s="837">
        <f t="shared" si="4"/>
        <v>4</v>
      </c>
      <c r="B8" s="7" t="s">
        <v>592</v>
      </c>
      <c r="C8" s="833">
        <v>0</v>
      </c>
      <c r="D8" s="833">
        <v>0</v>
      </c>
      <c r="E8" s="833">
        <v>0</v>
      </c>
      <c r="F8" s="832">
        <v>0</v>
      </c>
      <c r="G8" s="833">
        <f t="array" ref="G8">SUM(IF("131"&amp;B8=KHN&amp;KH,_TH))</f>
        <v>0</v>
      </c>
      <c r="H8" s="832">
        <f t="array" ref="H8">SUM(IF("131"&amp;B8=KHN&amp;KH,TH))</f>
        <v>0</v>
      </c>
      <c r="I8" s="833">
        <f t="array" ref="I8">SUM(IF("131"&amp;B8=KHC&amp;KH,_TH))</f>
        <v>0</v>
      </c>
      <c r="J8" s="832">
        <f t="array" ref="J8">SUM(IF("131"&amp;B8=KHC&amp;KH,TH))</f>
        <v>0</v>
      </c>
      <c r="K8" s="831">
        <f t="shared" si="0"/>
        <v>0</v>
      </c>
      <c r="L8" s="394">
        <f t="shared" si="1"/>
        <v>0</v>
      </c>
      <c r="M8" s="831">
        <f t="shared" si="2"/>
        <v>0</v>
      </c>
      <c r="N8" s="394">
        <f t="shared" si="3"/>
        <v>0</v>
      </c>
    </row>
    <row r="9" spans="1:14" s="10" customFormat="1" ht="18" customHeight="1">
      <c r="A9" s="837">
        <f t="shared" si="4"/>
        <v>5</v>
      </c>
      <c r="B9" s="7" t="s">
        <v>591</v>
      </c>
      <c r="C9" s="833">
        <v>103545</v>
      </c>
      <c r="D9" s="832">
        <v>2233983375</v>
      </c>
      <c r="E9" s="833">
        <v>0</v>
      </c>
      <c r="F9" s="833">
        <v>0</v>
      </c>
      <c r="G9" s="833">
        <f t="array" ref="G9">SUM(IF("131"&amp;B9=KHN&amp;KH,_TH))</f>
        <v>0</v>
      </c>
      <c r="H9" s="832">
        <f t="array" ref="H9">SUM(IF("131"&amp;B9=KHN&amp;KH,TH))</f>
        <v>0</v>
      </c>
      <c r="I9" s="833">
        <f t="array" ref="I9">SUM(IF("131"&amp;B9=KHC&amp;KH,_TH))</f>
        <v>0</v>
      </c>
      <c r="J9" s="832">
        <f t="array" ref="J9">SUM(IF("131"&amp;B9=KHC&amp;KH,TH))</f>
        <v>0</v>
      </c>
      <c r="K9" s="831">
        <f t="shared" si="0"/>
        <v>103545</v>
      </c>
      <c r="L9" s="394">
        <f t="shared" si="1"/>
        <v>2233983375</v>
      </c>
      <c r="M9" s="831">
        <f t="shared" si="2"/>
        <v>0</v>
      </c>
      <c r="N9" s="394">
        <f t="shared" si="3"/>
        <v>0</v>
      </c>
    </row>
    <row r="10" spans="1:14" s="10" customFormat="1" ht="18" customHeight="1">
      <c r="A10" s="837">
        <f t="shared" si="4"/>
        <v>6</v>
      </c>
      <c r="B10" s="7" t="s">
        <v>590</v>
      </c>
      <c r="C10" s="833">
        <v>5219.6400000000003</v>
      </c>
      <c r="D10" s="832">
        <v>123101834</v>
      </c>
      <c r="E10" s="833">
        <v>0</v>
      </c>
      <c r="F10" s="833">
        <v>0</v>
      </c>
      <c r="G10" s="833">
        <f t="array" ref="G10">SUM(IF("131"&amp;B10=KHN&amp;KH,_TH))</f>
        <v>0</v>
      </c>
      <c r="H10" s="832">
        <f t="array" ref="H10">SUM(IF("131"&amp;B10=KHN&amp;KH,TH))</f>
        <v>0</v>
      </c>
      <c r="I10" s="833">
        <f t="array" ref="I10">SUM(IF("131"&amp;B10=KHC&amp;KH,_TH))</f>
        <v>0</v>
      </c>
      <c r="J10" s="832">
        <f t="array" ref="J10">SUM(IF("131"&amp;B10=KHC&amp;KH,TH))</f>
        <v>0</v>
      </c>
      <c r="K10" s="831">
        <f t="shared" si="0"/>
        <v>5219.6400000000003</v>
      </c>
      <c r="L10" s="394">
        <f t="shared" si="1"/>
        <v>123101834</v>
      </c>
      <c r="M10" s="831">
        <f t="shared" si="2"/>
        <v>0</v>
      </c>
      <c r="N10" s="394">
        <f t="shared" si="3"/>
        <v>0</v>
      </c>
    </row>
    <row r="11" spans="1:14" s="10" customFormat="1" ht="18" customHeight="1">
      <c r="A11" s="837">
        <f t="shared" si="4"/>
        <v>7</v>
      </c>
      <c r="B11" s="834" t="s">
        <v>589</v>
      </c>
      <c r="C11" s="833">
        <v>0</v>
      </c>
      <c r="D11" s="833">
        <v>0</v>
      </c>
      <c r="E11" s="833">
        <v>0</v>
      </c>
      <c r="F11" s="833">
        <v>0</v>
      </c>
      <c r="G11" s="833">
        <f t="array" ref="G11">SUM(IF("131"&amp;B11=KHN&amp;KH,_TH))</f>
        <v>0</v>
      </c>
      <c r="H11" s="832">
        <f t="array" ref="H11">SUM(IF("131"&amp;B11=KHN&amp;KH,TH))</f>
        <v>0</v>
      </c>
      <c r="I11" s="833">
        <f t="array" ref="I11">SUM(IF("131"&amp;B11=KHC&amp;KH,_TH))</f>
        <v>0</v>
      </c>
      <c r="J11" s="832">
        <f t="array" ref="J11">SUM(IF("131"&amp;B11=KHC&amp;KH,TH))</f>
        <v>0</v>
      </c>
      <c r="K11" s="831">
        <f t="shared" si="0"/>
        <v>0</v>
      </c>
      <c r="L11" s="394">
        <f t="shared" si="1"/>
        <v>0</v>
      </c>
      <c r="M11" s="831">
        <f t="shared" si="2"/>
        <v>0</v>
      </c>
      <c r="N11" s="394">
        <f t="shared" si="3"/>
        <v>0</v>
      </c>
    </row>
    <row r="12" spans="1:14" s="10" customFormat="1" ht="18" customHeight="1">
      <c r="A12" s="837">
        <f t="shared" si="4"/>
        <v>8</v>
      </c>
      <c r="B12" s="834" t="s">
        <v>809</v>
      </c>
      <c r="C12" s="833">
        <v>0</v>
      </c>
      <c r="D12" s="833">
        <v>0</v>
      </c>
      <c r="E12" s="833">
        <v>0</v>
      </c>
      <c r="F12" s="833">
        <v>0</v>
      </c>
      <c r="G12" s="833">
        <f t="array" ref="G12">SUM(IF("131"&amp;B12=KHN&amp;KH,_TH))</f>
        <v>0</v>
      </c>
      <c r="H12" s="832">
        <f t="array" ref="H12">SUM(IF("131"&amp;B12=KHN&amp;KH,TH))</f>
        <v>0</v>
      </c>
      <c r="I12" s="833">
        <f t="array" ref="I12">SUM(IF("131"&amp;B12=KHC&amp;KH,_TH))</f>
        <v>0</v>
      </c>
      <c r="J12" s="832">
        <f t="array" ref="J12">SUM(IF("131"&amp;B12=KHC&amp;KH,TH))</f>
        <v>0</v>
      </c>
      <c r="K12" s="831">
        <f>ROUND(MAX(C12+G12-E12-I12,0),2)</f>
        <v>0</v>
      </c>
      <c r="L12" s="394">
        <f>ROUND(MAX(D12+H12-F12-J12,0),0)</f>
        <v>0</v>
      </c>
      <c r="M12" s="831">
        <f>ROUND(MAX(E12+I12-C12-G12,0),2)</f>
        <v>0</v>
      </c>
      <c r="N12" s="394">
        <f>ROUND(MAX(F12+J12-D12-H12,0),0)</f>
        <v>0</v>
      </c>
    </row>
    <row r="13" spans="1:14" s="10" customFormat="1" ht="18" customHeight="1">
      <c r="A13" s="837" t="str">
        <f t="shared" si="4"/>
        <v/>
      </c>
      <c r="B13" s="834"/>
      <c r="C13" s="833">
        <v>0</v>
      </c>
      <c r="D13" s="833">
        <v>0</v>
      </c>
      <c r="E13" s="833">
        <v>0</v>
      </c>
      <c r="F13" s="833">
        <v>0</v>
      </c>
      <c r="G13" s="833">
        <f t="array" ref="G13">SUM(IF("131"&amp;B13=KHN&amp;KH,_TH))</f>
        <v>0</v>
      </c>
      <c r="H13" s="832">
        <f t="array" ref="H13">SUM(IF("131"&amp;B13=KHN&amp;KH,TH))</f>
        <v>0</v>
      </c>
      <c r="I13" s="833">
        <f t="array" ref="I13">SUM(IF("131"&amp;B13=KHC&amp;KH,_TH))</f>
        <v>0</v>
      </c>
      <c r="J13" s="832">
        <f t="array" ref="J13">SUM(IF("131"&amp;B13=KHC&amp;KH,TH))</f>
        <v>0</v>
      </c>
      <c r="K13" s="831">
        <f>ROUND(MAX(C13+G13-E13-I13,0),2)</f>
        <v>0</v>
      </c>
      <c r="L13" s="394">
        <f>ROUND(MAX(D13+H13-F13-J13,0),0)</f>
        <v>0</v>
      </c>
      <c r="M13" s="831">
        <f>ROUND(MAX(E13+I13-C13-G13,0),2)</f>
        <v>0</v>
      </c>
      <c r="N13" s="394">
        <f>ROUND(MAX(F13+J13-D13-H13,0),0)</f>
        <v>0</v>
      </c>
    </row>
    <row r="14" spans="1:14" s="10" customFormat="1" ht="18" customHeight="1">
      <c r="A14" s="837" t="str">
        <f t="shared" si="4"/>
        <v/>
      </c>
      <c r="B14" s="834"/>
      <c r="C14" s="833">
        <v>0</v>
      </c>
      <c r="D14" s="833">
        <v>0</v>
      </c>
      <c r="E14" s="833">
        <v>0</v>
      </c>
      <c r="F14" s="833">
        <v>0</v>
      </c>
      <c r="G14" s="833">
        <f t="array" ref="G14">SUM(IF("131"&amp;B14=KHN&amp;KH,_TH))</f>
        <v>0</v>
      </c>
      <c r="H14" s="832">
        <f t="array" ref="H14">SUM(IF("131"&amp;B14=KHN&amp;KH,TH))</f>
        <v>0</v>
      </c>
      <c r="I14" s="833">
        <f t="array" ref="I14">SUM(IF("131"&amp;B14=KHC&amp;KH,_TH))</f>
        <v>0</v>
      </c>
      <c r="J14" s="832">
        <f t="array" ref="J14">SUM(IF("131"&amp;B14=KHC&amp;KH,TH))</f>
        <v>0</v>
      </c>
      <c r="K14" s="831">
        <f>ROUND(MAX(C14+G14-E14-I14,0),2)</f>
        <v>0</v>
      </c>
      <c r="L14" s="394">
        <f>ROUND(MAX(D14+H14-F14-J14,0),0)</f>
        <v>0</v>
      </c>
      <c r="M14" s="831">
        <f>ROUND(MAX(E14+I14-C14-G14,0),2)</f>
        <v>0</v>
      </c>
      <c r="N14" s="394">
        <f>ROUND(MAX(F14+J14-D14-H14,0),0)</f>
        <v>0</v>
      </c>
    </row>
    <row r="15" spans="1:14" s="10" customFormat="1" ht="18" customHeight="1">
      <c r="A15" s="837" t="str">
        <f t="shared" si="4"/>
        <v/>
      </c>
      <c r="B15" s="834"/>
      <c r="C15" s="833">
        <v>0</v>
      </c>
      <c r="D15" s="833">
        <v>0</v>
      </c>
      <c r="E15" s="833">
        <v>0</v>
      </c>
      <c r="F15" s="833">
        <v>0</v>
      </c>
      <c r="G15" s="833">
        <f t="array" ref="G15">SUM(IF("131"&amp;B15=KHN&amp;KH,_TH))</f>
        <v>0</v>
      </c>
      <c r="H15" s="832">
        <f t="array" ref="H15">SUM(IF("131"&amp;B15=KHN&amp;KH,TH))</f>
        <v>0</v>
      </c>
      <c r="I15" s="833">
        <f t="array" ref="I15">SUM(IF("131"&amp;B15=KHC&amp;KH,_TH))</f>
        <v>0</v>
      </c>
      <c r="J15" s="832">
        <f t="array" ref="J15">SUM(IF("131"&amp;B15=KHC&amp;KH,TH))</f>
        <v>0</v>
      </c>
      <c r="K15" s="831">
        <f>ROUND(MAX(C15+G15-E15-I15,0),2)</f>
        <v>0</v>
      </c>
      <c r="L15" s="394">
        <f>ROUND(MAX(D15+H15-F15-J15,0),0)</f>
        <v>0</v>
      </c>
      <c r="M15" s="831">
        <f>ROUND(MAX(E15+I15-C15-G15,0),2)</f>
        <v>0</v>
      </c>
      <c r="N15" s="394">
        <f>ROUND(MAX(F15+J15-D15-H15,0),0)</f>
        <v>0</v>
      </c>
    </row>
    <row r="16" spans="1:14" s="10" customFormat="1" ht="18" customHeight="1">
      <c r="A16" s="837" t="str">
        <f t="shared" si="4"/>
        <v/>
      </c>
      <c r="B16" s="926"/>
      <c r="C16" s="927"/>
      <c r="D16" s="927"/>
      <c r="E16" s="927"/>
      <c r="F16" s="927"/>
      <c r="G16" s="927"/>
      <c r="H16" s="928"/>
      <c r="I16" s="927"/>
      <c r="J16" s="928"/>
      <c r="K16" s="929"/>
      <c r="L16" s="930"/>
      <c r="M16" s="929"/>
      <c r="N16" s="930"/>
    </row>
    <row r="17" spans="1:14" ht="18" customHeight="1">
      <c r="A17" s="11"/>
      <c r="B17" s="12" t="s">
        <v>41</v>
      </c>
      <c r="C17" s="830">
        <f t="shared" ref="C17:N17" si="5">SUM(C5:C16)</f>
        <v>152831.06</v>
      </c>
      <c r="D17" s="829">
        <f t="shared" si="5"/>
        <v>3343381600</v>
      </c>
      <c r="E17" s="830">
        <f t="shared" si="5"/>
        <v>0</v>
      </c>
      <c r="F17" s="829">
        <f t="shared" si="5"/>
        <v>0</v>
      </c>
      <c r="G17" s="830">
        <f t="shared" si="5"/>
        <v>0</v>
      </c>
      <c r="H17" s="829">
        <f t="shared" si="5"/>
        <v>114165700</v>
      </c>
      <c r="I17" s="830">
        <f t="shared" si="5"/>
        <v>0</v>
      </c>
      <c r="J17" s="829">
        <f t="shared" si="5"/>
        <v>0</v>
      </c>
      <c r="K17" s="830">
        <f t="shared" si="5"/>
        <v>152831.06</v>
      </c>
      <c r="L17" s="829">
        <f t="shared" si="5"/>
        <v>3457547300</v>
      </c>
      <c r="M17" s="830">
        <f t="shared" si="5"/>
        <v>0</v>
      </c>
      <c r="N17" s="829">
        <f t="shared" si="5"/>
        <v>0</v>
      </c>
    </row>
    <row r="21" spans="1:14">
      <c r="I21" s="828"/>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rintOptions horizontalCentered="1"/>
  <pageMargins left="0"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36" customWidth="1"/>
    <col min="2" max="2" width="10.140625" style="136" bestFit="1" customWidth="1"/>
    <col min="3" max="3" width="9.85546875" style="136" customWidth="1"/>
    <col min="4" max="4" width="38" style="136" customWidth="1"/>
    <col min="5" max="5" width="8.28515625" style="136" customWidth="1"/>
    <col min="6" max="6" width="8.42578125" style="136" customWidth="1"/>
    <col min="7" max="7" width="9" style="136" customWidth="1"/>
    <col min="8" max="8" width="11.42578125" style="136" customWidth="1"/>
    <col min="9" max="9" width="14.85546875" style="136" customWidth="1"/>
    <col min="10" max="10" width="12.140625" style="136" customWidth="1"/>
    <col min="11" max="11" width="15.140625" style="136" customWidth="1"/>
    <col min="12" max="12" width="12.5703125" style="136" customWidth="1"/>
    <col min="13" max="13" width="13.42578125" style="136" customWidth="1"/>
    <col min="14" max="14" width="11.85546875" style="136" customWidth="1"/>
    <col min="15" max="15" width="14.5703125" style="136" customWidth="1"/>
    <col min="16" max="16" width="11" style="136" bestFit="1" customWidth="1"/>
    <col min="17" max="16384" width="9.140625" style="136"/>
  </cols>
  <sheetData>
    <row r="2" spans="1:15" s="826" customFormat="1" ht="16.5" customHeight="1">
      <c r="A2" s="883" t="s">
        <v>317</v>
      </c>
      <c r="B2" s="882"/>
      <c r="C2" s="881"/>
      <c r="D2" s="455"/>
      <c r="E2" s="875"/>
      <c r="G2" s="874"/>
      <c r="H2" s="873"/>
      <c r="I2" s="880"/>
      <c r="J2" s="879"/>
      <c r="K2" s="2"/>
      <c r="L2" s="2"/>
      <c r="M2" s="825" t="s">
        <v>603</v>
      </c>
      <c r="N2" s="2"/>
      <c r="O2" s="2"/>
    </row>
    <row r="3" spans="1:15" s="826" customFormat="1" ht="16.5" customHeight="1">
      <c r="A3" s="1174" t="s">
        <v>602</v>
      </c>
      <c r="B3" s="1174"/>
      <c r="C3" s="1174"/>
      <c r="D3" s="1174"/>
      <c r="E3" s="875"/>
      <c r="G3" s="874"/>
      <c r="H3" s="873"/>
      <c r="I3" s="872"/>
      <c r="J3" s="871"/>
      <c r="K3" s="17"/>
      <c r="L3" s="17"/>
      <c r="M3" s="877" t="s">
        <v>320</v>
      </c>
      <c r="N3" s="17"/>
      <c r="O3" s="17"/>
    </row>
    <row r="4" spans="1:15" s="826" customFormat="1" ht="16.5" customHeight="1">
      <c r="A4" s="878"/>
      <c r="B4" s="878"/>
      <c r="C4" s="878"/>
      <c r="D4" s="878"/>
      <c r="E4" s="875"/>
      <c r="G4" s="874" t="s">
        <v>601</v>
      </c>
      <c r="H4" s="873"/>
      <c r="I4" s="872"/>
      <c r="J4" s="871"/>
      <c r="K4" s="17"/>
      <c r="L4" s="17"/>
      <c r="M4" s="877" t="s">
        <v>321</v>
      </c>
      <c r="N4" s="17"/>
      <c r="O4" s="17"/>
    </row>
    <row r="5" spans="1:15" s="826" customFormat="1" ht="6.75" customHeight="1">
      <c r="A5" s="876"/>
      <c r="B5" s="876"/>
      <c r="C5" s="876"/>
      <c r="E5" s="875"/>
      <c r="G5" s="874"/>
      <c r="H5" s="873"/>
      <c r="I5" s="872"/>
      <c r="J5" s="871"/>
      <c r="K5" s="870"/>
      <c r="L5" s="823"/>
      <c r="M5" s="823"/>
      <c r="N5" s="823"/>
      <c r="O5" s="823"/>
    </row>
    <row r="6" spans="1:15" s="5" customFormat="1" ht="23.25" customHeight="1">
      <c r="A6" s="1175" t="s">
        <v>600</v>
      </c>
      <c r="B6" s="1175"/>
      <c r="C6" s="1175"/>
      <c r="D6" s="1175"/>
      <c r="E6" s="1175"/>
      <c r="F6" s="1175"/>
      <c r="G6" s="1175"/>
      <c r="H6" s="1175"/>
      <c r="I6" s="1175"/>
      <c r="J6" s="1175"/>
      <c r="K6" s="1175"/>
      <c r="L6" s="1175"/>
      <c r="M6" s="1175"/>
      <c r="N6" s="1175"/>
      <c r="O6" s="1175"/>
    </row>
    <row r="7" spans="1:15" s="5" customFormat="1" ht="15">
      <c r="H7" s="824" t="s">
        <v>29</v>
      </c>
    </row>
    <row r="8" spans="1:15" s="5" customFormat="1" ht="15">
      <c r="H8" s="824" t="s">
        <v>599</v>
      </c>
    </row>
    <row r="9" spans="1:15" s="5" customFormat="1" ht="15">
      <c r="G9" s="234" t="s">
        <v>598</v>
      </c>
      <c r="H9" s="1176" t="s">
        <v>590</v>
      </c>
      <c r="I9" s="1176"/>
      <c r="J9" s="1176"/>
    </row>
    <row r="10" spans="1:15" s="5" customFormat="1" ht="15">
      <c r="H10" s="824" t="s">
        <v>245</v>
      </c>
    </row>
    <row r="11" spans="1:15" s="5" customFormat="1" ht="15">
      <c r="A11" s="4"/>
      <c r="B11" s="4"/>
      <c r="C11" s="869"/>
      <c r="D11" s="869"/>
      <c r="E11" s="869"/>
      <c r="F11" s="869"/>
      <c r="G11" s="869"/>
      <c r="H11" s="869"/>
      <c r="I11" s="869"/>
      <c r="J11" s="869"/>
      <c r="K11" s="869"/>
      <c r="L11" s="869"/>
      <c r="M11" s="869"/>
      <c r="N11" s="869"/>
      <c r="O11" s="869"/>
    </row>
    <row r="12" spans="1:15" s="824" customFormat="1" ht="15.75" customHeight="1">
      <c r="A12" s="1177" t="s">
        <v>22</v>
      </c>
      <c r="B12" s="1180" t="s">
        <v>1</v>
      </c>
      <c r="C12" s="1181"/>
      <c r="D12" s="1177" t="s">
        <v>0</v>
      </c>
      <c r="E12" s="1177" t="s">
        <v>16</v>
      </c>
      <c r="F12" s="1177" t="s">
        <v>246</v>
      </c>
      <c r="G12" s="1182" t="s">
        <v>597</v>
      </c>
      <c r="H12" s="1180" t="s">
        <v>23</v>
      </c>
      <c r="I12" s="1185"/>
      <c r="J12" s="1185"/>
      <c r="K12" s="1181"/>
      <c r="L12" s="1180" t="s">
        <v>33</v>
      </c>
      <c r="M12" s="1186"/>
      <c r="N12" s="1186"/>
      <c r="O12" s="1187"/>
    </row>
    <row r="13" spans="1:15" s="824" customFormat="1" ht="15.75" customHeight="1">
      <c r="A13" s="1178"/>
      <c r="B13" s="1188" t="s">
        <v>17</v>
      </c>
      <c r="C13" s="1188" t="s">
        <v>34</v>
      </c>
      <c r="D13" s="1178"/>
      <c r="E13" s="1178"/>
      <c r="F13" s="1178"/>
      <c r="G13" s="1183"/>
      <c r="H13" s="1190" t="s">
        <v>24</v>
      </c>
      <c r="I13" s="1191"/>
      <c r="J13" s="1190" t="s">
        <v>25</v>
      </c>
      <c r="K13" s="1191"/>
      <c r="L13" s="1190" t="s">
        <v>24</v>
      </c>
      <c r="M13" s="1187"/>
      <c r="N13" s="1190" t="s">
        <v>25</v>
      </c>
      <c r="O13" s="1187"/>
    </row>
    <row r="14" spans="1:15" s="824" customFormat="1" ht="27.75" customHeight="1">
      <c r="A14" s="1179"/>
      <c r="B14" s="1189"/>
      <c r="C14" s="1189"/>
      <c r="D14" s="1179"/>
      <c r="E14" s="1179"/>
      <c r="F14" s="1179"/>
      <c r="G14" s="1184"/>
      <c r="H14" s="868" t="s">
        <v>247</v>
      </c>
      <c r="I14" s="866" t="s">
        <v>248</v>
      </c>
      <c r="J14" s="867" t="s">
        <v>247</v>
      </c>
      <c r="K14" s="866" t="s">
        <v>248</v>
      </c>
      <c r="L14" s="865" t="s">
        <v>247</v>
      </c>
      <c r="M14" s="865" t="s">
        <v>248</v>
      </c>
      <c r="N14" s="865" t="s">
        <v>247</v>
      </c>
      <c r="O14" s="865" t="s">
        <v>248</v>
      </c>
    </row>
    <row r="15" spans="1:15" s="824" customFormat="1" ht="15">
      <c r="A15" s="847" t="s">
        <v>2</v>
      </c>
      <c r="B15" s="864" t="s">
        <v>3</v>
      </c>
      <c r="C15" s="847" t="s">
        <v>4</v>
      </c>
      <c r="D15" s="847" t="s">
        <v>5</v>
      </c>
      <c r="E15" s="847" t="s">
        <v>6</v>
      </c>
      <c r="F15" s="847">
        <v>1</v>
      </c>
      <c r="G15" s="847">
        <v>2</v>
      </c>
      <c r="H15" s="847">
        <v>3</v>
      </c>
      <c r="I15" s="847">
        <v>4</v>
      </c>
      <c r="J15" s="847">
        <v>5</v>
      </c>
      <c r="K15" s="847">
        <v>6</v>
      </c>
      <c r="L15" s="847">
        <v>7</v>
      </c>
      <c r="M15" s="847">
        <v>8</v>
      </c>
      <c r="N15" s="847">
        <v>9</v>
      </c>
      <c r="O15" s="847">
        <v>10</v>
      </c>
    </row>
    <row r="16" spans="1:15" s="5" customFormat="1" ht="16.5" customHeight="1">
      <c r="A16" s="849"/>
      <c r="B16" s="849"/>
      <c r="C16" s="849"/>
      <c r="D16" s="848" t="s">
        <v>7</v>
      </c>
      <c r="E16" s="849"/>
      <c r="F16" s="847"/>
      <c r="G16" s="862"/>
      <c r="H16" s="861"/>
      <c r="I16" s="862"/>
      <c r="J16" s="863"/>
      <c r="K16" s="862"/>
      <c r="L16" s="861">
        <f>VLOOKUP($H$9,'131'!$B$5:$F$11,2,0)</f>
        <v>5219.6400000000003</v>
      </c>
      <c r="M16" s="860">
        <f>VLOOKUP($H$9,'131'!$B$5:$F$11,3,0)</f>
        <v>123101834</v>
      </c>
      <c r="N16" s="861">
        <f>VLOOKUP($H$9,'131'!$B$5:$F$11,4,0)</f>
        <v>0</v>
      </c>
      <c r="O16" s="860">
        <f>VLOOKUP($H$9,'131'!$B$5:$F$11,5,0)</f>
        <v>0</v>
      </c>
    </row>
    <row r="17" spans="1:16" s="5" customFormat="1" ht="16.5" customHeight="1">
      <c r="A17" s="212" t="str">
        <f t="shared" ref="A17:A51" ca="1" si="0">IF(C17&lt;&gt;"",C17,"")</f>
        <v/>
      </c>
      <c r="B17" s="216" t="str">
        <f ca="1">IF(ROWS($1:1)&gt;COUNT(Dong14),"",OFFSET(TH!D$1,SMALL(Dong14,ROWS($1:1)),))</f>
        <v/>
      </c>
      <c r="C17" s="212" t="str">
        <f ca="1">IF(ROWS($1:1)&gt;COUNT(Dong14),"",OFFSET(TH!E$1,SMALL(Dong14,ROWS($1:1)),))</f>
        <v/>
      </c>
      <c r="D17" s="859" t="str">
        <f ca="1">IF(ROWS($1:1)&gt;COUNT(Dong14),"",OFFSET(TH!F$1,SMALL(Dong14,ROWS($1:1)),))</f>
        <v/>
      </c>
      <c r="E17" s="857" t="str">
        <f ca="1">IF(ROWS($1:1)&gt;COUNT(Dong14),"",IF(OFFSET(TH!N$1,SMALL(Dong14,ROWS($1:1)),)="131",OFFSET(TH!O$1,SMALL(Dong14,ROWS($1:1)),),OFFSET(TH!N$1,SMALL(Dong14,ROWS($1:1)),)))</f>
        <v/>
      </c>
      <c r="F17" s="857">
        <f ca="1">IF(ROWS($1:1)&gt;COUNT(Dong14),0,OFFSET(TH!L$1,SMALL(Dong14,ROWS($1:1)),))</f>
        <v>0</v>
      </c>
      <c r="G17" s="857"/>
      <c r="H17" s="858">
        <f ca="1">IF(ROWS($1:1)&gt;COUNT(Dong14),0,IF(OFFSET(TH!N$1,SMALL(Dong14,ROWS($1:1)),)="131",OFFSET(TH!K$1,SMALL(Dong14,ROWS($1:1)),),0))</f>
        <v>0</v>
      </c>
      <c r="I17" s="857">
        <f ca="1">IF(ROWS($1:1)&gt;COUNT(Dong14),0,IF(OFFSET(TH!N$1,SMALL(Dong14,ROWS($1:1)),)="131",OFFSET(TH!M$1,SMALL(Dong14,ROWS($1:1)),),0))</f>
        <v>0</v>
      </c>
      <c r="J17" s="858">
        <f ca="1">IF(ROWS($1:1)&gt;COUNT(Dong14),0,IF(OFFSET(TH!O$1,SMALL(Dong14,ROWS($1:1)),)="131",OFFSET(TH!K$1,SMALL(Dong14,ROWS($1:1)),),0))</f>
        <v>0</v>
      </c>
      <c r="K17" s="857">
        <f ca="1">IF(ROWS($1:1)&gt;COUNT(Dong14),0,IF(OFFSET(TH!O$1,SMALL(Dong14,ROWS($1:1)),)="131",OFFSET(TH!M$1,SMALL(Dong14,ROWS($1:1)),),0))</f>
        <v>0</v>
      </c>
      <c r="L17" s="851">
        <f ca="1">IF(D17&lt;&gt;"",ROUND(MAX(L16+H17-J17-N16,0),2),0)</f>
        <v>0</v>
      </c>
      <c r="M17" s="850">
        <f ca="1">IF(D17&lt;&gt;"",MAX(M16-O16+I17-K17,0),0)</f>
        <v>0</v>
      </c>
      <c r="N17" s="851">
        <f ca="1">IF(D17&lt;&gt;"",ROUND(MAX(N16+J17-H17-L16,0),2),0)</f>
        <v>0</v>
      </c>
      <c r="O17" s="850">
        <f ca="1">IF(D17&lt;&gt;"",MAX(O16-M16+K17-I17,0),0)</f>
        <v>0</v>
      </c>
    </row>
    <row r="18" spans="1:16" s="5" customFormat="1" ht="16.5" customHeight="1">
      <c r="A18" s="212" t="str">
        <f t="shared" ca="1" si="0"/>
        <v/>
      </c>
      <c r="B18" s="216" t="str">
        <f ca="1">IF(ROWS($1:2)&gt;COUNT(Dong14),"",OFFSET(TH!D$1,SMALL(Dong14,ROWS($1:2)),))</f>
        <v/>
      </c>
      <c r="C18" s="212" t="str">
        <f ca="1">IF(ROWS($1:2)&gt;COUNT(Dong14),"",OFFSET(TH!E$1,SMALL(Dong14,ROWS($1:2)),))</f>
        <v/>
      </c>
      <c r="D18" s="859" t="str">
        <f ca="1">IF(ROWS($1:2)&gt;COUNT(Dong14),"",OFFSET(TH!F$1,SMALL(Dong14,ROWS($1:2)),))</f>
        <v/>
      </c>
      <c r="E18" s="857" t="str">
        <f ca="1">IF(ROWS($1:2)&gt;COUNT(Dong14),"",IF(OFFSET(TH!N$1,SMALL(Dong14,ROWS($1:2)),)="131",OFFSET(TH!O$1,SMALL(Dong14,ROWS($1:2)),),OFFSET(TH!N$1,SMALL(Dong14,ROWS($1:2)),)))</f>
        <v/>
      </c>
      <c r="F18" s="857">
        <f ca="1">IF(ROWS($1:2)&gt;COUNT(Dong14),0,OFFSET(TH!L$1,SMALL(Dong14,ROWS($1:2)),))</f>
        <v>0</v>
      </c>
      <c r="G18" s="857"/>
      <c r="H18" s="858">
        <f ca="1">IF(ROWS($1:2)&gt;COUNT(Dong14),0,IF(OFFSET(TH!N$1,SMALL(Dong14,ROWS($1:2)),)="131",OFFSET(TH!K$1,SMALL(Dong14,ROWS($1:2)),),0))</f>
        <v>0</v>
      </c>
      <c r="I18" s="857">
        <f ca="1">IF(ROWS($1:2)&gt;COUNT(Dong14),0,IF(OFFSET(TH!N$1,SMALL(Dong14,ROWS($1:2)),)="131",OFFSET(TH!M$1,SMALL(Dong14,ROWS($1:2)),),0))</f>
        <v>0</v>
      </c>
      <c r="J18" s="858">
        <f ca="1">IF(ROWS($1:2)&gt;COUNT(Dong14),0,IF(OFFSET(TH!O$1,SMALL(Dong14,ROWS($1:2)),)="131",OFFSET(TH!K$1,SMALL(Dong14,ROWS($1:2)),),0))</f>
        <v>0</v>
      </c>
      <c r="K18" s="857">
        <f ca="1">IF(ROWS($1:2)&gt;COUNT(Dong14),0,IF(OFFSET(TH!O$1,SMALL(Dong14,ROWS($1:2)),)="131",OFFSET(TH!M$1,SMALL(Dong14,ROWS($1:2)),),0))</f>
        <v>0</v>
      </c>
      <c r="L18" s="851">
        <f t="shared" ref="L18:L50" ca="1" si="1">IF(D18&lt;&gt;"",ROUND(MAX(L17+H18-J18-N17,0),2),0)</f>
        <v>0</v>
      </c>
      <c r="M18" s="850">
        <f t="shared" ref="M18:M50" ca="1" si="2">IF(D18&lt;&gt;"",MAX(M17-O17+I18-K18,0),0)</f>
        <v>0</v>
      </c>
      <c r="N18" s="851">
        <f t="shared" ref="N18:N50" ca="1" si="3">IF(D18&lt;&gt;"",ROUND(MAX(N17+J18-H18-L17,0),2),0)</f>
        <v>0</v>
      </c>
      <c r="O18" s="850">
        <f t="shared" ref="O18:O50" ca="1" si="4">IF(D18&lt;&gt;"",MAX(O17-M17+K18-I18,0),0)</f>
        <v>0</v>
      </c>
    </row>
    <row r="19" spans="1:16" s="5" customFormat="1" ht="16.5" customHeight="1">
      <c r="A19" s="212" t="str">
        <f t="shared" ca="1" si="0"/>
        <v/>
      </c>
      <c r="B19" s="216" t="str">
        <f ca="1">IF(ROWS($1:3)&gt;COUNT(Dong14),"",OFFSET(TH!D$1,SMALL(Dong14,ROWS($1:3)),))</f>
        <v/>
      </c>
      <c r="C19" s="212" t="str">
        <f ca="1">IF(ROWS($1:3)&gt;COUNT(Dong14),"",OFFSET(TH!E$1,SMALL(Dong14,ROWS($1:3)),))</f>
        <v/>
      </c>
      <c r="D19" s="859" t="str">
        <f ca="1">IF(ROWS($1:3)&gt;COUNT(Dong14),"",OFFSET(TH!F$1,SMALL(Dong14,ROWS($1:3)),))</f>
        <v/>
      </c>
      <c r="E19" s="857" t="str">
        <f ca="1">IF(ROWS($1:3)&gt;COUNT(Dong14),"",IF(OFFSET(TH!N$1,SMALL(Dong14,ROWS($1:3)),)="131",OFFSET(TH!O$1,SMALL(Dong14,ROWS($1:3)),),OFFSET(TH!N$1,SMALL(Dong14,ROWS($1:3)),)))</f>
        <v/>
      </c>
      <c r="F19" s="857">
        <f ca="1">IF(ROWS($1:3)&gt;COUNT(Dong14),0,OFFSET(TH!L$1,SMALL(Dong14,ROWS($1:3)),))</f>
        <v>0</v>
      </c>
      <c r="G19" s="857"/>
      <c r="H19" s="858">
        <f ca="1">IF(ROWS($1:3)&gt;COUNT(Dong14),0,IF(OFFSET(TH!N$1,SMALL(Dong14,ROWS($1:3)),)="131",OFFSET(TH!K$1,SMALL(Dong14,ROWS($1:3)),),0))</f>
        <v>0</v>
      </c>
      <c r="I19" s="857">
        <f ca="1">IF(ROWS($1:3)&gt;COUNT(Dong14),0,IF(OFFSET(TH!N$1,SMALL(Dong14,ROWS($1:3)),)="131",OFFSET(TH!M$1,SMALL(Dong14,ROWS($1:3)),),0))</f>
        <v>0</v>
      </c>
      <c r="J19" s="858">
        <f ca="1">IF(ROWS($1:3)&gt;COUNT(Dong14),0,IF(OFFSET(TH!O$1,SMALL(Dong14,ROWS($1:3)),)="131",OFFSET(TH!K$1,SMALL(Dong14,ROWS($1:3)),),0))</f>
        <v>0</v>
      </c>
      <c r="K19" s="857">
        <f ca="1">IF(ROWS($1:3)&gt;COUNT(Dong14),0,IF(OFFSET(TH!O$1,SMALL(Dong14,ROWS($1:3)),)="131",OFFSET(TH!M$1,SMALL(Dong14,ROWS($1:3)),),0))</f>
        <v>0</v>
      </c>
      <c r="L19" s="851">
        <f t="shared" ca="1" si="1"/>
        <v>0</v>
      </c>
      <c r="M19" s="850">
        <f t="shared" ca="1" si="2"/>
        <v>0</v>
      </c>
      <c r="N19" s="851">
        <f t="shared" ca="1" si="3"/>
        <v>0</v>
      </c>
      <c r="O19" s="850">
        <f t="shared" ca="1" si="4"/>
        <v>0</v>
      </c>
    </row>
    <row r="20" spans="1:16" s="5" customFormat="1" ht="16.5" customHeight="1">
      <c r="A20" s="212" t="str">
        <f t="shared" ca="1" si="0"/>
        <v/>
      </c>
      <c r="B20" s="216" t="str">
        <f ca="1">IF(ROWS($1:4)&gt;COUNT(Dong14),"",OFFSET(TH!D$1,SMALL(Dong14,ROWS($1:4)),))</f>
        <v/>
      </c>
      <c r="C20" s="212" t="str">
        <f ca="1">IF(ROWS($1:4)&gt;COUNT(Dong14),"",OFFSET(TH!E$1,SMALL(Dong14,ROWS($1:4)),))</f>
        <v/>
      </c>
      <c r="D20" s="859" t="str">
        <f ca="1">IF(ROWS($1:4)&gt;COUNT(Dong14),"",OFFSET(TH!F$1,SMALL(Dong14,ROWS($1:4)),))</f>
        <v/>
      </c>
      <c r="E20" s="857" t="str">
        <f ca="1">IF(ROWS($1:4)&gt;COUNT(Dong14),"",IF(OFFSET(TH!N$1,SMALL(Dong14,ROWS($1:4)),)="131",OFFSET(TH!O$1,SMALL(Dong14,ROWS($1:4)),),OFFSET(TH!N$1,SMALL(Dong14,ROWS($1:4)),)))</f>
        <v/>
      </c>
      <c r="F20" s="857">
        <f ca="1">IF(ROWS($1:4)&gt;COUNT(Dong14),0,OFFSET(TH!L$1,SMALL(Dong14,ROWS($1:4)),))</f>
        <v>0</v>
      </c>
      <c r="G20" s="857"/>
      <c r="H20" s="858">
        <f ca="1">IF(ROWS($1:4)&gt;COUNT(Dong14),0,IF(OFFSET(TH!N$1,SMALL(Dong14,ROWS($1:4)),)="131",OFFSET(TH!K$1,SMALL(Dong14,ROWS($1:4)),),0))</f>
        <v>0</v>
      </c>
      <c r="I20" s="857">
        <f ca="1">IF(ROWS($1:4)&gt;COUNT(Dong14),0,IF(OFFSET(TH!N$1,SMALL(Dong14,ROWS($1:4)),)="131",OFFSET(TH!M$1,SMALL(Dong14,ROWS($1:4)),),0))</f>
        <v>0</v>
      </c>
      <c r="J20" s="858">
        <f ca="1">IF(ROWS($1:4)&gt;COUNT(Dong14),0,IF(OFFSET(TH!O$1,SMALL(Dong14,ROWS($1:4)),)="131",OFFSET(TH!K$1,SMALL(Dong14,ROWS($1:4)),),0))</f>
        <v>0</v>
      </c>
      <c r="K20" s="857">
        <f ca="1">IF(ROWS($1:4)&gt;COUNT(Dong14),0,IF(OFFSET(TH!O$1,SMALL(Dong14,ROWS($1:4)),)="131",OFFSET(TH!M$1,SMALL(Dong14,ROWS($1:4)),),0))</f>
        <v>0</v>
      </c>
      <c r="L20" s="851">
        <f t="shared" ca="1" si="1"/>
        <v>0</v>
      </c>
      <c r="M20" s="850">
        <f t="shared" ca="1" si="2"/>
        <v>0</v>
      </c>
      <c r="N20" s="851">
        <f t="shared" ca="1" si="3"/>
        <v>0</v>
      </c>
      <c r="O20" s="850">
        <f t="shared" ca="1" si="4"/>
        <v>0</v>
      </c>
    </row>
    <row r="21" spans="1:16" s="5" customFormat="1" ht="16.5" customHeight="1">
      <c r="A21" s="212" t="str">
        <f t="shared" ca="1" si="0"/>
        <v/>
      </c>
      <c r="B21" s="216" t="str">
        <f ca="1">IF(ROWS($1:5)&gt;COUNT(Dong14),"",OFFSET(TH!D$1,SMALL(Dong14,ROWS($1:5)),))</f>
        <v/>
      </c>
      <c r="C21" s="212" t="str">
        <f ca="1">IF(ROWS($1:5)&gt;COUNT(Dong14),"",OFFSET(TH!E$1,SMALL(Dong14,ROWS($1:5)),))</f>
        <v/>
      </c>
      <c r="D21" s="859" t="str">
        <f ca="1">IF(ROWS($1:5)&gt;COUNT(Dong14),"",OFFSET(TH!F$1,SMALL(Dong14,ROWS($1:5)),))</f>
        <v/>
      </c>
      <c r="E21" s="857" t="str">
        <f ca="1">IF(ROWS($1:5)&gt;COUNT(Dong14),"",IF(OFFSET(TH!N$1,SMALL(Dong14,ROWS($1:5)),)="131",OFFSET(TH!O$1,SMALL(Dong14,ROWS($1:5)),),OFFSET(TH!N$1,SMALL(Dong14,ROWS($1:5)),)))</f>
        <v/>
      </c>
      <c r="F21" s="857">
        <f ca="1">IF(ROWS($1:5)&gt;COUNT(Dong14),0,OFFSET(TH!L$1,SMALL(Dong14,ROWS($1:5)),))</f>
        <v>0</v>
      </c>
      <c r="G21" s="857"/>
      <c r="H21" s="858">
        <f ca="1">IF(ROWS($1:5)&gt;COUNT(Dong14),0,IF(OFFSET(TH!N$1,SMALL(Dong14,ROWS($1:5)),)="131",OFFSET(TH!K$1,SMALL(Dong14,ROWS($1:5)),),0))</f>
        <v>0</v>
      </c>
      <c r="I21" s="857">
        <f ca="1">IF(ROWS($1:5)&gt;COUNT(Dong14),0,IF(OFFSET(TH!N$1,SMALL(Dong14,ROWS($1:5)),)="131",OFFSET(TH!M$1,SMALL(Dong14,ROWS($1:5)),),0))</f>
        <v>0</v>
      </c>
      <c r="J21" s="858">
        <f ca="1">IF(ROWS($1:5)&gt;COUNT(Dong14),0,IF(OFFSET(TH!O$1,SMALL(Dong14,ROWS($1:5)),)="131",OFFSET(TH!K$1,SMALL(Dong14,ROWS($1:5)),),0))</f>
        <v>0</v>
      </c>
      <c r="K21" s="857">
        <f ca="1">IF(ROWS($1:5)&gt;COUNT(Dong14),0,IF(OFFSET(TH!O$1,SMALL(Dong14,ROWS($1:5)),)="131",OFFSET(TH!M$1,SMALL(Dong14,ROWS($1:5)),),0))</f>
        <v>0</v>
      </c>
      <c r="L21" s="851">
        <f t="shared" ca="1" si="1"/>
        <v>0</v>
      </c>
      <c r="M21" s="850">
        <f t="shared" ca="1" si="2"/>
        <v>0</v>
      </c>
      <c r="N21" s="851">
        <f t="shared" ca="1" si="3"/>
        <v>0</v>
      </c>
      <c r="O21" s="850">
        <f t="shared" ca="1" si="4"/>
        <v>0</v>
      </c>
    </row>
    <row r="22" spans="1:16" s="5" customFormat="1" ht="16.5" customHeight="1">
      <c r="A22" s="212" t="str">
        <f t="shared" ca="1" si="0"/>
        <v/>
      </c>
      <c r="B22" s="216" t="str">
        <f ca="1">IF(ROWS($1:6)&gt;COUNT(Dong14),"",OFFSET(TH!D$1,SMALL(Dong14,ROWS($1:6)),))</f>
        <v/>
      </c>
      <c r="C22" s="212" t="str">
        <f ca="1">IF(ROWS($1:6)&gt;COUNT(Dong14),"",OFFSET(TH!E$1,SMALL(Dong14,ROWS($1:6)),))</f>
        <v/>
      </c>
      <c r="D22" s="859" t="str">
        <f ca="1">IF(ROWS($1:6)&gt;COUNT(Dong14),"",OFFSET(TH!F$1,SMALL(Dong14,ROWS($1:6)),))</f>
        <v/>
      </c>
      <c r="E22" s="857" t="str">
        <f ca="1">IF(ROWS($1:6)&gt;COUNT(Dong14),"",IF(OFFSET(TH!N$1,SMALL(Dong14,ROWS($1:6)),)="131",OFFSET(TH!O$1,SMALL(Dong14,ROWS($1:6)),),OFFSET(TH!N$1,SMALL(Dong14,ROWS($1:6)),)))</f>
        <v/>
      </c>
      <c r="F22" s="857">
        <f ca="1">IF(ROWS($1:6)&gt;COUNT(Dong14),0,OFFSET(TH!L$1,SMALL(Dong14,ROWS($1:6)),))</f>
        <v>0</v>
      </c>
      <c r="G22" s="857"/>
      <c r="H22" s="858">
        <f ca="1">IF(ROWS($1:6)&gt;COUNT(Dong14),0,IF(OFFSET(TH!N$1,SMALL(Dong14,ROWS($1:6)),)="131",OFFSET(TH!K$1,SMALL(Dong14,ROWS($1:6)),),0))</f>
        <v>0</v>
      </c>
      <c r="I22" s="857">
        <f ca="1">IF(ROWS($1:6)&gt;COUNT(Dong14),0,IF(OFFSET(TH!N$1,SMALL(Dong14,ROWS($1:6)),)="131",OFFSET(TH!M$1,SMALL(Dong14,ROWS($1:6)),),0))</f>
        <v>0</v>
      </c>
      <c r="J22" s="858">
        <f ca="1">IF(ROWS($1:6)&gt;COUNT(Dong14),0,IF(OFFSET(TH!O$1,SMALL(Dong14,ROWS($1:6)),)="131",OFFSET(TH!K$1,SMALL(Dong14,ROWS($1:6)),),0))</f>
        <v>0</v>
      </c>
      <c r="K22" s="857">
        <f ca="1">IF(ROWS($1:6)&gt;COUNT(Dong14),0,IF(OFFSET(TH!O$1,SMALL(Dong14,ROWS($1:6)),)="131",OFFSET(TH!M$1,SMALL(Dong14,ROWS($1:6)),),0))</f>
        <v>0</v>
      </c>
      <c r="L22" s="851">
        <f t="shared" ca="1" si="1"/>
        <v>0</v>
      </c>
      <c r="M22" s="850">
        <f t="shared" ca="1" si="2"/>
        <v>0</v>
      </c>
      <c r="N22" s="851">
        <f t="shared" ca="1" si="3"/>
        <v>0</v>
      </c>
      <c r="O22" s="850">
        <f t="shared" ca="1" si="4"/>
        <v>0</v>
      </c>
    </row>
    <row r="23" spans="1:16" s="5" customFormat="1" ht="16.5" customHeight="1">
      <c r="A23" s="212" t="str">
        <f t="shared" ca="1" si="0"/>
        <v/>
      </c>
      <c r="B23" s="216" t="str">
        <f ca="1">IF(ROWS($1:7)&gt;COUNT(Dong14),"",OFFSET(TH!D$1,SMALL(Dong14,ROWS($1:7)),))</f>
        <v/>
      </c>
      <c r="C23" s="212" t="str">
        <f ca="1">IF(ROWS($1:7)&gt;COUNT(Dong14),"",OFFSET(TH!E$1,SMALL(Dong14,ROWS($1:7)),))</f>
        <v/>
      </c>
      <c r="D23" s="859" t="str">
        <f ca="1">IF(ROWS($1:7)&gt;COUNT(Dong14),"",OFFSET(TH!F$1,SMALL(Dong14,ROWS($1:7)),))</f>
        <v/>
      </c>
      <c r="E23" s="857" t="str">
        <f ca="1">IF(ROWS($1:7)&gt;COUNT(Dong14),"",IF(OFFSET(TH!N$1,SMALL(Dong14,ROWS($1:7)),)="131",OFFSET(TH!O$1,SMALL(Dong14,ROWS($1:7)),),OFFSET(TH!N$1,SMALL(Dong14,ROWS($1:7)),)))</f>
        <v/>
      </c>
      <c r="F23" s="857">
        <f ca="1">IF(ROWS($1:7)&gt;COUNT(Dong14),0,OFFSET(TH!L$1,SMALL(Dong14,ROWS($1:7)),))</f>
        <v>0</v>
      </c>
      <c r="G23" s="857"/>
      <c r="H23" s="858">
        <f ca="1">IF(ROWS($1:7)&gt;COUNT(Dong14),0,IF(OFFSET(TH!N$1,SMALL(Dong14,ROWS($1:7)),)="131",OFFSET(TH!K$1,SMALL(Dong14,ROWS($1:7)),),0))</f>
        <v>0</v>
      </c>
      <c r="I23" s="857">
        <f ca="1">IF(ROWS($1:7)&gt;COUNT(Dong14),0,IF(OFFSET(TH!N$1,SMALL(Dong14,ROWS($1:7)),)="131",OFFSET(TH!M$1,SMALL(Dong14,ROWS($1:7)),),0))</f>
        <v>0</v>
      </c>
      <c r="J23" s="858">
        <f ca="1">IF(ROWS($1:7)&gt;COUNT(Dong14),0,IF(OFFSET(TH!O$1,SMALL(Dong14,ROWS($1:7)),)="131",OFFSET(TH!K$1,SMALL(Dong14,ROWS($1:7)),),0))</f>
        <v>0</v>
      </c>
      <c r="K23" s="857">
        <f ca="1">IF(ROWS($1:7)&gt;COUNT(Dong14),0,IF(OFFSET(TH!O$1,SMALL(Dong14,ROWS($1:7)),)="131",OFFSET(TH!M$1,SMALL(Dong14,ROWS($1:7)),),0))</f>
        <v>0</v>
      </c>
      <c r="L23" s="851">
        <f t="shared" ca="1" si="1"/>
        <v>0</v>
      </c>
      <c r="M23" s="850">
        <f t="shared" ca="1" si="2"/>
        <v>0</v>
      </c>
      <c r="N23" s="851">
        <f t="shared" ca="1" si="3"/>
        <v>0</v>
      </c>
      <c r="O23" s="850">
        <f t="shared" ca="1" si="4"/>
        <v>0</v>
      </c>
    </row>
    <row r="24" spans="1:16" s="5" customFormat="1" ht="16.5" customHeight="1">
      <c r="A24" s="212" t="str">
        <f t="shared" ca="1" si="0"/>
        <v/>
      </c>
      <c r="B24" s="216" t="str">
        <f ca="1">IF(ROWS($1:8)&gt;COUNT(Dong14),"",OFFSET(TH!D$1,SMALL(Dong14,ROWS($1:8)),))</f>
        <v/>
      </c>
      <c r="C24" s="212" t="str">
        <f ca="1">IF(ROWS($1:8)&gt;COUNT(Dong14),"",OFFSET(TH!E$1,SMALL(Dong14,ROWS($1:8)),))</f>
        <v/>
      </c>
      <c r="D24" s="859" t="str">
        <f ca="1">IF(ROWS($1:8)&gt;COUNT(Dong14),"",OFFSET(TH!F$1,SMALL(Dong14,ROWS($1:8)),))</f>
        <v/>
      </c>
      <c r="E24" s="857" t="str">
        <f ca="1">IF(ROWS($1:8)&gt;COUNT(Dong14),"",IF(OFFSET(TH!N$1,SMALL(Dong14,ROWS($1:8)),)="131",OFFSET(TH!O$1,SMALL(Dong14,ROWS($1:8)),),OFFSET(TH!N$1,SMALL(Dong14,ROWS($1:8)),)))</f>
        <v/>
      </c>
      <c r="F24" s="857">
        <f ca="1">IF(ROWS($1:8)&gt;COUNT(Dong14),0,OFFSET(TH!L$1,SMALL(Dong14,ROWS($1:8)),))</f>
        <v>0</v>
      </c>
      <c r="G24" s="857"/>
      <c r="H24" s="858">
        <f ca="1">IF(ROWS($1:8)&gt;COUNT(Dong14),0,IF(OFFSET(TH!N$1,SMALL(Dong14,ROWS($1:8)),)="131",OFFSET(TH!K$1,SMALL(Dong14,ROWS($1:8)),),0))</f>
        <v>0</v>
      </c>
      <c r="I24" s="857">
        <f ca="1">IF(ROWS($1:8)&gt;COUNT(Dong14),0,IF(OFFSET(TH!N$1,SMALL(Dong14,ROWS($1:8)),)="131",OFFSET(TH!M$1,SMALL(Dong14,ROWS($1:8)),),0))</f>
        <v>0</v>
      </c>
      <c r="J24" s="858">
        <f ca="1">IF(ROWS($1:8)&gt;COUNT(Dong14),0,IF(OFFSET(TH!O$1,SMALL(Dong14,ROWS($1:8)),)="131",OFFSET(TH!K$1,SMALL(Dong14,ROWS($1:8)),),0))</f>
        <v>0</v>
      </c>
      <c r="K24" s="857">
        <f ca="1">IF(ROWS($1:8)&gt;COUNT(Dong14),0,IF(OFFSET(TH!O$1,SMALL(Dong14,ROWS($1:8)),)="131",OFFSET(TH!M$1,SMALL(Dong14,ROWS($1:8)),),0))</f>
        <v>0</v>
      </c>
      <c r="L24" s="851">
        <f t="shared" ca="1" si="1"/>
        <v>0</v>
      </c>
      <c r="M24" s="850">
        <f t="shared" ca="1" si="2"/>
        <v>0</v>
      </c>
      <c r="N24" s="851">
        <f t="shared" ca="1" si="3"/>
        <v>0</v>
      </c>
      <c r="O24" s="850">
        <f t="shared" ca="1" si="4"/>
        <v>0</v>
      </c>
    </row>
    <row r="25" spans="1:16" s="5" customFormat="1" ht="16.5" customHeight="1">
      <c r="A25" s="212" t="str">
        <f t="shared" ca="1" si="0"/>
        <v/>
      </c>
      <c r="B25" s="216" t="str">
        <f ca="1">IF(ROWS($1:9)&gt;COUNT(Dong14),"",OFFSET(TH!D$1,SMALL(Dong14,ROWS($1:9)),))</f>
        <v/>
      </c>
      <c r="C25" s="212" t="str">
        <f ca="1">IF(ROWS($1:9)&gt;COUNT(Dong14),"",OFFSET(TH!E$1,SMALL(Dong14,ROWS($1:9)),))</f>
        <v/>
      </c>
      <c r="D25" s="859" t="str">
        <f ca="1">IF(ROWS($1:9)&gt;COUNT(Dong14),"",OFFSET(TH!F$1,SMALL(Dong14,ROWS($1:9)),))</f>
        <v/>
      </c>
      <c r="E25" s="857" t="str">
        <f ca="1">IF(ROWS($1:9)&gt;COUNT(Dong14),"",IF(OFFSET(TH!N$1,SMALL(Dong14,ROWS($1:9)),)="131",OFFSET(TH!O$1,SMALL(Dong14,ROWS($1:9)),),OFFSET(TH!N$1,SMALL(Dong14,ROWS($1:9)),)))</f>
        <v/>
      </c>
      <c r="F25" s="857">
        <f ca="1">IF(ROWS($1:9)&gt;COUNT(Dong14),0,OFFSET(TH!L$1,SMALL(Dong14,ROWS($1:9)),))</f>
        <v>0</v>
      </c>
      <c r="G25" s="857"/>
      <c r="H25" s="858">
        <f ca="1">IF(ROWS($1:9)&gt;COUNT(Dong14),0,IF(OFFSET(TH!N$1,SMALL(Dong14,ROWS($1:9)),)="131",OFFSET(TH!K$1,SMALL(Dong14,ROWS($1:9)),),0))</f>
        <v>0</v>
      </c>
      <c r="I25" s="857">
        <f ca="1">IF(ROWS($1:9)&gt;COUNT(Dong14),0,IF(OFFSET(TH!N$1,SMALL(Dong14,ROWS($1:9)),)="131",OFFSET(TH!M$1,SMALL(Dong14,ROWS($1:9)),),0))</f>
        <v>0</v>
      </c>
      <c r="J25" s="858">
        <f ca="1">IF(ROWS($1:9)&gt;COUNT(Dong14),0,IF(OFFSET(TH!O$1,SMALL(Dong14,ROWS($1:9)),)="131",OFFSET(TH!K$1,SMALL(Dong14,ROWS($1:9)),),0))</f>
        <v>0</v>
      </c>
      <c r="K25" s="857">
        <f ca="1">IF(ROWS($1:9)&gt;COUNT(Dong14),0,IF(OFFSET(TH!O$1,SMALL(Dong14,ROWS($1:9)),)="131",OFFSET(TH!M$1,SMALL(Dong14,ROWS($1:9)),),0))</f>
        <v>0</v>
      </c>
      <c r="L25" s="851">
        <f t="shared" ca="1" si="1"/>
        <v>0</v>
      </c>
      <c r="M25" s="850">
        <f t="shared" ca="1" si="2"/>
        <v>0</v>
      </c>
      <c r="N25" s="851">
        <f t="shared" ca="1" si="3"/>
        <v>0</v>
      </c>
      <c r="O25" s="850">
        <f t="shared" ca="1" si="4"/>
        <v>0</v>
      </c>
    </row>
    <row r="26" spans="1:16" s="5" customFormat="1" ht="16.5" customHeight="1">
      <c r="A26" s="212" t="str">
        <f t="shared" ca="1" si="0"/>
        <v/>
      </c>
      <c r="B26" s="216" t="str">
        <f ca="1">IF(ROWS($1:10)&gt;COUNT(Dong14),"",OFFSET(TH!D$1,SMALL(Dong14,ROWS($1:10)),))</f>
        <v/>
      </c>
      <c r="C26" s="212" t="str">
        <f ca="1">IF(ROWS($1:10)&gt;COUNT(Dong14),"",OFFSET(TH!E$1,SMALL(Dong14,ROWS($1:10)),))</f>
        <v/>
      </c>
      <c r="D26" s="859" t="str">
        <f ca="1">IF(ROWS($1:10)&gt;COUNT(Dong14),"",OFFSET(TH!F$1,SMALL(Dong14,ROWS($1:10)),))</f>
        <v/>
      </c>
      <c r="E26" s="857" t="str">
        <f ca="1">IF(ROWS($1:10)&gt;COUNT(Dong14),"",IF(OFFSET(TH!N$1,SMALL(Dong14,ROWS($1:10)),)="131",OFFSET(TH!O$1,SMALL(Dong14,ROWS($1:10)),),OFFSET(TH!N$1,SMALL(Dong14,ROWS($1:10)),)))</f>
        <v/>
      </c>
      <c r="F26" s="857">
        <f ca="1">IF(ROWS($1:10)&gt;COUNT(Dong14),0,OFFSET(TH!L$1,SMALL(Dong14,ROWS($1:10)),))</f>
        <v>0</v>
      </c>
      <c r="G26" s="857"/>
      <c r="H26" s="858">
        <f ca="1">IF(ROWS($1:10)&gt;COUNT(Dong14),0,IF(OFFSET(TH!N$1,SMALL(Dong14,ROWS($1:10)),)="131",OFFSET(TH!K$1,SMALL(Dong14,ROWS($1:10)),),0))</f>
        <v>0</v>
      </c>
      <c r="I26" s="857">
        <f ca="1">IF(ROWS($1:10)&gt;COUNT(Dong14),0,IF(OFFSET(TH!N$1,SMALL(Dong14,ROWS($1:10)),)="131",OFFSET(TH!M$1,SMALL(Dong14,ROWS($1:10)),),0))</f>
        <v>0</v>
      </c>
      <c r="J26" s="858">
        <f ca="1">IF(ROWS($1:10)&gt;COUNT(Dong14),0,IF(OFFSET(TH!O$1,SMALL(Dong14,ROWS($1:10)),)="131",OFFSET(TH!K$1,SMALL(Dong14,ROWS($1:10)),),0))</f>
        <v>0</v>
      </c>
      <c r="K26" s="857">
        <f ca="1">IF(ROWS($1:10)&gt;COUNT(Dong14),0,IF(OFFSET(TH!O$1,SMALL(Dong14,ROWS($1:10)),)="131",OFFSET(TH!M$1,SMALL(Dong14,ROWS($1:10)),),0))</f>
        <v>0</v>
      </c>
      <c r="L26" s="851">
        <f t="shared" ca="1" si="1"/>
        <v>0</v>
      </c>
      <c r="M26" s="850">
        <f t="shared" ca="1" si="2"/>
        <v>0</v>
      </c>
      <c r="N26" s="851">
        <f t="shared" ca="1" si="3"/>
        <v>0</v>
      </c>
      <c r="O26" s="850">
        <f t="shared" ca="1" si="4"/>
        <v>0</v>
      </c>
    </row>
    <row r="27" spans="1:16" s="5" customFormat="1" ht="16.5" customHeight="1">
      <c r="A27" s="212" t="str">
        <f t="shared" ca="1" si="0"/>
        <v/>
      </c>
      <c r="B27" s="216" t="str">
        <f ca="1">IF(ROWS($1:11)&gt;COUNT(Dong14),"",OFFSET(TH!D$1,SMALL(Dong14,ROWS($1:11)),))</f>
        <v/>
      </c>
      <c r="C27" s="212" t="str">
        <f ca="1">IF(ROWS($1:11)&gt;COUNT(Dong14),"",OFFSET(TH!E$1,SMALL(Dong14,ROWS($1:11)),))</f>
        <v/>
      </c>
      <c r="D27" s="859" t="str">
        <f ca="1">IF(ROWS($1:11)&gt;COUNT(Dong14),"",OFFSET(TH!F$1,SMALL(Dong14,ROWS($1:11)),))</f>
        <v/>
      </c>
      <c r="E27" s="857" t="str">
        <f ca="1">IF(ROWS($1:11)&gt;COUNT(Dong14),"",IF(OFFSET(TH!N$1,SMALL(Dong14,ROWS($1:11)),)="131",OFFSET(TH!O$1,SMALL(Dong14,ROWS($1:11)),),OFFSET(TH!N$1,SMALL(Dong14,ROWS($1:11)),)))</f>
        <v/>
      </c>
      <c r="F27" s="857">
        <f ca="1">IF(ROWS($1:11)&gt;COUNT(Dong14),0,OFFSET(TH!L$1,SMALL(Dong14,ROWS($1:11)),))</f>
        <v>0</v>
      </c>
      <c r="G27" s="857"/>
      <c r="H27" s="858">
        <f ca="1">IF(ROWS($1:11)&gt;COUNT(Dong14),0,IF(OFFSET(TH!N$1,SMALL(Dong14,ROWS($1:11)),)="131",OFFSET(TH!K$1,SMALL(Dong14,ROWS($1:11)),),0))</f>
        <v>0</v>
      </c>
      <c r="I27" s="857">
        <f ca="1">IF(ROWS($1:11)&gt;COUNT(Dong14),0,IF(OFFSET(TH!N$1,SMALL(Dong14,ROWS($1:11)),)="131",OFFSET(TH!M$1,SMALL(Dong14,ROWS($1:11)),),0))</f>
        <v>0</v>
      </c>
      <c r="J27" s="858">
        <f ca="1">IF(ROWS($1:11)&gt;COUNT(Dong14),0,IF(OFFSET(TH!O$1,SMALL(Dong14,ROWS($1:11)),)="131",OFFSET(TH!K$1,SMALL(Dong14,ROWS($1:11)),),0))</f>
        <v>0</v>
      </c>
      <c r="K27" s="857">
        <f ca="1">IF(ROWS($1:11)&gt;COUNT(Dong14),0,IF(OFFSET(TH!O$1,SMALL(Dong14,ROWS($1:11)),)="131",OFFSET(TH!M$1,SMALL(Dong14,ROWS($1:11)),),0))</f>
        <v>0</v>
      </c>
      <c r="L27" s="851">
        <f t="shared" ca="1" si="1"/>
        <v>0</v>
      </c>
      <c r="M27" s="850">
        <f t="shared" ca="1" si="2"/>
        <v>0</v>
      </c>
      <c r="N27" s="851">
        <f t="shared" ca="1" si="3"/>
        <v>0</v>
      </c>
      <c r="O27" s="850">
        <f t="shared" ca="1" si="4"/>
        <v>0</v>
      </c>
    </row>
    <row r="28" spans="1:16" s="5" customFormat="1" ht="16.5" customHeight="1">
      <c r="A28" s="212" t="str">
        <f t="shared" ca="1" si="0"/>
        <v/>
      </c>
      <c r="B28" s="216" t="str">
        <f ca="1">IF(ROWS($1:12)&gt;COUNT(Dong14),"",OFFSET(TH!D$1,SMALL(Dong14,ROWS($1:12)),))</f>
        <v/>
      </c>
      <c r="C28" s="212" t="str">
        <f ca="1">IF(ROWS($1:12)&gt;COUNT(Dong14),"",OFFSET(TH!E$1,SMALL(Dong14,ROWS($1:12)),))</f>
        <v/>
      </c>
      <c r="D28" s="859" t="str">
        <f ca="1">IF(ROWS($1:12)&gt;COUNT(Dong14),"",OFFSET(TH!F$1,SMALL(Dong14,ROWS($1:12)),))</f>
        <v/>
      </c>
      <c r="E28" s="857" t="str">
        <f ca="1">IF(ROWS($1:12)&gt;COUNT(Dong14),"",IF(OFFSET(TH!N$1,SMALL(Dong14,ROWS($1:12)),)="131",OFFSET(TH!O$1,SMALL(Dong14,ROWS($1:12)),),OFFSET(TH!N$1,SMALL(Dong14,ROWS($1:12)),)))</f>
        <v/>
      </c>
      <c r="F28" s="857">
        <f ca="1">IF(ROWS($1:12)&gt;COUNT(Dong14),0,OFFSET(TH!L$1,SMALL(Dong14,ROWS($1:12)),))</f>
        <v>0</v>
      </c>
      <c r="G28" s="857"/>
      <c r="H28" s="858">
        <f ca="1">IF(ROWS($1:12)&gt;COUNT(Dong14),0,IF(OFFSET(TH!N$1,SMALL(Dong14,ROWS($1:12)),)="131",OFFSET(TH!K$1,SMALL(Dong14,ROWS($1:12)),),0))</f>
        <v>0</v>
      </c>
      <c r="I28" s="857">
        <f ca="1">IF(ROWS($1:12)&gt;COUNT(Dong14),0,IF(OFFSET(TH!N$1,SMALL(Dong14,ROWS($1:12)),)="131",OFFSET(TH!M$1,SMALL(Dong14,ROWS($1:12)),),0))</f>
        <v>0</v>
      </c>
      <c r="J28" s="858">
        <f ca="1">IF(ROWS($1:12)&gt;COUNT(Dong14),0,IF(OFFSET(TH!O$1,SMALL(Dong14,ROWS($1:12)),)="131",OFFSET(TH!K$1,SMALL(Dong14,ROWS($1:12)),),0))</f>
        <v>0</v>
      </c>
      <c r="K28" s="857">
        <f ca="1">IF(ROWS($1:12)&gt;COUNT(Dong14),0,IF(OFFSET(TH!O$1,SMALL(Dong14,ROWS($1:12)),)="131",OFFSET(TH!M$1,SMALL(Dong14,ROWS($1:12)),),0))</f>
        <v>0</v>
      </c>
      <c r="L28" s="851">
        <f t="shared" ca="1" si="1"/>
        <v>0</v>
      </c>
      <c r="M28" s="850">
        <f t="shared" ca="1" si="2"/>
        <v>0</v>
      </c>
      <c r="N28" s="851">
        <f t="shared" ca="1" si="3"/>
        <v>0</v>
      </c>
      <c r="O28" s="850">
        <f t="shared" ca="1" si="4"/>
        <v>0</v>
      </c>
    </row>
    <row r="29" spans="1:16" s="5" customFormat="1" ht="16.5" customHeight="1">
      <c r="A29" s="212" t="str">
        <f t="shared" ca="1" si="0"/>
        <v/>
      </c>
      <c r="B29" s="216" t="str">
        <f ca="1">IF(ROWS($1:13)&gt;COUNT(Dong14),"",OFFSET(TH!D$1,SMALL(Dong14,ROWS($1:13)),))</f>
        <v/>
      </c>
      <c r="C29" s="212" t="str">
        <f ca="1">IF(ROWS($1:13)&gt;COUNT(Dong14),"",OFFSET(TH!E$1,SMALL(Dong14,ROWS($1:13)),))</f>
        <v/>
      </c>
      <c r="D29" s="859" t="str">
        <f ca="1">IF(ROWS($1:13)&gt;COUNT(Dong14),"",OFFSET(TH!F$1,SMALL(Dong14,ROWS($1:13)),))</f>
        <v/>
      </c>
      <c r="E29" s="857" t="str">
        <f ca="1">IF(ROWS($1:13)&gt;COUNT(Dong14),"",IF(OFFSET(TH!N$1,SMALL(Dong14,ROWS($1:13)),)="131",OFFSET(TH!O$1,SMALL(Dong14,ROWS($1:13)),),OFFSET(TH!N$1,SMALL(Dong14,ROWS($1:13)),)))</f>
        <v/>
      </c>
      <c r="F29" s="857">
        <f ca="1">IF(ROWS($1:13)&gt;COUNT(Dong14),0,OFFSET(TH!L$1,SMALL(Dong14,ROWS($1:13)),))</f>
        <v>0</v>
      </c>
      <c r="G29" s="857"/>
      <c r="H29" s="858">
        <f ca="1">IF(ROWS($1:13)&gt;COUNT(Dong14),0,IF(OFFSET(TH!N$1,SMALL(Dong14,ROWS($1:13)),)="131",OFFSET(TH!K$1,SMALL(Dong14,ROWS($1:13)),),0))</f>
        <v>0</v>
      </c>
      <c r="I29" s="857">
        <f ca="1">IF(ROWS($1:13)&gt;COUNT(Dong14),0,IF(OFFSET(TH!N$1,SMALL(Dong14,ROWS($1:13)),)="131",OFFSET(TH!M$1,SMALL(Dong14,ROWS($1:13)),),0))</f>
        <v>0</v>
      </c>
      <c r="J29" s="858">
        <f ca="1">IF(ROWS($1:13)&gt;COUNT(Dong14),0,IF(OFFSET(TH!O$1,SMALL(Dong14,ROWS($1:13)),)="131",OFFSET(TH!K$1,SMALL(Dong14,ROWS($1:13)),),0))</f>
        <v>0</v>
      </c>
      <c r="K29" s="857">
        <f ca="1">IF(ROWS($1:13)&gt;COUNT(Dong14),0,IF(OFFSET(TH!O$1,SMALL(Dong14,ROWS($1:13)),)="131",OFFSET(TH!M$1,SMALL(Dong14,ROWS($1:13)),),0))</f>
        <v>0</v>
      </c>
      <c r="L29" s="851">
        <f t="shared" ca="1" si="1"/>
        <v>0</v>
      </c>
      <c r="M29" s="850">
        <f t="shared" ca="1" si="2"/>
        <v>0</v>
      </c>
      <c r="N29" s="851">
        <f t="shared" ca="1" si="3"/>
        <v>0</v>
      </c>
      <c r="O29" s="850">
        <f t="shared" ca="1" si="4"/>
        <v>0</v>
      </c>
    </row>
    <row r="30" spans="1:16" s="5" customFormat="1" ht="16.5" customHeight="1">
      <c r="A30" s="212" t="str">
        <f t="shared" ca="1" si="0"/>
        <v/>
      </c>
      <c r="B30" s="216" t="str">
        <f ca="1">IF(ROWS($1:14)&gt;COUNT(Dong14),"",OFFSET(TH!D$1,SMALL(Dong14,ROWS($1:14)),))</f>
        <v/>
      </c>
      <c r="C30" s="212" t="str">
        <f ca="1">IF(ROWS($1:14)&gt;COUNT(Dong14),"",OFFSET(TH!E$1,SMALL(Dong14,ROWS($1:14)),))</f>
        <v/>
      </c>
      <c r="D30" s="859" t="str">
        <f ca="1">IF(ROWS($1:14)&gt;COUNT(Dong14),"",OFFSET(TH!F$1,SMALL(Dong14,ROWS($1:14)),))</f>
        <v/>
      </c>
      <c r="E30" s="857" t="str">
        <f ca="1">IF(ROWS($1:14)&gt;COUNT(Dong14),"",IF(OFFSET(TH!N$1,SMALL(Dong14,ROWS($1:14)),)="131",OFFSET(TH!O$1,SMALL(Dong14,ROWS($1:14)),),OFFSET(TH!N$1,SMALL(Dong14,ROWS($1:14)),)))</f>
        <v/>
      </c>
      <c r="F30" s="857">
        <f ca="1">IF(ROWS($1:14)&gt;COUNT(Dong14),0,OFFSET(TH!L$1,SMALL(Dong14,ROWS($1:14)),))</f>
        <v>0</v>
      </c>
      <c r="G30" s="857"/>
      <c r="H30" s="858">
        <f ca="1">IF(ROWS($1:14)&gt;COUNT(Dong14),0,IF(OFFSET(TH!N$1,SMALL(Dong14,ROWS($1:14)),)="131",OFFSET(TH!K$1,SMALL(Dong14,ROWS($1:14)),),0))</f>
        <v>0</v>
      </c>
      <c r="I30" s="857">
        <f ca="1">IF(ROWS($1:14)&gt;COUNT(Dong14),0,IF(OFFSET(TH!N$1,SMALL(Dong14,ROWS($1:14)),)="131",OFFSET(TH!M$1,SMALL(Dong14,ROWS($1:14)),),0))</f>
        <v>0</v>
      </c>
      <c r="J30" s="858">
        <f ca="1">IF(ROWS($1:14)&gt;COUNT(Dong14),0,IF(OFFSET(TH!O$1,SMALL(Dong14,ROWS($1:14)),)="131",OFFSET(TH!K$1,SMALL(Dong14,ROWS($1:14)),),0))</f>
        <v>0</v>
      </c>
      <c r="K30" s="857">
        <f ca="1">IF(ROWS($1:14)&gt;COUNT(Dong14),0,IF(OFFSET(TH!O$1,SMALL(Dong14,ROWS($1:14)),)="131",OFFSET(TH!M$1,SMALL(Dong14,ROWS($1:14)),),0))</f>
        <v>0</v>
      </c>
      <c r="L30" s="851">
        <f t="shared" ca="1" si="1"/>
        <v>0</v>
      </c>
      <c r="M30" s="850">
        <f t="shared" ca="1" si="2"/>
        <v>0</v>
      </c>
      <c r="N30" s="851">
        <f t="shared" ca="1" si="3"/>
        <v>0</v>
      </c>
      <c r="O30" s="850">
        <f t="shared" ca="1" si="4"/>
        <v>0</v>
      </c>
    </row>
    <row r="31" spans="1:16" s="5" customFormat="1" ht="16.5" customHeight="1">
      <c r="A31" s="212" t="str">
        <f t="shared" ca="1" si="0"/>
        <v/>
      </c>
      <c r="B31" s="216" t="str">
        <f ca="1">IF(ROWS($1:15)&gt;COUNT(Dong14),"",OFFSET(TH!D$1,SMALL(Dong14,ROWS($1:15)),))</f>
        <v/>
      </c>
      <c r="C31" s="212" t="str">
        <f ca="1">IF(ROWS($1:15)&gt;COUNT(Dong14),"",OFFSET(TH!E$1,SMALL(Dong14,ROWS($1:15)),))</f>
        <v/>
      </c>
      <c r="D31" s="859" t="str">
        <f ca="1">IF(ROWS($1:15)&gt;COUNT(Dong14),"",OFFSET(TH!F$1,SMALL(Dong14,ROWS($1:15)),))</f>
        <v/>
      </c>
      <c r="E31" s="857" t="str">
        <f ca="1">IF(ROWS($1:15)&gt;COUNT(Dong14),"",IF(OFFSET(TH!N$1,SMALL(Dong14,ROWS($1:15)),)="131",OFFSET(TH!O$1,SMALL(Dong14,ROWS($1:15)),),OFFSET(TH!N$1,SMALL(Dong14,ROWS($1:15)),)))</f>
        <v/>
      </c>
      <c r="F31" s="857">
        <f ca="1">IF(ROWS($1:15)&gt;COUNT(Dong14),0,OFFSET(TH!L$1,SMALL(Dong14,ROWS($1:15)),))</f>
        <v>0</v>
      </c>
      <c r="G31" s="857"/>
      <c r="H31" s="858">
        <f ca="1">IF(ROWS($1:15)&gt;COUNT(Dong14),0,IF(OFFSET(TH!N$1,SMALL(Dong14,ROWS($1:15)),)="131",OFFSET(TH!K$1,SMALL(Dong14,ROWS($1:15)),),0))</f>
        <v>0</v>
      </c>
      <c r="I31" s="857">
        <f ca="1">IF(ROWS($1:15)&gt;COUNT(Dong14),0,IF(OFFSET(TH!N$1,SMALL(Dong14,ROWS($1:15)),)="131",OFFSET(TH!M$1,SMALL(Dong14,ROWS($1:15)),),0))</f>
        <v>0</v>
      </c>
      <c r="J31" s="858">
        <f ca="1">IF(ROWS($1:15)&gt;COUNT(Dong14),0,IF(OFFSET(TH!O$1,SMALL(Dong14,ROWS($1:15)),)="131",OFFSET(TH!K$1,SMALL(Dong14,ROWS($1:15)),),0))</f>
        <v>0</v>
      </c>
      <c r="K31" s="857">
        <f ca="1">IF(ROWS($1:15)&gt;COUNT(Dong14),0,IF(OFFSET(TH!O$1,SMALL(Dong14,ROWS($1:15)),)="131",OFFSET(TH!M$1,SMALL(Dong14,ROWS($1:15)),),0))</f>
        <v>0</v>
      </c>
      <c r="L31" s="851">
        <f t="shared" ca="1" si="1"/>
        <v>0</v>
      </c>
      <c r="M31" s="850">
        <f t="shared" ca="1" si="2"/>
        <v>0</v>
      </c>
      <c r="N31" s="851">
        <f t="shared" ca="1" si="3"/>
        <v>0</v>
      </c>
      <c r="O31" s="850">
        <f t="shared" ca="1" si="4"/>
        <v>0</v>
      </c>
      <c r="P31" s="237"/>
    </row>
    <row r="32" spans="1:16" s="5" customFormat="1" ht="16.5" customHeight="1">
      <c r="A32" s="212" t="str">
        <f t="shared" ca="1" si="0"/>
        <v/>
      </c>
      <c r="B32" s="216" t="str">
        <f ca="1">IF(ROWS($1:16)&gt;COUNT(Dong14),"",OFFSET(TH!D$1,SMALL(Dong14,ROWS($1:16)),))</f>
        <v/>
      </c>
      <c r="C32" s="212" t="str">
        <f ca="1">IF(ROWS($1:16)&gt;COUNT(Dong14),"",OFFSET(TH!E$1,SMALL(Dong14,ROWS($1:16)),))</f>
        <v/>
      </c>
      <c r="D32" s="859" t="str">
        <f ca="1">IF(ROWS($1:16)&gt;COUNT(Dong14),"",OFFSET(TH!F$1,SMALL(Dong14,ROWS($1:16)),))</f>
        <v/>
      </c>
      <c r="E32" s="857" t="str">
        <f ca="1">IF(ROWS($1:16)&gt;COUNT(Dong14),"",IF(OFFSET(TH!N$1,SMALL(Dong14,ROWS($1:16)),)="131",OFFSET(TH!O$1,SMALL(Dong14,ROWS($1:16)),),OFFSET(TH!N$1,SMALL(Dong14,ROWS($1:16)),)))</f>
        <v/>
      </c>
      <c r="F32" s="857">
        <f ca="1">IF(ROWS($1:16)&gt;COUNT(Dong14),0,OFFSET(TH!L$1,SMALL(Dong14,ROWS($1:16)),))</f>
        <v>0</v>
      </c>
      <c r="G32" s="857"/>
      <c r="H32" s="858">
        <f ca="1">IF(ROWS($1:16)&gt;COUNT(Dong14),0,IF(OFFSET(TH!N$1,SMALL(Dong14,ROWS($1:16)),)="131",OFFSET(TH!K$1,SMALL(Dong14,ROWS($1:16)),),0))</f>
        <v>0</v>
      </c>
      <c r="I32" s="857">
        <f ca="1">IF(ROWS($1:16)&gt;COUNT(Dong14),0,IF(OFFSET(TH!N$1,SMALL(Dong14,ROWS($1:16)),)="131",OFFSET(TH!M$1,SMALL(Dong14,ROWS($1:16)),),0))</f>
        <v>0</v>
      </c>
      <c r="J32" s="858">
        <f ca="1">IF(ROWS($1:16)&gt;COUNT(Dong14),0,IF(OFFSET(TH!O$1,SMALL(Dong14,ROWS($1:16)),)="131",OFFSET(TH!K$1,SMALL(Dong14,ROWS($1:16)),),0))</f>
        <v>0</v>
      </c>
      <c r="K32" s="857">
        <f ca="1">IF(ROWS($1:16)&gt;COUNT(Dong14),0,IF(OFFSET(TH!O$1,SMALL(Dong14,ROWS($1:16)),)="131",OFFSET(TH!M$1,SMALL(Dong14,ROWS($1:16)),),0))</f>
        <v>0</v>
      </c>
      <c r="L32" s="851">
        <f t="shared" ca="1" si="1"/>
        <v>0</v>
      </c>
      <c r="M32" s="850">
        <f t="shared" ca="1" si="2"/>
        <v>0</v>
      </c>
      <c r="N32" s="851">
        <f t="shared" ca="1" si="3"/>
        <v>0</v>
      </c>
      <c r="O32" s="850">
        <f t="shared" ca="1" si="4"/>
        <v>0</v>
      </c>
    </row>
    <row r="33" spans="1:15" s="5" customFormat="1" ht="16.5" customHeight="1">
      <c r="A33" s="212" t="str">
        <f t="shared" ca="1" si="0"/>
        <v/>
      </c>
      <c r="B33" s="216" t="str">
        <f ca="1">IF(ROWS($1:17)&gt;COUNT(Dong14),"",OFFSET(TH!D$1,SMALL(Dong14,ROWS($1:17)),))</f>
        <v/>
      </c>
      <c r="C33" s="212" t="str">
        <f ca="1">IF(ROWS($1:17)&gt;COUNT(Dong14),"",OFFSET(TH!E$1,SMALL(Dong14,ROWS($1:17)),))</f>
        <v/>
      </c>
      <c r="D33" s="859" t="str">
        <f ca="1">IF(ROWS($1:17)&gt;COUNT(Dong14),"",OFFSET(TH!F$1,SMALL(Dong14,ROWS($1:17)),))</f>
        <v/>
      </c>
      <c r="E33" s="857" t="str">
        <f ca="1">IF(ROWS($1:17)&gt;COUNT(Dong14),"",IF(OFFSET(TH!N$1,SMALL(Dong14,ROWS($1:17)),)="131",OFFSET(TH!O$1,SMALL(Dong14,ROWS($1:17)),),OFFSET(TH!N$1,SMALL(Dong14,ROWS($1:17)),)))</f>
        <v/>
      </c>
      <c r="F33" s="857">
        <f ca="1">IF(ROWS($1:17)&gt;COUNT(Dong14),0,OFFSET(TH!L$1,SMALL(Dong14,ROWS($1:17)),))</f>
        <v>0</v>
      </c>
      <c r="G33" s="857"/>
      <c r="H33" s="858">
        <f ca="1">IF(ROWS($1:17)&gt;COUNT(Dong14),0,IF(OFFSET(TH!N$1,SMALL(Dong14,ROWS($1:17)),)="131",OFFSET(TH!K$1,SMALL(Dong14,ROWS($1:17)),),0))</f>
        <v>0</v>
      </c>
      <c r="I33" s="857">
        <f ca="1">IF(ROWS($1:17)&gt;COUNT(Dong14),0,IF(OFFSET(TH!N$1,SMALL(Dong14,ROWS($1:17)),)="131",OFFSET(TH!M$1,SMALL(Dong14,ROWS($1:17)),),0))</f>
        <v>0</v>
      </c>
      <c r="J33" s="858">
        <f ca="1">IF(ROWS($1:17)&gt;COUNT(Dong14),0,IF(OFFSET(TH!O$1,SMALL(Dong14,ROWS($1:17)),)="131",OFFSET(TH!K$1,SMALL(Dong14,ROWS($1:17)),),0))</f>
        <v>0</v>
      </c>
      <c r="K33" s="857">
        <f ca="1">IF(ROWS($1:17)&gt;COUNT(Dong14),0,IF(OFFSET(TH!O$1,SMALL(Dong14,ROWS($1:17)),)="131",OFFSET(TH!M$1,SMALL(Dong14,ROWS($1:17)),),0))</f>
        <v>0</v>
      </c>
      <c r="L33" s="851">
        <f t="shared" ca="1" si="1"/>
        <v>0</v>
      </c>
      <c r="M33" s="850">
        <f t="shared" ca="1" si="2"/>
        <v>0</v>
      </c>
      <c r="N33" s="851">
        <f t="shared" ca="1" si="3"/>
        <v>0</v>
      </c>
      <c r="O33" s="850">
        <f t="shared" ca="1" si="4"/>
        <v>0</v>
      </c>
    </row>
    <row r="34" spans="1:15" s="5" customFormat="1" ht="16.5" customHeight="1">
      <c r="A34" s="212" t="str">
        <f t="shared" ca="1" si="0"/>
        <v/>
      </c>
      <c r="B34" s="216" t="str">
        <f ca="1">IF(ROWS($1:18)&gt;COUNT(Dong14),"",OFFSET(TH!D$1,SMALL(Dong14,ROWS($1:18)),))</f>
        <v/>
      </c>
      <c r="C34" s="212" t="str">
        <f ca="1">IF(ROWS($1:18)&gt;COUNT(Dong14),"",OFFSET(TH!E$1,SMALL(Dong14,ROWS($1:18)),))</f>
        <v/>
      </c>
      <c r="D34" s="859" t="str">
        <f ca="1">IF(ROWS($1:18)&gt;COUNT(Dong14),"",OFFSET(TH!F$1,SMALL(Dong14,ROWS($1:18)),))</f>
        <v/>
      </c>
      <c r="E34" s="857" t="str">
        <f ca="1">IF(ROWS($1:18)&gt;COUNT(Dong14),"",IF(OFFSET(TH!N$1,SMALL(Dong14,ROWS($1:18)),)="131",OFFSET(TH!O$1,SMALL(Dong14,ROWS($1:18)),),OFFSET(TH!N$1,SMALL(Dong14,ROWS($1:18)),)))</f>
        <v/>
      </c>
      <c r="F34" s="857">
        <f ca="1">IF(ROWS($1:18)&gt;COUNT(Dong14),0,OFFSET(TH!L$1,SMALL(Dong14,ROWS($1:18)),))</f>
        <v>0</v>
      </c>
      <c r="G34" s="857"/>
      <c r="H34" s="858">
        <f ca="1">IF(ROWS($1:18)&gt;COUNT(Dong14),0,IF(OFFSET(TH!N$1,SMALL(Dong14,ROWS($1:18)),)="131",OFFSET(TH!K$1,SMALL(Dong14,ROWS($1:18)),),0))</f>
        <v>0</v>
      </c>
      <c r="I34" s="857">
        <f ca="1">IF(ROWS($1:18)&gt;COUNT(Dong14),0,IF(OFFSET(TH!N$1,SMALL(Dong14,ROWS($1:18)),)="131",OFFSET(TH!M$1,SMALL(Dong14,ROWS($1:18)),),0))</f>
        <v>0</v>
      </c>
      <c r="J34" s="858">
        <f ca="1">IF(ROWS($1:18)&gt;COUNT(Dong14),0,IF(OFFSET(TH!O$1,SMALL(Dong14,ROWS($1:18)),)="131",OFFSET(TH!K$1,SMALL(Dong14,ROWS($1:18)),),0))</f>
        <v>0</v>
      </c>
      <c r="K34" s="857">
        <f ca="1">IF(ROWS($1:18)&gt;COUNT(Dong14),0,IF(OFFSET(TH!O$1,SMALL(Dong14,ROWS($1:18)),)="131",OFFSET(TH!M$1,SMALL(Dong14,ROWS($1:18)),),0))</f>
        <v>0</v>
      </c>
      <c r="L34" s="851">
        <f t="shared" ca="1" si="1"/>
        <v>0</v>
      </c>
      <c r="M34" s="850">
        <f t="shared" ca="1" si="2"/>
        <v>0</v>
      </c>
      <c r="N34" s="851">
        <f t="shared" ca="1" si="3"/>
        <v>0</v>
      </c>
      <c r="O34" s="850">
        <f t="shared" ca="1" si="4"/>
        <v>0</v>
      </c>
    </row>
    <row r="35" spans="1:15" s="5" customFormat="1" ht="16.5" customHeight="1">
      <c r="A35" s="212" t="str">
        <f ca="1">IF(C35&lt;&gt;"",C35,"")</f>
        <v/>
      </c>
      <c r="B35" s="216" t="str">
        <f ca="1">IF(ROWS($1:19)&gt;COUNT(Dong14),"",OFFSET(TH!D$1,SMALL(Dong14,ROWS($1:19)),))</f>
        <v/>
      </c>
      <c r="C35" s="212" t="str">
        <f ca="1">IF(ROWS($1:19)&gt;COUNT(Dong14),"",OFFSET(TH!E$1,SMALL(Dong14,ROWS($1:19)),))</f>
        <v/>
      </c>
      <c r="D35" s="859" t="str">
        <f ca="1">IF(ROWS($1:19)&gt;COUNT(Dong14),"",OFFSET(TH!F$1,SMALL(Dong14,ROWS($1:19)),))</f>
        <v/>
      </c>
      <c r="E35" s="857" t="str">
        <f ca="1">IF(ROWS($1:19)&gt;COUNT(Dong14),"",IF(OFFSET(TH!N$1,SMALL(Dong14,ROWS($1:19)),)="131",OFFSET(TH!O$1,SMALL(Dong14,ROWS($1:19)),),OFFSET(TH!N$1,SMALL(Dong14,ROWS($1:19)),)))</f>
        <v/>
      </c>
      <c r="F35" s="857">
        <f ca="1">IF(ROWS($1:19)&gt;COUNT(Dong14),0,OFFSET(TH!L$1,SMALL(Dong14,ROWS($1:19)),))</f>
        <v>0</v>
      </c>
      <c r="G35" s="857"/>
      <c r="H35" s="858">
        <f ca="1">IF(ROWS($1:19)&gt;COUNT(Dong14),0,IF(OFFSET(TH!N$1,SMALL(Dong14,ROWS($1:19)),)="131",OFFSET(TH!K$1,SMALL(Dong14,ROWS($1:19)),),0))</f>
        <v>0</v>
      </c>
      <c r="I35" s="857">
        <f ca="1">IF(ROWS($1:19)&gt;COUNT(Dong14),0,IF(OFFSET(TH!N$1,SMALL(Dong14,ROWS($1:19)),)="131",OFFSET(TH!M$1,SMALL(Dong14,ROWS($1:19)),),0))</f>
        <v>0</v>
      </c>
      <c r="J35" s="858">
        <f ca="1">IF(ROWS($1:19)&gt;COUNT(Dong14),0,IF(OFFSET(TH!O$1,SMALL(Dong14,ROWS($1:19)),)="131",OFFSET(TH!K$1,SMALL(Dong14,ROWS($1:19)),),0))</f>
        <v>0</v>
      </c>
      <c r="K35" s="857">
        <f ca="1">IF(ROWS($1:19)&gt;COUNT(Dong14),0,IF(OFFSET(TH!O$1,SMALL(Dong14,ROWS($1:19)),)="131",OFFSET(TH!M$1,SMALL(Dong14,ROWS($1:19)),),0))</f>
        <v>0</v>
      </c>
      <c r="L35" s="851">
        <f ca="1">IF(D35&lt;&gt;"",ROUND(MAX(L34+H35-J35-N34,0),2),0)</f>
        <v>0</v>
      </c>
      <c r="M35" s="850">
        <f ca="1">IF(D35&lt;&gt;"",MAX(M34-O34+I35-K35,0),0)</f>
        <v>0</v>
      </c>
      <c r="N35" s="851">
        <f ca="1">IF(D35&lt;&gt;"",ROUND(MAX(N34+J35-H35-L34,0),2),0)</f>
        <v>0</v>
      </c>
      <c r="O35" s="850">
        <f ca="1">IF(D35&lt;&gt;"",MAX(O34-M34+K35-I35,0),0)</f>
        <v>0</v>
      </c>
    </row>
    <row r="36" spans="1:15" s="5" customFormat="1" ht="16.5" customHeight="1">
      <c r="A36" s="212" t="str">
        <f ca="1">IF(C36&lt;&gt;"",C36,"")</f>
        <v/>
      </c>
      <c r="B36" s="216" t="str">
        <f ca="1">IF(ROWS($1:20)&gt;COUNT(Dong14),"",OFFSET(TH!D$1,SMALL(Dong14,ROWS($1:20)),))</f>
        <v/>
      </c>
      <c r="C36" s="212" t="str">
        <f ca="1">IF(ROWS($1:20)&gt;COUNT(Dong14),"",OFFSET(TH!E$1,SMALL(Dong14,ROWS($1:20)),))</f>
        <v/>
      </c>
      <c r="D36" s="859" t="str">
        <f ca="1">IF(ROWS($1:20)&gt;COUNT(Dong14),"",OFFSET(TH!F$1,SMALL(Dong14,ROWS($1:20)),))</f>
        <v/>
      </c>
      <c r="E36" s="857" t="str">
        <f ca="1">IF(ROWS($1:20)&gt;COUNT(Dong14),"",IF(OFFSET(TH!N$1,SMALL(Dong14,ROWS($1:20)),)="131",OFFSET(TH!O$1,SMALL(Dong14,ROWS($1:20)),),OFFSET(TH!N$1,SMALL(Dong14,ROWS($1:20)),)))</f>
        <v/>
      </c>
      <c r="F36" s="857">
        <f ca="1">IF(ROWS($1:20)&gt;COUNT(Dong14),0,OFFSET(TH!L$1,SMALL(Dong14,ROWS($1:20)),))</f>
        <v>0</v>
      </c>
      <c r="G36" s="857"/>
      <c r="H36" s="858">
        <f ca="1">IF(ROWS($1:20)&gt;COUNT(Dong14),0,IF(OFFSET(TH!N$1,SMALL(Dong14,ROWS($1:20)),)="131",OFFSET(TH!K$1,SMALL(Dong14,ROWS($1:20)),),0))</f>
        <v>0</v>
      </c>
      <c r="I36" s="857">
        <f ca="1">IF(ROWS($1:20)&gt;COUNT(Dong14),0,IF(OFFSET(TH!N$1,SMALL(Dong14,ROWS($1:20)),)="131",OFFSET(TH!M$1,SMALL(Dong14,ROWS($1:20)),),0))</f>
        <v>0</v>
      </c>
      <c r="J36" s="858">
        <f ca="1">IF(ROWS($1:20)&gt;COUNT(Dong14),0,IF(OFFSET(TH!O$1,SMALL(Dong14,ROWS($1:20)),)="131",OFFSET(TH!K$1,SMALL(Dong14,ROWS($1:20)),),0))</f>
        <v>0</v>
      </c>
      <c r="K36" s="857">
        <f ca="1">IF(ROWS($1:20)&gt;COUNT(Dong14),0,IF(OFFSET(TH!O$1,SMALL(Dong14,ROWS($1:20)),)="131",OFFSET(TH!M$1,SMALL(Dong14,ROWS($1:20)),),0))</f>
        <v>0</v>
      </c>
      <c r="L36" s="851">
        <f ca="1">IF(D36&lt;&gt;"",ROUND(MAX(L35+H36-J36-N35,0),2),0)</f>
        <v>0</v>
      </c>
      <c r="M36" s="850">
        <f ca="1">IF(D36&lt;&gt;"",MAX(M35-O35+I36-K36,0),0)</f>
        <v>0</v>
      </c>
      <c r="N36" s="851">
        <f ca="1">IF(D36&lt;&gt;"",ROUND(MAX(N35+J36-H36-L35,0),2),0)</f>
        <v>0</v>
      </c>
      <c r="O36" s="850">
        <f ca="1">IF(D36&lt;&gt;"",MAX(O35-M35+K36-I36,0),0)</f>
        <v>0</v>
      </c>
    </row>
    <row r="37" spans="1:15" s="5" customFormat="1" ht="16.5" customHeight="1">
      <c r="A37" s="212" t="str">
        <f ca="1">IF(C37&lt;&gt;"",C37,"")</f>
        <v/>
      </c>
      <c r="B37" s="216" t="str">
        <f ca="1">IF(ROWS($1:21)&gt;COUNT(Dong14),"",OFFSET(TH!D$1,SMALL(Dong14,ROWS($1:21)),))</f>
        <v/>
      </c>
      <c r="C37" s="212" t="str">
        <f ca="1">IF(ROWS($1:21)&gt;COUNT(Dong14),"",OFFSET(TH!E$1,SMALL(Dong14,ROWS($1:21)),))</f>
        <v/>
      </c>
      <c r="D37" s="859" t="str">
        <f ca="1">IF(ROWS($1:21)&gt;COUNT(Dong14),"",OFFSET(TH!F$1,SMALL(Dong14,ROWS($1:21)),))</f>
        <v/>
      </c>
      <c r="E37" s="857" t="str">
        <f ca="1">IF(ROWS($1:21)&gt;COUNT(Dong14),"",IF(OFFSET(TH!N$1,SMALL(Dong14,ROWS($1:21)),)="131",OFFSET(TH!O$1,SMALL(Dong14,ROWS($1:21)),),OFFSET(TH!N$1,SMALL(Dong14,ROWS($1:21)),)))</f>
        <v/>
      </c>
      <c r="F37" s="857">
        <f ca="1">IF(ROWS($1:21)&gt;COUNT(Dong14),0,OFFSET(TH!L$1,SMALL(Dong14,ROWS($1:21)),))</f>
        <v>0</v>
      </c>
      <c r="G37" s="857"/>
      <c r="H37" s="858">
        <f ca="1">IF(ROWS($1:21)&gt;COUNT(Dong14),0,IF(OFFSET(TH!N$1,SMALL(Dong14,ROWS($1:21)),)="131",OFFSET(TH!K$1,SMALL(Dong14,ROWS($1:21)),),0))</f>
        <v>0</v>
      </c>
      <c r="I37" s="857">
        <f ca="1">IF(ROWS($1:21)&gt;COUNT(Dong14),0,IF(OFFSET(TH!N$1,SMALL(Dong14,ROWS($1:21)),)="131",OFFSET(TH!M$1,SMALL(Dong14,ROWS($1:21)),),0))</f>
        <v>0</v>
      </c>
      <c r="J37" s="858">
        <f ca="1">IF(ROWS($1:21)&gt;COUNT(Dong14),0,IF(OFFSET(TH!O$1,SMALL(Dong14,ROWS($1:21)),)="131",OFFSET(TH!K$1,SMALL(Dong14,ROWS($1:21)),),0))</f>
        <v>0</v>
      </c>
      <c r="K37" s="857">
        <f ca="1">IF(ROWS($1:21)&gt;COUNT(Dong14),0,IF(OFFSET(TH!O$1,SMALL(Dong14,ROWS($1:21)),)="131",OFFSET(TH!M$1,SMALL(Dong14,ROWS($1:21)),),0))</f>
        <v>0</v>
      </c>
      <c r="L37" s="851">
        <f ca="1">IF(D37&lt;&gt;"",ROUND(MAX(L36+H37-J37-N36,0),2),0)</f>
        <v>0</v>
      </c>
      <c r="M37" s="850">
        <f ca="1">IF(D37&lt;&gt;"",MAX(M36-O36+I37-K37,0),0)</f>
        <v>0</v>
      </c>
      <c r="N37" s="851">
        <f ca="1">IF(D37&lt;&gt;"",ROUND(MAX(N36+J37-H37-L36,0),2),0)</f>
        <v>0</v>
      </c>
      <c r="O37" s="850">
        <f ca="1">IF(D37&lt;&gt;"",MAX(O36-M36+K37-I37,0),0)</f>
        <v>0</v>
      </c>
    </row>
    <row r="38" spans="1:15" s="5" customFormat="1" ht="16.5" customHeight="1">
      <c r="A38" s="212" t="str">
        <f ca="1">IF(C38&lt;&gt;"",C38,"")</f>
        <v/>
      </c>
      <c r="B38" s="216" t="str">
        <f ca="1">IF(ROWS($1:22)&gt;COUNT(Dong14),"",OFFSET(TH!D$1,SMALL(Dong14,ROWS($1:22)),))</f>
        <v/>
      </c>
      <c r="C38" s="212" t="str">
        <f ca="1">IF(ROWS($1:22)&gt;COUNT(Dong14),"",OFFSET(TH!E$1,SMALL(Dong14,ROWS($1:22)),))</f>
        <v/>
      </c>
      <c r="D38" s="859" t="str">
        <f ca="1">IF(ROWS($1:22)&gt;COUNT(Dong14),"",OFFSET(TH!F$1,SMALL(Dong14,ROWS($1:22)),))</f>
        <v/>
      </c>
      <c r="E38" s="857" t="str">
        <f ca="1">IF(ROWS($1:22)&gt;COUNT(Dong14),"",IF(OFFSET(TH!N$1,SMALL(Dong14,ROWS($1:22)),)="131",OFFSET(TH!O$1,SMALL(Dong14,ROWS($1:22)),),OFFSET(TH!N$1,SMALL(Dong14,ROWS($1:22)),)))</f>
        <v/>
      </c>
      <c r="F38" s="857">
        <f ca="1">IF(ROWS($1:22)&gt;COUNT(Dong14),0,OFFSET(TH!L$1,SMALL(Dong14,ROWS($1:22)),))</f>
        <v>0</v>
      </c>
      <c r="G38" s="857"/>
      <c r="H38" s="858">
        <f ca="1">IF(ROWS($1:22)&gt;COUNT(Dong14),0,IF(OFFSET(TH!N$1,SMALL(Dong14,ROWS($1:22)),)="131",OFFSET(TH!K$1,SMALL(Dong14,ROWS($1:22)),),0))</f>
        <v>0</v>
      </c>
      <c r="I38" s="857">
        <f ca="1">IF(ROWS($1:22)&gt;COUNT(Dong14),0,IF(OFFSET(TH!N$1,SMALL(Dong14,ROWS($1:22)),)="131",OFFSET(TH!M$1,SMALL(Dong14,ROWS($1:22)),),0))</f>
        <v>0</v>
      </c>
      <c r="J38" s="858">
        <f ca="1">IF(ROWS($1:22)&gt;COUNT(Dong14),0,IF(OFFSET(TH!O$1,SMALL(Dong14,ROWS($1:22)),)="131",OFFSET(TH!K$1,SMALL(Dong14,ROWS($1:22)),),0))</f>
        <v>0</v>
      </c>
      <c r="K38" s="857">
        <f ca="1">IF(ROWS($1:22)&gt;COUNT(Dong14),0,IF(OFFSET(TH!O$1,SMALL(Dong14,ROWS($1:22)),)="131",OFFSET(TH!M$1,SMALL(Dong14,ROWS($1:22)),),0))</f>
        <v>0</v>
      </c>
      <c r="L38" s="851">
        <f ca="1">IF(D38&lt;&gt;"",ROUND(MAX(L37+H38-J38-N37,0),2),0)</f>
        <v>0</v>
      </c>
      <c r="M38" s="850">
        <f ca="1">IF(D38&lt;&gt;"",MAX(M37-O37+I38-K38,0),0)</f>
        <v>0</v>
      </c>
      <c r="N38" s="851">
        <f ca="1">IF(D38&lt;&gt;"",ROUND(MAX(N37+J38-H38-L37,0),2),0)</f>
        <v>0</v>
      </c>
      <c r="O38" s="850">
        <f ca="1">IF(D38&lt;&gt;"",MAX(O37-M37+K38-I38,0),0)</f>
        <v>0</v>
      </c>
    </row>
    <row r="39" spans="1:15" s="5" customFormat="1" ht="16.5" customHeight="1">
      <c r="A39" s="212" t="str">
        <f t="shared" ca="1" si="0"/>
        <v/>
      </c>
      <c r="B39" s="216" t="str">
        <f ca="1">IF(ROWS($1:23)&gt;COUNT(Dong14),"",OFFSET(TH!D$1,SMALL(Dong14,ROWS($1:23)),))</f>
        <v/>
      </c>
      <c r="C39" s="212" t="str">
        <f ca="1">IF(ROWS($1:23)&gt;COUNT(Dong14),"",OFFSET(TH!E$1,SMALL(Dong14,ROWS($1:23)),))</f>
        <v/>
      </c>
      <c r="D39" s="859" t="str">
        <f ca="1">IF(ROWS($1:23)&gt;COUNT(Dong14),"",OFFSET(TH!F$1,SMALL(Dong14,ROWS($1:23)),))</f>
        <v/>
      </c>
      <c r="E39" s="857" t="str">
        <f ca="1">IF(ROWS($1:23)&gt;COUNT(Dong14),"",IF(OFFSET(TH!N$1,SMALL(Dong14,ROWS($1:23)),)="131",OFFSET(TH!O$1,SMALL(Dong14,ROWS($1:23)),),OFFSET(TH!N$1,SMALL(Dong14,ROWS($1:23)),)))</f>
        <v/>
      </c>
      <c r="F39" s="857">
        <f ca="1">IF(ROWS($1:23)&gt;COUNT(Dong14),0,OFFSET(TH!L$1,SMALL(Dong14,ROWS($1:23)),))</f>
        <v>0</v>
      </c>
      <c r="G39" s="857"/>
      <c r="H39" s="858">
        <f ca="1">IF(ROWS($1:23)&gt;COUNT(Dong14),0,IF(OFFSET(TH!N$1,SMALL(Dong14,ROWS($1:23)),)="131",OFFSET(TH!K$1,SMALL(Dong14,ROWS($1:23)),),0))</f>
        <v>0</v>
      </c>
      <c r="I39" s="857">
        <f ca="1">IF(ROWS($1:23)&gt;COUNT(Dong14),0,IF(OFFSET(TH!N$1,SMALL(Dong14,ROWS($1:23)),)="131",OFFSET(TH!M$1,SMALL(Dong14,ROWS($1:23)),),0))</f>
        <v>0</v>
      </c>
      <c r="J39" s="858">
        <f ca="1">IF(ROWS($1:23)&gt;COUNT(Dong14),0,IF(OFFSET(TH!O$1,SMALL(Dong14,ROWS($1:23)),)="131",OFFSET(TH!K$1,SMALL(Dong14,ROWS($1:23)),),0))</f>
        <v>0</v>
      </c>
      <c r="K39" s="857">
        <f ca="1">IF(ROWS($1:23)&gt;COUNT(Dong14),0,IF(OFFSET(TH!O$1,SMALL(Dong14,ROWS($1:23)),)="131",OFFSET(TH!M$1,SMALL(Dong14,ROWS($1:23)),),0))</f>
        <v>0</v>
      </c>
      <c r="L39" s="851">
        <f t="shared" ca="1" si="1"/>
        <v>0</v>
      </c>
      <c r="M39" s="850">
        <f t="shared" ca="1" si="2"/>
        <v>0</v>
      </c>
      <c r="N39" s="851">
        <f t="shared" ca="1" si="3"/>
        <v>0</v>
      </c>
      <c r="O39" s="850">
        <f t="shared" ca="1" si="4"/>
        <v>0</v>
      </c>
    </row>
    <row r="40" spans="1:15" s="5" customFormat="1" ht="16.5" customHeight="1">
      <c r="A40" s="212" t="str">
        <f t="shared" ca="1" si="0"/>
        <v/>
      </c>
      <c r="B40" s="216" t="str">
        <f ca="1">IF(ROWS($1:24)&gt;COUNT(Dong14),"",OFFSET(TH!D$1,SMALL(Dong14,ROWS($1:24)),))</f>
        <v/>
      </c>
      <c r="C40" s="212" t="str">
        <f ca="1">IF(ROWS($1:24)&gt;COUNT(Dong14),"",OFFSET(TH!E$1,SMALL(Dong14,ROWS($1:24)),))</f>
        <v/>
      </c>
      <c r="D40" s="859" t="str">
        <f ca="1">IF(ROWS($1:24)&gt;COUNT(Dong14),"",OFFSET(TH!F$1,SMALL(Dong14,ROWS($1:24)),))</f>
        <v/>
      </c>
      <c r="E40" s="857" t="str">
        <f ca="1">IF(ROWS($1:24)&gt;COUNT(Dong14),"",IF(OFFSET(TH!N$1,SMALL(Dong14,ROWS($1:24)),)="131",OFFSET(TH!O$1,SMALL(Dong14,ROWS($1:24)),),OFFSET(TH!N$1,SMALL(Dong14,ROWS($1:24)),)))</f>
        <v/>
      </c>
      <c r="F40" s="857">
        <f ca="1">IF(ROWS($1:24)&gt;COUNT(Dong14),0,OFFSET(TH!L$1,SMALL(Dong14,ROWS($1:24)),))</f>
        <v>0</v>
      </c>
      <c r="G40" s="857"/>
      <c r="H40" s="858">
        <f ca="1">IF(ROWS($1:24)&gt;COUNT(Dong14),0,IF(OFFSET(TH!N$1,SMALL(Dong14,ROWS($1:24)),)="131",OFFSET(TH!K$1,SMALL(Dong14,ROWS($1:24)),),0))</f>
        <v>0</v>
      </c>
      <c r="I40" s="857">
        <f ca="1">IF(ROWS($1:24)&gt;COUNT(Dong14),0,IF(OFFSET(TH!N$1,SMALL(Dong14,ROWS($1:24)),)="131",OFFSET(TH!M$1,SMALL(Dong14,ROWS($1:24)),),0))</f>
        <v>0</v>
      </c>
      <c r="J40" s="858">
        <f ca="1">IF(ROWS($1:24)&gt;COUNT(Dong14),0,IF(OFFSET(TH!O$1,SMALL(Dong14,ROWS($1:24)),)="131",OFFSET(TH!K$1,SMALL(Dong14,ROWS($1:24)),),0))</f>
        <v>0</v>
      </c>
      <c r="K40" s="857">
        <f ca="1">IF(ROWS($1:24)&gt;COUNT(Dong14),0,IF(OFFSET(TH!O$1,SMALL(Dong14,ROWS($1:24)),)="131",OFFSET(TH!M$1,SMALL(Dong14,ROWS($1:24)),),0))</f>
        <v>0</v>
      </c>
      <c r="L40" s="851">
        <f t="shared" ca="1" si="1"/>
        <v>0</v>
      </c>
      <c r="M40" s="850">
        <f t="shared" ca="1" si="2"/>
        <v>0</v>
      </c>
      <c r="N40" s="851">
        <f t="shared" ca="1" si="3"/>
        <v>0</v>
      </c>
      <c r="O40" s="850">
        <f t="shared" ca="1" si="4"/>
        <v>0</v>
      </c>
    </row>
    <row r="41" spans="1:15" s="5" customFormat="1" ht="16.5" customHeight="1">
      <c r="A41" s="212" t="str">
        <f t="shared" ca="1" si="0"/>
        <v/>
      </c>
      <c r="B41" s="216" t="str">
        <f ca="1">IF(ROWS($1:25)&gt;COUNT(Dong14),"",OFFSET(TH!D$1,SMALL(Dong14,ROWS($1:25)),))</f>
        <v/>
      </c>
      <c r="C41" s="212" t="str">
        <f ca="1">IF(ROWS($1:25)&gt;COUNT(Dong14),"",OFFSET(TH!E$1,SMALL(Dong14,ROWS($1:25)),))</f>
        <v/>
      </c>
      <c r="D41" s="859" t="str">
        <f ca="1">IF(ROWS($1:25)&gt;COUNT(Dong14),"",OFFSET(TH!F$1,SMALL(Dong14,ROWS($1:25)),))</f>
        <v/>
      </c>
      <c r="E41" s="857" t="str">
        <f ca="1">IF(ROWS($1:25)&gt;COUNT(Dong14),"",IF(OFFSET(TH!N$1,SMALL(Dong14,ROWS($1:25)),)="131",OFFSET(TH!O$1,SMALL(Dong14,ROWS($1:25)),),OFFSET(TH!N$1,SMALL(Dong14,ROWS($1:25)),)))</f>
        <v/>
      </c>
      <c r="F41" s="857">
        <f ca="1">IF(ROWS($1:25)&gt;COUNT(Dong14),0,OFFSET(TH!L$1,SMALL(Dong14,ROWS($1:25)),))</f>
        <v>0</v>
      </c>
      <c r="G41" s="857"/>
      <c r="H41" s="858">
        <f ca="1">IF(ROWS($1:25)&gt;COUNT(Dong14),0,IF(OFFSET(TH!N$1,SMALL(Dong14,ROWS($1:25)),)="131",OFFSET(TH!K$1,SMALL(Dong14,ROWS($1:25)),),0))</f>
        <v>0</v>
      </c>
      <c r="I41" s="857">
        <f ca="1">IF(ROWS($1:25)&gt;COUNT(Dong14),0,IF(OFFSET(TH!N$1,SMALL(Dong14,ROWS($1:25)),)="131",OFFSET(TH!M$1,SMALL(Dong14,ROWS($1:25)),),0))</f>
        <v>0</v>
      </c>
      <c r="J41" s="858">
        <f ca="1">IF(ROWS($1:25)&gt;COUNT(Dong14),0,IF(OFFSET(TH!O$1,SMALL(Dong14,ROWS($1:25)),)="131",OFFSET(TH!K$1,SMALL(Dong14,ROWS($1:25)),),0))</f>
        <v>0</v>
      </c>
      <c r="K41" s="857">
        <f ca="1">IF(ROWS($1:25)&gt;COUNT(Dong14),0,IF(OFFSET(TH!O$1,SMALL(Dong14,ROWS($1:25)),)="131",OFFSET(TH!M$1,SMALL(Dong14,ROWS($1:25)),),0))</f>
        <v>0</v>
      </c>
      <c r="L41" s="851">
        <f t="shared" ca="1" si="1"/>
        <v>0</v>
      </c>
      <c r="M41" s="850">
        <f t="shared" ca="1" si="2"/>
        <v>0</v>
      </c>
      <c r="N41" s="851">
        <f t="shared" ca="1" si="3"/>
        <v>0</v>
      </c>
      <c r="O41" s="850">
        <f t="shared" ca="1" si="4"/>
        <v>0</v>
      </c>
    </row>
    <row r="42" spans="1:15" s="5" customFormat="1" ht="16.5" customHeight="1">
      <c r="A42" s="212" t="str">
        <f t="shared" ca="1" si="0"/>
        <v/>
      </c>
      <c r="B42" s="216" t="str">
        <f ca="1">IF(ROWS($1:26)&gt;COUNT(Dong14),"",OFFSET(TH!D$1,SMALL(Dong14,ROWS($1:26)),))</f>
        <v/>
      </c>
      <c r="C42" s="212" t="str">
        <f ca="1">IF(ROWS($1:26)&gt;COUNT(Dong14),"",OFFSET(TH!E$1,SMALL(Dong14,ROWS($1:26)),))</f>
        <v/>
      </c>
      <c r="D42" s="859" t="str">
        <f ca="1">IF(ROWS($1:26)&gt;COUNT(Dong14),"",OFFSET(TH!F$1,SMALL(Dong14,ROWS($1:26)),))</f>
        <v/>
      </c>
      <c r="E42" s="857" t="str">
        <f ca="1">IF(ROWS($1:26)&gt;COUNT(Dong14),"",IF(OFFSET(TH!N$1,SMALL(Dong14,ROWS($1:26)),)="131",OFFSET(TH!O$1,SMALL(Dong14,ROWS($1:26)),),OFFSET(TH!N$1,SMALL(Dong14,ROWS($1:26)),)))</f>
        <v/>
      </c>
      <c r="F42" s="857">
        <f ca="1">IF(ROWS($1:26)&gt;COUNT(Dong14),0,OFFSET(TH!L$1,SMALL(Dong14,ROWS($1:26)),))</f>
        <v>0</v>
      </c>
      <c r="G42" s="857"/>
      <c r="H42" s="858">
        <f ca="1">IF(ROWS($1:26)&gt;COUNT(Dong14),0,IF(OFFSET(TH!N$1,SMALL(Dong14,ROWS($1:26)),)="131",OFFSET(TH!K$1,SMALL(Dong14,ROWS($1:26)),),0))</f>
        <v>0</v>
      </c>
      <c r="I42" s="857">
        <f ca="1">IF(ROWS($1:26)&gt;COUNT(Dong14),0,IF(OFFSET(TH!N$1,SMALL(Dong14,ROWS($1:26)),)="131",OFFSET(TH!M$1,SMALL(Dong14,ROWS($1:26)),),0))</f>
        <v>0</v>
      </c>
      <c r="J42" s="858">
        <f ca="1">IF(ROWS($1:26)&gt;COUNT(Dong14),0,IF(OFFSET(TH!O$1,SMALL(Dong14,ROWS($1:26)),)="131",OFFSET(TH!K$1,SMALL(Dong14,ROWS($1:26)),),0))</f>
        <v>0</v>
      </c>
      <c r="K42" s="857">
        <f ca="1">IF(ROWS($1:26)&gt;COUNT(Dong14),0,IF(OFFSET(TH!O$1,SMALL(Dong14,ROWS($1:26)),)="131",OFFSET(TH!M$1,SMALL(Dong14,ROWS($1:26)),),0))</f>
        <v>0</v>
      </c>
      <c r="L42" s="851">
        <f t="shared" ca="1" si="1"/>
        <v>0</v>
      </c>
      <c r="M42" s="850">
        <f t="shared" ca="1" si="2"/>
        <v>0</v>
      </c>
      <c r="N42" s="851">
        <f t="shared" ca="1" si="3"/>
        <v>0</v>
      </c>
      <c r="O42" s="850">
        <f t="shared" ca="1" si="4"/>
        <v>0</v>
      </c>
    </row>
    <row r="43" spans="1:15" s="5" customFormat="1" ht="16.5" customHeight="1">
      <c r="A43" s="212" t="str">
        <f t="shared" ca="1" si="0"/>
        <v/>
      </c>
      <c r="B43" s="216" t="str">
        <f ca="1">IF(ROWS($1:27)&gt;COUNT(Dong14),"",OFFSET(TH!D$1,SMALL(Dong14,ROWS($1:27)),))</f>
        <v/>
      </c>
      <c r="C43" s="212" t="str">
        <f ca="1">IF(ROWS($1:27)&gt;COUNT(Dong14),"",OFFSET(TH!E$1,SMALL(Dong14,ROWS($1:27)),))</f>
        <v/>
      </c>
      <c r="D43" s="859" t="str">
        <f ca="1">IF(ROWS($1:27)&gt;COUNT(Dong14),"",OFFSET(TH!F$1,SMALL(Dong14,ROWS($1:27)),))</f>
        <v/>
      </c>
      <c r="E43" s="857" t="str">
        <f ca="1">IF(ROWS($1:27)&gt;COUNT(Dong14),"",IF(OFFSET(TH!N$1,SMALL(Dong14,ROWS($1:27)),)="131",OFFSET(TH!O$1,SMALL(Dong14,ROWS($1:27)),),OFFSET(TH!N$1,SMALL(Dong14,ROWS($1:27)),)))</f>
        <v/>
      </c>
      <c r="F43" s="857">
        <f ca="1">IF(ROWS($1:27)&gt;COUNT(Dong14),0,OFFSET(TH!L$1,SMALL(Dong14,ROWS($1:27)),))</f>
        <v>0</v>
      </c>
      <c r="G43" s="857"/>
      <c r="H43" s="858">
        <f ca="1">IF(ROWS($1:27)&gt;COUNT(Dong14),0,IF(OFFSET(TH!N$1,SMALL(Dong14,ROWS($1:27)),)="131",OFFSET(TH!K$1,SMALL(Dong14,ROWS($1:27)),),0))</f>
        <v>0</v>
      </c>
      <c r="I43" s="857">
        <f ca="1">IF(ROWS($1:27)&gt;COUNT(Dong14),0,IF(OFFSET(TH!N$1,SMALL(Dong14,ROWS($1:27)),)="131",OFFSET(TH!M$1,SMALL(Dong14,ROWS($1:27)),),0))</f>
        <v>0</v>
      </c>
      <c r="J43" s="858">
        <f ca="1">IF(ROWS($1:27)&gt;COUNT(Dong14),0,IF(OFFSET(TH!O$1,SMALL(Dong14,ROWS($1:27)),)="131",OFFSET(TH!K$1,SMALL(Dong14,ROWS($1:27)),),0))</f>
        <v>0</v>
      </c>
      <c r="K43" s="857">
        <f ca="1">IF(ROWS($1:27)&gt;COUNT(Dong14),0,IF(OFFSET(TH!O$1,SMALL(Dong14,ROWS($1:27)),)="131",OFFSET(TH!M$1,SMALL(Dong14,ROWS($1:27)),),0))</f>
        <v>0</v>
      </c>
      <c r="L43" s="851">
        <f t="shared" ca="1" si="1"/>
        <v>0</v>
      </c>
      <c r="M43" s="850">
        <f t="shared" ca="1" si="2"/>
        <v>0</v>
      </c>
      <c r="N43" s="851">
        <f t="shared" ca="1" si="3"/>
        <v>0</v>
      </c>
      <c r="O43" s="850">
        <f t="shared" ca="1" si="4"/>
        <v>0</v>
      </c>
    </row>
    <row r="44" spans="1:15" s="5" customFormat="1" ht="16.5" customHeight="1">
      <c r="A44" s="212" t="str">
        <f t="shared" ca="1" si="0"/>
        <v/>
      </c>
      <c r="B44" s="216" t="str">
        <f ca="1">IF(ROWS($1:28)&gt;COUNT(Dong14),"",OFFSET(TH!D$1,SMALL(Dong14,ROWS($1:28)),))</f>
        <v/>
      </c>
      <c r="C44" s="212" t="str">
        <f ca="1">IF(ROWS($1:28)&gt;COUNT(Dong14),"",OFFSET(TH!E$1,SMALL(Dong14,ROWS($1:28)),))</f>
        <v/>
      </c>
      <c r="D44" s="859" t="str">
        <f ca="1">IF(ROWS($1:28)&gt;COUNT(Dong14),"",OFFSET(TH!F$1,SMALL(Dong14,ROWS($1:28)),))</f>
        <v/>
      </c>
      <c r="E44" s="857" t="str">
        <f ca="1">IF(ROWS($1:28)&gt;COUNT(Dong14),"",IF(OFFSET(TH!N$1,SMALL(Dong14,ROWS($1:28)),)="131",OFFSET(TH!O$1,SMALL(Dong14,ROWS($1:28)),),OFFSET(TH!N$1,SMALL(Dong14,ROWS($1:28)),)))</f>
        <v/>
      </c>
      <c r="F44" s="857">
        <f ca="1">IF(ROWS($1:28)&gt;COUNT(Dong14),0,OFFSET(TH!L$1,SMALL(Dong14,ROWS($1:28)),))</f>
        <v>0</v>
      </c>
      <c r="G44" s="857"/>
      <c r="H44" s="858">
        <f ca="1">IF(ROWS($1:28)&gt;COUNT(Dong14),0,IF(OFFSET(TH!N$1,SMALL(Dong14,ROWS($1:28)),)="131",OFFSET(TH!K$1,SMALL(Dong14,ROWS($1:28)),),0))</f>
        <v>0</v>
      </c>
      <c r="I44" s="857">
        <f ca="1">IF(ROWS($1:28)&gt;COUNT(Dong14),0,IF(OFFSET(TH!N$1,SMALL(Dong14,ROWS($1:28)),)="131",OFFSET(TH!M$1,SMALL(Dong14,ROWS($1:28)),),0))</f>
        <v>0</v>
      </c>
      <c r="J44" s="858">
        <f ca="1">IF(ROWS($1:28)&gt;COUNT(Dong14),0,IF(OFFSET(TH!O$1,SMALL(Dong14,ROWS($1:28)),)="131",OFFSET(TH!K$1,SMALL(Dong14,ROWS($1:28)),),0))</f>
        <v>0</v>
      </c>
      <c r="K44" s="857">
        <f ca="1">IF(ROWS($1:28)&gt;COUNT(Dong14),0,IF(OFFSET(TH!O$1,SMALL(Dong14,ROWS($1:28)),)="131",OFFSET(TH!M$1,SMALL(Dong14,ROWS($1:28)),),0))</f>
        <v>0</v>
      </c>
      <c r="L44" s="851">
        <f t="shared" ca="1" si="1"/>
        <v>0</v>
      </c>
      <c r="M44" s="850">
        <f t="shared" ca="1" si="2"/>
        <v>0</v>
      </c>
      <c r="N44" s="851">
        <f t="shared" ca="1" si="3"/>
        <v>0</v>
      </c>
      <c r="O44" s="850">
        <f t="shared" ca="1" si="4"/>
        <v>0</v>
      </c>
    </row>
    <row r="45" spans="1:15" s="5" customFormat="1" ht="16.5" customHeight="1">
      <c r="A45" s="212" t="str">
        <f t="shared" ca="1" si="0"/>
        <v/>
      </c>
      <c r="B45" s="216" t="str">
        <f ca="1">IF(ROWS($1:29)&gt;COUNT(Dong14),"",OFFSET(TH!D$1,SMALL(Dong14,ROWS($1:29)),))</f>
        <v/>
      </c>
      <c r="C45" s="212" t="str">
        <f ca="1">IF(ROWS($1:29)&gt;COUNT(Dong14),"",OFFSET(TH!E$1,SMALL(Dong14,ROWS($1:29)),))</f>
        <v/>
      </c>
      <c r="D45" s="859" t="str">
        <f ca="1">IF(ROWS($1:29)&gt;COUNT(Dong14),"",OFFSET(TH!F$1,SMALL(Dong14,ROWS($1:29)),))</f>
        <v/>
      </c>
      <c r="E45" s="857" t="str">
        <f ca="1">IF(ROWS($1:29)&gt;COUNT(Dong14),"",IF(OFFSET(TH!N$1,SMALL(Dong14,ROWS($1:29)),)="131",OFFSET(TH!O$1,SMALL(Dong14,ROWS($1:29)),),OFFSET(TH!N$1,SMALL(Dong14,ROWS($1:29)),)))</f>
        <v/>
      </c>
      <c r="F45" s="857">
        <f ca="1">IF(ROWS($1:29)&gt;COUNT(Dong14),0,OFFSET(TH!L$1,SMALL(Dong14,ROWS($1:29)),))</f>
        <v>0</v>
      </c>
      <c r="G45" s="857"/>
      <c r="H45" s="858">
        <f ca="1">IF(ROWS($1:29)&gt;COUNT(Dong14),0,IF(OFFSET(TH!N$1,SMALL(Dong14,ROWS($1:29)),)="131",OFFSET(TH!K$1,SMALL(Dong14,ROWS($1:29)),),0))</f>
        <v>0</v>
      </c>
      <c r="I45" s="857">
        <f ca="1">IF(ROWS($1:29)&gt;COUNT(Dong14),0,IF(OFFSET(TH!N$1,SMALL(Dong14,ROWS($1:29)),)="131",OFFSET(TH!M$1,SMALL(Dong14,ROWS($1:29)),),0))</f>
        <v>0</v>
      </c>
      <c r="J45" s="858">
        <f ca="1">IF(ROWS($1:29)&gt;COUNT(Dong14),0,IF(OFFSET(TH!O$1,SMALL(Dong14,ROWS($1:29)),)="131",OFFSET(TH!K$1,SMALL(Dong14,ROWS($1:29)),),0))</f>
        <v>0</v>
      </c>
      <c r="K45" s="857">
        <f ca="1">IF(ROWS($1:29)&gt;COUNT(Dong14),0,IF(OFFSET(TH!O$1,SMALL(Dong14,ROWS($1:29)),)="131",OFFSET(TH!M$1,SMALL(Dong14,ROWS($1:29)),),0))</f>
        <v>0</v>
      </c>
      <c r="L45" s="851">
        <f t="shared" ca="1" si="1"/>
        <v>0</v>
      </c>
      <c r="M45" s="850">
        <f t="shared" ca="1" si="2"/>
        <v>0</v>
      </c>
      <c r="N45" s="851">
        <f t="shared" ca="1" si="3"/>
        <v>0</v>
      </c>
      <c r="O45" s="850">
        <f t="shared" ca="1" si="4"/>
        <v>0</v>
      </c>
    </row>
    <row r="46" spans="1:15" s="5" customFormat="1" ht="16.5" customHeight="1">
      <c r="A46" s="212" t="str">
        <f t="shared" ca="1" si="0"/>
        <v/>
      </c>
      <c r="B46" s="216" t="str">
        <f ca="1">IF(ROWS($1:30)&gt;COUNT(Dong14),"",OFFSET(TH!D$1,SMALL(Dong14,ROWS($1:30)),))</f>
        <v/>
      </c>
      <c r="C46" s="212" t="str">
        <f ca="1">IF(ROWS($1:30)&gt;COUNT(Dong14),"",OFFSET(TH!E$1,SMALL(Dong14,ROWS($1:30)),))</f>
        <v/>
      </c>
      <c r="D46" s="859" t="str">
        <f ca="1">IF(ROWS($1:30)&gt;COUNT(Dong14),"",OFFSET(TH!F$1,SMALL(Dong14,ROWS($1:30)),))</f>
        <v/>
      </c>
      <c r="E46" s="857" t="str">
        <f ca="1">IF(ROWS($1:30)&gt;COUNT(Dong14),"",IF(OFFSET(TH!N$1,SMALL(Dong14,ROWS($1:30)),)="131",OFFSET(TH!O$1,SMALL(Dong14,ROWS($1:30)),),OFFSET(TH!N$1,SMALL(Dong14,ROWS($1:30)),)))</f>
        <v/>
      </c>
      <c r="F46" s="857">
        <f ca="1">IF(ROWS($1:30)&gt;COUNT(Dong14),0,OFFSET(TH!L$1,SMALL(Dong14,ROWS($1:30)),))</f>
        <v>0</v>
      </c>
      <c r="G46" s="857"/>
      <c r="H46" s="858">
        <f ca="1">IF(ROWS($1:30)&gt;COUNT(Dong14),0,IF(OFFSET(TH!N$1,SMALL(Dong14,ROWS($1:30)),)="131",OFFSET(TH!K$1,SMALL(Dong14,ROWS($1:30)),),0))</f>
        <v>0</v>
      </c>
      <c r="I46" s="857">
        <f ca="1">IF(ROWS($1:30)&gt;COUNT(Dong14),0,IF(OFFSET(TH!N$1,SMALL(Dong14,ROWS($1:30)),)="131",OFFSET(TH!M$1,SMALL(Dong14,ROWS($1:30)),),0))</f>
        <v>0</v>
      </c>
      <c r="J46" s="858">
        <f ca="1">IF(ROWS($1:30)&gt;COUNT(Dong14),0,IF(OFFSET(TH!O$1,SMALL(Dong14,ROWS($1:30)),)="131",OFFSET(TH!K$1,SMALL(Dong14,ROWS($1:30)),),0))</f>
        <v>0</v>
      </c>
      <c r="K46" s="857">
        <f ca="1">IF(ROWS($1:30)&gt;COUNT(Dong14),0,IF(OFFSET(TH!O$1,SMALL(Dong14,ROWS($1:30)),)="131",OFFSET(TH!M$1,SMALL(Dong14,ROWS($1:30)),),0))</f>
        <v>0</v>
      </c>
      <c r="L46" s="851">
        <f t="shared" ca="1" si="1"/>
        <v>0</v>
      </c>
      <c r="M46" s="850">
        <f t="shared" ca="1" si="2"/>
        <v>0</v>
      </c>
      <c r="N46" s="851">
        <f t="shared" ca="1" si="3"/>
        <v>0</v>
      </c>
      <c r="O46" s="850">
        <f t="shared" ca="1" si="4"/>
        <v>0</v>
      </c>
    </row>
    <row r="47" spans="1:15" s="5" customFormat="1" ht="16.5" customHeight="1">
      <c r="A47" s="212" t="str">
        <f t="shared" ca="1" si="0"/>
        <v/>
      </c>
      <c r="B47" s="216" t="str">
        <f ca="1">IF(ROWS($1:31)&gt;COUNT(Dong14),"",OFFSET(TH!D$1,SMALL(Dong14,ROWS($1:31)),))</f>
        <v/>
      </c>
      <c r="C47" s="212" t="str">
        <f ca="1">IF(ROWS($1:31)&gt;COUNT(Dong14),"",OFFSET(TH!E$1,SMALL(Dong14,ROWS($1:31)),))</f>
        <v/>
      </c>
      <c r="D47" s="859" t="str">
        <f ca="1">IF(ROWS($1:31)&gt;COUNT(Dong14),"",OFFSET(TH!F$1,SMALL(Dong14,ROWS($1:31)),))</f>
        <v/>
      </c>
      <c r="E47" s="857" t="str">
        <f ca="1">IF(ROWS($1:31)&gt;COUNT(Dong14),"",IF(OFFSET(TH!N$1,SMALL(Dong14,ROWS($1:31)),)="131",OFFSET(TH!O$1,SMALL(Dong14,ROWS($1:31)),),OFFSET(TH!N$1,SMALL(Dong14,ROWS($1:31)),)))</f>
        <v/>
      </c>
      <c r="F47" s="857">
        <f ca="1">IF(ROWS($1:31)&gt;COUNT(Dong14),0,OFFSET(TH!L$1,SMALL(Dong14,ROWS($1:31)),))</f>
        <v>0</v>
      </c>
      <c r="G47" s="857"/>
      <c r="H47" s="858">
        <f ca="1">IF(ROWS($1:31)&gt;COUNT(Dong14),0,IF(OFFSET(TH!N$1,SMALL(Dong14,ROWS($1:31)),)="131",OFFSET(TH!K$1,SMALL(Dong14,ROWS($1:31)),),0))</f>
        <v>0</v>
      </c>
      <c r="I47" s="857">
        <f ca="1">IF(ROWS($1:31)&gt;COUNT(Dong14),0,IF(OFFSET(TH!N$1,SMALL(Dong14,ROWS($1:31)),)="131",OFFSET(TH!M$1,SMALL(Dong14,ROWS($1:31)),),0))</f>
        <v>0</v>
      </c>
      <c r="J47" s="858">
        <f ca="1">IF(ROWS($1:31)&gt;COUNT(Dong14),0,IF(OFFSET(TH!O$1,SMALL(Dong14,ROWS($1:31)),)="131",OFFSET(TH!K$1,SMALL(Dong14,ROWS($1:31)),),0))</f>
        <v>0</v>
      </c>
      <c r="K47" s="857">
        <f ca="1">IF(ROWS($1:31)&gt;COUNT(Dong14),0,IF(OFFSET(TH!O$1,SMALL(Dong14,ROWS($1:31)),)="131",OFFSET(TH!M$1,SMALL(Dong14,ROWS($1:31)),),0))</f>
        <v>0</v>
      </c>
      <c r="L47" s="851">
        <f t="shared" ca="1" si="1"/>
        <v>0</v>
      </c>
      <c r="M47" s="850">
        <f t="shared" ca="1" si="2"/>
        <v>0</v>
      </c>
      <c r="N47" s="851">
        <f t="shared" ca="1" si="3"/>
        <v>0</v>
      </c>
      <c r="O47" s="850">
        <f t="shared" ca="1" si="4"/>
        <v>0</v>
      </c>
    </row>
    <row r="48" spans="1:15" s="5" customFormat="1" ht="16.5" customHeight="1">
      <c r="A48" s="212" t="str">
        <f t="shared" ca="1" si="0"/>
        <v/>
      </c>
      <c r="B48" s="216" t="str">
        <f ca="1">IF(ROWS($1:32)&gt;COUNT(Dong14),"",OFFSET(TH!D$1,SMALL(Dong14,ROWS($1:32)),))</f>
        <v/>
      </c>
      <c r="C48" s="212" t="str">
        <f ca="1">IF(ROWS($1:32)&gt;COUNT(Dong14),"",OFFSET(TH!E$1,SMALL(Dong14,ROWS($1:32)),))</f>
        <v/>
      </c>
      <c r="D48" s="859" t="str">
        <f ca="1">IF(ROWS($1:32)&gt;COUNT(Dong14),"",OFFSET(TH!F$1,SMALL(Dong14,ROWS($1:32)),))</f>
        <v/>
      </c>
      <c r="E48" s="857" t="str">
        <f ca="1">IF(ROWS($1:32)&gt;COUNT(Dong14),"",IF(OFFSET(TH!N$1,SMALL(Dong14,ROWS($1:32)),)="131",OFFSET(TH!O$1,SMALL(Dong14,ROWS($1:32)),),OFFSET(TH!N$1,SMALL(Dong14,ROWS($1:32)),)))</f>
        <v/>
      </c>
      <c r="F48" s="857">
        <f ca="1">IF(ROWS($1:32)&gt;COUNT(Dong14),0,OFFSET(TH!L$1,SMALL(Dong14,ROWS($1:32)),))</f>
        <v>0</v>
      </c>
      <c r="G48" s="857"/>
      <c r="H48" s="858">
        <f ca="1">IF(ROWS($1:32)&gt;COUNT(Dong14),0,IF(OFFSET(TH!N$1,SMALL(Dong14,ROWS($1:32)),)="131",OFFSET(TH!K$1,SMALL(Dong14,ROWS($1:32)),),0))</f>
        <v>0</v>
      </c>
      <c r="I48" s="857">
        <f ca="1">IF(ROWS($1:32)&gt;COUNT(Dong14),0,IF(OFFSET(TH!N$1,SMALL(Dong14,ROWS($1:32)),)="131",OFFSET(TH!M$1,SMALL(Dong14,ROWS($1:32)),),0))</f>
        <v>0</v>
      </c>
      <c r="J48" s="858">
        <f ca="1">IF(ROWS($1:32)&gt;COUNT(Dong14),0,IF(OFFSET(TH!O$1,SMALL(Dong14,ROWS($1:32)),)="131",OFFSET(TH!K$1,SMALL(Dong14,ROWS($1:32)),),0))</f>
        <v>0</v>
      </c>
      <c r="K48" s="857">
        <f ca="1">IF(ROWS($1:32)&gt;COUNT(Dong14),0,IF(OFFSET(TH!O$1,SMALL(Dong14,ROWS($1:32)),)="131",OFFSET(TH!M$1,SMALL(Dong14,ROWS($1:32)),),0))</f>
        <v>0</v>
      </c>
      <c r="L48" s="851">
        <f t="shared" ca="1" si="1"/>
        <v>0</v>
      </c>
      <c r="M48" s="850">
        <f t="shared" ca="1" si="2"/>
        <v>0</v>
      </c>
      <c r="N48" s="851">
        <f t="shared" ca="1" si="3"/>
        <v>0</v>
      </c>
      <c r="O48" s="850">
        <f t="shared" ca="1" si="4"/>
        <v>0</v>
      </c>
    </row>
    <row r="49" spans="1:15" s="5" customFormat="1" ht="16.5" customHeight="1">
      <c r="A49" s="212" t="str">
        <f t="shared" ca="1" si="0"/>
        <v/>
      </c>
      <c r="B49" s="216" t="str">
        <f ca="1">IF(ROWS($1:33)&gt;COUNT(Dong14),"",OFFSET(TH!D$1,SMALL(Dong14,ROWS($1:33)),))</f>
        <v/>
      </c>
      <c r="C49" s="212" t="str">
        <f ca="1">IF(ROWS($1:33)&gt;COUNT(Dong14),"",OFFSET(TH!E$1,SMALL(Dong14,ROWS($1:33)),))</f>
        <v/>
      </c>
      <c r="D49" s="859" t="str">
        <f ca="1">IF(ROWS($1:33)&gt;COUNT(Dong14),"",OFFSET(TH!F$1,SMALL(Dong14,ROWS($1:33)),))</f>
        <v/>
      </c>
      <c r="E49" s="857" t="str">
        <f ca="1">IF(ROWS($1:33)&gt;COUNT(Dong14),"",IF(OFFSET(TH!N$1,SMALL(Dong14,ROWS($1:33)),)="131",OFFSET(TH!O$1,SMALL(Dong14,ROWS($1:33)),),OFFSET(TH!N$1,SMALL(Dong14,ROWS($1:33)),)))</f>
        <v/>
      </c>
      <c r="F49" s="857">
        <f ca="1">IF(ROWS($1:33)&gt;COUNT(Dong14),0,OFFSET(TH!L$1,SMALL(Dong14,ROWS($1:33)),))</f>
        <v>0</v>
      </c>
      <c r="G49" s="857"/>
      <c r="H49" s="858">
        <f ca="1">IF(ROWS($1:33)&gt;COUNT(Dong14),0,IF(OFFSET(TH!N$1,SMALL(Dong14,ROWS($1:33)),)="131",OFFSET(TH!K$1,SMALL(Dong14,ROWS($1:33)),),0))</f>
        <v>0</v>
      </c>
      <c r="I49" s="857">
        <f ca="1">IF(ROWS($1:33)&gt;COUNT(Dong14),0,IF(OFFSET(TH!N$1,SMALL(Dong14,ROWS($1:33)),)="131",OFFSET(TH!M$1,SMALL(Dong14,ROWS($1:33)),),0))</f>
        <v>0</v>
      </c>
      <c r="J49" s="858">
        <f ca="1">IF(ROWS($1:33)&gt;COUNT(Dong14),0,IF(OFFSET(TH!O$1,SMALL(Dong14,ROWS($1:33)),)="131",OFFSET(TH!K$1,SMALL(Dong14,ROWS($1:33)),),0))</f>
        <v>0</v>
      </c>
      <c r="K49" s="857">
        <f ca="1">IF(ROWS($1:33)&gt;COUNT(Dong14),0,IF(OFFSET(TH!O$1,SMALL(Dong14,ROWS($1:33)),)="131",OFFSET(TH!M$1,SMALL(Dong14,ROWS($1:33)),),0))</f>
        <v>0</v>
      </c>
      <c r="L49" s="851">
        <f t="shared" ca="1" si="1"/>
        <v>0</v>
      </c>
      <c r="M49" s="850">
        <f t="shared" ca="1" si="2"/>
        <v>0</v>
      </c>
      <c r="N49" s="851">
        <f t="shared" ca="1" si="3"/>
        <v>0</v>
      </c>
      <c r="O49" s="850">
        <f t="shared" ca="1" si="4"/>
        <v>0</v>
      </c>
    </row>
    <row r="50" spans="1:15" s="5" customFormat="1" ht="16.5" customHeight="1">
      <c r="A50" s="212" t="str">
        <f t="shared" ca="1" si="0"/>
        <v/>
      </c>
      <c r="B50" s="216" t="str">
        <f ca="1">IF(ROWS($1:34)&gt;COUNT(Dong14),"",OFFSET(TH!D$1,SMALL(Dong14,ROWS($1:34)),))</f>
        <v/>
      </c>
      <c r="C50" s="212" t="str">
        <f ca="1">IF(ROWS($1:34)&gt;COUNT(Dong14),"",OFFSET(TH!E$1,SMALL(Dong14,ROWS($1:34)),))</f>
        <v/>
      </c>
      <c r="D50" s="859" t="str">
        <f ca="1">IF(ROWS($1:34)&gt;COUNT(Dong14),"",OFFSET(TH!F$1,SMALL(Dong14,ROWS($1:34)),))</f>
        <v/>
      </c>
      <c r="E50" s="857" t="str">
        <f ca="1">IF(ROWS($1:34)&gt;COUNT(Dong14),"",IF(OFFSET(TH!N$1,SMALL(Dong14,ROWS($1:34)),)="131",OFFSET(TH!O$1,SMALL(Dong14,ROWS($1:34)),),OFFSET(TH!N$1,SMALL(Dong14,ROWS($1:34)),)))</f>
        <v/>
      </c>
      <c r="F50" s="857">
        <f ca="1">IF(ROWS($1:34)&gt;COUNT(Dong14),0,OFFSET(TH!L$1,SMALL(Dong14,ROWS($1:34)),))</f>
        <v>0</v>
      </c>
      <c r="G50" s="857"/>
      <c r="H50" s="858">
        <f ca="1">IF(ROWS($1:34)&gt;COUNT(Dong14),0,IF(OFFSET(TH!N$1,SMALL(Dong14,ROWS($1:34)),)="131",OFFSET(TH!K$1,SMALL(Dong14,ROWS($1:34)),),0))</f>
        <v>0</v>
      </c>
      <c r="I50" s="857">
        <f ca="1">IF(ROWS($1:34)&gt;COUNT(Dong14),0,IF(OFFSET(TH!N$1,SMALL(Dong14,ROWS($1:34)),)="131",OFFSET(TH!M$1,SMALL(Dong14,ROWS($1:34)),),0))</f>
        <v>0</v>
      </c>
      <c r="J50" s="858">
        <f ca="1">IF(ROWS($1:34)&gt;COUNT(Dong14),0,IF(OFFSET(TH!O$1,SMALL(Dong14,ROWS($1:34)),)="131",OFFSET(TH!K$1,SMALL(Dong14,ROWS($1:34)),),0))</f>
        <v>0</v>
      </c>
      <c r="K50" s="857">
        <f ca="1">IF(ROWS($1:34)&gt;COUNT(Dong14),0,IF(OFFSET(TH!O$1,SMALL(Dong14,ROWS($1:34)),)="131",OFFSET(TH!M$1,SMALL(Dong14,ROWS($1:34)),),0))</f>
        <v>0</v>
      </c>
      <c r="L50" s="851">
        <f t="shared" ca="1" si="1"/>
        <v>0</v>
      </c>
      <c r="M50" s="850">
        <f t="shared" ca="1" si="2"/>
        <v>0</v>
      </c>
      <c r="N50" s="851">
        <f t="shared" ca="1" si="3"/>
        <v>0</v>
      </c>
      <c r="O50" s="850">
        <f t="shared" ca="1" si="4"/>
        <v>0</v>
      </c>
    </row>
    <row r="51" spans="1:15" s="5" customFormat="1" ht="16.5" customHeight="1">
      <c r="A51" s="212" t="str">
        <f t="shared" si="0"/>
        <v/>
      </c>
      <c r="B51" s="855"/>
      <c r="C51" s="855"/>
      <c r="D51" s="856"/>
      <c r="E51" s="855"/>
      <c r="F51" s="854"/>
      <c r="G51" s="852"/>
      <c r="H51" s="853"/>
      <c r="I51" s="850"/>
      <c r="J51" s="853"/>
      <c r="K51" s="852"/>
      <c r="L51" s="851"/>
      <c r="M51" s="850"/>
      <c r="N51" s="851"/>
      <c r="O51" s="850"/>
    </row>
    <row r="52" spans="1:15" s="5" customFormat="1" ht="16.5" customHeight="1">
      <c r="A52" s="849"/>
      <c r="B52" s="849"/>
      <c r="C52" s="849"/>
      <c r="D52" s="848" t="s">
        <v>35</v>
      </c>
      <c r="E52" s="847" t="s">
        <v>21</v>
      </c>
      <c r="F52" s="847"/>
      <c r="G52" s="844" t="s">
        <v>21</v>
      </c>
      <c r="H52" s="845">
        <f ca="1">SUM(H17:H51)</f>
        <v>0</v>
      </c>
      <c r="I52" s="844">
        <f ca="1">SUM(I17:I51)</f>
        <v>0</v>
      </c>
      <c r="J52" s="846">
        <f ca="1">SUM(J17:J51)</f>
        <v>0</v>
      </c>
      <c r="K52" s="844">
        <f ca="1">ROUND(SUM(K17:K51),0)</f>
        <v>0</v>
      </c>
      <c r="L52" s="845" t="s">
        <v>21</v>
      </c>
      <c r="M52" s="844" t="s">
        <v>21</v>
      </c>
      <c r="N52" s="844" t="s">
        <v>21</v>
      </c>
      <c r="O52" s="844" t="s">
        <v>21</v>
      </c>
    </row>
    <row r="53" spans="1:15" s="5" customFormat="1" ht="16.5" customHeight="1">
      <c r="A53" s="849"/>
      <c r="B53" s="849"/>
      <c r="C53" s="849"/>
      <c r="D53" s="848" t="s">
        <v>10</v>
      </c>
      <c r="E53" s="847" t="s">
        <v>21</v>
      </c>
      <c r="F53" s="847"/>
      <c r="G53" s="844" t="s">
        <v>21</v>
      </c>
      <c r="H53" s="845" t="s">
        <v>21</v>
      </c>
      <c r="I53" s="844" t="s">
        <v>21</v>
      </c>
      <c r="J53" s="846" t="s">
        <v>21</v>
      </c>
      <c r="K53" s="844" t="s">
        <v>21</v>
      </c>
      <c r="L53" s="845">
        <f ca="1">ROUND(MAX(L16+H52-N16-J52,0),2)</f>
        <v>5219.6400000000003</v>
      </c>
      <c r="M53" s="844">
        <f ca="1">ROUND(MAX(M16+I52-O16-K52,0),0)</f>
        <v>123101834</v>
      </c>
      <c r="N53" s="844">
        <f ca="1">ROUND(MAX(N16+J52-L16-H52,0),2)</f>
        <v>0</v>
      </c>
      <c r="O53" s="844">
        <f ca="1">ROUND(MAX(O16+K52-M16-I52,0),-1)</f>
        <v>0</v>
      </c>
    </row>
    <row r="54" spans="1:15" s="5" customFormat="1" ht="15">
      <c r="A54" s="213" t="s">
        <v>493</v>
      </c>
      <c r="B54" s="4"/>
      <c r="C54" s="4"/>
      <c r="E54" s="4"/>
      <c r="F54" s="824"/>
      <c r="G54" s="841"/>
      <c r="H54" s="843"/>
      <c r="I54" s="841"/>
      <c r="J54" s="236"/>
      <c r="K54" s="841"/>
    </row>
    <row r="55" spans="1:15" s="5" customFormat="1" ht="15">
      <c r="A55" s="213" t="s">
        <v>189</v>
      </c>
      <c r="B55" s="4"/>
      <c r="C55" s="4"/>
      <c r="E55" s="4"/>
      <c r="F55" s="824"/>
      <c r="G55" s="841"/>
      <c r="H55" s="843"/>
      <c r="I55" s="841"/>
      <c r="J55" s="236"/>
      <c r="K55" s="841"/>
    </row>
    <row r="56" spans="1:15" s="5" customFormat="1" ht="15">
      <c r="A56" s="4"/>
      <c r="B56" s="4"/>
      <c r="C56" s="4"/>
      <c r="E56" s="4"/>
      <c r="F56" s="824"/>
      <c r="G56" s="841"/>
      <c r="H56" s="842"/>
      <c r="I56" s="841"/>
      <c r="J56" s="1144" t="s">
        <v>176</v>
      </c>
      <c r="K56" s="1144"/>
      <c r="L56" s="1144"/>
      <c r="M56" s="1144"/>
      <c r="N56" s="1144"/>
      <c r="O56" s="1144"/>
    </row>
    <row r="57" spans="1:15" s="5" customFormat="1" ht="15">
      <c r="A57" s="4"/>
      <c r="C57" s="4"/>
      <c r="D57" s="1017" t="s">
        <v>11</v>
      </c>
      <c r="E57" s="4"/>
      <c r="F57" s="824"/>
      <c r="G57" s="841"/>
      <c r="H57" s="842"/>
      <c r="I57" s="841"/>
      <c r="J57" s="236"/>
      <c r="K57" s="841"/>
      <c r="L57" s="1144" t="s">
        <v>12</v>
      </c>
      <c r="M57" s="1144"/>
    </row>
    <row r="58" spans="1:15" s="5" customFormat="1" ht="15">
      <c r="A58" s="4"/>
      <c r="C58" s="4"/>
      <c r="D58" s="1017" t="s">
        <v>13</v>
      </c>
      <c r="E58" s="4"/>
      <c r="F58" s="824"/>
      <c r="G58" s="841"/>
      <c r="H58" s="842"/>
      <c r="I58" s="841"/>
      <c r="J58" s="236"/>
      <c r="K58" s="841"/>
      <c r="L58" s="1144" t="s">
        <v>13</v>
      </c>
      <c r="M58" s="1144"/>
    </row>
    <row r="59" spans="1:15">
      <c r="D59" s="1051"/>
    </row>
    <row r="60" spans="1:15">
      <c r="D60" s="1051"/>
    </row>
    <row r="61" spans="1:15">
      <c r="D61" s="1051"/>
    </row>
    <row r="62" spans="1:15">
      <c r="D62" s="1051"/>
    </row>
    <row r="63" spans="1:15">
      <c r="D63" s="1051"/>
    </row>
    <row r="64" spans="1:15">
      <c r="D64" s="1051"/>
    </row>
    <row r="65" spans="3:4">
      <c r="D65" s="1051"/>
    </row>
    <row r="66" spans="3:4">
      <c r="C66" s="1020"/>
      <c r="D66" s="1020"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46"/>
  <sheetViews>
    <sheetView showZeros="0" workbookViewId="0">
      <pane ySplit="3" topLeftCell="A4" activePane="bottomLeft" state="frozen"/>
      <selection pane="bottomLeft" activeCell="E13" sqref="E13:F13"/>
    </sheetView>
  </sheetViews>
  <sheetFormatPr defaultColWidth="8" defaultRowHeight="13.5"/>
  <cols>
    <col min="1" max="1" width="5.5703125" style="217" customWidth="1"/>
    <col min="2" max="2" width="59.140625" style="217" customWidth="1"/>
    <col min="3" max="8" width="16.42578125" style="217" customWidth="1"/>
    <col min="9" max="16384" width="8" style="217"/>
  </cols>
  <sheetData>
    <row r="1" spans="1:8" ht="27" customHeight="1">
      <c r="A1" s="1172" t="s">
        <v>124</v>
      </c>
      <c r="B1" s="1172"/>
      <c r="C1" s="1172"/>
      <c r="D1" s="1172"/>
      <c r="E1" s="1172"/>
      <c r="F1" s="1172"/>
      <c r="G1" s="1172"/>
      <c r="H1" s="1172"/>
    </row>
    <row r="2" spans="1:8" s="10" customFormat="1" ht="14.25" customHeight="1">
      <c r="A2" s="1192" t="s">
        <v>37</v>
      </c>
      <c r="B2" s="1194" t="s">
        <v>38</v>
      </c>
      <c r="C2" s="1169" t="s">
        <v>39</v>
      </c>
      <c r="D2" s="1170"/>
      <c r="E2" s="1169" t="s">
        <v>40</v>
      </c>
      <c r="F2" s="1170"/>
      <c r="G2" s="1169" t="s">
        <v>44</v>
      </c>
      <c r="H2" s="1170"/>
    </row>
    <row r="3" spans="1:8" s="10" customFormat="1" ht="14.25" customHeight="1">
      <c r="A3" s="1193"/>
      <c r="B3" s="1195"/>
      <c r="C3" s="314" t="s">
        <v>45</v>
      </c>
      <c r="D3" s="314" t="s">
        <v>46</v>
      </c>
      <c r="E3" s="314" t="s">
        <v>45</v>
      </c>
      <c r="F3" s="314" t="s">
        <v>46</v>
      </c>
      <c r="G3" s="314" t="s">
        <v>45</v>
      </c>
      <c r="H3" s="314" t="s">
        <v>46</v>
      </c>
    </row>
    <row r="4" spans="1:8" s="10" customFormat="1" ht="16.5" customHeight="1">
      <c r="A4" s="6">
        <f>IF(B4&lt;&gt;"",ROW()-3,"")</f>
        <v>1</v>
      </c>
      <c r="B4" s="7" t="s">
        <v>604</v>
      </c>
      <c r="C4" s="8">
        <v>0</v>
      </c>
      <c r="D4" s="8">
        <v>0</v>
      </c>
      <c r="E4" s="8">
        <f t="array" ref="E4">SUM(IF("331"&amp;B4=KHN&amp;KH,TH))</f>
        <v>0</v>
      </c>
      <c r="F4" s="8">
        <f t="array" ref="F4">SUM(IF("331"&amp;B4=KHC&amp;KH,TH))</f>
        <v>0</v>
      </c>
      <c r="G4" s="85">
        <f t="shared" ref="G4:G9" si="0">ROUND(MAX(C4+E4-D4-F4,0),2)</f>
        <v>0</v>
      </c>
      <c r="H4" s="85">
        <f t="shared" ref="H4:H9" si="1">ROUND(MAX(D4+F4-C4-E4,0),2)</f>
        <v>0</v>
      </c>
    </row>
    <row r="5" spans="1:8" s="10" customFormat="1" ht="16.5" customHeight="1">
      <c r="A5" s="6">
        <f t="shared" ref="A5:A19" si="2">IF(B5&lt;&gt;"",ROW()-3,"")</f>
        <v>2</v>
      </c>
      <c r="B5" s="7" t="s">
        <v>605</v>
      </c>
      <c r="C5" s="8">
        <v>0</v>
      </c>
      <c r="D5" s="8">
        <v>0</v>
      </c>
      <c r="E5" s="8">
        <f t="array" ref="E5">SUM(IF("331"&amp;B5=KHN&amp;KH,TH))</f>
        <v>0</v>
      </c>
      <c r="F5" s="8">
        <f t="array" ref="F5">SUM(IF("331"&amp;B5=KHC&amp;KH,TH))</f>
        <v>0</v>
      </c>
      <c r="G5" s="85">
        <f t="shared" si="0"/>
        <v>0</v>
      </c>
      <c r="H5" s="85">
        <f t="shared" si="1"/>
        <v>0</v>
      </c>
    </row>
    <row r="6" spans="1:8" s="10" customFormat="1" ht="16.5" customHeight="1">
      <c r="A6" s="6">
        <f t="shared" si="2"/>
        <v>3</v>
      </c>
      <c r="B6" s="7" t="s">
        <v>606</v>
      </c>
      <c r="C6" s="8">
        <v>0</v>
      </c>
      <c r="D6" s="8">
        <v>0</v>
      </c>
      <c r="E6" s="8">
        <f t="array" ref="E6">SUM(IF("331"&amp;B6=KHN&amp;KH,TH))</f>
        <v>0</v>
      </c>
      <c r="F6" s="8">
        <f t="array" ref="F6">SUM(IF("331"&amp;B6=KHC&amp;KH,TH))</f>
        <v>0</v>
      </c>
      <c r="G6" s="85">
        <f t="shared" si="0"/>
        <v>0</v>
      </c>
      <c r="H6" s="85">
        <f t="shared" si="1"/>
        <v>0</v>
      </c>
    </row>
    <row r="7" spans="1:8" s="10" customFormat="1" ht="16.5" customHeight="1">
      <c r="A7" s="6">
        <f t="shared" si="2"/>
        <v>4</v>
      </c>
      <c r="B7" s="71" t="s">
        <v>812</v>
      </c>
      <c r="C7" s="8">
        <v>0</v>
      </c>
      <c r="D7" s="8">
        <v>0</v>
      </c>
      <c r="E7" s="8">
        <f t="array" ref="E7">SUM(IF("331"&amp;B7=KHN&amp;KH,TH))</f>
        <v>0</v>
      </c>
      <c r="F7" s="8">
        <f t="array" ref="F7">SUM(IF("331"&amp;B7=KHC&amp;KH,TH))</f>
        <v>0</v>
      </c>
      <c r="G7" s="85">
        <f t="shared" si="0"/>
        <v>0</v>
      </c>
      <c r="H7" s="85">
        <f t="shared" si="1"/>
        <v>0</v>
      </c>
    </row>
    <row r="8" spans="1:8" s="10" customFormat="1" ht="16.5" customHeight="1">
      <c r="A8" s="6">
        <f t="shared" si="2"/>
        <v>5</v>
      </c>
      <c r="B8" s="7" t="s">
        <v>607</v>
      </c>
      <c r="C8" s="8">
        <v>0</v>
      </c>
      <c r="D8" s="8">
        <v>0</v>
      </c>
      <c r="E8" s="8">
        <f t="array" ref="E8">SUM(IF("331"&amp;B8=KHN&amp;KH,TH))</f>
        <v>0</v>
      </c>
      <c r="F8" s="8">
        <f t="array" ref="F8">SUM(IF("331"&amp;B8=KHC&amp;KH,TH))</f>
        <v>0</v>
      </c>
      <c r="G8" s="85">
        <f t="shared" si="0"/>
        <v>0</v>
      </c>
      <c r="H8" s="85">
        <f t="shared" si="1"/>
        <v>0</v>
      </c>
    </row>
    <row r="9" spans="1:8" s="10" customFormat="1" ht="16.5" customHeight="1">
      <c r="A9" s="6">
        <f t="shared" si="2"/>
        <v>6</v>
      </c>
      <c r="B9" s="72" t="s">
        <v>608</v>
      </c>
      <c r="C9" s="8">
        <v>0</v>
      </c>
      <c r="D9" s="8">
        <v>60990540</v>
      </c>
      <c r="E9" s="8">
        <f t="array" ref="E9">SUM(IF("331"&amp;B9=KHN&amp;KH,TH))</f>
        <v>0</v>
      </c>
      <c r="F9" s="8">
        <f t="array" ref="F9">SUM(IF("331"&amp;B9=KHC&amp;KH,TH))</f>
        <v>0</v>
      </c>
      <c r="G9" s="85">
        <f t="shared" si="0"/>
        <v>0</v>
      </c>
      <c r="H9" s="85">
        <f t="shared" si="1"/>
        <v>60990540</v>
      </c>
    </row>
    <row r="10" spans="1:8" s="10" customFormat="1" ht="16.5" customHeight="1">
      <c r="A10" s="6">
        <f t="shared" si="2"/>
        <v>7</v>
      </c>
      <c r="B10" s="7" t="s">
        <v>609</v>
      </c>
      <c r="C10" s="8">
        <v>0</v>
      </c>
      <c r="D10" s="8">
        <v>62480865</v>
      </c>
      <c r="E10" s="8">
        <f t="array" ref="E10">SUM(IF("331"&amp;B10=KHN&amp;KH,TH))</f>
        <v>0</v>
      </c>
      <c r="F10" s="8">
        <f t="array" ref="F10">SUM(IF("331"&amp;B10=KHC&amp;KH,TH))</f>
        <v>0</v>
      </c>
      <c r="G10" s="85">
        <f t="shared" ref="G10:G18" si="3">ROUND(MAX(C10+E10-D10-F10,0),2)</f>
        <v>0</v>
      </c>
      <c r="H10" s="85">
        <f t="shared" ref="H10:H18" si="4">ROUND(MAX(D10+F10-C10-E10,0),2)</f>
        <v>62480865</v>
      </c>
    </row>
    <row r="11" spans="1:8" s="10" customFormat="1" ht="16.5" customHeight="1">
      <c r="A11" s="6">
        <f t="shared" si="2"/>
        <v>8</v>
      </c>
      <c r="B11" s="7" t="s">
        <v>620</v>
      </c>
      <c r="C11" s="8">
        <v>0</v>
      </c>
      <c r="D11" s="8">
        <v>0</v>
      </c>
      <c r="E11" s="8">
        <f t="array" ref="E11">SUM(IF("331"&amp;B11=KHN&amp;KH,TH))</f>
        <v>0</v>
      </c>
      <c r="F11" s="8">
        <f t="array" ref="F11">SUM(IF("331"&amp;B11=KHC&amp;KH,TH))</f>
        <v>0</v>
      </c>
      <c r="G11" s="85">
        <f t="shared" si="3"/>
        <v>0</v>
      </c>
      <c r="H11" s="85">
        <f t="shared" si="4"/>
        <v>0</v>
      </c>
    </row>
    <row r="12" spans="1:8" s="10" customFormat="1" ht="16.5" customHeight="1">
      <c r="A12" s="6">
        <f t="shared" si="2"/>
        <v>9</v>
      </c>
      <c r="B12" s="7" t="s">
        <v>621</v>
      </c>
      <c r="C12" s="8">
        <v>0</v>
      </c>
      <c r="D12" s="8">
        <v>0</v>
      </c>
      <c r="E12" s="8">
        <f t="array" ref="E12">SUM(IF("331"&amp;B12=KHN&amp;KH,TH))</f>
        <v>0</v>
      </c>
      <c r="F12" s="8">
        <f t="array" ref="F12">SUM(IF("331"&amp;B12=KHC&amp;KH,TH))</f>
        <v>0</v>
      </c>
      <c r="G12" s="85">
        <f t="shared" si="3"/>
        <v>0</v>
      </c>
      <c r="H12" s="85">
        <f t="shared" si="4"/>
        <v>0</v>
      </c>
    </row>
    <row r="13" spans="1:8" s="10" customFormat="1" ht="16.5" customHeight="1">
      <c r="A13" s="6">
        <f t="shared" si="2"/>
        <v>10</v>
      </c>
      <c r="B13" s="72" t="s">
        <v>610</v>
      </c>
      <c r="C13" s="8">
        <v>0</v>
      </c>
      <c r="D13" s="8">
        <v>38506000</v>
      </c>
      <c r="E13" s="8">
        <f t="array" ref="E13">SUM(IF("331"&amp;B13=KHN&amp;KH,TH))</f>
        <v>0</v>
      </c>
      <c r="F13" s="8">
        <f t="array" ref="F13">SUM(IF("331"&amp;B13=KHC&amp;KH,TH))</f>
        <v>0</v>
      </c>
      <c r="G13" s="85">
        <f t="shared" si="3"/>
        <v>0</v>
      </c>
      <c r="H13" s="85">
        <f t="shared" si="4"/>
        <v>38506000</v>
      </c>
    </row>
    <row r="14" spans="1:8" s="10" customFormat="1" ht="16.5" customHeight="1">
      <c r="A14" s="6">
        <f>IF(B14&lt;&gt;"",ROW()-3,"")</f>
        <v>11</v>
      </c>
      <c r="B14" s="72" t="s">
        <v>811</v>
      </c>
      <c r="C14" s="8">
        <v>0</v>
      </c>
      <c r="D14" s="8">
        <v>0</v>
      </c>
      <c r="E14" s="8">
        <f t="array" ref="E14">SUM(IF("331"&amp;B14=KHN&amp;KH,TH))</f>
        <v>0</v>
      </c>
      <c r="F14" s="8">
        <f t="array" ref="F14">SUM(IF("331"&amp;B14=KHC&amp;KH,TH))</f>
        <v>0</v>
      </c>
      <c r="G14" s="85">
        <f t="shared" si="3"/>
        <v>0</v>
      </c>
      <c r="H14" s="85">
        <f t="shared" si="4"/>
        <v>0</v>
      </c>
    </row>
    <row r="15" spans="1:8" s="10" customFormat="1" ht="16.5" customHeight="1">
      <c r="A15" s="6">
        <f>IF(B15&lt;&gt;"",ROW()-3,"")</f>
        <v>12</v>
      </c>
      <c r="B15" s="71" t="s">
        <v>814</v>
      </c>
      <c r="C15" s="8">
        <v>0</v>
      </c>
      <c r="D15" s="8">
        <v>0</v>
      </c>
      <c r="E15" s="8">
        <f t="array" ref="E15">SUM(IF("331"&amp;B15=KHN&amp;KH,TH))</f>
        <v>0</v>
      </c>
      <c r="F15" s="8">
        <f t="array" ref="F15">SUM(IF("331"&amp;B15=KHC&amp;KH,TH))</f>
        <v>0</v>
      </c>
      <c r="G15" s="85">
        <f t="shared" si="3"/>
        <v>0</v>
      </c>
      <c r="H15" s="85">
        <f t="shared" si="4"/>
        <v>0</v>
      </c>
    </row>
    <row r="16" spans="1:8" s="10" customFormat="1" ht="16.5" customHeight="1">
      <c r="A16" s="6">
        <f t="shared" si="2"/>
        <v>13</v>
      </c>
      <c r="B16" s="7" t="s">
        <v>611</v>
      </c>
      <c r="C16" s="8">
        <v>0</v>
      </c>
      <c r="D16" s="8">
        <v>7500000</v>
      </c>
      <c r="E16" s="8">
        <f t="array" ref="E16">SUM(IF("331"&amp;B16=KHN&amp;KH,TH))</f>
        <v>0</v>
      </c>
      <c r="F16" s="8">
        <f t="array" ref="F16">SUM(IF("331"&amp;B16=KHC&amp;KH,TH))</f>
        <v>0</v>
      </c>
      <c r="G16" s="85">
        <f t="shared" si="3"/>
        <v>0</v>
      </c>
      <c r="H16" s="85">
        <f t="shared" si="4"/>
        <v>7500000</v>
      </c>
    </row>
    <row r="17" spans="1:9" s="10" customFormat="1" ht="16.5" customHeight="1">
      <c r="A17" s="6">
        <f t="shared" si="2"/>
        <v>14</v>
      </c>
      <c r="B17" s="7" t="s">
        <v>612</v>
      </c>
      <c r="C17" s="8">
        <v>0</v>
      </c>
      <c r="D17" s="8">
        <v>24446400</v>
      </c>
      <c r="E17" s="8">
        <f t="array" ref="E17">SUM(IF("331"&amp;B17=KHN&amp;KH,TH))</f>
        <v>0</v>
      </c>
      <c r="F17" s="8">
        <f t="array" ref="F17">SUM(IF("331"&amp;B17=KHC&amp;KH,TH))</f>
        <v>0</v>
      </c>
      <c r="G17" s="85">
        <f t="shared" si="3"/>
        <v>0</v>
      </c>
      <c r="H17" s="85">
        <f t="shared" si="4"/>
        <v>24446400</v>
      </c>
    </row>
    <row r="18" spans="1:9" s="10" customFormat="1" ht="16.5" customHeight="1">
      <c r="A18" s="6">
        <f>IF(B18&lt;&gt;"",ROW()-3,"")</f>
        <v>15</v>
      </c>
      <c r="B18" s="71" t="s">
        <v>813</v>
      </c>
      <c r="C18" s="8">
        <v>0</v>
      </c>
      <c r="D18" s="8">
        <v>0</v>
      </c>
      <c r="E18" s="8">
        <f t="array" ref="E18">SUM(IF("331"&amp;B18=KHN&amp;KH,TH))</f>
        <v>0</v>
      </c>
      <c r="F18" s="8">
        <f t="array" ref="F18">SUM(IF("331"&amp;B18=KHC&amp;KH,TH))</f>
        <v>0</v>
      </c>
      <c r="G18" s="85">
        <f t="shared" si="3"/>
        <v>0</v>
      </c>
      <c r="H18" s="85">
        <f t="shared" si="4"/>
        <v>0</v>
      </c>
    </row>
    <row r="19" spans="1:9" s="10" customFormat="1" ht="16.5" customHeight="1">
      <c r="A19" s="6">
        <f t="shared" si="2"/>
        <v>16</v>
      </c>
      <c r="B19" s="7" t="s">
        <v>613</v>
      </c>
      <c r="C19" s="8">
        <v>0</v>
      </c>
      <c r="D19" s="8">
        <v>0</v>
      </c>
      <c r="E19" s="8">
        <f t="array" ref="E19">SUM(IF("331"&amp;B19=KHN&amp;KH,TH))</f>
        <v>0</v>
      </c>
      <c r="F19" s="8">
        <f t="array" ref="F19">SUM(IF("331"&amp;B19=KHC&amp;KH,TH))</f>
        <v>0</v>
      </c>
      <c r="G19" s="85">
        <f t="shared" ref="G19:G24" si="5">ROUND(MAX(C19+E19-D19-F19,0),2)</f>
        <v>0</v>
      </c>
      <c r="H19" s="85">
        <f t="shared" ref="H19:H24" si="6">ROUND(MAX(D19+F19-C19-E19,0),2)</f>
        <v>0</v>
      </c>
    </row>
    <row r="20" spans="1:9" s="10" customFormat="1" ht="16.5" customHeight="1">
      <c r="A20" s="6">
        <f t="shared" ref="A20:A25" si="7">IF(B20&lt;&gt;"",ROW()-3,"")</f>
        <v>17</v>
      </c>
      <c r="B20" s="7" t="s">
        <v>614</v>
      </c>
      <c r="C20" s="8">
        <v>0</v>
      </c>
      <c r="D20" s="8">
        <v>124797985</v>
      </c>
      <c r="E20" s="8">
        <f t="array" ref="E20">SUM(IF("331"&amp;B20=KHN&amp;KH,TH))</f>
        <v>0</v>
      </c>
      <c r="F20" s="8">
        <f t="array" ref="F20">SUM(IF("331"&amp;B20=KHC&amp;KH,TH))</f>
        <v>0</v>
      </c>
      <c r="G20" s="85">
        <f t="shared" si="5"/>
        <v>0</v>
      </c>
      <c r="H20" s="85">
        <f t="shared" si="6"/>
        <v>124797985</v>
      </c>
    </row>
    <row r="21" spans="1:9" s="10" customFormat="1" ht="16.5" customHeight="1">
      <c r="A21" s="6">
        <f t="shared" si="7"/>
        <v>18</v>
      </c>
      <c r="B21" s="7" t="s">
        <v>615</v>
      </c>
      <c r="C21" s="8">
        <v>0</v>
      </c>
      <c r="D21" s="8">
        <v>122052632</v>
      </c>
      <c r="E21" s="8">
        <f t="array" ref="E21">SUM(IF("331"&amp;B21=KHN&amp;KH,TH))</f>
        <v>0</v>
      </c>
      <c r="F21" s="8">
        <f t="array" ref="F21">SUM(IF("331"&amp;B21=KHC&amp;KH,TH))</f>
        <v>0</v>
      </c>
      <c r="G21" s="85">
        <f t="shared" si="5"/>
        <v>0</v>
      </c>
      <c r="H21" s="85">
        <f t="shared" si="6"/>
        <v>122052632</v>
      </c>
    </row>
    <row r="22" spans="1:9" s="10" customFormat="1" ht="16.5" customHeight="1">
      <c r="A22" s="6">
        <f t="shared" si="7"/>
        <v>19</v>
      </c>
      <c r="B22" s="7" t="s">
        <v>616</v>
      </c>
      <c r="C22" s="8">
        <v>0</v>
      </c>
      <c r="D22" s="8">
        <v>39198830</v>
      </c>
      <c r="E22" s="8">
        <f t="array" ref="E22">SUM(IF("331"&amp;B22=KHN&amp;KH,TH))</f>
        <v>0</v>
      </c>
      <c r="F22" s="8">
        <f t="array" ref="F22">SUM(IF("331"&amp;B22=KHC&amp;KH,TH))</f>
        <v>0</v>
      </c>
      <c r="G22" s="85">
        <f t="shared" si="5"/>
        <v>0</v>
      </c>
      <c r="H22" s="85">
        <f t="shared" si="6"/>
        <v>39198830</v>
      </c>
    </row>
    <row r="23" spans="1:9" s="10" customFormat="1" ht="16.5" customHeight="1">
      <c r="A23" s="6">
        <f t="shared" si="7"/>
        <v>20</v>
      </c>
      <c r="B23" s="7" t="s">
        <v>617</v>
      </c>
      <c r="C23" s="8">
        <v>60000000</v>
      </c>
      <c r="D23" s="8">
        <v>0</v>
      </c>
      <c r="E23" s="8">
        <f t="array" ref="E23">SUM(IF("331"&amp;B23=KHN&amp;KH,TH))</f>
        <v>0</v>
      </c>
      <c r="F23" s="8">
        <f t="array" ref="F23">SUM(IF("331"&amp;B23=KHC&amp;KH,TH))</f>
        <v>0</v>
      </c>
      <c r="G23" s="85">
        <f t="shared" si="5"/>
        <v>60000000</v>
      </c>
      <c r="H23" s="85">
        <f t="shared" si="6"/>
        <v>0</v>
      </c>
    </row>
    <row r="24" spans="1:9" s="10" customFormat="1" ht="16.5" customHeight="1">
      <c r="A24" s="6">
        <f t="shared" si="7"/>
        <v>21</v>
      </c>
      <c r="B24" s="7" t="s">
        <v>618</v>
      </c>
      <c r="C24" s="8">
        <v>0</v>
      </c>
      <c r="D24" s="8">
        <v>56980000</v>
      </c>
      <c r="E24" s="8">
        <f t="array" ref="E24">SUM(IF("331"&amp;B24=KHN&amp;KH,TH))</f>
        <v>0</v>
      </c>
      <c r="F24" s="8">
        <f t="array" ref="F24">SUM(IF("331"&amp;B24=KHC&amp;KH,TH))</f>
        <v>0</v>
      </c>
      <c r="G24" s="85">
        <f t="shared" si="5"/>
        <v>0</v>
      </c>
      <c r="H24" s="85">
        <f t="shared" si="6"/>
        <v>56980000</v>
      </c>
    </row>
    <row r="25" spans="1:9" s="10" customFormat="1" ht="16.5" customHeight="1">
      <c r="A25" s="6">
        <f t="shared" si="7"/>
        <v>22</v>
      </c>
      <c r="B25" s="71" t="s">
        <v>703</v>
      </c>
      <c r="C25" s="8">
        <v>0</v>
      </c>
      <c r="D25" s="8">
        <v>0</v>
      </c>
      <c r="E25" s="8">
        <f t="array" ref="E25">SUM(IF("331"&amp;B25=KHN&amp;KH,TH))</f>
        <v>0</v>
      </c>
      <c r="F25" s="8">
        <f t="array" ref="F25">SUM(IF("331"&amp;B25=KHC&amp;KH,TH))</f>
        <v>0</v>
      </c>
      <c r="G25" s="85">
        <f>ROUND(MAX(C25+E25-D25-F25,0),2)</f>
        <v>0</v>
      </c>
      <c r="H25" s="85">
        <f>ROUND(MAX(D25+F25-C25-E25,0),2)</f>
        <v>0</v>
      </c>
    </row>
    <row r="26" spans="1:9" s="913" customFormat="1" ht="16.5" customHeight="1">
      <c r="A26" s="6">
        <f t="shared" ref="A26:A41" si="8">IF(B26&lt;&gt;"",ROW()-3,"")</f>
        <v>23</v>
      </c>
      <c r="B26" s="307" t="s">
        <v>702</v>
      </c>
      <c r="C26" s="8"/>
      <c r="D26" s="8"/>
      <c r="E26" s="8">
        <f t="array" ref="E26">SUM(IF("331"&amp;B26=KHN&amp;KH,TH))</f>
        <v>0</v>
      </c>
      <c r="F26" s="8">
        <f t="array" ref="F26">SUM(IF("331"&amp;B26=KHC&amp;KH,TH))</f>
        <v>0</v>
      </c>
      <c r="G26" s="85">
        <f>ROUND(MAX(C26+E26-D26-F26,0),2)</f>
        <v>0</v>
      </c>
      <c r="H26" s="85">
        <f>ROUND(MAX(D26+F26-C26-E26,0),2)</f>
        <v>0</v>
      </c>
      <c r="I26" s="913" t="str">
        <f>IF(ISNA(VLOOKUP(B26,DSNL,6,0)),"",VLOOKUP(B26,DSNL,6,0))</f>
        <v/>
      </c>
    </row>
    <row r="27" spans="1:9" s="913" customFormat="1" ht="16.5" customHeight="1">
      <c r="A27" s="6">
        <f t="shared" si="8"/>
        <v>24</v>
      </c>
      <c r="B27" s="911" t="s">
        <v>429</v>
      </c>
      <c r="C27" s="907"/>
      <c r="D27" s="907"/>
      <c r="E27" s="907">
        <f t="array" ref="E27">SUM(IF("331"&amp;B27=KHN&amp;KH,TH))</f>
        <v>0</v>
      </c>
      <c r="F27" s="907">
        <f t="array" ref="F27">SUM(IF("331"&amp;B27=KHC&amp;KH,TH))</f>
        <v>0</v>
      </c>
      <c r="G27" s="912">
        <f t="shared" ref="G27:G41" si="9">ROUND(MAX(C27+E27-D27-F27,0),2)</f>
        <v>0</v>
      </c>
      <c r="H27" s="912">
        <f t="shared" ref="H27:H41" si="10">ROUND(MAX(D27+F27-C27-E27,0),2)</f>
        <v>0</v>
      </c>
      <c r="I27" s="913" t="str">
        <f t="shared" ref="I27:I41" si="11">IF(ISNA(VLOOKUP(B27,DSNL,6,0)),"",VLOOKUP(B27,DSNL,6,0))</f>
        <v>Hai</v>
      </c>
    </row>
    <row r="28" spans="1:9" s="913" customFormat="1" ht="16.5" customHeight="1">
      <c r="A28" s="6">
        <f t="shared" si="8"/>
        <v>25</v>
      </c>
      <c r="B28" s="911" t="s">
        <v>432</v>
      </c>
      <c r="C28" s="907"/>
      <c r="D28" s="907"/>
      <c r="E28" s="907">
        <f t="array" ref="E28">SUM(IF("331"&amp;B28=KHN&amp;KH,TH))</f>
        <v>0</v>
      </c>
      <c r="F28" s="907">
        <f t="array" ref="F28">SUM(IF("331"&amp;B28=KHC&amp;KH,TH))</f>
        <v>0</v>
      </c>
      <c r="G28" s="912">
        <f t="shared" si="9"/>
        <v>0</v>
      </c>
      <c r="H28" s="912">
        <f t="shared" si="10"/>
        <v>0</v>
      </c>
      <c r="I28" s="913" t="str">
        <f t="shared" si="11"/>
        <v>Hai</v>
      </c>
    </row>
    <row r="29" spans="1:9" s="913" customFormat="1" ht="16.5" customHeight="1">
      <c r="A29" s="6">
        <f t="shared" si="8"/>
        <v>26</v>
      </c>
      <c r="B29" s="911" t="s">
        <v>434</v>
      </c>
      <c r="C29" s="907"/>
      <c r="D29" s="907"/>
      <c r="E29" s="907">
        <f t="array" ref="E29">SUM(IF("331"&amp;B29=KHN&amp;KH,TH))</f>
        <v>0</v>
      </c>
      <c r="F29" s="907">
        <f t="array" ref="F29">SUM(IF("331"&amp;B29=KHC&amp;KH,TH))</f>
        <v>0</v>
      </c>
      <c r="G29" s="912">
        <f t="shared" si="9"/>
        <v>0</v>
      </c>
      <c r="H29" s="912">
        <f t="shared" si="10"/>
        <v>0</v>
      </c>
      <c r="I29" s="913" t="str">
        <f t="shared" si="11"/>
        <v>Hai</v>
      </c>
    </row>
    <row r="30" spans="1:9" s="913" customFormat="1" ht="16.5" customHeight="1">
      <c r="A30" s="6">
        <f t="shared" si="8"/>
        <v>27</v>
      </c>
      <c r="B30" s="911" t="s">
        <v>436</v>
      </c>
      <c r="C30" s="907"/>
      <c r="D30" s="907"/>
      <c r="E30" s="907">
        <f t="array" ref="E30">SUM(IF("331"&amp;B30=KHN&amp;KH,TH))</f>
        <v>0</v>
      </c>
      <c r="F30" s="907">
        <f t="array" ref="F30">SUM(IF("331"&amp;B30=KHC&amp;KH,TH))</f>
        <v>0</v>
      </c>
      <c r="G30" s="912">
        <f t="shared" si="9"/>
        <v>0</v>
      </c>
      <c r="H30" s="912">
        <f t="shared" si="10"/>
        <v>0</v>
      </c>
      <c r="I30" s="913" t="str">
        <f t="shared" si="11"/>
        <v>Hai</v>
      </c>
    </row>
    <row r="31" spans="1:9" s="913" customFormat="1" ht="16.5" customHeight="1">
      <c r="A31" s="6">
        <f t="shared" si="8"/>
        <v>28</v>
      </c>
      <c r="B31" s="911" t="s">
        <v>438</v>
      </c>
      <c r="C31" s="907"/>
      <c r="D31" s="907"/>
      <c r="E31" s="907">
        <f t="array" ref="E31">SUM(IF("331"&amp;B31=KHN&amp;KH,TH))</f>
        <v>0</v>
      </c>
      <c r="F31" s="907">
        <f t="array" ref="F31">SUM(IF("331"&amp;B31=KHC&amp;KH,TH))</f>
        <v>0</v>
      </c>
      <c r="G31" s="912">
        <f t="shared" si="9"/>
        <v>0</v>
      </c>
      <c r="H31" s="912">
        <f t="shared" si="10"/>
        <v>0</v>
      </c>
      <c r="I31" s="913" t="str">
        <f t="shared" si="11"/>
        <v>Hai</v>
      </c>
    </row>
    <row r="32" spans="1:9" s="913" customFormat="1" ht="16.5" customHeight="1">
      <c r="A32" s="6">
        <f t="shared" si="8"/>
        <v>29</v>
      </c>
      <c r="B32" s="911" t="s">
        <v>439</v>
      </c>
      <c r="C32" s="907"/>
      <c r="D32" s="907"/>
      <c r="E32" s="907">
        <f t="array" ref="E32">SUM(IF("331"&amp;B32=KHN&amp;KH,TH))</f>
        <v>0</v>
      </c>
      <c r="F32" s="907">
        <f t="array" ref="F32">SUM(IF("331"&amp;B32=KHC&amp;KH,TH))</f>
        <v>0</v>
      </c>
      <c r="G32" s="912">
        <f t="shared" si="9"/>
        <v>0</v>
      </c>
      <c r="H32" s="912">
        <f t="shared" si="10"/>
        <v>0</v>
      </c>
      <c r="I32" s="913" t="str">
        <f t="shared" si="11"/>
        <v>Hai</v>
      </c>
    </row>
    <row r="33" spans="1:9" s="913" customFormat="1" ht="16.5" customHeight="1">
      <c r="A33" s="6">
        <f t="shared" si="8"/>
        <v>30</v>
      </c>
      <c r="B33" s="911" t="s">
        <v>443</v>
      </c>
      <c r="C33" s="907"/>
      <c r="D33" s="907"/>
      <c r="E33" s="907">
        <f t="array" ref="E33">SUM(IF("331"&amp;B33=KHN&amp;KH,TH))</f>
        <v>0</v>
      </c>
      <c r="F33" s="907">
        <f t="array" ref="F33">SUM(IF("331"&amp;B33=KHC&amp;KH,TH))</f>
        <v>0</v>
      </c>
      <c r="G33" s="912">
        <f t="shared" si="9"/>
        <v>0</v>
      </c>
      <c r="H33" s="912">
        <f t="shared" si="10"/>
        <v>0</v>
      </c>
      <c r="I33" s="913" t="str">
        <f t="shared" si="11"/>
        <v>Hai</v>
      </c>
    </row>
    <row r="34" spans="1:9" s="913" customFormat="1" ht="16.5" customHeight="1">
      <c r="A34" s="6">
        <f t="shared" si="8"/>
        <v>31</v>
      </c>
      <c r="B34" s="911" t="s">
        <v>445</v>
      </c>
      <c r="C34" s="907"/>
      <c r="D34" s="907"/>
      <c r="E34" s="907">
        <f t="array" ref="E34">SUM(IF("331"&amp;B34=KHN&amp;KH,TH))</f>
        <v>0</v>
      </c>
      <c r="F34" s="907">
        <f t="array" ref="F34">SUM(IF("331"&amp;B34=KHC&amp;KH,TH))</f>
        <v>0</v>
      </c>
      <c r="G34" s="912">
        <f t="shared" si="9"/>
        <v>0</v>
      </c>
      <c r="H34" s="912">
        <f t="shared" si="10"/>
        <v>0</v>
      </c>
      <c r="I34" s="913" t="str">
        <f t="shared" si="11"/>
        <v>Hai</v>
      </c>
    </row>
    <row r="35" spans="1:9" s="913" customFormat="1" ht="16.5" customHeight="1">
      <c r="A35" s="6">
        <f t="shared" si="8"/>
        <v>32</v>
      </c>
      <c r="B35" s="911" t="s">
        <v>447</v>
      </c>
      <c r="C35" s="907"/>
      <c r="D35" s="907"/>
      <c r="E35" s="907">
        <f t="array" ref="E35">SUM(IF("331"&amp;B35=KHN&amp;KH,TH))</f>
        <v>0</v>
      </c>
      <c r="F35" s="907">
        <f t="array" ref="F35">SUM(IF("331"&amp;B35=KHC&amp;KH,TH))</f>
        <v>0</v>
      </c>
      <c r="G35" s="912">
        <f t="shared" si="9"/>
        <v>0</v>
      </c>
      <c r="H35" s="912">
        <f t="shared" si="10"/>
        <v>0</v>
      </c>
      <c r="I35" s="913" t="str">
        <f t="shared" si="11"/>
        <v>Hai</v>
      </c>
    </row>
    <row r="36" spans="1:9" s="913" customFormat="1" ht="16.5" customHeight="1">
      <c r="A36" s="6">
        <f t="shared" si="8"/>
        <v>33</v>
      </c>
      <c r="B36" s="911" t="s">
        <v>365</v>
      </c>
      <c r="C36" s="907"/>
      <c r="D36" s="907"/>
      <c r="E36" s="907">
        <f t="array" ref="E36">SUM(IF("331"&amp;B36=KHN&amp;KH,TH))</f>
        <v>0</v>
      </c>
      <c r="F36" s="907">
        <f t="array" ref="F36">SUM(IF("331"&amp;B36=KHC&amp;KH,TH))</f>
        <v>0</v>
      </c>
      <c r="G36" s="912">
        <f t="shared" si="9"/>
        <v>0</v>
      </c>
      <c r="H36" s="912">
        <f t="shared" si="10"/>
        <v>0</v>
      </c>
      <c r="I36" s="913" t="str">
        <f t="shared" si="11"/>
        <v>Tiền</v>
      </c>
    </row>
    <row r="37" spans="1:9" s="913" customFormat="1" ht="16.5" customHeight="1">
      <c r="A37" s="6">
        <f t="shared" si="8"/>
        <v>34</v>
      </c>
      <c r="B37" s="911" t="s">
        <v>347</v>
      </c>
      <c r="C37" s="907"/>
      <c r="D37" s="907"/>
      <c r="E37" s="907">
        <f t="array" ref="E37">SUM(IF("331"&amp;B37=KHN&amp;KH,TH))</f>
        <v>0</v>
      </c>
      <c r="F37" s="907">
        <f t="array" ref="F37">SUM(IF("331"&amp;B37=KHC&amp;KH,TH))</f>
        <v>0</v>
      </c>
      <c r="G37" s="912">
        <f t="shared" si="9"/>
        <v>0</v>
      </c>
      <c r="H37" s="912">
        <f t="shared" si="10"/>
        <v>0</v>
      </c>
      <c r="I37" s="913" t="str">
        <f t="shared" si="11"/>
        <v>Tiền</v>
      </c>
    </row>
    <row r="38" spans="1:9" s="913" customFormat="1" ht="16.5" customHeight="1">
      <c r="A38" s="6">
        <f t="shared" si="8"/>
        <v>35</v>
      </c>
      <c r="B38" s="911" t="s">
        <v>350</v>
      </c>
      <c r="C38" s="907"/>
      <c r="D38" s="907"/>
      <c r="E38" s="907">
        <f t="array" ref="E38">SUM(IF("331"&amp;B38=KHN&amp;KH,TH))</f>
        <v>0</v>
      </c>
      <c r="F38" s="907">
        <f t="array" ref="F38">SUM(IF("331"&amp;B38=KHC&amp;KH,TH))</f>
        <v>0</v>
      </c>
      <c r="G38" s="912">
        <f t="shared" si="9"/>
        <v>0</v>
      </c>
      <c r="H38" s="912">
        <f t="shared" si="10"/>
        <v>0</v>
      </c>
      <c r="I38" s="913" t="str">
        <f t="shared" si="11"/>
        <v>Tiền</v>
      </c>
    </row>
    <row r="39" spans="1:9" s="913" customFormat="1" ht="16.5" customHeight="1">
      <c r="A39" s="6">
        <f t="shared" si="8"/>
        <v>36</v>
      </c>
      <c r="B39" s="911" t="s">
        <v>362</v>
      </c>
      <c r="C39" s="907"/>
      <c r="D39" s="907"/>
      <c r="E39" s="907">
        <f t="array" ref="E39">SUM(IF("331"&amp;B39=KHN&amp;KH,TH))</f>
        <v>0</v>
      </c>
      <c r="F39" s="907">
        <f t="array" ref="F39">SUM(IF("331"&amp;B39=KHC&amp;KH,TH))</f>
        <v>0</v>
      </c>
      <c r="G39" s="912">
        <f t="shared" si="9"/>
        <v>0</v>
      </c>
      <c r="H39" s="912">
        <f t="shared" si="10"/>
        <v>0</v>
      </c>
      <c r="I39" s="913" t="str">
        <f t="shared" si="11"/>
        <v>Tiền</v>
      </c>
    </row>
    <row r="40" spans="1:9" s="913" customFormat="1" ht="16.5" customHeight="1">
      <c r="A40" s="6">
        <f t="shared" si="8"/>
        <v>37</v>
      </c>
      <c r="B40" s="911" t="s">
        <v>368</v>
      </c>
      <c r="C40" s="907"/>
      <c r="D40" s="907"/>
      <c r="E40" s="907">
        <f t="array" ref="E40">SUM(IF("331"&amp;B40=KHN&amp;KH,TH))</f>
        <v>0</v>
      </c>
      <c r="F40" s="907">
        <f t="array" ref="F40">SUM(IF("331"&amp;B40=KHC&amp;KH,TH))</f>
        <v>0</v>
      </c>
      <c r="G40" s="912">
        <f t="shared" si="9"/>
        <v>0</v>
      </c>
      <c r="H40" s="912">
        <f t="shared" si="10"/>
        <v>0</v>
      </c>
      <c r="I40" s="913" t="str">
        <f t="shared" si="11"/>
        <v>Tiền</v>
      </c>
    </row>
    <row r="41" spans="1:9" s="913" customFormat="1" ht="16.5" customHeight="1">
      <c r="A41" s="6" t="str">
        <f t="shared" si="8"/>
        <v/>
      </c>
      <c r="B41" s="911"/>
      <c r="C41" s="907"/>
      <c r="D41" s="907"/>
      <c r="E41" s="907">
        <f t="array" ref="E41">SUM(IF("331"&amp;B41=KHN&amp;KH,TH))</f>
        <v>0</v>
      </c>
      <c r="F41" s="907">
        <f t="array" ref="F41">SUM(IF("331"&amp;B41=KHC&amp;KH,TH))</f>
        <v>0</v>
      </c>
      <c r="G41" s="912">
        <f t="shared" si="9"/>
        <v>0</v>
      </c>
      <c r="H41" s="912">
        <f t="shared" si="10"/>
        <v>0</v>
      </c>
      <c r="I41" s="913" t="str">
        <f t="shared" si="11"/>
        <v/>
      </c>
    </row>
    <row r="42" spans="1:9" s="14" customFormat="1" ht="14.25" customHeight="1">
      <c r="A42" s="11"/>
      <c r="B42" s="12" t="s">
        <v>41</v>
      </c>
      <c r="C42" s="13">
        <f t="shared" ref="C42:H42" si="12">SUM(C4:C41)</f>
        <v>60000000</v>
      </c>
      <c r="D42" s="13">
        <f t="shared" si="12"/>
        <v>536953252</v>
      </c>
      <c r="E42" s="13">
        <f t="shared" si="12"/>
        <v>0</v>
      </c>
      <c r="F42" s="13">
        <f t="shared" si="12"/>
        <v>0</v>
      </c>
      <c r="G42" s="13">
        <f t="shared" si="12"/>
        <v>60000000</v>
      </c>
      <c r="H42" s="13">
        <f t="shared" si="12"/>
        <v>536953252</v>
      </c>
    </row>
    <row r="44" spans="1:9">
      <c r="E44" s="15"/>
      <c r="F44" s="15"/>
    </row>
    <row r="46" spans="1:9">
      <c r="E46" s="224"/>
      <c r="F46" s="224"/>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96" t="s">
        <v>49</v>
      </c>
      <c r="I1" s="1196"/>
      <c r="J1" s="1196"/>
    </row>
    <row r="2" spans="1:10" s="3" customFormat="1" ht="14.25" customHeight="1">
      <c r="A2" s="1" t="s">
        <v>15</v>
      </c>
      <c r="B2" s="16"/>
      <c r="C2" s="16"/>
      <c r="G2" s="17"/>
      <c r="H2" s="1197" t="s">
        <v>50</v>
      </c>
      <c r="I2" s="1197"/>
      <c r="J2" s="1197"/>
    </row>
    <row r="3" spans="1:10" s="3" customFormat="1" ht="14.25" customHeight="1">
      <c r="A3" s="4"/>
      <c r="B3" s="16"/>
      <c r="C3" s="16"/>
      <c r="G3" s="17"/>
      <c r="H3" s="1197"/>
      <c r="I3" s="1197"/>
      <c r="J3" s="1197"/>
    </row>
    <row r="4" spans="1:10" s="5" customFormat="1" ht="28.5" customHeight="1">
      <c r="A4" s="1203" t="s">
        <v>28</v>
      </c>
      <c r="B4" s="1203"/>
      <c r="C4" s="1203"/>
      <c r="D4" s="1203"/>
      <c r="E4" s="1203"/>
      <c r="F4" s="1203"/>
      <c r="G4" s="1203"/>
      <c r="H4" s="1203"/>
      <c r="I4" s="1203"/>
      <c r="J4" s="1203"/>
    </row>
    <row r="5" spans="1:10" s="18" customFormat="1" ht="14.25" customHeight="1">
      <c r="E5" s="19" t="s">
        <v>29</v>
      </c>
    </row>
    <row r="6" spans="1:10" s="18" customFormat="1" ht="14.25" customHeight="1">
      <c r="E6" s="19" t="s">
        <v>30</v>
      </c>
    </row>
    <row r="7" spans="1:10" s="18" customFormat="1" ht="14.25" customHeight="1">
      <c r="D7" s="20" t="s">
        <v>48</v>
      </c>
      <c r="E7" s="1198" t="s">
        <v>615</v>
      </c>
      <c r="F7" s="1198"/>
      <c r="G7" s="1198"/>
      <c r="H7" s="1198"/>
    </row>
    <row r="8" spans="1:10" s="18" customFormat="1" ht="14.25" customHeight="1">
      <c r="E8" s="19" t="s">
        <v>31</v>
      </c>
    </row>
    <row r="9" spans="1:10" s="18" customFormat="1" ht="6.75" customHeight="1">
      <c r="B9" s="19"/>
      <c r="C9" s="1199"/>
      <c r="D9" s="1199"/>
      <c r="E9" s="1199"/>
      <c r="F9" s="1199"/>
      <c r="G9" s="1199"/>
      <c r="H9" s="1199"/>
      <c r="I9" s="1199"/>
      <c r="J9" s="1199"/>
    </row>
    <row r="10" spans="1:10" s="18" customFormat="1" ht="14.25" customHeight="1">
      <c r="A10" s="1148" t="s">
        <v>22</v>
      </c>
      <c r="B10" s="1200" t="s">
        <v>1</v>
      </c>
      <c r="C10" s="1200"/>
      <c r="D10" s="1148" t="s">
        <v>0</v>
      </c>
      <c r="E10" s="1148" t="s">
        <v>16</v>
      </c>
      <c r="F10" s="1148" t="s">
        <v>32</v>
      </c>
      <c r="G10" s="1201" t="s">
        <v>23</v>
      </c>
      <c r="H10" s="1202"/>
      <c r="I10" s="1201" t="s">
        <v>33</v>
      </c>
      <c r="J10" s="1202"/>
    </row>
    <row r="11" spans="1:10" s="18" customFormat="1" ht="24.75" customHeight="1">
      <c r="A11" s="1148"/>
      <c r="B11" s="30" t="s">
        <v>17</v>
      </c>
      <c r="C11" s="30" t="s">
        <v>34</v>
      </c>
      <c r="D11" s="1148"/>
      <c r="E11" s="1148"/>
      <c r="F11" s="1148"/>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75">
        <f>VLOOKUP($E$7,'331'!$B$4:$H$41,2,0)</f>
        <v>0</v>
      </c>
      <c r="J13" s="75">
        <f>VLOOKUP($E$7,'331'!$B$4:$H$41,3,0)</f>
        <v>122052632</v>
      </c>
    </row>
    <row r="14" spans="1:10" s="18" customFormat="1" ht="18" customHeight="1">
      <c r="A14" s="9" t="str">
        <f ca="1">IF(ROWS($1:1)&gt;COUNT(Dong),"",OFFSET(TH!C$1,SMALL(Dong,ROWS($1:1)),))</f>
        <v/>
      </c>
      <c r="B14" s="9" t="str">
        <f ca="1">IF(ROWS($1:1)&gt;COUNT(Dong),"",OFFSET(TH!D$1,SMALL(Dong,ROWS($1:1)),))</f>
        <v/>
      </c>
      <c r="C14" s="9" t="str">
        <f ca="1">IF(ROWS($1:1)&gt;COUNT(Dong),"",OFFSET(TH!E$1,SMALL(Dong,ROWS($1:1)),))</f>
        <v/>
      </c>
      <c r="D14" s="351" t="str">
        <f ca="1">IF(ROWS($1:1)&gt;COUNT(Dong),"",OFFSET(TH!F$1,SMALL(Dong,ROWS($1:1)),))</f>
        <v/>
      </c>
      <c r="E14" s="74" t="str">
        <f ca="1">IF(ROWS($1:1)&gt;COUNT(Dong),"",IF(OFFSET(TH!N$1,SMALL(Dong,ROWS($1:1)),)="331",OFFSET(TH!O$1,SMALL(Dong,ROWS($1:1)),),OFFSET(TH!N$1,SMALL(Dong,ROWS($1:1)),)))</f>
        <v/>
      </c>
      <c r="F14" s="74"/>
      <c r="G14" s="88" t="str">
        <f ca="1">IF(ROWS($1:1)&gt;COUNT(Dong),"",IF(OFFSET(TH!N$1,SMALL(Dong,ROWS($1:1)),)="331",OFFSET(TH!M$1,SMALL(Dong,ROWS($1:1)),),0))</f>
        <v/>
      </c>
      <c r="H14" s="88" t="str">
        <f ca="1">IF(ROWS($1:1)&gt;COUNT(Dong),"",IF(OFFSET(TH!O$1,SMALL(Dong,ROWS($1:1)),)="331",OFFSET(TH!M$1,SMALL(Dong,ROWS($1:1)),),0))</f>
        <v/>
      </c>
      <c r="I14" s="25">
        <f ca="1">IF(D14&lt;&gt;"",MAX(I13+G14-H14-J13,0),0)</f>
        <v>0</v>
      </c>
      <c r="J14" s="25">
        <f ca="1">IF(D14&lt;&gt;"",MAX(J13+H14-I13-G14,0),0)</f>
        <v>0</v>
      </c>
    </row>
    <row r="15" spans="1:10" s="18" customFormat="1" ht="18" customHeight="1">
      <c r="A15" s="9" t="str">
        <f ca="1">IF(ROWS($1:2)&gt;COUNT(Dong),"",OFFSET(TH!C$1,SMALL(Dong,ROWS($1:2)),))</f>
        <v/>
      </c>
      <c r="B15" s="9" t="str">
        <f ca="1">IF(ROWS($1:2)&gt;COUNT(Dong),"",OFFSET(TH!D$1,SMALL(Dong,ROWS($1:2)),))</f>
        <v/>
      </c>
      <c r="C15" s="9" t="str">
        <f ca="1">IF(ROWS($1:2)&gt;COUNT(Dong),"",OFFSET(TH!E$1,SMALL(Dong,ROWS($1:2)),))</f>
        <v/>
      </c>
      <c r="D15" s="351" t="str">
        <f ca="1">IF(ROWS($1:2)&gt;COUNT(Dong),"",OFFSET(TH!F$1,SMALL(Dong,ROWS($1:2)),))</f>
        <v/>
      </c>
      <c r="E15" s="74" t="str">
        <f ca="1">IF(ROWS($1:2)&gt;COUNT(Dong),"",IF(OFFSET(TH!N$1,SMALL(Dong,ROWS($1:2)),)="331",OFFSET(TH!O$1,SMALL(Dong,ROWS($1:2)),),OFFSET(TH!N$1,SMALL(Dong,ROWS($1:2)),)))</f>
        <v/>
      </c>
      <c r="F15" s="74"/>
      <c r="G15" s="88" t="str">
        <f ca="1">IF(ROWS($1:2)&gt;COUNT(Dong),"",IF(OFFSET(TH!N$1,SMALL(Dong,ROWS($1:2)),)="331",OFFSET(TH!M$1,SMALL(Dong,ROWS($1:2)),),0))</f>
        <v/>
      </c>
      <c r="H15" s="88" t="str">
        <f ca="1">IF(ROWS($1:2)&gt;COUNT(Dong),"",IF(OFFSET(TH!O$1,SMALL(Dong,ROWS($1:2)),)="331",OFFSET(TH!M$1,SMALL(Dong,ROWS($1:2)),),0))</f>
        <v/>
      </c>
      <c r="I15" s="25">
        <f t="shared" ref="I15:I20" ca="1" si="0">IF(D15&lt;&gt;"",MAX(I14+G15-H15-J14,0),0)</f>
        <v>0</v>
      </c>
      <c r="J15" s="25">
        <f t="shared" ref="J15:J20" ca="1" si="1">IF(D15&lt;&gt;"",MAX(J14+H15-I14-G15,0),0)</f>
        <v>0</v>
      </c>
    </row>
    <row r="16" spans="1:10" s="18" customFormat="1" ht="18" customHeight="1">
      <c r="A16" s="9" t="str">
        <f ca="1">IF(ROWS($1:3)&gt;COUNT(Dong),"",OFFSET(TH!C$1,SMALL(Dong,ROWS($1:3)),))</f>
        <v/>
      </c>
      <c r="B16" s="9" t="str">
        <f ca="1">IF(ROWS($1:3)&gt;COUNT(Dong),"",OFFSET(TH!D$1,SMALL(Dong,ROWS($1:3)),))</f>
        <v/>
      </c>
      <c r="C16" s="9" t="str">
        <f ca="1">IF(ROWS($1:3)&gt;COUNT(Dong),"",OFFSET(TH!E$1,SMALL(Dong,ROWS($1:3)),))</f>
        <v/>
      </c>
      <c r="D16" s="351" t="str">
        <f ca="1">IF(ROWS($1:3)&gt;COUNT(Dong),"",OFFSET(TH!F$1,SMALL(Dong,ROWS($1:3)),))</f>
        <v/>
      </c>
      <c r="E16" s="74" t="str">
        <f ca="1">IF(ROWS($1:3)&gt;COUNT(Dong),"",IF(OFFSET(TH!N$1,SMALL(Dong,ROWS($1:3)),)="331",OFFSET(TH!O$1,SMALL(Dong,ROWS($1:3)),),OFFSET(TH!N$1,SMALL(Dong,ROWS($1:3)),)))</f>
        <v/>
      </c>
      <c r="F16" s="74"/>
      <c r="G16" s="88" t="str">
        <f ca="1">IF(ROWS($1:3)&gt;COUNT(Dong),"",IF(OFFSET(TH!N$1,SMALL(Dong,ROWS($1:3)),)="331",OFFSET(TH!M$1,SMALL(Dong,ROWS($1:3)),),0))</f>
        <v/>
      </c>
      <c r="H16" s="88" t="str">
        <f ca="1">IF(ROWS($1:3)&gt;COUNT(Dong),"",IF(OFFSET(TH!O$1,SMALL(Dong,ROWS($1:3)),)="331",OFFSET(TH!M$1,SMALL(Dong,ROWS($1:3)),),0))</f>
        <v/>
      </c>
      <c r="I16" s="25">
        <f t="shared" ca="1" si="0"/>
        <v>0</v>
      </c>
      <c r="J16" s="25">
        <f t="shared" ca="1" si="1"/>
        <v>0</v>
      </c>
    </row>
    <row r="17" spans="1:10" s="18" customFormat="1" ht="18" customHeight="1">
      <c r="A17" s="9" t="str">
        <f ca="1">IF(ROWS($1:4)&gt;COUNT(Dong),"",OFFSET(TH!C$1,SMALL(Dong,ROWS($1:4)),))</f>
        <v/>
      </c>
      <c r="B17" s="9" t="str">
        <f ca="1">IF(ROWS($1:4)&gt;COUNT(Dong),"",OFFSET(TH!D$1,SMALL(Dong,ROWS($1:4)),))</f>
        <v/>
      </c>
      <c r="C17" s="9" t="str">
        <f ca="1">IF(ROWS($1:4)&gt;COUNT(Dong),"",OFFSET(TH!E$1,SMALL(Dong,ROWS($1:4)),))</f>
        <v/>
      </c>
      <c r="D17" s="351" t="str">
        <f ca="1">IF(ROWS($1:4)&gt;COUNT(Dong),"",OFFSET(TH!F$1,SMALL(Dong,ROWS($1:4)),))</f>
        <v/>
      </c>
      <c r="E17" s="74" t="str">
        <f ca="1">IF(ROWS($1:4)&gt;COUNT(Dong),"",IF(OFFSET(TH!N$1,SMALL(Dong,ROWS($1:4)),)="331",OFFSET(TH!O$1,SMALL(Dong,ROWS($1:4)),),OFFSET(TH!N$1,SMALL(Dong,ROWS($1:4)),)))</f>
        <v/>
      </c>
      <c r="F17" s="74"/>
      <c r="G17" s="88" t="str">
        <f ca="1">IF(ROWS($1:4)&gt;COUNT(Dong),"",IF(OFFSET(TH!N$1,SMALL(Dong,ROWS($1:4)),)="331",OFFSET(TH!M$1,SMALL(Dong,ROWS($1:4)),),0))</f>
        <v/>
      </c>
      <c r="H17" s="88" t="str">
        <f ca="1">IF(ROWS($1:4)&gt;COUNT(Dong),"",IF(OFFSET(TH!O$1,SMALL(Dong,ROWS($1:4)),)="331",OFFSET(TH!M$1,SMALL(Dong,ROWS($1:4)),),0))</f>
        <v/>
      </c>
      <c r="I17" s="25">
        <f t="shared" ca="1" si="0"/>
        <v>0</v>
      </c>
      <c r="J17" s="25">
        <f t="shared" ca="1" si="1"/>
        <v>0</v>
      </c>
    </row>
    <row r="18" spans="1:10" s="18" customFormat="1" ht="18" customHeight="1">
      <c r="A18" s="9" t="str">
        <f ca="1">IF(ROWS($1:5)&gt;COUNT(Dong),"",OFFSET(TH!C$1,SMALL(Dong,ROWS($1:5)),))</f>
        <v/>
      </c>
      <c r="B18" s="9" t="str">
        <f ca="1">IF(ROWS($1:5)&gt;COUNT(Dong),"",OFFSET(TH!D$1,SMALL(Dong,ROWS($1:5)),))</f>
        <v/>
      </c>
      <c r="C18" s="9" t="str">
        <f ca="1">IF(ROWS($1:5)&gt;COUNT(Dong),"",OFFSET(TH!E$1,SMALL(Dong,ROWS($1:5)),))</f>
        <v/>
      </c>
      <c r="D18" s="351" t="str">
        <f ca="1">IF(ROWS($1:5)&gt;COUNT(Dong),"",OFFSET(TH!F$1,SMALL(Dong,ROWS($1:5)),))</f>
        <v/>
      </c>
      <c r="E18" s="74" t="str">
        <f ca="1">IF(ROWS($1:5)&gt;COUNT(Dong),"",IF(OFFSET(TH!N$1,SMALL(Dong,ROWS($1:5)),)="331",OFFSET(TH!O$1,SMALL(Dong,ROWS($1:5)),),OFFSET(TH!N$1,SMALL(Dong,ROWS($1:5)),)))</f>
        <v/>
      </c>
      <c r="F18" s="74"/>
      <c r="G18" s="88" t="str">
        <f ca="1">IF(ROWS($1:5)&gt;COUNT(Dong),"",IF(OFFSET(TH!N$1,SMALL(Dong,ROWS($1:5)),)="331",OFFSET(TH!M$1,SMALL(Dong,ROWS($1:5)),),0))</f>
        <v/>
      </c>
      <c r="H18" s="88" t="str">
        <f ca="1">IF(ROWS($1:5)&gt;COUNT(Dong),"",IF(OFFSET(TH!O$1,SMALL(Dong,ROWS($1:5)),)="331",OFFSET(TH!M$1,SMALL(Dong,ROWS($1:5)),),0))</f>
        <v/>
      </c>
      <c r="I18" s="25">
        <f t="shared" ca="1" si="0"/>
        <v>0</v>
      </c>
      <c r="J18" s="25">
        <f t="shared" ca="1" si="1"/>
        <v>0</v>
      </c>
    </row>
    <row r="19" spans="1:10" s="18" customFormat="1" ht="18" customHeight="1">
      <c r="A19" s="9" t="str">
        <f ca="1">IF(ROWS($1:6)&gt;COUNT(Dong),"",OFFSET(TH!C$1,SMALL(Dong,ROWS($1:6)),))</f>
        <v/>
      </c>
      <c r="B19" s="9" t="str">
        <f ca="1">IF(ROWS($1:6)&gt;COUNT(Dong),"",OFFSET(TH!D$1,SMALL(Dong,ROWS($1:6)),))</f>
        <v/>
      </c>
      <c r="C19" s="9" t="str">
        <f ca="1">IF(ROWS($1:6)&gt;COUNT(Dong),"",OFFSET(TH!E$1,SMALL(Dong,ROWS($1:6)),))</f>
        <v/>
      </c>
      <c r="D19" s="351" t="str">
        <f ca="1">IF(ROWS($1:6)&gt;COUNT(Dong),"",OFFSET(TH!F$1,SMALL(Dong,ROWS($1:6)),))</f>
        <v/>
      </c>
      <c r="E19" s="74" t="str">
        <f ca="1">IF(ROWS($1:6)&gt;COUNT(Dong),"",IF(OFFSET(TH!N$1,SMALL(Dong,ROWS($1:6)),)="331",OFFSET(TH!O$1,SMALL(Dong,ROWS($1:6)),),OFFSET(TH!N$1,SMALL(Dong,ROWS($1:6)),)))</f>
        <v/>
      </c>
      <c r="F19" s="74"/>
      <c r="G19" s="88" t="str">
        <f ca="1">IF(ROWS($1:6)&gt;COUNT(Dong),"",IF(OFFSET(TH!N$1,SMALL(Dong,ROWS($1:6)),)="331",OFFSET(TH!M$1,SMALL(Dong,ROWS($1:6)),),0))</f>
        <v/>
      </c>
      <c r="H19" s="88" t="str">
        <f ca="1">IF(ROWS($1:6)&gt;COUNT(Dong),"",IF(OFFSET(TH!O$1,SMALL(Dong,ROWS($1:6)),)="331",OFFSET(TH!M$1,SMALL(Dong,ROWS($1:6)),),0))</f>
        <v/>
      </c>
      <c r="I19" s="25">
        <f t="shared" ca="1" si="0"/>
        <v>0</v>
      </c>
      <c r="J19" s="25">
        <f t="shared" ca="1" si="1"/>
        <v>0</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351" t="str">
        <f ca="1">IF(ROWS($1:7)&gt;COUNT(Dong),"",OFFSET(TH!F$1,SMALL(Dong,ROWS($1:7)),))</f>
        <v/>
      </c>
      <c r="E20" s="74" t="str">
        <f ca="1">IF(ROWS($1:7)&gt;COUNT(Dong),"",IF(OFFSET(TH!N$1,SMALL(Dong,ROWS($1:7)),)="331",OFFSET(TH!O$1,SMALL(Dong,ROWS($1:7)),),OFFSET(TH!N$1,SMALL(Dong,ROWS($1:7)),)))</f>
        <v/>
      </c>
      <c r="F20" s="74"/>
      <c r="G20" s="88" t="str">
        <f ca="1">IF(ROWS($1:7)&gt;COUNT(Dong),"",IF(OFFSET(TH!N$1,SMALL(Dong,ROWS($1:7)),)="331",OFFSET(TH!M$1,SMALL(Dong,ROWS($1:7)),),0))</f>
        <v/>
      </c>
      <c r="H20" s="88"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351" t="str">
        <f ca="1">IF(ROWS($1:8)&gt;COUNT(Dong),"",OFFSET(TH!F$1,SMALL(Dong,ROWS($1:8)),))</f>
        <v/>
      </c>
      <c r="E21" s="74" t="str">
        <f ca="1">IF(ROWS($1:8)&gt;COUNT(Dong),"",IF(OFFSET(TH!N$1,SMALL(Dong,ROWS($1:8)),)="331",OFFSET(TH!O$1,SMALL(Dong,ROWS($1:8)),),OFFSET(TH!N$1,SMALL(Dong,ROWS($1:8)),)))</f>
        <v/>
      </c>
      <c r="F21" s="74"/>
      <c r="G21" s="88" t="str">
        <f ca="1">IF(ROWS($1:8)&gt;COUNT(Dong),"",IF(OFFSET(TH!N$1,SMALL(Dong,ROWS($1:8)),)="331",OFFSET(TH!M$1,SMALL(Dong,ROWS($1:8)),),0))</f>
        <v/>
      </c>
      <c r="H21" s="88"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351" t="str">
        <f ca="1">IF(ROWS($1:9)&gt;COUNT(Dong),"",OFFSET(TH!F$1,SMALL(Dong,ROWS($1:9)),))</f>
        <v/>
      </c>
      <c r="E22" s="74" t="str">
        <f ca="1">IF(ROWS($1:9)&gt;COUNT(Dong),"",IF(OFFSET(TH!N$1,SMALL(Dong,ROWS($1:9)),)="331",OFFSET(TH!O$1,SMALL(Dong,ROWS($1:9)),),OFFSET(TH!N$1,SMALL(Dong,ROWS($1:9)),)))</f>
        <v/>
      </c>
      <c r="F22" s="74"/>
      <c r="G22" s="88" t="str">
        <f ca="1">IF(ROWS($1:9)&gt;COUNT(Dong),"",IF(OFFSET(TH!N$1,SMALL(Dong,ROWS($1:9)),)="331",OFFSET(TH!M$1,SMALL(Dong,ROWS($1:9)),),0))</f>
        <v/>
      </c>
      <c r="H22" s="88"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351" t="str">
        <f ca="1">IF(ROWS($1:10)&gt;COUNT(Dong),"",OFFSET(TH!F$1,SMALL(Dong,ROWS($1:10)),))</f>
        <v/>
      </c>
      <c r="E23" s="74" t="str">
        <f ca="1">IF(ROWS($1:10)&gt;COUNT(Dong),"",IF(OFFSET(TH!N$1,SMALL(Dong,ROWS($1:10)),)="331",OFFSET(TH!O$1,SMALL(Dong,ROWS($1:10)),),OFFSET(TH!N$1,SMALL(Dong,ROWS($1:10)),)))</f>
        <v/>
      </c>
      <c r="F23" s="74"/>
      <c r="G23" s="88" t="str">
        <f ca="1">IF(ROWS($1:10)&gt;COUNT(Dong),"",IF(OFFSET(TH!N$1,SMALL(Dong,ROWS($1:10)),)="331",OFFSET(TH!M$1,SMALL(Dong,ROWS($1:10)),),0))</f>
        <v/>
      </c>
      <c r="H23" s="88"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351" t="str">
        <f ca="1">IF(ROWS($1:11)&gt;COUNT(Dong),"",OFFSET(TH!F$1,SMALL(Dong,ROWS($1:11)),))</f>
        <v/>
      </c>
      <c r="E24" s="74" t="str">
        <f ca="1">IF(ROWS($1:11)&gt;COUNT(Dong),"",IF(OFFSET(TH!N$1,SMALL(Dong,ROWS($1:11)),)="331",OFFSET(TH!O$1,SMALL(Dong,ROWS($1:11)),),OFFSET(TH!N$1,SMALL(Dong,ROWS($1:11)),)))</f>
        <v/>
      </c>
      <c r="F24" s="74"/>
      <c r="G24" s="88" t="str">
        <f ca="1">IF(ROWS($1:11)&gt;COUNT(Dong),"",IF(OFFSET(TH!N$1,SMALL(Dong,ROWS($1:11)),)="331",OFFSET(TH!M$1,SMALL(Dong,ROWS($1:11)),),0))</f>
        <v/>
      </c>
      <c r="H24" s="88"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351" t="str">
        <f ca="1">IF(ROWS($1:12)&gt;COUNT(Dong),"",OFFSET(TH!F$1,SMALL(Dong,ROWS($1:12)),))</f>
        <v/>
      </c>
      <c r="E25" s="74" t="str">
        <f ca="1">IF(ROWS($1:12)&gt;COUNT(Dong),"",IF(OFFSET(TH!N$1,SMALL(Dong,ROWS($1:12)),)="331",OFFSET(TH!O$1,SMALL(Dong,ROWS($1:12)),),OFFSET(TH!N$1,SMALL(Dong,ROWS($1:12)),)))</f>
        <v/>
      </c>
      <c r="F25" s="74"/>
      <c r="G25" s="88" t="str">
        <f ca="1">IF(ROWS($1:12)&gt;COUNT(Dong),"",IF(OFFSET(TH!N$1,SMALL(Dong,ROWS($1:12)),)="331",OFFSET(TH!M$1,SMALL(Dong,ROWS($1:12)),),0))</f>
        <v/>
      </c>
      <c r="H25" s="88"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351" t="str">
        <f ca="1">IF(ROWS($1:13)&gt;COUNT(Dong),"",OFFSET(TH!F$1,SMALL(Dong,ROWS($1:13)),))</f>
        <v/>
      </c>
      <c r="E26" s="74" t="str">
        <f ca="1">IF(ROWS($1:13)&gt;COUNT(Dong),"",IF(OFFSET(TH!N$1,SMALL(Dong,ROWS($1:13)),)="331",OFFSET(TH!O$1,SMALL(Dong,ROWS($1:13)),),OFFSET(TH!N$1,SMALL(Dong,ROWS($1:13)),)))</f>
        <v/>
      </c>
      <c r="F26" s="74"/>
      <c r="G26" s="88" t="str">
        <f ca="1">IF(ROWS($1:13)&gt;COUNT(Dong),"",IF(OFFSET(TH!N$1,SMALL(Dong,ROWS($1:13)),)="331",OFFSET(TH!M$1,SMALL(Dong,ROWS($1:13)),),0))</f>
        <v/>
      </c>
      <c r="H26" s="88"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351" t="str">
        <f ca="1">IF(ROWS($1:14)&gt;COUNT(Dong),"",OFFSET(TH!F$1,SMALL(Dong,ROWS($1:14)),))</f>
        <v/>
      </c>
      <c r="E27" s="74" t="str">
        <f ca="1">IF(ROWS($1:14)&gt;COUNT(Dong),"",IF(OFFSET(TH!N$1,SMALL(Dong,ROWS($1:14)),)="331",OFFSET(TH!O$1,SMALL(Dong,ROWS($1:14)),),OFFSET(TH!N$1,SMALL(Dong,ROWS($1:14)),)))</f>
        <v/>
      </c>
      <c r="F27" s="74"/>
      <c r="G27" s="88" t="str">
        <f ca="1">IF(ROWS($1:14)&gt;COUNT(Dong),"",IF(OFFSET(TH!N$1,SMALL(Dong,ROWS($1:14)),)="331",OFFSET(TH!M$1,SMALL(Dong,ROWS($1:14)),),0))</f>
        <v/>
      </c>
      <c r="H27" s="88"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351" t="str">
        <f ca="1">IF(ROWS($1:15)&gt;COUNT(Dong),"",OFFSET(TH!F$1,SMALL(Dong,ROWS($1:15)),))</f>
        <v/>
      </c>
      <c r="E28" s="74" t="str">
        <f ca="1">IF(ROWS($1:15)&gt;COUNT(Dong),"",IF(OFFSET(TH!N$1,SMALL(Dong,ROWS($1:15)),)="331",OFFSET(TH!O$1,SMALL(Dong,ROWS($1:15)),),OFFSET(TH!N$1,SMALL(Dong,ROWS($1:15)),)))</f>
        <v/>
      </c>
      <c r="F28" s="74"/>
      <c r="G28" s="88" t="str">
        <f ca="1">IF(ROWS($1:15)&gt;COUNT(Dong),"",IF(OFFSET(TH!N$1,SMALL(Dong,ROWS($1:15)),)="331",OFFSET(TH!M$1,SMALL(Dong,ROWS($1:15)),),0))</f>
        <v/>
      </c>
      <c r="H28" s="88"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351" t="str">
        <f ca="1">IF(ROWS($1:16)&gt;COUNT(Dong),"",OFFSET(TH!F$1,SMALL(Dong,ROWS($1:16)),))</f>
        <v/>
      </c>
      <c r="E29" s="74" t="str">
        <f ca="1">IF(ROWS($1:16)&gt;COUNT(Dong),"",IF(OFFSET(TH!N$1,SMALL(Dong,ROWS($1:16)),)="331",OFFSET(TH!O$1,SMALL(Dong,ROWS($1:16)),),OFFSET(TH!N$1,SMALL(Dong,ROWS($1:16)),)))</f>
        <v/>
      </c>
      <c r="F29" s="74"/>
      <c r="G29" s="88" t="str">
        <f ca="1">IF(ROWS($1:16)&gt;COUNT(Dong),"",IF(OFFSET(TH!N$1,SMALL(Dong,ROWS($1:16)),)="331",OFFSET(TH!M$1,SMALL(Dong,ROWS($1:16)),),0))</f>
        <v/>
      </c>
      <c r="H29" s="88"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351" t="str">
        <f ca="1">IF(ROWS($1:17)&gt;COUNT(Dong),"",OFFSET(TH!F$1,SMALL(Dong,ROWS($1:17)),))</f>
        <v/>
      </c>
      <c r="E30" s="74" t="str">
        <f ca="1">IF(ROWS($1:17)&gt;COUNT(Dong),"",IF(OFFSET(TH!N$1,SMALL(Dong,ROWS($1:17)),)="331",OFFSET(TH!O$1,SMALL(Dong,ROWS($1:17)),),OFFSET(TH!N$1,SMALL(Dong,ROWS($1:17)),)))</f>
        <v/>
      </c>
      <c r="F30" s="74"/>
      <c r="G30" s="88" t="str">
        <f ca="1">IF(ROWS($1:17)&gt;COUNT(Dong),"",IF(OFFSET(TH!N$1,SMALL(Dong,ROWS($1:17)),)="331",OFFSET(TH!M$1,SMALL(Dong,ROWS($1:17)),),0))</f>
        <v/>
      </c>
      <c r="H30" s="88"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51" t="str">
        <f ca="1">IF(ROWS($1:18)&gt;COUNT(Dong),"",OFFSET(TH!F$1,SMALL(Dong,ROWS($1:18)),))</f>
        <v/>
      </c>
      <c r="E31" s="74" t="str">
        <f ca="1">IF(ROWS($1:18)&gt;COUNT(Dong),"",IF(OFFSET(TH!N$1,SMALL(Dong,ROWS($1:18)),)="331",OFFSET(TH!O$1,SMALL(Dong,ROWS($1:18)),),OFFSET(TH!N$1,SMALL(Dong,ROWS($1:18)),)))</f>
        <v/>
      </c>
      <c r="F31" s="74"/>
      <c r="G31" s="88" t="str">
        <f ca="1">IF(ROWS($1:18)&gt;COUNT(Dong),"",IF(OFFSET(TH!N$1,SMALL(Dong,ROWS($1:18)),)="331",OFFSET(TH!M$1,SMALL(Dong,ROWS($1:18)),),0))</f>
        <v/>
      </c>
      <c r="H31" s="88"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51" t="str">
        <f ca="1">IF(ROWS($1:19)&gt;COUNT(Dong),"",OFFSET(TH!F$1,SMALL(Dong,ROWS($1:19)),))</f>
        <v/>
      </c>
      <c r="E32" s="74" t="str">
        <f ca="1">IF(ROWS($1:19)&gt;COUNT(Dong),"",IF(OFFSET(TH!N$1,SMALL(Dong,ROWS($1:19)),)="331",OFFSET(TH!O$1,SMALL(Dong,ROWS($1:19)),),OFFSET(TH!N$1,SMALL(Dong,ROWS($1:19)),)))</f>
        <v/>
      </c>
      <c r="F32" s="74"/>
      <c r="G32" s="88" t="str">
        <f ca="1">IF(ROWS($1:19)&gt;COUNT(Dong),"",IF(OFFSET(TH!N$1,SMALL(Dong,ROWS($1:19)),)="331",OFFSET(TH!M$1,SMALL(Dong,ROWS($1:19)),),0))</f>
        <v/>
      </c>
      <c r="H32" s="88"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51" t="str">
        <f ca="1">IF(ROWS($1:20)&gt;COUNT(Dong),"",OFFSET(TH!F$1,SMALL(Dong,ROWS($1:20)),))</f>
        <v/>
      </c>
      <c r="E33" s="74" t="str">
        <f ca="1">IF(ROWS($1:20)&gt;COUNT(Dong),"",IF(OFFSET(TH!N$1,SMALL(Dong,ROWS($1:20)),)="331",OFFSET(TH!O$1,SMALL(Dong,ROWS($1:20)),),OFFSET(TH!N$1,SMALL(Dong,ROWS($1:20)),)))</f>
        <v/>
      </c>
      <c r="F33" s="74"/>
      <c r="G33" s="88" t="str">
        <f ca="1">IF(ROWS($1:20)&gt;COUNT(Dong),"",IF(OFFSET(TH!N$1,SMALL(Dong,ROWS($1:20)),)="331",OFFSET(TH!M$1,SMALL(Dong,ROWS($1:20)),),0))</f>
        <v/>
      </c>
      <c r="H33" s="88"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3" t="str">
        <f ca="1">IF(ROWS($1:21)&gt;COUNT(Dong),"",OFFSET(TH!F$1,SMALL(Dong,ROWS($1:21)),))</f>
        <v/>
      </c>
      <c r="E34" s="74" t="str">
        <f ca="1">IF(ROWS($1:21)&gt;COUNT(Dong),"",IF(OFFSET(TH!N$1,SMALL(Dong,ROWS($1:21)),)="331",OFFSET(TH!O$1,SMALL(Dong,ROWS($1:21)),),OFFSET(TH!N$1,SMALL(Dong,ROWS($1:21)),)))</f>
        <v/>
      </c>
      <c r="F34" s="74"/>
      <c r="G34" s="88" t="str">
        <f ca="1">IF(ROWS($1:21)&gt;COUNT(Dong),"",IF(OFFSET(TH!N$1,SMALL(Dong,ROWS($1:21)),)="331",OFFSET(TH!M$1,SMALL(Dong,ROWS($1:21)),),0))</f>
        <v/>
      </c>
      <c r="H34" s="88"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3" t="str">
        <f ca="1">IF(ROWS($1:22)&gt;COUNT(Dong),"",OFFSET(TH!F$1,SMALL(Dong,ROWS($1:22)),))</f>
        <v/>
      </c>
      <c r="E35" s="74" t="str">
        <f ca="1">IF(ROWS($1:22)&gt;COUNT(Dong),"",IF(OFFSET(TH!N$1,SMALL(Dong,ROWS($1:22)),)="331",OFFSET(TH!O$1,SMALL(Dong,ROWS($1:22)),),OFFSET(TH!N$1,SMALL(Dong,ROWS($1:22)),)))</f>
        <v/>
      </c>
      <c r="F35" s="74"/>
      <c r="G35" s="88" t="str">
        <f ca="1">IF(ROWS($1:22)&gt;COUNT(Dong),"",IF(OFFSET(TH!N$1,SMALL(Dong,ROWS($1:22)),)="331",OFFSET(TH!M$1,SMALL(Dong,ROWS($1:22)),),0))</f>
        <v/>
      </c>
      <c r="H35" s="88"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3" t="str">
        <f ca="1">IF(ROWS($1:23)&gt;COUNT(Dong),"",OFFSET(TH!F$1,SMALL(Dong,ROWS($1:23)),))</f>
        <v/>
      </c>
      <c r="E36" s="74" t="str">
        <f ca="1">IF(ROWS($1:23)&gt;COUNT(Dong),"",IF(OFFSET(TH!N$1,SMALL(Dong,ROWS($1:23)),)="331",OFFSET(TH!O$1,SMALL(Dong,ROWS($1:23)),),OFFSET(TH!N$1,SMALL(Dong,ROWS($1:23)),)))</f>
        <v/>
      </c>
      <c r="F36" s="74"/>
      <c r="G36" s="88" t="str">
        <f ca="1">IF(ROWS($1:23)&gt;COUNT(Dong),"",IF(OFFSET(TH!N$1,SMALL(Dong,ROWS($1:23)),)="331",OFFSET(TH!M$1,SMALL(Dong,ROWS($1:23)),),0))</f>
        <v/>
      </c>
      <c r="H36" s="88"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3" t="str">
        <f ca="1">IF(ROWS($1:24)&gt;COUNT(Dong),"",OFFSET(TH!F$1,SMALL(Dong,ROWS($1:24)),))</f>
        <v/>
      </c>
      <c r="E37" s="74" t="str">
        <f ca="1">IF(ROWS($1:24)&gt;COUNT(Dong),"",IF(OFFSET(TH!N$1,SMALL(Dong,ROWS($1:24)),)="331",OFFSET(TH!O$1,SMALL(Dong,ROWS($1:24)),),OFFSET(TH!N$1,SMALL(Dong,ROWS($1:24)),)))</f>
        <v/>
      </c>
      <c r="F37" s="74"/>
      <c r="G37" s="88" t="str">
        <f ca="1">IF(ROWS($1:24)&gt;COUNT(Dong),"",IF(OFFSET(TH!N$1,SMALL(Dong,ROWS($1:24)),)="331",OFFSET(TH!M$1,SMALL(Dong,ROWS($1:24)),),0))</f>
        <v/>
      </c>
      <c r="H37" s="88"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3" t="str">
        <f ca="1">IF(ROWS($1:25)&gt;COUNT(Dong),"",OFFSET(TH!F$1,SMALL(Dong,ROWS($1:25)),))</f>
        <v/>
      </c>
      <c r="E38" s="74" t="str">
        <f ca="1">IF(ROWS($1:25)&gt;COUNT(Dong),"",IF(OFFSET(TH!N$1,SMALL(Dong,ROWS($1:25)),)="331",OFFSET(TH!O$1,SMALL(Dong,ROWS($1:25)),),OFFSET(TH!N$1,SMALL(Dong,ROWS($1:25)),)))</f>
        <v/>
      </c>
      <c r="F38" s="74"/>
      <c r="G38" s="88" t="str">
        <f ca="1">IF(ROWS($1:25)&gt;COUNT(Dong),"",IF(OFFSET(TH!N$1,SMALL(Dong,ROWS($1:25)),)="331",OFFSET(TH!M$1,SMALL(Dong,ROWS($1:25)),),0))</f>
        <v/>
      </c>
      <c r="H38" s="88" t="str">
        <f ca="1">IF(ROWS($1:25)&gt;COUNT(Dong),"",IF(OFFSET(TH!O$1,SMALL(Dong,ROWS($1:25)),)="331",OFFSET(TH!M$1,SMALL(Dong,ROWS($1:25)),),0))</f>
        <v/>
      </c>
      <c r="I38" s="25">
        <f ca="1">IF(D38&lt;&gt;"",MAX(I37+G38-H38-J37,0),0)</f>
        <v>0</v>
      </c>
      <c r="J38" s="25">
        <f ca="1">IF(D38&lt;&gt;"",MAX(J37+H38-I37-G38,0),0)</f>
        <v>0</v>
      </c>
    </row>
    <row r="39" spans="1:11" s="18" customFormat="1" ht="18" customHeight="1">
      <c r="A39" s="345"/>
      <c r="B39" s="345"/>
      <c r="C39" s="345"/>
      <c r="D39" s="346"/>
      <c r="E39" s="347"/>
      <c r="F39" s="347"/>
      <c r="G39" s="348"/>
      <c r="H39" s="348"/>
      <c r="I39" s="349"/>
      <c r="J39" s="349"/>
    </row>
    <row r="40" spans="1:11" s="18" customFormat="1" ht="18" customHeight="1">
      <c r="A40" s="24"/>
      <c r="B40" s="21"/>
      <c r="C40" s="26"/>
      <c r="D40" s="23" t="s">
        <v>35</v>
      </c>
      <c r="E40" s="21" t="s">
        <v>21</v>
      </c>
      <c r="F40" s="21" t="s">
        <v>21</v>
      </c>
      <c r="G40" s="27">
        <f ca="1">SUM(G14:G30)</f>
        <v>0</v>
      </c>
      <c r="H40" s="27">
        <f ca="1">SUM(H14:H30)</f>
        <v>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122052632</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137" t="s">
        <v>176</v>
      </c>
      <c r="F45" s="1137"/>
      <c r="G45" s="1137"/>
      <c r="H45" s="1137"/>
      <c r="I45" s="1137"/>
      <c r="J45" s="1137"/>
    </row>
    <row r="46" spans="1:11" s="18" customFormat="1" ht="14.25" customHeight="1">
      <c r="C46" s="335" t="s">
        <v>11</v>
      </c>
      <c r="E46" s="1137" t="s">
        <v>12</v>
      </c>
      <c r="F46" s="1137"/>
      <c r="G46" s="1137"/>
      <c r="H46" s="1137"/>
      <c r="I46" s="1137"/>
      <c r="J46" s="1137"/>
    </row>
    <row r="47" spans="1:11" s="18" customFormat="1" ht="14.25" customHeight="1">
      <c r="C47" s="335" t="s">
        <v>13</v>
      </c>
      <c r="E47" s="1137" t="s">
        <v>13</v>
      </c>
      <c r="F47" s="1137"/>
      <c r="G47" s="1137"/>
      <c r="H47" s="1137"/>
      <c r="I47" s="1137"/>
      <c r="J47" s="1137"/>
    </row>
    <row r="48" spans="1:11" s="29" customFormat="1"/>
    <row r="54" spans="3:3" ht="15">
      <c r="C54" s="350"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11" activePane="bottomLeft" state="frozen"/>
      <selection activeCell="G34" sqref="G34"/>
      <selection pane="bottomLeft" activeCell="C28" sqref="C28"/>
    </sheetView>
  </sheetViews>
  <sheetFormatPr defaultColWidth="8" defaultRowHeight="13.5"/>
  <cols>
    <col min="1" max="1" width="4.28515625" style="217" customWidth="1"/>
    <col min="2" max="2" width="21.85546875" style="217" customWidth="1"/>
    <col min="3" max="3" width="8.7109375" style="217" customWidth="1"/>
    <col min="4" max="4" width="8.7109375" style="217" hidden="1" customWidth="1"/>
    <col min="5" max="5" width="8.140625" style="217" customWidth="1"/>
    <col min="6" max="6" width="11" style="217" customWidth="1"/>
    <col min="7" max="7" width="8.140625" style="217" customWidth="1"/>
    <col min="8" max="8" width="13.7109375" style="217" customWidth="1"/>
    <col min="9" max="9" width="7.85546875" style="217" customWidth="1"/>
    <col min="10" max="10" width="12.42578125" style="217" customWidth="1"/>
    <col min="11" max="11" width="8.140625" style="217" customWidth="1"/>
    <col min="12" max="12" width="13.7109375" style="217" customWidth="1"/>
    <col min="13" max="13" width="8.140625" style="217" customWidth="1"/>
    <col min="14" max="14" width="10.140625" style="217" customWidth="1"/>
    <col min="15" max="15" width="10.85546875" style="217" customWidth="1"/>
    <col min="16" max="16" width="14" style="217" customWidth="1"/>
    <col min="17" max="16384" width="8" style="217"/>
  </cols>
  <sheetData>
    <row r="1" spans="1:16" ht="21.75" customHeight="1">
      <c r="A1" s="1172" t="s">
        <v>177</v>
      </c>
      <c r="B1" s="1172"/>
      <c r="C1" s="1172"/>
      <c r="D1" s="1172"/>
      <c r="E1" s="1172"/>
      <c r="F1" s="1172"/>
      <c r="G1" s="1172"/>
      <c r="H1" s="1172"/>
      <c r="I1" s="1172"/>
      <c r="J1" s="1172"/>
      <c r="K1" s="1172"/>
      <c r="L1" s="1172"/>
      <c r="M1" s="1172"/>
      <c r="N1" s="1172"/>
      <c r="O1" s="1172"/>
      <c r="P1" s="1172"/>
    </row>
    <row r="2" spans="1:16" s="10" customFormat="1" ht="15.75" customHeight="1">
      <c r="A2" s="1192" t="s">
        <v>37</v>
      </c>
      <c r="B2" s="1194" t="s">
        <v>178</v>
      </c>
      <c r="C2" s="1194" t="s">
        <v>179</v>
      </c>
      <c r="D2" s="1194" t="s">
        <v>181</v>
      </c>
      <c r="E2" s="1171" t="s">
        <v>39</v>
      </c>
      <c r="F2" s="1171"/>
      <c r="G2" s="1171"/>
      <c r="H2" s="1171"/>
      <c r="I2" s="1171" t="s">
        <v>40</v>
      </c>
      <c r="J2" s="1171"/>
      <c r="K2" s="1171"/>
      <c r="L2" s="1171"/>
      <c r="M2" s="1169" t="s">
        <v>44</v>
      </c>
      <c r="N2" s="1204"/>
      <c r="O2" s="1204"/>
      <c r="P2" s="1170"/>
    </row>
    <row r="3" spans="1:16" s="10" customFormat="1" ht="15.75" customHeight="1">
      <c r="A3" s="1193"/>
      <c r="B3" s="1195"/>
      <c r="C3" s="1195"/>
      <c r="D3" s="1195"/>
      <c r="E3" s="1171" t="s">
        <v>45</v>
      </c>
      <c r="F3" s="1171"/>
      <c r="G3" s="1171" t="s">
        <v>46</v>
      </c>
      <c r="H3" s="1171"/>
      <c r="I3" s="1171" t="s">
        <v>45</v>
      </c>
      <c r="J3" s="1171"/>
      <c r="K3" s="1171" t="s">
        <v>46</v>
      </c>
      <c r="L3" s="1171"/>
      <c r="M3" s="1171" t="s">
        <v>45</v>
      </c>
      <c r="N3" s="1171"/>
      <c r="O3" s="1171" t="s">
        <v>46</v>
      </c>
      <c r="P3" s="1171"/>
    </row>
    <row r="4" spans="1:16" s="10" customFormat="1" ht="15.75" customHeight="1">
      <c r="A4" s="1193"/>
      <c r="B4" s="1195"/>
      <c r="C4" s="1195"/>
      <c r="D4" s="1195"/>
      <c r="E4" s="318" t="s">
        <v>228</v>
      </c>
      <c r="F4" s="318" t="s">
        <v>229</v>
      </c>
      <c r="G4" s="318" t="s">
        <v>228</v>
      </c>
      <c r="H4" s="318" t="s">
        <v>229</v>
      </c>
      <c r="I4" s="318" t="s">
        <v>228</v>
      </c>
      <c r="J4" s="318" t="s">
        <v>229</v>
      </c>
      <c r="K4" s="318" t="s">
        <v>228</v>
      </c>
      <c r="L4" s="318" t="s">
        <v>229</v>
      </c>
      <c r="M4" s="318" t="s">
        <v>228</v>
      </c>
      <c r="N4" s="318" t="s">
        <v>229</v>
      </c>
      <c r="O4" s="318" t="s">
        <v>228</v>
      </c>
      <c r="P4" s="318" t="s">
        <v>229</v>
      </c>
    </row>
    <row r="5" spans="1:16" s="10" customFormat="1" ht="18" customHeight="1">
      <c r="A5" s="837">
        <f>IF(B5&lt;&gt;"",ROW()-4,"")</f>
        <v>1</v>
      </c>
      <c r="B5" s="7" t="s">
        <v>628</v>
      </c>
      <c r="C5" s="218">
        <v>40200</v>
      </c>
      <c r="D5" s="218">
        <v>0</v>
      </c>
      <c r="E5" s="319">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21">
        <f>ROUND(MAX(E5+I5-G5-K5,0),2)</f>
        <v>0</v>
      </c>
      <c r="N5" s="221">
        <f t="shared" ref="N5:N18" si="0">ROUND(MAX(F5+J5-H5-L5,0),2)</f>
        <v>0</v>
      </c>
      <c r="O5" s="221">
        <f t="shared" ref="O5:P19" si="1">ROUND(MAX(G5+K5-E5-I5,0),2)</f>
        <v>13915</v>
      </c>
      <c r="P5" s="221">
        <f t="shared" si="1"/>
        <v>312878775</v>
      </c>
    </row>
    <row r="6" spans="1:16" s="10" customFormat="1" ht="18" customHeight="1">
      <c r="A6" s="837">
        <f t="shared" ref="A6:A33" si="2">IF(B6&lt;&gt;"",ROW()-4,"")</f>
        <v>2</v>
      </c>
      <c r="B6" s="7" t="s">
        <v>624</v>
      </c>
      <c r="C6" s="218">
        <v>40964</v>
      </c>
      <c r="D6" s="218">
        <v>0</v>
      </c>
      <c r="E6" s="218">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21">
        <f t="shared" ref="M6:M19" si="3">ROUND(MAX(E6+I6-G6-K6,0),2)</f>
        <v>0</v>
      </c>
      <c r="N6" s="221">
        <f t="shared" si="0"/>
        <v>0</v>
      </c>
      <c r="O6" s="221">
        <f t="shared" si="1"/>
        <v>33319.39</v>
      </c>
      <c r="P6" s="221">
        <f t="shared" si="1"/>
        <v>749186484</v>
      </c>
    </row>
    <row r="7" spans="1:16" s="10" customFormat="1" ht="18" customHeight="1">
      <c r="A7" s="837">
        <f t="shared" si="2"/>
        <v>3</v>
      </c>
      <c r="B7" s="7" t="s">
        <v>625</v>
      </c>
      <c r="C7" s="218">
        <v>40964</v>
      </c>
      <c r="D7" s="218">
        <v>0</v>
      </c>
      <c r="E7" s="218">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21">
        <f t="shared" si="3"/>
        <v>0</v>
      </c>
      <c r="N7" s="221">
        <f t="shared" si="0"/>
        <v>0</v>
      </c>
      <c r="O7" s="221">
        <f t="shared" si="1"/>
        <v>20515.96</v>
      </c>
      <c r="P7" s="221">
        <f t="shared" si="1"/>
        <v>461301361</v>
      </c>
    </row>
    <row r="8" spans="1:16" s="10" customFormat="1" ht="18" customHeight="1">
      <c r="A8" s="837">
        <f t="shared" si="2"/>
        <v>4</v>
      </c>
      <c r="B8" s="7" t="s">
        <v>629</v>
      </c>
      <c r="C8" s="218">
        <v>40964</v>
      </c>
      <c r="D8" s="218">
        <v>0</v>
      </c>
      <c r="E8" s="218">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21">
        <f t="shared" si="3"/>
        <v>0</v>
      </c>
      <c r="N8" s="221">
        <f t="shared" si="0"/>
        <v>0</v>
      </c>
      <c r="O8" s="221">
        <f t="shared" si="1"/>
        <v>28719.38</v>
      </c>
      <c r="P8" s="221">
        <f t="shared" si="1"/>
        <v>645755259</v>
      </c>
    </row>
    <row r="9" spans="1:16" s="10" customFormat="1" ht="18" customHeight="1">
      <c r="A9" s="837">
        <f t="shared" si="2"/>
        <v>5</v>
      </c>
      <c r="B9" s="7" t="s">
        <v>626</v>
      </c>
      <c r="C9" s="218">
        <v>42205</v>
      </c>
      <c r="D9" s="218">
        <v>0</v>
      </c>
      <c r="E9" s="218">
        <v>0</v>
      </c>
      <c r="F9" s="8">
        <v>0</v>
      </c>
      <c r="G9" s="8">
        <v>97000</v>
      </c>
      <c r="H9" s="8">
        <v>2117025000</v>
      </c>
      <c r="I9" s="25">
        <f t="array" ref="I9">SUM(IF("341"&amp;B9=LEFT(KHN,3)&amp;KH,_TH))</f>
        <v>0</v>
      </c>
      <c r="J9" s="8">
        <f t="array" ref="J9">SUM(IF("341"&amp;B9=LEFT(KHN,3)&amp;KH,TH))</f>
        <v>0</v>
      </c>
      <c r="K9" s="8">
        <f t="array" ref="K9">SUM(IF("341"&amp;B9=LEFT(KHC,3)&amp;KH,_TH))</f>
        <v>0</v>
      </c>
      <c r="L9" s="8">
        <f t="array" ref="L9">SUM(IF("341"&amp;B9=LEFT(KHC,3)&amp;KH,TH))</f>
        <v>0</v>
      </c>
      <c r="M9" s="221">
        <f t="shared" si="3"/>
        <v>0</v>
      </c>
      <c r="N9" s="221">
        <f t="shared" si="0"/>
        <v>0</v>
      </c>
      <c r="O9" s="221">
        <f t="shared" si="1"/>
        <v>97000</v>
      </c>
      <c r="P9" s="221">
        <f t="shared" si="1"/>
        <v>2117025000</v>
      </c>
    </row>
    <row r="10" spans="1:16" s="10" customFormat="1" ht="18" customHeight="1">
      <c r="A10" s="837">
        <f t="shared" si="2"/>
        <v>6</v>
      </c>
      <c r="B10" s="7" t="s">
        <v>630</v>
      </c>
      <c r="C10" s="218">
        <v>42247</v>
      </c>
      <c r="D10" s="218">
        <v>0</v>
      </c>
      <c r="E10" s="218">
        <v>0</v>
      </c>
      <c r="F10" s="8">
        <v>0</v>
      </c>
      <c r="G10" s="8">
        <v>82000</v>
      </c>
      <c r="H10" s="8">
        <v>1842950000</v>
      </c>
      <c r="I10" s="25">
        <f t="array" ref="I10">SUM(IF("341"&amp;B10=LEFT(KHN,3)&amp;KH,_TH))</f>
        <v>0</v>
      </c>
      <c r="J10" s="8">
        <f t="array" ref="J10">SUM(IF("341"&amp;B10=LEFT(KHN,3)&amp;KH,TH))</f>
        <v>0</v>
      </c>
      <c r="K10" s="8">
        <f t="array" ref="K10">SUM(IF("341"&amp;B10=LEFT(KHC,3)&amp;KH,_TH))</f>
        <v>0</v>
      </c>
      <c r="L10" s="8">
        <f t="array" ref="L10">SUM(IF("341"&amp;B10=LEFT(KHC,3)&amp;KH,TH))</f>
        <v>0</v>
      </c>
      <c r="M10" s="221">
        <f t="shared" si="3"/>
        <v>0</v>
      </c>
      <c r="N10" s="221">
        <f t="shared" si="0"/>
        <v>0</v>
      </c>
      <c r="O10" s="221">
        <f t="shared" si="1"/>
        <v>82000</v>
      </c>
      <c r="P10" s="221">
        <f t="shared" si="1"/>
        <v>1842950000</v>
      </c>
    </row>
    <row r="11" spans="1:16" s="10" customFormat="1" ht="18" customHeight="1">
      <c r="A11" s="837">
        <f t="shared" si="2"/>
        <v>7</v>
      </c>
      <c r="B11" s="7" t="s">
        <v>631</v>
      </c>
      <c r="C11" s="218">
        <v>42248</v>
      </c>
      <c r="D11" s="218">
        <v>0</v>
      </c>
      <c r="E11" s="218">
        <v>0</v>
      </c>
      <c r="F11" s="8">
        <v>0</v>
      </c>
      <c r="G11" s="8">
        <v>40000</v>
      </c>
      <c r="H11" s="8">
        <v>899520000</v>
      </c>
      <c r="I11" s="25">
        <f t="array" ref="I11">SUM(IF("341"&amp;B11=LEFT(KHN,3)&amp;KH,_TH))</f>
        <v>0</v>
      </c>
      <c r="J11" s="8">
        <f t="array" ref="J11">SUM(IF("341"&amp;B11=LEFT(KHN,3)&amp;KH,TH))</f>
        <v>0</v>
      </c>
      <c r="K11" s="8">
        <f t="array" ref="K11">SUM(IF("341"&amp;B11=LEFT(KHC,3)&amp;KH,_TH))</f>
        <v>0</v>
      </c>
      <c r="L11" s="8">
        <f t="array" ref="L11">SUM(IF("341"&amp;B11=LEFT(KHC,3)&amp;KH,TH))</f>
        <v>0</v>
      </c>
      <c r="M11" s="221">
        <f t="shared" si="3"/>
        <v>0</v>
      </c>
      <c r="N11" s="221">
        <f t="shared" si="0"/>
        <v>0</v>
      </c>
      <c r="O11" s="221">
        <f t="shared" si="1"/>
        <v>40000</v>
      </c>
      <c r="P11" s="221">
        <f t="shared" si="1"/>
        <v>899520000</v>
      </c>
    </row>
    <row r="12" spans="1:16" s="10" customFormat="1" ht="18" customHeight="1">
      <c r="A12" s="837">
        <f t="shared" si="2"/>
        <v>8</v>
      </c>
      <c r="B12" s="7" t="s">
        <v>632</v>
      </c>
      <c r="C12" s="218">
        <v>42251</v>
      </c>
      <c r="D12" s="218">
        <v>0</v>
      </c>
      <c r="E12" s="218">
        <v>0</v>
      </c>
      <c r="F12" s="8">
        <v>0</v>
      </c>
      <c r="G12" s="8">
        <v>50000</v>
      </c>
      <c r="H12" s="8">
        <v>1124250000</v>
      </c>
      <c r="I12" s="25">
        <f t="array" ref="I12">SUM(IF("341"&amp;B12=LEFT(KHN,3)&amp;KH,_TH))</f>
        <v>0</v>
      </c>
      <c r="J12" s="8">
        <f t="array" ref="J12">SUM(IF("341"&amp;B12=LEFT(KHN,3)&amp;KH,TH))</f>
        <v>0</v>
      </c>
      <c r="K12" s="8">
        <f t="array" ref="K12">SUM(IF("341"&amp;B12=LEFT(KHC,3)&amp;KH,_TH))</f>
        <v>0</v>
      </c>
      <c r="L12" s="8">
        <f t="array" ref="L12">SUM(IF("341"&amp;B12=LEFT(KHC,3)&amp;KH,TH))</f>
        <v>0</v>
      </c>
      <c r="M12" s="221">
        <f t="shared" si="3"/>
        <v>0</v>
      </c>
      <c r="N12" s="221">
        <f t="shared" si="0"/>
        <v>0</v>
      </c>
      <c r="O12" s="221">
        <f t="shared" si="1"/>
        <v>50000</v>
      </c>
      <c r="P12" s="221">
        <f t="shared" si="1"/>
        <v>1124250000</v>
      </c>
    </row>
    <row r="13" spans="1:16" s="10" customFormat="1" ht="18" customHeight="1">
      <c r="A13" s="837">
        <f t="shared" si="2"/>
        <v>9</v>
      </c>
      <c r="B13" s="7" t="s">
        <v>633</v>
      </c>
      <c r="C13" s="218">
        <v>42278</v>
      </c>
      <c r="D13" s="218">
        <v>0</v>
      </c>
      <c r="E13" s="218">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21">
        <f t="shared" si="3"/>
        <v>0</v>
      </c>
      <c r="N13" s="221">
        <f t="shared" si="0"/>
        <v>0</v>
      </c>
      <c r="O13" s="221">
        <f t="shared" si="1"/>
        <v>89500</v>
      </c>
      <c r="P13" s="221">
        <f t="shared" si="1"/>
        <v>2011244000</v>
      </c>
    </row>
    <row r="14" spans="1:16" s="10" customFormat="1" ht="18" customHeight="1">
      <c r="A14" s="837">
        <f t="shared" si="2"/>
        <v>10</v>
      </c>
      <c r="B14" s="7" t="s">
        <v>634</v>
      </c>
      <c r="C14" s="218">
        <v>42279</v>
      </c>
      <c r="D14" s="218">
        <v>0</v>
      </c>
      <c r="E14" s="218">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21">
        <f t="shared" si="3"/>
        <v>0</v>
      </c>
      <c r="N14" s="221">
        <f t="shared" si="0"/>
        <v>0</v>
      </c>
      <c r="O14" s="221">
        <f t="shared" si="1"/>
        <v>89000</v>
      </c>
      <c r="P14" s="221">
        <f t="shared" si="1"/>
        <v>2001165000</v>
      </c>
    </row>
    <row r="15" spans="1:16" s="10" customFormat="1" ht="18" customHeight="1">
      <c r="A15" s="837">
        <f t="shared" si="2"/>
        <v>11</v>
      </c>
      <c r="B15" s="7" t="s">
        <v>635</v>
      </c>
      <c r="C15" s="218">
        <v>42339</v>
      </c>
      <c r="D15" s="218">
        <v>0</v>
      </c>
      <c r="E15" s="218">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21">
        <f t="shared" si="3"/>
        <v>0</v>
      </c>
      <c r="N15" s="221">
        <f t="shared" si="0"/>
        <v>0</v>
      </c>
      <c r="O15" s="221">
        <f t="shared" si="1"/>
        <v>89000</v>
      </c>
      <c r="P15" s="221">
        <f t="shared" si="1"/>
        <v>2001343000</v>
      </c>
    </row>
    <row r="16" spans="1:16" s="10" customFormat="1" ht="18" customHeight="1">
      <c r="A16" s="837">
        <f t="shared" si="2"/>
        <v>12</v>
      </c>
      <c r="B16" s="7" t="s">
        <v>636</v>
      </c>
      <c r="C16" s="218">
        <v>42360</v>
      </c>
      <c r="D16" s="218">
        <v>0</v>
      </c>
      <c r="E16" s="218">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21">
        <f t="shared" si="3"/>
        <v>0</v>
      </c>
      <c r="N16" s="221">
        <f t="shared" si="0"/>
        <v>0</v>
      </c>
      <c r="O16" s="221">
        <f t="shared" si="1"/>
        <v>88000</v>
      </c>
      <c r="P16" s="221">
        <f t="shared" si="1"/>
        <v>1983520000</v>
      </c>
    </row>
    <row r="17" spans="1:16" s="10" customFormat="1" ht="18" customHeight="1">
      <c r="A17" s="837">
        <f t="shared" si="2"/>
        <v>13</v>
      </c>
      <c r="B17" s="7" t="s">
        <v>627</v>
      </c>
      <c r="C17" s="218">
        <v>42234</v>
      </c>
      <c r="D17" s="218">
        <v>0</v>
      </c>
      <c r="E17" s="218">
        <v>0</v>
      </c>
      <c r="F17" s="8">
        <v>0</v>
      </c>
      <c r="G17" s="8">
        <v>52300</v>
      </c>
      <c r="H17" s="8">
        <v>1154784000</v>
      </c>
      <c r="I17" s="25">
        <f t="array" ref="I17">SUM(IF("341"&amp;B17=LEFT(KHN,3)&amp;KH,_TH))</f>
        <v>0</v>
      </c>
      <c r="J17" s="8">
        <f t="array" ref="J17">SUM(IF("341"&amp;B17=LEFT(KHN,3)&amp;KH,TH))</f>
        <v>0</v>
      </c>
      <c r="K17" s="8">
        <f t="array" ref="K17">SUM(IF("341"&amp;B17=LEFT(KHC,3)&amp;KH,_TH))</f>
        <v>0</v>
      </c>
      <c r="L17" s="8">
        <f t="array" ref="L17">SUM(IF("341"&amp;B17=LEFT(KHC,3)&amp;KH,TH))</f>
        <v>0</v>
      </c>
      <c r="M17" s="221">
        <f t="shared" si="3"/>
        <v>0</v>
      </c>
      <c r="N17" s="221">
        <f t="shared" si="0"/>
        <v>0</v>
      </c>
      <c r="O17" s="221">
        <f t="shared" si="1"/>
        <v>52300</v>
      </c>
      <c r="P17" s="221">
        <f>ROUND(MAX(H17+L17-F17-J17,0),2)</f>
        <v>1154784000</v>
      </c>
    </row>
    <row r="18" spans="1:16" s="10" customFormat="1" ht="18" customHeight="1">
      <c r="A18" s="837">
        <f t="shared" si="2"/>
        <v>14</v>
      </c>
      <c r="B18" s="7" t="s">
        <v>637</v>
      </c>
      <c r="C18" s="218">
        <v>42340</v>
      </c>
      <c r="D18" s="218">
        <v>0</v>
      </c>
      <c r="E18" s="218">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21">
        <f t="shared" si="3"/>
        <v>0</v>
      </c>
      <c r="N18" s="221">
        <f t="shared" si="0"/>
        <v>0</v>
      </c>
      <c r="O18" s="221">
        <f t="shared" si="1"/>
        <v>70900</v>
      </c>
      <c r="P18" s="221">
        <f t="shared" si="1"/>
        <v>1595604500</v>
      </c>
    </row>
    <row r="19" spans="1:16" s="10" customFormat="1" ht="18" customHeight="1">
      <c r="A19" s="837">
        <f t="shared" si="2"/>
        <v>15</v>
      </c>
      <c r="B19" s="7" t="s">
        <v>638</v>
      </c>
      <c r="C19" s="218">
        <v>42346</v>
      </c>
      <c r="D19" s="218">
        <v>0</v>
      </c>
      <c r="E19" s="218">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21">
        <f t="shared" si="3"/>
        <v>0</v>
      </c>
      <c r="N19" s="221">
        <f t="shared" ref="N19:N26" si="4">ROUND(MAX(F19+J19-H19-L19,0),2)</f>
        <v>0</v>
      </c>
      <c r="O19" s="221">
        <f t="shared" si="1"/>
        <v>62000</v>
      </c>
      <c r="P19" s="221">
        <f t="shared" ref="P19:P26" si="5">ROUND(MAX(H19+L19-F19-J19,0),2)</f>
        <v>1392210000</v>
      </c>
    </row>
    <row r="20" spans="1:16" s="10" customFormat="1" ht="18" customHeight="1">
      <c r="A20" s="837">
        <f t="shared" si="2"/>
        <v>16</v>
      </c>
      <c r="B20" s="7" t="s">
        <v>639</v>
      </c>
      <c r="C20" s="218">
        <v>42348</v>
      </c>
      <c r="D20" s="218">
        <v>0</v>
      </c>
      <c r="E20" s="218">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21">
        <f t="shared" ref="M20:M26" si="6">ROUND(MAX(E20+I20-G20-K20,0),2)</f>
        <v>0</v>
      </c>
      <c r="N20" s="221">
        <f t="shared" si="4"/>
        <v>0</v>
      </c>
      <c r="O20" s="221">
        <f t="shared" ref="O20:O26" si="7">ROUND(MAX(G20+K20-E20-I20,0),2)</f>
        <v>33000</v>
      </c>
      <c r="P20" s="221">
        <f t="shared" si="5"/>
        <v>741675000</v>
      </c>
    </row>
    <row r="21" spans="1:16" s="10" customFormat="1" ht="18" customHeight="1">
      <c r="A21" s="837">
        <f t="shared" si="2"/>
        <v>17</v>
      </c>
      <c r="B21" s="7" t="s">
        <v>640</v>
      </c>
      <c r="C21" s="218">
        <v>42363</v>
      </c>
      <c r="D21" s="218">
        <v>0</v>
      </c>
      <c r="E21" s="218">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21">
        <f t="shared" si="6"/>
        <v>0</v>
      </c>
      <c r="N21" s="221">
        <f t="shared" si="4"/>
        <v>0</v>
      </c>
      <c r="O21" s="221">
        <f t="shared" si="7"/>
        <v>43000</v>
      </c>
      <c r="P21" s="221">
        <f t="shared" si="5"/>
        <v>968790000</v>
      </c>
    </row>
    <row r="22" spans="1:16" s="10" customFormat="1" ht="18" customHeight="1">
      <c r="A22" s="837">
        <f t="shared" si="2"/>
        <v>18</v>
      </c>
      <c r="B22" s="7" t="s">
        <v>641</v>
      </c>
      <c r="C22" s="218">
        <v>42328</v>
      </c>
      <c r="D22" s="218">
        <v>0</v>
      </c>
      <c r="E22" s="218">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21">
        <f t="shared" si="6"/>
        <v>0</v>
      </c>
      <c r="N22" s="221">
        <f t="shared" si="4"/>
        <v>0</v>
      </c>
      <c r="O22" s="221">
        <f t="shared" si="7"/>
        <v>61000</v>
      </c>
      <c r="P22" s="221">
        <f t="shared" si="5"/>
        <v>1368840000</v>
      </c>
    </row>
    <row r="23" spans="1:16" s="10" customFormat="1" ht="18" customHeight="1">
      <c r="A23" s="837">
        <f t="shared" si="2"/>
        <v>19</v>
      </c>
      <c r="B23" s="7" t="s">
        <v>642</v>
      </c>
      <c r="C23" s="218">
        <v>42394</v>
      </c>
      <c r="D23" s="218"/>
      <c r="E23" s="218"/>
      <c r="F23" s="8"/>
      <c r="G23" s="8"/>
      <c r="H23" s="8"/>
      <c r="I23" s="25">
        <f t="array" ref="I23">SUM(IF("341"&amp;B23=LEFT(KHN,3)&amp;KH,_TH))</f>
        <v>0</v>
      </c>
      <c r="J23" s="8">
        <f t="array" ref="J23">SUM(IF("341"&amp;B23=LEFT(KHN,3)&amp;KH,TH))</f>
        <v>0</v>
      </c>
      <c r="K23" s="8">
        <f t="array" ref="K23">SUM(IF("341"&amp;B23=LEFT(KHC,3)&amp;KH,_TH))</f>
        <v>0</v>
      </c>
      <c r="L23" s="8">
        <f t="array" ref="L23">SUM(IF("341"&amp;B23=LEFT(KHC,3)&amp;KH,TH))</f>
        <v>0</v>
      </c>
      <c r="M23" s="221">
        <f t="shared" si="6"/>
        <v>0</v>
      </c>
      <c r="N23" s="221">
        <f t="shared" si="4"/>
        <v>0</v>
      </c>
      <c r="O23" s="221">
        <f t="shared" si="7"/>
        <v>0</v>
      </c>
      <c r="P23" s="221">
        <f t="shared" si="5"/>
        <v>0</v>
      </c>
    </row>
    <row r="24" spans="1:16" s="10" customFormat="1" ht="18" customHeight="1">
      <c r="A24" s="837">
        <f t="shared" si="2"/>
        <v>20</v>
      </c>
      <c r="B24" s="7" t="s">
        <v>643</v>
      </c>
      <c r="C24" s="218">
        <v>42398</v>
      </c>
      <c r="D24" s="218"/>
      <c r="E24" s="218"/>
      <c r="F24" s="8"/>
      <c r="G24" s="8"/>
      <c r="H24" s="8"/>
      <c r="I24" s="25">
        <f t="array" ref="I24">SUM(IF("341"&amp;B24=LEFT(KHN,3)&amp;KH,_TH))</f>
        <v>0</v>
      </c>
      <c r="J24" s="8">
        <f t="array" ref="J24">SUM(IF("341"&amp;B24=LEFT(KHN,3)&amp;KH,TH))</f>
        <v>0</v>
      </c>
      <c r="K24" s="8">
        <f t="array" ref="K24">SUM(IF("341"&amp;B24=LEFT(KHC,3)&amp;KH,_TH))</f>
        <v>0</v>
      </c>
      <c r="L24" s="8">
        <f t="array" ref="L24">SUM(IF("341"&amp;B24=LEFT(KHC,3)&amp;KH,TH))</f>
        <v>0</v>
      </c>
      <c r="M24" s="221">
        <f t="shared" si="6"/>
        <v>0</v>
      </c>
      <c r="N24" s="221">
        <f t="shared" si="4"/>
        <v>0</v>
      </c>
      <c r="O24" s="221">
        <f t="shared" si="7"/>
        <v>0</v>
      </c>
      <c r="P24" s="221">
        <f t="shared" si="5"/>
        <v>0</v>
      </c>
    </row>
    <row r="25" spans="1:16" s="10" customFormat="1" ht="18" customHeight="1">
      <c r="A25" s="837">
        <f t="shared" si="2"/>
        <v>21</v>
      </c>
      <c r="B25" s="71" t="s">
        <v>704</v>
      </c>
      <c r="C25" s="218">
        <v>42436</v>
      </c>
      <c r="D25" s="218"/>
      <c r="E25" s="218"/>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21">
        <f t="shared" si="6"/>
        <v>0</v>
      </c>
      <c r="N25" s="221">
        <f t="shared" si="4"/>
        <v>0</v>
      </c>
      <c r="O25" s="221">
        <f t="shared" si="7"/>
        <v>0</v>
      </c>
      <c r="P25" s="221">
        <f t="shared" si="5"/>
        <v>0</v>
      </c>
    </row>
    <row r="26" spans="1:16" s="10" customFormat="1" ht="18" customHeight="1">
      <c r="A26" s="837">
        <f t="shared" si="2"/>
        <v>22</v>
      </c>
      <c r="B26" s="71" t="s">
        <v>705</v>
      </c>
      <c r="C26" s="218">
        <v>42437</v>
      </c>
      <c r="D26" s="218"/>
      <c r="E26" s="218"/>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21">
        <f t="shared" si="6"/>
        <v>0</v>
      </c>
      <c r="N26" s="221">
        <f t="shared" si="4"/>
        <v>0</v>
      </c>
      <c r="O26" s="221">
        <f t="shared" si="7"/>
        <v>0</v>
      </c>
      <c r="P26" s="221">
        <f t="shared" si="5"/>
        <v>0</v>
      </c>
    </row>
    <row r="27" spans="1:16" s="10" customFormat="1" ht="18" customHeight="1">
      <c r="A27" s="837">
        <f t="shared" si="2"/>
        <v>23</v>
      </c>
      <c r="B27" s="834" t="s">
        <v>815</v>
      </c>
      <c r="C27" s="218">
        <v>42475</v>
      </c>
      <c r="D27" s="218"/>
      <c r="E27" s="218"/>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21">
        <f t="shared" ref="M27:M32" si="8">ROUND(MAX(E27+I27-G27-K27,0),2)</f>
        <v>0</v>
      </c>
      <c r="N27" s="221">
        <f t="shared" ref="N27:N32" si="9">ROUND(MAX(F27+J27-H27-L27,0),2)</f>
        <v>0</v>
      </c>
      <c r="O27" s="221">
        <f t="shared" ref="O27:O32" si="10">ROUND(MAX(G27+K27-E27-I27,0),2)</f>
        <v>0</v>
      </c>
      <c r="P27" s="221">
        <f t="shared" ref="P27:P32" si="11">ROUND(MAX(H27+L27-F27-J27,0),2)</f>
        <v>0</v>
      </c>
    </row>
    <row r="28" spans="1:16" s="10" customFormat="1" ht="18" customHeight="1">
      <c r="A28" s="837" t="str">
        <f t="shared" si="2"/>
        <v/>
      </c>
      <c r="B28" s="71"/>
      <c r="C28" s="218"/>
      <c r="D28" s="218"/>
      <c r="E28" s="218"/>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21">
        <f t="shared" si="8"/>
        <v>0</v>
      </c>
      <c r="N28" s="221">
        <f t="shared" si="9"/>
        <v>0</v>
      </c>
      <c r="O28" s="221">
        <f t="shared" si="10"/>
        <v>0</v>
      </c>
      <c r="P28" s="221">
        <f t="shared" si="11"/>
        <v>0</v>
      </c>
    </row>
    <row r="29" spans="1:16" s="10" customFormat="1" ht="18" customHeight="1">
      <c r="A29" s="837" t="str">
        <f t="shared" si="2"/>
        <v/>
      </c>
      <c r="B29" s="71"/>
      <c r="C29" s="218"/>
      <c r="D29" s="218"/>
      <c r="E29" s="218"/>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21">
        <f t="shared" si="8"/>
        <v>0</v>
      </c>
      <c r="N29" s="221">
        <f t="shared" si="9"/>
        <v>0</v>
      </c>
      <c r="O29" s="221">
        <f t="shared" si="10"/>
        <v>0</v>
      </c>
      <c r="P29" s="221">
        <f t="shared" si="11"/>
        <v>0</v>
      </c>
    </row>
    <row r="30" spans="1:16" s="10" customFormat="1" ht="18" customHeight="1">
      <c r="A30" s="837" t="str">
        <f t="shared" si="2"/>
        <v/>
      </c>
      <c r="B30" s="71"/>
      <c r="C30" s="218"/>
      <c r="D30" s="218"/>
      <c r="E30" s="218"/>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21">
        <f t="shared" si="8"/>
        <v>0</v>
      </c>
      <c r="N30" s="221">
        <f t="shared" si="9"/>
        <v>0</v>
      </c>
      <c r="O30" s="221">
        <f t="shared" si="10"/>
        <v>0</v>
      </c>
      <c r="P30" s="221">
        <f t="shared" si="11"/>
        <v>0</v>
      </c>
    </row>
    <row r="31" spans="1:16" s="10" customFormat="1" ht="18" customHeight="1">
      <c r="A31" s="837" t="str">
        <f t="shared" si="2"/>
        <v/>
      </c>
      <c r="B31" s="71"/>
      <c r="C31" s="218"/>
      <c r="D31" s="218"/>
      <c r="E31" s="218"/>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21">
        <f t="shared" si="8"/>
        <v>0</v>
      </c>
      <c r="N31" s="221">
        <f t="shared" si="9"/>
        <v>0</v>
      </c>
      <c r="O31" s="221">
        <f t="shared" si="10"/>
        <v>0</v>
      </c>
      <c r="P31" s="221">
        <f t="shared" si="11"/>
        <v>0</v>
      </c>
    </row>
    <row r="32" spans="1:16" s="10" customFormat="1" ht="18" customHeight="1">
      <c r="A32" s="837" t="str">
        <f t="shared" si="2"/>
        <v/>
      </c>
      <c r="B32" s="71"/>
      <c r="C32" s="218"/>
      <c r="D32" s="218"/>
      <c r="E32" s="218"/>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21">
        <f t="shared" si="8"/>
        <v>0</v>
      </c>
      <c r="N32" s="221">
        <f t="shared" si="9"/>
        <v>0</v>
      </c>
      <c r="O32" s="221">
        <f t="shared" si="10"/>
        <v>0</v>
      </c>
      <c r="P32" s="221">
        <f t="shared" si="11"/>
        <v>0</v>
      </c>
    </row>
    <row r="33" spans="1:16" s="10" customFormat="1" ht="18" customHeight="1">
      <c r="A33" s="837" t="str">
        <f t="shared" si="2"/>
        <v/>
      </c>
      <c r="B33" s="222"/>
      <c r="C33" s="223"/>
      <c r="D33" s="223"/>
      <c r="E33" s="223"/>
      <c r="F33" s="219"/>
      <c r="G33" s="219"/>
      <c r="H33" s="219"/>
      <c r="I33" s="219"/>
      <c r="J33" s="219"/>
      <c r="K33" s="219"/>
      <c r="L33" s="219"/>
      <c r="M33" s="320"/>
      <c r="N33" s="220"/>
      <c r="O33" s="220"/>
      <c r="P33" s="220"/>
    </row>
    <row r="34" spans="1:16" s="14" customFormat="1" ht="18" customHeight="1">
      <c r="A34" s="11"/>
      <c r="B34" s="12" t="s">
        <v>41</v>
      </c>
      <c r="C34" s="12"/>
      <c r="D34" s="12"/>
      <c r="E34" s="12"/>
      <c r="F34" s="13">
        <f>SUM(F5:F33)</f>
        <v>0</v>
      </c>
      <c r="G34" s="13"/>
      <c r="H34" s="13">
        <f>SUM(H5:H33)</f>
        <v>23372042379</v>
      </c>
      <c r="I34" s="13"/>
      <c r="J34" s="13">
        <f>SUM(J5:J33)</f>
        <v>0</v>
      </c>
      <c r="K34" s="13"/>
      <c r="L34" s="13">
        <f>SUM(L5:L33)</f>
        <v>0</v>
      </c>
      <c r="M34" s="13">
        <f>SUM(M5:M33)</f>
        <v>0</v>
      </c>
      <c r="N34" s="13">
        <f>SUM(N5:N33)</f>
        <v>0</v>
      </c>
      <c r="O34" s="13">
        <f>SUM(O5:O33)</f>
        <v>1043169.73</v>
      </c>
      <c r="P34" s="13">
        <f>SUM(P5:P33)</f>
        <v>23372042379</v>
      </c>
    </row>
    <row r="35" spans="1:16">
      <c r="P35" s="15">
        <f>CDPS!$H$53</f>
        <v>23372042379</v>
      </c>
    </row>
    <row r="36" spans="1:16">
      <c r="P36" s="224">
        <f>P34-P35</f>
        <v>0</v>
      </c>
    </row>
    <row r="38" spans="1:16">
      <c r="B38" s="217">
        <v>1</v>
      </c>
      <c r="C38" s="217">
        <v>2</v>
      </c>
      <c r="D38" s="217">
        <v>3</v>
      </c>
      <c r="E38" s="217">
        <v>4</v>
      </c>
      <c r="F38" s="217">
        <v>5</v>
      </c>
      <c r="G38" s="217">
        <v>6</v>
      </c>
      <c r="H38" s="217">
        <v>7</v>
      </c>
      <c r="I38" s="217">
        <v>8</v>
      </c>
      <c r="J38" s="217">
        <v>9</v>
      </c>
      <c r="K38" s="217">
        <v>10</v>
      </c>
      <c r="L38" s="217">
        <v>11</v>
      </c>
      <c r="M38" s="217">
        <v>12</v>
      </c>
      <c r="N38" s="217">
        <v>13</v>
      </c>
      <c r="O38" s="217">
        <v>14</v>
      </c>
      <c r="P38" s="21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31" customWidth="1"/>
    <col min="2" max="2" width="7" style="231" customWidth="1"/>
    <col min="3" max="3" width="8.140625" style="231" customWidth="1"/>
    <col min="4" max="4" width="35.42578125" style="231" customWidth="1"/>
    <col min="5" max="5" width="6.5703125" style="231" customWidth="1"/>
    <col min="6" max="6" width="9.140625" style="231"/>
    <col min="7" max="7" width="9.7109375" style="231" customWidth="1"/>
    <col min="8" max="8" width="12" style="231" customWidth="1"/>
    <col min="9" max="9" width="9.7109375" style="231" customWidth="1"/>
    <col min="10" max="10" width="12.42578125" style="231" customWidth="1"/>
    <col min="11" max="11" width="9.28515625" style="231" customWidth="1"/>
    <col min="12" max="12" width="11" style="231" customWidth="1"/>
    <col min="13" max="13" width="10.85546875" style="231" customWidth="1"/>
    <col min="14" max="14" width="14" style="231" customWidth="1"/>
    <col min="15" max="16384" width="9.140625" style="231"/>
  </cols>
  <sheetData>
    <row r="1" spans="1:14" s="226" customFormat="1" ht="16.5" customHeight="1">
      <c r="A1" s="232" t="s">
        <v>14</v>
      </c>
      <c r="B1" s="225"/>
      <c r="C1" s="225"/>
      <c r="H1" s="225"/>
      <c r="I1" s="225"/>
      <c r="J1" s="1196" t="s">
        <v>239</v>
      </c>
      <c r="K1" s="1196"/>
      <c r="L1" s="1196"/>
      <c r="M1" s="1196"/>
      <c r="N1" s="1196"/>
    </row>
    <row r="2" spans="1:14" s="226" customFormat="1" ht="16.5" customHeight="1">
      <c r="A2" s="233" t="s">
        <v>180</v>
      </c>
      <c r="B2" s="336"/>
      <c r="C2" s="336"/>
      <c r="H2" s="227"/>
      <c r="I2" s="227"/>
      <c r="J2" s="1197" t="s">
        <v>240</v>
      </c>
      <c r="K2" s="1197"/>
      <c r="L2" s="1197"/>
      <c r="M2" s="1197"/>
      <c r="N2" s="1197"/>
    </row>
    <row r="3" spans="1:14" s="226" customFormat="1" ht="16.5" customHeight="1">
      <c r="A3" s="336"/>
      <c r="B3" s="336"/>
      <c r="C3" s="336"/>
      <c r="H3" s="227"/>
      <c r="I3" s="227"/>
      <c r="J3" s="1197"/>
      <c r="K3" s="1197"/>
      <c r="L3" s="1197"/>
      <c r="M3" s="1197"/>
      <c r="N3" s="1197"/>
    </row>
    <row r="4" spans="1:14" s="226" customFormat="1" ht="16.5" customHeight="1">
      <c r="A4" s="336"/>
      <c r="B4" s="336"/>
      <c r="C4" s="336"/>
      <c r="H4" s="227"/>
      <c r="I4" s="227"/>
      <c r="J4" s="337"/>
      <c r="K4" s="337"/>
      <c r="L4" s="337"/>
      <c r="M4" s="337"/>
      <c r="N4" s="337"/>
    </row>
    <row r="5" spans="1:14" s="18" customFormat="1" ht="23.25" customHeight="1">
      <c r="A5" s="1175" t="s">
        <v>241</v>
      </c>
      <c r="B5" s="1175"/>
      <c r="C5" s="1175"/>
      <c r="D5" s="1175"/>
      <c r="E5" s="1175"/>
      <c r="F5" s="1175"/>
      <c r="G5" s="1175"/>
      <c r="H5" s="1175"/>
      <c r="I5" s="1175"/>
      <c r="J5" s="1175"/>
      <c r="K5" s="1175"/>
      <c r="L5" s="1175"/>
      <c r="M5" s="1175"/>
      <c r="N5" s="1175"/>
    </row>
    <row r="6" spans="1:14" s="18" customFormat="1">
      <c r="A6" s="1137" t="s">
        <v>242</v>
      </c>
      <c r="B6" s="1137"/>
      <c r="C6" s="1137"/>
      <c r="D6" s="1137"/>
      <c r="E6" s="1137"/>
      <c r="F6" s="1137"/>
      <c r="G6" s="1137"/>
      <c r="H6" s="1137"/>
      <c r="I6" s="1137"/>
      <c r="J6" s="1137"/>
      <c r="K6" s="1137"/>
      <c r="L6" s="1137"/>
      <c r="M6" s="1137"/>
      <c r="N6" s="1137"/>
    </row>
    <row r="7" spans="1:14" s="18" customFormat="1">
      <c r="A7" s="1137" t="s">
        <v>243</v>
      </c>
      <c r="B7" s="1137"/>
      <c r="C7" s="1137"/>
      <c r="D7" s="1137"/>
      <c r="E7" s="1137"/>
      <c r="F7" s="1137"/>
      <c r="G7" s="1137"/>
      <c r="H7" s="1137"/>
      <c r="I7" s="1137"/>
      <c r="J7" s="1137"/>
      <c r="K7" s="1137"/>
      <c r="L7" s="1137"/>
      <c r="M7" s="1137"/>
      <c r="N7" s="1137"/>
    </row>
    <row r="8" spans="1:14" s="18" customFormat="1" ht="15" customHeight="1">
      <c r="A8" s="1137" t="str">
        <f>IF(MID($H$9,4,4)="1015","Đối tượng cho vay: NH Eximbank CN Q11","Đối tượng cho vay: NH Eximbank CN Q4")</f>
        <v>Đối tượng cho vay: NH Eximbank CN Q11</v>
      </c>
      <c r="B8" s="1137"/>
      <c r="C8" s="1137"/>
      <c r="D8" s="1137"/>
      <c r="E8" s="1137"/>
      <c r="F8" s="1137"/>
      <c r="G8" s="1137"/>
      <c r="H8" s="1137"/>
      <c r="I8" s="1137"/>
      <c r="J8" s="1137"/>
      <c r="K8" s="1137"/>
      <c r="L8" s="1137"/>
      <c r="M8" s="1137"/>
      <c r="N8" s="1137"/>
    </row>
    <row r="9" spans="1:14" s="18" customFormat="1">
      <c r="A9" s="335"/>
      <c r="B9" s="335"/>
      <c r="C9" s="335"/>
      <c r="D9" s="335"/>
      <c r="E9" s="335"/>
      <c r="F9" s="335"/>
      <c r="G9" s="20" t="s">
        <v>244</v>
      </c>
      <c r="H9" s="1207" t="s">
        <v>632</v>
      </c>
      <c r="I9" s="1207"/>
      <c r="J9" s="338" t="str">
        <f>"ngày "&amp; TEXT(VLOOKUP($H$9,'341'!$B$5:$P$33,2,0),"dd/MM/yy")</f>
        <v>ngày 04/09/15</v>
      </c>
      <c r="K9" s="335"/>
      <c r="L9" s="335"/>
      <c r="M9" s="335"/>
      <c r="N9" s="335"/>
    </row>
    <row r="10" spans="1:14" s="18" customFormat="1">
      <c r="A10" s="1137" t="s">
        <v>245</v>
      </c>
      <c r="B10" s="1137"/>
      <c r="C10" s="1137"/>
      <c r="D10" s="1137"/>
      <c r="E10" s="1137"/>
      <c r="F10" s="1137"/>
      <c r="G10" s="1137"/>
      <c r="H10" s="1137"/>
      <c r="I10" s="1137"/>
      <c r="J10" s="1137"/>
      <c r="K10" s="1137"/>
      <c r="L10" s="1137"/>
      <c r="M10" s="1137"/>
      <c r="N10" s="1137"/>
    </row>
    <row r="11" spans="1:14" s="18" customFormat="1">
      <c r="C11" s="1199"/>
      <c r="D11" s="1199"/>
      <c r="E11" s="1199"/>
      <c r="F11" s="1199"/>
      <c r="G11" s="1199"/>
      <c r="H11" s="1199"/>
      <c r="I11" s="1199"/>
      <c r="J11" s="1199"/>
      <c r="K11" s="1199"/>
      <c r="L11" s="1199"/>
      <c r="M11" s="1199"/>
      <c r="N11" s="1199"/>
    </row>
    <row r="12" spans="1:14" s="18" customFormat="1" ht="15.75" customHeight="1">
      <c r="A12" s="1208" t="s">
        <v>22</v>
      </c>
      <c r="B12" s="1201" t="s">
        <v>1</v>
      </c>
      <c r="C12" s="1202"/>
      <c r="D12" s="1208" t="s">
        <v>0</v>
      </c>
      <c r="E12" s="1208" t="s">
        <v>16</v>
      </c>
      <c r="F12" s="1208" t="s">
        <v>246</v>
      </c>
      <c r="G12" s="1201" t="s">
        <v>23</v>
      </c>
      <c r="H12" s="1213"/>
      <c r="I12" s="1213"/>
      <c r="J12" s="1206"/>
      <c r="K12" s="1201" t="s">
        <v>33</v>
      </c>
      <c r="L12" s="1213"/>
      <c r="M12" s="1213"/>
      <c r="N12" s="1206"/>
    </row>
    <row r="13" spans="1:14" s="18" customFormat="1" ht="15.75" customHeight="1">
      <c r="A13" s="1209"/>
      <c r="B13" s="1214" t="s">
        <v>17</v>
      </c>
      <c r="C13" s="1214" t="s">
        <v>34</v>
      </c>
      <c r="D13" s="1209"/>
      <c r="E13" s="1209"/>
      <c r="F13" s="1211"/>
      <c r="G13" s="1205" t="s">
        <v>24</v>
      </c>
      <c r="H13" s="1206"/>
      <c r="I13" s="1205" t="s">
        <v>25</v>
      </c>
      <c r="J13" s="1206"/>
      <c r="K13" s="1205" t="s">
        <v>24</v>
      </c>
      <c r="L13" s="1206"/>
      <c r="M13" s="1205" t="s">
        <v>25</v>
      </c>
      <c r="N13" s="1206"/>
    </row>
    <row r="14" spans="1:14" s="18" customFormat="1" ht="32.25" customHeight="1">
      <c r="A14" s="1210"/>
      <c r="B14" s="1215"/>
      <c r="C14" s="1215"/>
      <c r="D14" s="1210"/>
      <c r="E14" s="1210"/>
      <c r="F14" s="1212"/>
      <c r="G14" s="30" t="s">
        <v>247</v>
      </c>
      <c r="H14" s="30" t="s">
        <v>248</v>
      </c>
      <c r="I14" s="30" t="s">
        <v>247</v>
      </c>
      <c r="J14" s="30" t="s">
        <v>248</v>
      </c>
      <c r="K14" s="30" t="s">
        <v>247</v>
      </c>
      <c r="L14" s="30" t="s">
        <v>248</v>
      </c>
      <c r="M14" s="30" t="s">
        <v>247</v>
      </c>
      <c r="N14" s="30" t="s">
        <v>248</v>
      </c>
    </row>
    <row r="15" spans="1:14" s="335" customFormat="1">
      <c r="A15" s="339" t="s">
        <v>2</v>
      </c>
      <c r="B15" s="340" t="s">
        <v>3</v>
      </c>
      <c r="C15" s="339" t="s">
        <v>4</v>
      </c>
      <c r="D15" s="339" t="s">
        <v>5</v>
      </c>
      <c r="E15" s="339" t="s">
        <v>6</v>
      </c>
      <c r="F15" s="339">
        <v>1</v>
      </c>
      <c r="G15" s="339">
        <v>2</v>
      </c>
      <c r="H15" s="339">
        <v>3</v>
      </c>
      <c r="I15" s="339">
        <v>4</v>
      </c>
      <c r="J15" s="339">
        <v>5</v>
      </c>
      <c r="K15" s="339">
        <v>6</v>
      </c>
      <c r="L15" s="339">
        <v>7</v>
      </c>
      <c r="M15" s="339">
        <v>8</v>
      </c>
      <c r="N15" s="339">
        <v>9</v>
      </c>
    </row>
    <row r="16" spans="1:14" s="18" customFormat="1" ht="19.5" customHeight="1">
      <c r="A16" s="364"/>
      <c r="B16" s="364"/>
      <c r="C16" s="364"/>
      <c r="D16" s="365" t="s">
        <v>7</v>
      </c>
      <c r="E16" s="366"/>
      <c r="F16" s="366"/>
      <c r="G16" s="364"/>
      <c r="H16" s="364"/>
      <c r="I16" s="364"/>
      <c r="J16" s="364"/>
      <c r="K16" s="367">
        <f>VLOOKUP($H$9,'341'!$B$5:$P$33,4,0)</f>
        <v>0</v>
      </c>
      <c r="L16" s="368">
        <f>VLOOKUP($H$9,'341'!$B$5:$P$33,5,0)</f>
        <v>0</v>
      </c>
      <c r="M16" s="367">
        <f>VLOOKUP($H$9,'341'!$B$5:$P$33,6,0)</f>
        <v>50000</v>
      </c>
      <c r="N16" s="368">
        <f>VLOOKUP($H$9,'341'!$B$5:$P$33,7,0)</f>
        <v>1124250000</v>
      </c>
    </row>
    <row r="17" spans="1:14" s="18" customFormat="1" ht="19.5" customHeight="1">
      <c r="A17" s="316" t="str">
        <f ca="1">IF(ROWS($1:1)&gt;COUNT(Dong4),"",OFFSET(TH!C$1,SMALL(Dong4,ROWS($1:1)),))</f>
        <v/>
      </c>
      <c r="B17" s="228" t="str">
        <f ca="1">IF(ROWS($1:1)&gt;COUNT(Dong4),"",OFFSET(TH!D$1,SMALL(Dong4,ROWS($1:1)),))</f>
        <v/>
      </c>
      <c r="C17" s="228" t="str">
        <f ca="1">IF(ROWS($1:1)&gt;COUNT(Dong4),"",OFFSET(TH!E$1,SMALL(Dong4,ROWS($1:1)),))</f>
        <v/>
      </c>
      <c r="D17" s="369" t="str">
        <f ca="1">IF(ROWS($1:1)&gt;COUNT(Dong4),"",OFFSET(TH!F$1,SMALL(Dong4,ROWS($1:1)),))</f>
        <v/>
      </c>
      <c r="E17" s="228" t="str">
        <f ca="1">IF(ROWS($1:1)&gt;COUNT(Dong4),"",IF(LEFT(OFFSET(TH!O$1,SMALL(Dong4,ROWS($1:1)),),3)="341",OFFSET(TH!N$1,SMALL(Dong4,ROWS($1:1)),),OFFSET(TH!O$1,SMALL(Dong4,ROWS($1:1)),)))</f>
        <v/>
      </c>
      <c r="F17" s="370"/>
      <c r="G17" s="371" t="str">
        <f ca="1">IF(ROWS($1:1)&gt;COUNT(Dong4),"",IF(LEFT(OFFSET(TH!N$1,SMALL(Dong4,ROWS($1:1)),),3)="341",OFFSET(TH!K$1,SMALL(Dong4,ROWS($1:1)),),0))</f>
        <v/>
      </c>
      <c r="H17" s="370" t="str">
        <f ca="1">IF(ROWS($1:1)&gt;COUNT(Dong4),"",IF(LEFT(OFFSET(TH!N$1,SMALL(Dong4,ROWS($1:1)),),3)="341",OFFSET(TH!M$1,SMALL(Dong4,ROWS($1:1)),),0))</f>
        <v/>
      </c>
      <c r="I17" s="371" t="str">
        <f ca="1">IF(ROWS($1:1)&gt;COUNT(Dong4),"",IF(LEFT(OFFSET(TH!O$1,SMALL(Dong4,ROWS($1:1)),),3)="341",OFFSET(TH!K$1,SMALL(Dong4,ROWS($1:1)),),0))</f>
        <v/>
      </c>
      <c r="J17" s="370" t="str">
        <f ca="1">IF(ROWS($1:1)&gt;COUNT(Dong4),"",IF(LEFT(OFFSET(TH!O$1,SMALL(Dong4,ROWS($1:1)),),3)="341",OFFSET(TH!M$1,SMALL(Dong4,ROWS($1:1)),),0))</f>
        <v/>
      </c>
      <c r="K17" s="219">
        <f ca="1">IF(C17&lt;&gt;"",ROUND(MAX(K16+G17-I17-M16,0),2),0)</f>
        <v>0</v>
      </c>
      <c r="L17" s="8">
        <f ca="1">IF(C17&lt;&gt;"",MAX(L16-N16+H17-J17,0),0)</f>
        <v>0</v>
      </c>
      <c r="M17" s="219">
        <f ca="1">IF(C17&lt;&gt;"",ROUND(MAX(M16+I17-G17-K16,0),2),0)</f>
        <v>0</v>
      </c>
      <c r="N17" s="8">
        <f ca="1">IF(C17&lt;&gt;"",MAX(N16-L16+J17-H17,0),0)</f>
        <v>0</v>
      </c>
    </row>
    <row r="18" spans="1:14" s="372" customFormat="1" ht="19.5" customHeight="1">
      <c r="A18" s="316" t="str">
        <f ca="1">IF(ROWS($1:2)&gt;COUNT(Dong4),"",OFFSET(TH!C$1,SMALL(Dong4,ROWS($1:2)),))</f>
        <v/>
      </c>
      <c r="B18" s="228" t="str">
        <f ca="1">IF(ROWS($1:2)&gt;COUNT(Dong4),"",OFFSET(TH!D$1,SMALL(Dong4,ROWS($1:2)),))</f>
        <v/>
      </c>
      <c r="C18" s="228" t="str">
        <f ca="1">IF(ROWS($1:2)&gt;COUNT(Dong4),"",OFFSET(TH!E$1,SMALL(Dong4,ROWS($1:2)),))</f>
        <v/>
      </c>
      <c r="D18" s="369" t="str">
        <f ca="1">IF(ROWS($1:2)&gt;COUNT(Dong4),"",OFFSET(TH!F$1,SMALL(Dong4,ROWS($1:2)),))</f>
        <v/>
      </c>
      <c r="E18" s="228" t="str">
        <f ca="1">IF(ROWS($1:2)&gt;COUNT(Dong4),"",IF(LEFT(OFFSET(TH!O$1,SMALL(Dong4,ROWS($1:2)),),3)="341",OFFSET(TH!N$1,SMALL(Dong4,ROWS($1:2)),),OFFSET(TH!O$1,SMALL(Dong4,ROWS($1:2)),)))</f>
        <v/>
      </c>
      <c r="F18" s="370"/>
      <c r="G18" s="371" t="str">
        <f ca="1">IF(ROWS($1:2)&gt;COUNT(Dong4),"",IF(LEFT(OFFSET(TH!N$1,SMALL(Dong4,ROWS($1:2)),),3)="341",OFFSET(TH!K$1,SMALL(Dong4,ROWS($1:2)),),0))</f>
        <v/>
      </c>
      <c r="H18" s="370" t="str">
        <f ca="1">IF(ROWS($1:2)&gt;COUNT(Dong4),"",IF(LEFT(OFFSET(TH!N$1,SMALL(Dong4,ROWS($1:2)),),3)="341",OFFSET(TH!M$1,SMALL(Dong4,ROWS($1:2)),),0))</f>
        <v/>
      </c>
      <c r="I18" s="371" t="str">
        <f ca="1">IF(ROWS($1:2)&gt;COUNT(Dong4),"",IF(LEFT(OFFSET(TH!O$1,SMALL(Dong4,ROWS($1:2)),),3)="341",OFFSET(TH!K$1,SMALL(Dong4,ROWS($1:2)),),0))</f>
        <v/>
      </c>
      <c r="J18" s="370" t="str">
        <f ca="1">IF(ROWS($1:2)&gt;COUNT(Dong4),"",IF(LEFT(OFFSET(TH!O$1,SMALL(Dong4,ROWS($1:2)),),3)="341",OFFSET(TH!M$1,SMALL(Dong4,ROWS($1:2)),),0))</f>
        <v/>
      </c>
      <c r="K18" s="219">
        <f ca="1">IF(C18&lt;&gt;"",ROUND(MAX(K17+G18-I18-M17,0),2),0)</f>
        <v>0</v>
      </c>
      <c r="L18" s="8">
        <f ca="1">IF(C18&lt;&gt;"",MAX(L17-N17+H18-J18,0),0)</f>
        <v>0</v>
      </c>
      <c r="M18" s="219">
        <f ca="1">IF(C18&lt;&gt;"",ROUND(MAX(M17+I18-G18-K17,0),2),0)</f>
        <v>0</v>
      </c>
      <c r="N18" s="8">
        <f ca="1">IF(C18&lt;&gt;"",MAX(N17-L17+J18-H18,0),0)</f>
        <v>0</v>
      </c>
    </row>
    <row r="19" spans="1:14" s="372" customFormat="1" ht="19.5" customHeight="1">
      <c r="A19" s="316" t="str">
        <f ca="1">IF(ROWS($1:3)&gt;COUNT(Dong4),"",OFFSET(TH!C$1,SMALL(Dong4,ROWS($1:3)),))</f>
        <v/>
      </c>
      <c r="B19" s="228" t="str">
        <f ca="1">IF(ROWS($1:3)&gt;COUNT(Dong4),"",OFFSET(TH!D$1,SMALL(Dong4,ROWS($1:3)),))</f>
        <v/>
      </c>
      <c r="C19" s="228" t="str">
        <f ca="1">IF(ROWS($1:3)&gt;COUNT(Dong4),"",OFFSET(TH!E$1,SMALL(Dong4,ROWS($1:3)),))</f>
        <v/>
      </c>
      <c r="D19" s="369" t="str">
        <f ca="1">IF(ROWS($1:3)&gt;COUNT(Dong4),"",OFFSET(TH!F$1,SMALL(Dong4,ROWS($1:3)),))</f>
        <v/>
      </c>
      <c r="E19" s="228" t="str">
        <f ca="1">IF(ROWS($1:3)&gt;COUNT(Dong4),"",IF(LEFT(OFFSET(TH!O$1,SMALL(Dong4,ROWS($1:3)),),3)="341",OFFSET(TH!N$1,SMALL(Dong4,ROWS($1:3)),),OFFSET(TH!O$1,SMALL(Dong4,ROWS($1:3)),)))</f>
        <v/>
      </c>
      <c r="F19" s="370"/>
      <c r="G19" s="371" t="str">
        <f ca="1">IF(ROWS($1:3)&gt;COUNT(Dong4),"",IF(LEFT(OFFSET(TH!N$1,SMALL(Dong4,ROWS($1:3)),),3)="341",OFFSET(TH!K$1,SMALL(Dong4,ROWS($1:3)),),0))</f>
        <v/>
      </c>
      <c r="H19" s="370" t="str">
        <f ca="1">IF(ROWS($1:3)&gt;COUNT(Dong4),"",IF(LEFT(OFFSET(TH!N$1,SMALL(Dong4,ROWS($1:3)),),3)="341",OFFSET(TH!M$1,SMALL(Dong4,ROWS($1:3)),),0))</f>
        <v/>
      </c>
      <c r="I19" s="371" t="str">
        <f ca="1">IF(ROWS($1:3)&gt;COUNT(Dong4),"",IF(LEFT(OFFSET(TH!O$1,SMALL(Dong4,ROWS($1:3)),),3)="341",OFFSET(TH!K$1,SMALL(Dong4,ROWS($1:3)),),0))</f>
        <v/>
      </c>
      <c r="J19" s="370" t="str">
        <f ca="1">IF(ROWS($1:3)&gt;COUNT(Dong4),"",IF(LEFT(OFFSET(TH!O$1,SMALL(Dong4,ROWS($1:3)),),3)="341",OFFSET(TH!M$1,SMALL(Dong4,ROWS($1:3)),),0))</f>
        <v/>
      </c>
      <c r="K19" s="219">
        <f ca="1">IF(C19&lt;&gt;"",ROUND(MAX(K18+G19-I19-M18,0),2),0)</f>
        <v>0</v>
      </c>
      <c r="L19" s="8">
        <f ca="1">IF(C19&lt;&gt;"",MAX(L18-N18+H19-J19,0),0)</f>
        <v>0</v>
      </c>
      <c r="M19" s="219">
        <f ca="1">IF(C19&lt;&gt;"",ROUND(MAX(M18+I19-G19-K18,0),2),0)</f>
        <v>0</v>
      </c>
      <c r="N19" s="8">
        <f ca="1">IF(C19&lt;&gt;"",MAX(N18-L18+J19-H19,0),0)</f>
        <v>0</v>
      </c>
    </row>
    <row r="20" spans="1:14" s="372" customFormat="1" ht="19.5" customHeight="1">
      <c r="A20" s="373"/>
      <c r="B20" s="373"/>
      <c r="C20" s="373"/>
      <c r="D20" s="374"/>
      <c r="E20" s="375"/>
      <c r="F20" s="376"/>
      <c r="G20" s="377"/>
      <c r="H20" s="377"/>
      <c r="I20" s="377"/>
      <c r="J20" s="378"/>
      <c r="K20" s="219"/>
      <c r="L20" s="8"/>
      <c r="M20" s="219"/>
      <c r="N20" s="8"/>
    </row>
    <row r="21" spans="1:14" s="18" customFormat="1" ht="19.5" customHeight="1">
      <c r="A21" s="228"/>
      <c r="B21" s="228"/>
      <c r="C21" s="228"/>
      <c r="D21" s="379" t="s">
        <v>35</v>
      </c>
      <c r="E21" s="317" t="s">
        <v>21</v>
      </c>
      <c r="F21" s="317" t="s">
        <v>21</v>
      </c>
      <c r="G21" s="380">
        <f ca="1">SUM(G17:G18)</f>
        <v>0</v>
      </c>
      <c r="H21" s="381">
        <f ca="1">SUM(H17:H18)</f>
        <v>0</v>
      </c>
      <c r="I21" s="380">
        <f ca="1">SUM(I17:I18)</f>
        <v>0</v>
      </c>
      <c r="J21" s="381">
        <f ca="1">SUM(J17:J18)</f>
        <v>0</v>
      </c>
      <c r="K21" s="381" t="s">
        <v>21</v>
      </c>
      <c r="L21" s="381" t="s">
        <v>21</v>
      </c>
      <c r="M21" s="381" t="s">
        <v>21</v>
      </c>
      <c r="N21" s="381" t="s">
        <v>21</v>
      </c>
    </row>
    <row r="22" spans="1:14" s="18" customFormat="1" ht="19.5" customHeight="1">
      <c r="A22" s="382"/>
      <c r="B22" s="382"/>
      <c r="C22" s="382"/>
      <c r="D22" s="383" t="s">
        <v>10</v>
      </c>
      <c r="E22" s="384" t="s">
        <v>21</v>
      </c>
      <c r="F22" s="384" t="s">
        <v>21</v>
      </c>
      <c r="G22" s="384" t="s">
        <v>21</v>
      </c>
      <c r="H22" s="384" t="s">
        <v>21</v>
      </c>
      <c r="I22" s="384" t="s">
        <v>21</v>
      </c>
      <c r="J22" s="384" t="s">
        <v>21</v>
      </c>
      <c r="K22" s="385">
        <f ca="1">MAX(K16+G21-M16-I21,0)</f>
        <v>0</v>
      </c>
      <c r="L22" s="386">
        <f ca="1">MAX(L16+H21-N16-J21,0)</f>
        <v>0</v>
      </c>
      <c r="M22" s="385">
        <f ca="1">MAX(M16+I21-K16-G21,0)</f>
        <v>50000</v>
      </c>
      <c r="N22" s="386">
        <f ca="1">MAX(N16+J21-L16-H21,0)</f>
        <v>1124250000</v>
      </c>
    </row>
    <row r="23" spans="1:14" s="18" customFormat="1">
      <c r="E23" s="335"/>
      <c r="F23" s="335"/>
    </row>
    <row r="24" spans="1:14" s="18" customFormat="1">
      <c r="A24" s="229" t="s">
        <v>249</v>
      </c>
      <c r="E24" s="335"/>
      <c r="F24" s="335"/>
    </row>
    <row r="25" spans="1:14" s="18" customFormat="1">
      <c r="A25" s="229" t="str">
        <f>"- Ngày mở sổ: "&amp; TEXT(VLOOKUP($H$9,'341'!$B$5:$P$33,2,0),"dd/MM/yy")</f>
        <v>- Ngày mở sổ: 04/09/15</v>
      </c>
      <c r="E25" s="335"/>
      <c r="F25" s="335"/>
    </row>
    <row r="26" spans="1:14" s="18" customFormat="1">
      <c r="E26" s="335"/>
      <c r="F26" s="335"/>
      <c r="L26" s="335" t="s">
        <v>250</v>
      </c>
    </row>
    <row r="27" spans="1:14" s="18" customFormat="1">
      <c r="C27" s="335" t="s">
        <v>11</v>
      </c>
      <c r="E27" s="335"/>
      <c r="F27" s="335"/>
      <c r="L27" s="335" t="s">
        <v>12</v>
      </c>
    </row>
    <row r="28" spans="1:14" s="18" customFormat="1">
      <c r="C28" s="335" t="s">
        <v>13</v>
      </c>
      <c r="E28" s="335"/>
      <c r="F28" s="335"/>
      <c r="L28" s="335" t="s">
        <v>13</v>
      </c>
    </row>
    <row r="29" spans="1:14" s="18" customFormat="1">
      <c r="E29" s="335"/>
      <c r="F29" s="335"/>
    </row>
    <row r="30" spans="1:14" s="18" customFormat="1">
      <c r="E30" s="335"/>
      <c r="F30" s="335"/>
    </row>
    <row r="31" spans="1:14" s="230" customFormat="1"/>
    <row r="32" spans="1:14" s="230" customFormat="1"/>
    <row r="33" spans="2:4" s="230" customFormat="1"/>
    <row r="34" spans="2:4" s="230" customFormat="1"/>
    <row r="35" spans="2:4" s="230" customFormat="1" ht="15">
      <c r="B35" s="387"/>
      <c r="C35" s="388" t="s">
        <v>251</v>
      </c>
      <c r="D35" s="387"/>
    </row>
    <row r="36" spans="2:4" s="230" customFormat="1"/>
    <row r="37" spans="2:4" s="230" customFormat="1"/>
    <row r="38" spans="2:4" s="230" customFormat="1"/>
    <row r="39" spans="2:4" s="230" customFormat="1"/>
    <row r="40" spans="2:4" s="230" customFormat="1"/>
    <row r="41" spans="2:4" s="230" customFormat="1"/>
    <row r="42" spans="2:4" s="230" customFormat="1"/>
    <row r="43" spans="2:4" s="230"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33" customWidth="1"/>
    <col min="2" max="2" width="7" style="433" customWidth="1"/>
    <col min="3" max="3" width="9.140625" style="433"/>
    <col min="4" max="4" width="25" style="433" customWidth="1"/>
    <col min="5" max="5" width="6.5703125" style="433" customWidth="1"/>
    <col min="6" max="10" width="10" style="433" customWidth="1"/>
    <col min="11" max="11" width="8.7109375" style="433" customWidth="1"/>
    <col min="12" max="12" width="15" style="433" customWidth="1"/>
    <col min="13" max="13" width="10" style="433" customWidth="1"/>
    <col min="14" max="14" width="9.42578125" style="433" customWidth="1"/>
    <col min="15" max="16384" width="9.140625" style="433"/>
  </cols>
  <sheetData>
    <row r="2" spans="1:14">
      <c r="A2" s="432" t="s">
        <v>182</v>
      </c>
      <c r="C2" s="434"/>
      <c r="F2" s="435"/>
      <c r="G2" s="435"/>
      <c r="H2" s="435"/>
      <c r="I2" s="435"/>
      <c r="J2" s="435"/>
      <c r="K2" s="435" t="s">
        <v>305</v>
      </c>
      <c r="L2" s="435"/>
      <c r="M2" s="435"/>
      <c r="N2" s="435"/>
    </row>
    <row r="3" spans="1:14">
      <c r="A3" s="432" t="s">
        <v>184</v>
      </c>
      <c r="C3" s="434"/>
      <c r="F3" s="436"/>
      <c r="G3" s="436"/>
      <c r="H3" s="436"/>
      <c r="I3" s="436"/>
      <c r="J3" s="436"/>
      <c r="K3" s="436" t="s">
        <v>237</v>
      </c>
      <c r="L3" s="436"/>
      <c r="M3" s="436"/>
      <c r="N3" s="436"/>
    </row>
    <row r="4" spans="1:14">
      <c r="F4" s="436"/>
      <c r="G4" s="436"/>
      <c r="H4" s="436"/>
      <c r="I4" s="436"/>
      <c r="J4" s="436"/>
      <c r="K4" s="436" t="s">
        <v>238</v>
      </c>
      <c r="L4" s="436"/>
      <c r="M4" s="436"/>
      <c r="N4" s="436"/>
    </row>
    <row r="5" spans="1:14" s="437" customFormat="1" ht="23.25" customHeight="1">
      <c r="A5" s="1217" t="s">
        <v>306</v>
      </c>
      <c r="B5" s="1217"/>
      <c r="C5" s="1217"/>
      <c r="D5" s="1217"/>
      <c r="E5" s="1217"/>
      <c r="F5" s="1217"/>
      <c r="G5" s="1217"/>
      <c r="H5" s="1217"/>
      <c r="I5" s="1217"/>
      <c r="J5" s="1217"/>
      <c r="K5" s="1217"/>
      <c r="L5" s="1217"/>
      <c r="M5" s="1217"/>
      <c r="N5" s="1217"/>
    </row>
    <row r="6" spans="1:14">
      <c r="A6" s="1218" t="s">
        <v>257</v>
      </c>
      <c r="B6" s="1218" t="s">
        <v>307</v>
      </c>
      <c r="C6" s="1218"/>
      <c r="D6" s="1218"/>
      <c r="E6" s="1218"/>
      <c r="F6" s="1218"/>
      <c r="G6" s="1218"/>
      <c r="H6" s="1218"/>
      <c r="I6" s="1218"/>
      <c r="J6" s="1218"/>
      <c r="K6" s="1218"/>
      <c r="L6" s="1218"/>
      <c r="M6" s="1218"/>
      <c r="N6" s="1218"/>
    </row>
    <row r="7" spans="1:14">
      <c r="C7" s="1219"/>
      <c r="D7" s="1219"/>
      <c r="E7" s="1219"/>
      <c r="F7" s="1219"/>
      <c r="G7" s="1219"/>
      <c r="H7" s="1219"/>
      <c r="I7" s="1219"/>
      <c r="J7" s="1219"/>
      <c r="K7" s="1219"/>
      <c r="L7" s="1219"/>
      <c r="M7" s="1219"/>
      <c r="N7" s="1219"/>
    </row>
    <row r="8" spans="1:14" ht="15.75" customHeight="1">
      <c r="A8" s="1220" t="s">
        <v>22</v>
      </c>
      <c r="B8" s="1221" t="s">
        <v>1</v>
      </c>
      <c r="C8" s="1222"/>
      <c r="D8" s="1220" t="s">
        <v>0</v>
      </c>
      <c r="E8" s="1220" t="s">
        <v>16</v>
      </c>
      <c r="F8" s="1225" t="s">
        <v>23</v>
      </c>
      <c r="G8" s="1225"/>
      <c r="H8" s="1225"/>
      <c r="I8" s="1225"/>
      <c r="J8" s="1225"/>
      <c r="K8" s="1225"/>
      <c r="L8" s="1225" t="s">
        <v>33</v>
      </c>
      <c r="M8" s="1225"/>
      <c r="N8" s="1225"/>
    </row>
    <row r="9" spans="1:14" ht="15.75" customHeight="1">
      <c r="A9" s="1220"/>
      <c r="B9" s="1223"/>
      <c r="C9" s="1224"/>
      <c r="D9" s="1220"/>
      <c r="E9" s="1220"/>
      <c r="F9" s="1225" t="s">
        <v>308</v>
      </c>
      <c r="G9" s="1225"/>
      <c r="H9" s="1225"/>
      <c r="I9" s="1225" t="s">
        <v>309</v>
      </c>
      <c r="J9" s="1225"/>
      <c r="K9" s="1225"/>
      <c r="L9" s="1220" t="s">
        <v>310</v>
      </c>
      <c r="M9" s="1220" t="s">
        <v>311</v>
      </c>
      <c r="N9" s="1220" t="s">
        <v>312</v>
      </c>
    </row>
    <row r="10" spans="1:14" ht="15.75" customHeight="1">
      <c r="A10" s="1220"/>
      <c r="B10" s="1227" t="s">
        <v>17</v>
      </c>
      <c r="C10" s="1227" t="s">
        <v>34</v>
      </c>
      <c r="D10" s="1220"/>
      <c r="E10" s="1220"/>
      <c r="F10" s="1229" t="s">
        <v>310</v>
      </c>
      <c r="G10" s="1229" t="s">
        <v>311</v>
      </c>
      <c r="H10" s="1229" t="s">
        <v>312</v>
      </c>
      <c r="I10" s="1229" t="s">
        <v>310</v>
      </c>
      <c r="J10" s="1229" t="s">
        <v>311</v>
      </c>
      <c r="K10" s="1229" t="s">
        <v>312</v>
      </c>
      <c r="L10" s="1226"/>
      <c r="M10" s="1226"/>
      <c r="N10" s="1226"/>
    </row>
    <row r="11" spans="1:14">
      <c r="A11" s="1220"/>
      <c r="B11" s="1228"/>
      <c r="C11" s="1228"/>
      <c r="D11" s="1220"/>
      <c r="E11" s="1220"/>
      <c r="F11" s="1230"/>
      <c r="G11" s="1230"/>
      <c r="H11" s="1230"/>
      <c r="I11" s="1230"/>
      <c r="J11" s="1230"/>
      <c r="K11" s="1230"/>
      <c r="L11" s="1226"/>
      <c r="M11" s="1226"/>
      <c r="N11" s="1226"/>
    </row>
    <row r="12" spans="1:14" s="436" customFormat="1">
      <c r="A12" s="438" t="s">
        <v>2</v>
      </c>
      <c r="B12" s="439" t="s">
        <v>3</v>
      </c>
      <c r="C12" s="438" t="s">
        <v>4</v>
      </c>
      <c r="D12" s="438" t="s">
        <v>5</v>
      </c>
      <c r="E12" s="438" t="s">
        <v>6</v>
      </c>
      <c r="F12" s="438">
        <v>1</v>
      </c>
      <c r="G12" s="438"/>
      <c r="H12" s="438"/>
      <c r="I12" s="438"/>
      <c r="J12" s="438"/>
      <c r="K12" s="438"/>
      <c r="L12" s="438"/>
      <c r="M12" s="438"/>
      <c r="N12" s="438"/>
    </row>
    <row r="13" spans="1:14">
      <c r="A13" s="440"/>
      <c r="B13" s="440"/>
      <c r="C13" s="440"/>
      <c r="D13" s="441" t="s">
        <v>7</v>
      </c>
      <c r="E13" s="440"/>
      <c r="F13" s="440"/>
      <c r="G13" s="440"/>
      <c r="H13" s="440"/>
      <c r="I13" s="440"/>
      <c r="J13" s="440"/>
      <c r="K13" s="440"/>
      <c r="L13" s="442">
        <f>CDPS!$D$55</f>
        <v>10000000000</v>
      </c>
      <c r="M13" s="440"/>
      <c r="N13" s="440"/>
    </row>
    <row r="14" spans="1:14">
      <c r="A14" s="443"/>
      <c r="B14" s="443"/>
      <c r="C14" s="443"/>
      <c r="D14" s="444" t="s">
        <v>313</v>
      </c>
      <c r="E14" s="443"/>
      <c r="F14" s="443"/>
      <c r="G14" s="443"/>
      <c r="H14" s="443"/>
      <c r="I14" s="443"/>
      <c r="J14" s="443"/>
      <c r="K14" s="443"/>
      <c r="L14" s="443"/>
      <c r="M14" s="443"/>
      <c r="N14" s="443"/>
    </row>
    <row r="15" spans="1:14">
      <c r="A15" s="443"/>
      <c r="B15" s="443"/>
      <c r="C15" s="443"/>
      <c r="D15" s="443"/>
      <c r="E15" s="443"/>
      <c r="F15" s="443"/>
      <c r="G15" s="443"/>
      <c r="H15" s="443"/>
      <c r="I15" s="443"/>
      <c r="J15" s="443"/>
      <c r="K15" s="443"/>
      <c r="L15" s="443"/>
      <c r="M15" s="443"/>
      <c r="N15" s="443"/>
    </row>
    <row r="16" spans="1:14">
      <c r="A16" s="443"/>
      <c r="B16" s="443"/>
      <c r="C16" s="443"/>
      <c r="D16" s="445"/>
      <c r="E16" s="445"/>
      <c r="F16" s="445"/>
      <c r="G16" s="445"/>
      <c r="H16" s="445"/>
      <c r="I16" s="445"/>
      <c r="J16" s="445"/>
      <c r="K16" s="445"/>
      <c r="L16" s="445"/>
      <c r="M16" s="445"/>
      <c r="N16" s="445"/>
    </row>
    <row r="17" spans="1:14">
      <c r="A17" s="443"/>
      <c r="B17" s="443"/>
      <c r="C17" s="443"/>
      <c r="D17" s="446" t="s">
        <v>158</v>
      </c>
      <c r="E17" s="937" t="s">
        <v>21</v>
      </c>
      <c r="F17" s="447"/>
      <c r="G17" s="447"/>
      <c r="H17" s="447"/>
      <c r="I17" s="447"/>
      <c r="J17" s="447"/>
      <c r="K17" s="447"/>
      <c r="L17" s="447"/>
      <c r="M17" s="447"/>
      <c r="N17" s="447"/>
    </row>
    <row r="18" spans="1:14">
      <c r="A18" s="448"/>
      <c r="B18" s="448"/>
      <c r="C18" s="448"/>
      <c r="D18" s="449" t="s">
        <v>10</v>
      </c>
      <c r="E18" s="938" t="s">
        <v>21</v>
      </c>
      <c r="F18" s="448"/>
      <c r="G18" s="448"/>
      <c r="H18" s="448"/>
      <c r="I18" s="448"/>
      <c r="J18" s="448"/>
      <c r="K18" s="448"/>
      <c r="L18" s="450">
        <f>L13+L17</f>
        <v>10000000000</v>
      </c>
      <c r="M18" s="448"/>
      <c r="N18" s="448"/>
    </row>
    <row r="20" spans="1:14">
      <c r="C20" s="451" t="s">
        <v>314</v>
      </c>
    </row>
    <row r="21" spans="1:14">
      <c r="C21" s="451" t="s">
        <v>315</v>
      </c>
    </row>
    <row r="22" spans="1:14">
      <c r="B22" s="452"/>
      <c r="C22" s="452"/>
      <c r="D22" s="452"/>
      <c r="E22" s="1216" t="s">
        <v>316</v>
      </c>
      <c r="F22" s="1216"/>
      <c r="G22" s="1216"/>
      <c r="H22" s="1216"/>
      <c r="I22" s="1216"/>
      <c r="J22" s="1216"/>
      <c r="K22" s="1216"/>
      <c r="L22" s="1216"/>
      <c r="M22" s="1216"/>
      <c r="N22" s="1216"/>
    </row>
    <row r="23" spans="1:14">
      <c r="A23" s="1216" t="s">
        <v>11</v>
      </c>
      <c r="B23" s="1216"/>
      <c r="C23" s="1216"/>
      <c r="D23" s="1216"/>
      <c r="E23" s="1216" t="s">
        <v>12</v>
      </c>
      <c r="F23" s="1216"/>
      <c r="G23" s="1216"/>
      <c r="H23" s="1216"/>
      <c r="I23" s="1216"/>
      <c r="J23" s="1216"/>
      <c r="K23" s="1216"/>
      <c r="L23" s="1216"/>
      <c r="M23" s="1216"/>
      <c r="N23" s="1216"/>
    </row>
    <row r="24" spans="1:14">
      <c r="A24" s="1216" t="s">
        <v>13</v>
      </c>
      <c r="B24" s="1216"/>
      <c r="C24" s="1216"/>
      <c r="D24" s="1216"/>
      <c r="E24" s="1216" t="s">
        <v>13</v>
      </c>
      <c r="F24" s="1216"/>
      <c r="G24" s="1216"/>
      <c r="H24" s="1216"/>
      <c r="I24" s="1216"/>
      <c r="J24" s="1216"/>
      <c r="K24" s="1216"/>
      <c r="L24" s="1216"/>
      <c r="M24" s="1216"/>
      <c r="N24" s="1216"/>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24" activePane="bottomRight" state="frozen"/>
      <selection activeCell="C33" sqref="C33"/>
      <selection pane="topRight" activeCell="C33" sqref="C33"/>
      <selection pane="bottomLeft" activeCell="C33" sqref="C33"/>
      <selection pane="bottomRight" activeCell="A6" sqref="A1:XFD1048576"/>
    </sheetView>
  </sheetViews>
  <sheetFormatPr defaultRowHeight="12.75"/>
  <cols>
    <col min="1" max="1" width="3.7109375" style="466" customWidth="1"/>
    <col min="2" max="2" width="3.42578125" style="466" customWidth="1"/>
    <col min="3" max="3" width="28.28515625" style="466" customWidth="1"/>
    <col min="4" max="4" width="7.7109375" style="471" customWidth="1"/>
    <col min="5" max="5" width="9.42578125" style="507" customWidth="1"/>
    <col min="6" max="6" width="12.5703125" style="507" customWidth="1"/>
    <col min="7" max="7" width="9.85546875" style="475" customWidth="1"/>
    <col min="8" max="8" width="15.42578125" style="475" customWidth="1"/>
    <col min="9" max="9" width="11.7109375" style="475" customWidth="1"/>
    <col min="10" max="10" width="13.85546875" style="475" customWidth="1"/>
    <col min="11" max="11" width="12" style="475" customWidth="1"/>
    <col min="12" max="12" width="12.85546875" style="475" customWidth="1"/>
    <col min="13" max="13" width="3.28515625" style="467" customWidth="1"/>
    <col min="14" max="14" width="24.140625" style="466" customWidth="1"/>
    <col min="15" max="15" width="10.5703125" style="466" customWidth="1"/>
    <col min="16" max="16" width="10.42578125" style="466" customWidth="1"/>
    <col min="17" max="17" width="22.28515625" style="466" customWidth="1"/>
    <col min="18" max="18" width="12" style="466" customWidth="1"/>
    <col min="19" max="19" width="4.85546875" style="466" customWidth="1"/>
    <col min="20" max="16384" width="9.140625" style="466"/>
  </cols>
  <sheetData>
    <row r="1" spans="1:19" s="421" customFormat="1" ht="14.25" customHeight="1">
      <c r="B1" s="453" t="s">
        <v>317</v>
      </c>
      <c r="C1" s="454"/>
      <c r="D1" s="454"/>
      <c r="E1" s="454"/>
      <c r="F1" s="455"/>
      <c r="G1" s="455"/>
      <c r="H1" s="1196" t="s">
        <v>318</v>
      </c>
      <c r="I1" s="1196"/>
      <c r="J1" s="1196"/>
      <c r="K1" s="1196"/>
      <c r="L1" s="1196"/>
      <c r="M1" s="456"/>
      <c r="N1" s="226"/>
      <c r="O1" s="419"/>
    </row>
    <row r="2" spans="1:19" s="421" customFormat="1" ht="14.25" customHeight="1">
      <c r="B2" s="457" t="s">
        <v>319</v>
      </c>
      <c r="C2" s="458"/>
      <c r="D2" s="458"/>
      <c r="E2" s="458"/>
      <c r="F2" s="458"/>
      <c r="G2" s="458"/>
      <c r="H2" s="1197" t="s">
        <v>320</v>
      </c>
      <c r="I2" s="1197"/>
      <c r="J2" s="1197"/>
      <c r="K2" s="1197"/>
      <c r="L2" s="1197"/>
      <c r="M2" s="459"/>
      <c r="N2" s="227"/>
      <c r="O2" s="420"/>
    </row>
    <row r="3" spans="1:19" s="421" customFormat="1" ht="14.25" customHeight="1">
      <c r="B3" s="458"/>
      <c r="C3" s="458"/>
      <c r="D3" s="458"/>
      <c r="E3" s="458"/>
      <c r="F3" s="458"/>
      <c r="G3" s="458"/>
      <c r="H3" s="1243" t="s">
        <v>321</v>
      </c>
      <c r="I3" s="1243"/>
      <c r="J3" s="1243"/>
      <c r="K3" s="1243"/>
      <c r="L3" s="1243"/>
      <c r="M3" s="460"/>
      <c r="N3" s="461"/>
      <c r="O3" s="420"/>
    </row>
    <row r="4" spans="1:19" s="462" customFormat="1" ht="27.75" customHeight="1">
      <c r="B4" s="1244" t="s">
        <v>322</v>
      </c>
      <c r="C4" s="1244"/>
      <c r="D4" s="1244"/>
      <c r="E4" s="1244"/>
      <c r="F4" s="1244"/>
      <c r="G4" s="1244"/>
      <c r="H4" s="1244"/>
      <c r="I4" s="1244"/>
      <c r="J4" s="1244"/>
      <c r="K4" s="1244"/>
      <c r="L4" s="1244"/>
      <c r="M4" s="463"/>
    </row>
    <row r="5" spans="1:19" s="462" customFormat="1" ht="15" customHeight="1">
      <c r="B5" s="1242" t="s">
        <v>323</v>
      </c>
      <c r="C5" s="1242"/>
      <c r="D5" s="1242"/>
      <c r="E5" s="1242"/>
      <c r="F5" s="1242"/>
      <c r="G5" s="1242"/>
      <c r="H5" s="1242"/>
      <c r="I5" s="1242"/>
      <c r="J5" s="1242"/>
      <c r="K5" s="1242"/>
      <c r="L5" s="1242"/>
      <c r="M5" s="463"/>
    </row>
    <row r="6" spans="1:19" s="462" customFormat="1" ht="12.75" hidden="1" customHeight="1">
      <c r="B6" s="1242" t="s">
        <v>324</v>
      </c>
      <c r="C6" s="1242"/>
      <c r="D6" s="1242"/>
      <c r="E6" s="1242"/>
      <c r="F6" s="1242"/>
      <c r="G6" s="1242"/>
      <c r="H6" s="1242"/>
      <c r="I6" s="1242"/>
      <c r="J6" s="1242"/>
      <c r="K6" s="1242"/>
      <c r="L6" s="1242"/>
      <c r="M6" s="463"/>
    </row>
    <row r="7" spans="1:19" s="464" customFormat="1" ht="24" hidden="1" customHeight="1">
      <c r="C7" s="1235" t="s">
        <v>325</v>
      </c>
      <c r="D7" s="1235"/>
      <c r="E7" s="1235"/>
      <c r="F7" s="1235"/>
      <c r="G7" s="1235"/>
      <c r="H7" s="1235"/>
      <c r="I7" s="1235"/>
      <c r="J7" s="1235"/>
      <c r="K7" s="1235"/>
      <c r="L7" s="1235"/>
      <c r="M7" s="465"/>
    </row>
    <row r="8" spans="1:19" ht="20.25" customHeight="1">
      <c r="B8" s="1236" t="s">
        <v>37</v>
      </c>
      <c r="C8" s="1237" t="s">
        <v>326</v>
      </c>
      <c r="D8" s="1238" t="s">
        <v>327</v>
      </c>
      <c r="E8" s="1240" t="s">
        <v>168</v>
      </c>
      <c r="F8" s="1240"/>
      <c r="G8" s="1240"/>
      <c r="H8" s="1240"/>
      <c r="I8" s="1240"/>
      <c r="J8" s="1240"/>
      <c r="K8" s="1240"/>
      <c r="L8" s="1240"/>
      <c r="N8" s="1232" t="s">
        <v>328</v>
      </c>
      <c r="O8" s="1232" t="s">
        <v>329</v>
      </c>
      <c r="P8" s="1232" t="s">
        <v>330</v>
      </c>
      <c r="Q8" s="1232" t="s">
        <v>331</v>
      </c>
      <c r="R8" s="1232" t="s">
        <v>332</v>
      </c>
      <c r="S8" s="1232" t="s">
        <v>333</v>
      </c>
    </row>
    <row r="9" spans="1:19" ht="20.25" customHeight="1">
      <c r="B9" s="1236"/>
      <c r="C9" s="1237"/>
      <c r="D9" s="1239"/>
      <c r="E9" s="1240" t="s">
        <v>334</v>
      </c>
      <c r="F9" s="1240"/>
      <c r="G9" s="1241" t="s">
        <v>335</v>
      </c>
      <c r="H9" s="1241"/>
      <c r="I9" s="1241" t="s">
        <v>336</v>
      </c>
      <c r="J9" s="1241"/>
      <c r="K9" s="1241" t="s">
        <v>337</v>
      </c>
      <c r="L9" s="1241"/>
      <c r="N9" s="1233"/>
      <c r="O9" s="1233"/>
      <c r="P9" s="1233"/>
      <c r="Q9" s="1233"/>
      <c r="R9" s="1233"/>
      <c r="S9" s="1233"/>
    </row>
    <row r="10" spans="1:19" ht="20.25" hidden="1" customHeight="1">
      <c r="B10" s="1236"/>
      <c r="C10" s="1237"/>
      <c r="D10" s="468"/>
      <c r="E10" s="469" t="s">
        <v>338</v>
      </c>
      <c r="F10" s="469" t="s">
        <v>339</v>
      </c>
      <c r="G10" s="469" t="s">
        <v>338</v>
      </c>
      <c r="H10" s="469" t="s">
        <v>339</v>
      </c>
      <c r="I10" s="469" t="s">
        <v>338</v>
      </c>
      <c r="J10" s="469" t="s">
        <v>339</v>
      </c>
      <c r="K10" s="469" t="s">
        <v>338</v>
      </c>
      <c r="L10" s="469" t="s">
        <v>339</v>
      </c>
      <c r="N10" s="1234"/>
      <c r="O10" s="1234"/>
      <c r="P10" s="1234"/>
      <c r="Q10" s="1234"/>
      <c r="R10" s="470"/>
      <c r="S10" s="1234"/>
    </row>
    <row r="11" spans="1:19" s="471" customFormat="1">
      <c r="B11" s="472" t="s">
        <v>2</v>
      </c>
      <c r="C11" s="468" t="s">
        <v>3</v>
      </c>
      <c r="D11" s="468"/>
      <c r="E11" s="469">
        <v>1</v>
      </c>
      <c r="F11" s="469">
        <v>1</v>
      </c>
      <c r="G11" s="469">
        <v>2</v>
      </c>
      <c r="H11" s="469">
        <v>2</v>
      </c>
      <c r="I11" s="469">
        <v>3</v>
      </c>
      <c r="J11" s="469">
        <v>3</v>
      </c>
      <c r="K11" s="469">
        <v>4</v>
      </c>
      <c r="L11" s="469">
        <v>4</v>
      </c>
      <c r="M11" s="473"/>
      <c r="N11" s="474"/>
      <c r="O11" s="474"/>
      <c r="P11" s="474"/>
      <c r="Q11" s="474"/>
      <c r="R11" s="474"/>
      <c r="S11" s="474"/>
    </row>
    <row r="12" spans="1:19" ht="18" customHeight="1">
      <c r="A12" s="475" t="str">
        <f>IF(B12&lt;&gt;"","VL","")</f>
        <v>VL</v>
      </c>
      <c r="B12" s="476">
        <f>IF(C12&lt;&gt;"",ROW()-11,"")</f>
        <v>1</v>
      </c>
      <c r="C12" s="477" t="s">
        <v>340</v>
      </c>
      <c r="D12" s="478" t="s">
        <v>341</v>
      </c>
      <c r="E12" s="25">
        <v>450</v>
      </c>
      <c r="F12" s="25">
        <v>15950000</v>
      </c>
      <c r="G12" s="25">
        <f t="array" ref="G12">SUM(IF("1522"&amp;C12=KHN&amp;MH,SL))</f>
        <v>0</v>
      </c>
      <c r="H12" s="25">
        <f t="array" ref="H12">SUM(IF("1522"&amp;C12=KHN&amp;MH,TH))</f>
        <v>0</v>
      </c>
      <c r="I12" s="25">
        <f t="array" ref="I12">SUM(IF("1522"&amp;C12=KHC&amp;MH,SL))</f>
        <v>0</v>
      </c>
      <c r="J12" s="25">
        <f t="array" ref="J12">SUM(IF("1522"&amp;C12=KHC&amp;MH,TH))</f>
        <v>0</v>
      </c>
      <c r="K12" s="25">
        <f t="shared" ref="K12:L29" si="0">E12+G12-I12</f>
        <v>450</v>
      </c>
      <c r="L12" s="25">
        <f t="shared" si="0"/>
        <v>15950000</v>
      </c>
      <c r="M12" s="479"/>
      <c r="N12" s="480" t="s">
        <v>342</v>
      </c>
      <c r="O12" s="477" t="s">
        <v>343</v>
      </c>
      <c r="P12" s="481">
        <v>330593933</v>
      </c>
      <c r="Q12" s="481" t="s">
        <v>344</v>
      </c>
      <c r="R12" s="481"/>
      <c r="S12" s="481" t="s">
        <v>339</v>
      </c>
    </row>
    <row r="13" spans="1:19" ht="18" customHeight="1">
      <c r="A13" s="475" t="str">
        <f t="shared" ref="A13:A37" si="1">IF(B13&lt;&gt;"","VL","")</f>
        <v>VL</v>
      </c>
      <c r="B13" s="476">
        <f t="shared" ref="B13:B36" si="2">IF(C13&lt;&gt;"",ROW()-11,"")</f>
        <v>2</v>
      </c>
      <c r="C13" s="482" t="s">
        <v>346</v>
      </c>
      <c r="D13" s="483" t="s">
        <v>341</v>
      </c>
      <c r="E13" s="8">
        <v>525</v>
      </c>
      <c r="F13" s="8">
        <v>24539130</v>
      </c>
      <c r="G13" s="25">
        <f t="array" ref="G13">SUM(IF("1522"&amp;C13=KHN&amp;MH,SL))</f>
        <v>0</v>
      </c>
      <c r="H13" s="25">
        <f t="array" ref="H13">SUM(IF("1522"&amp;C13=KHN&amp;MH,TH))</f>
        <v>0</v>
      </c>
      <c r="I13" s="25">
        <f t="array" ref="I13">SUM(IF("1522"&amp;C13=KHC&amp;MH,SL))</f>
        <v>0</v>
      </c>
      <c r="J13" s="25">
        <f t="array" ref="J13">SUM(IF("1522"&amp;C13=KHC&amp;MH,TH))</f>
        <v>0</v>
      </c>
      <c r="K13" s="8">
        <f t="shared" si="0"/>
        <v>525</v>
      </c>
      <c r="L13" s="8">
        <f t="shared" si="0"/>
        <v>24539130</v>
      </c>
      <c r="M13" s="479"/>
      <c r="N13" s="482" t="s">
        <v>347</v>
      </c>
      <c r="O13" s="481" t="s">
        <v>343</v>
      </c>
      <c r="P13" s="481">
        <v>320775664</v>
      </c>
      <c r="Q13" s="481" t="s">
        <v>348</v>
      </c>
      <c r="R13" s="481"/>
      <c r="S13" s="481" t="s">
        <v>339</v>
      </c>
    </row>
    <row r="14" spans="1:19" ht="18" customHeight="1">
      <c r="A14" s="475" t="str">
        <f t="shared" si="1"/>
        <v>VL</v>
      </c>
      <c r="B14" s="476">
        <f t="shared" si="2"/>
        <v>3</v>
      </c>
      <c r="C14" s="482" t="s">
        <v>349</v>
      </c>
      <c r="D14" s="483" t="s">
        <v>341</v>
      </c>
      <c r="E14" s="8">
        <v>300</v>
      </c>
      <c r="F14" s="8">
        <v>3500002</v>
      </c>
      <c r="G14" s="25">
        <f t="array" ref="G14">SUM(IF("1522"&amp;C14=KHN&amp;MH,SL))</f>
        <v>0</v>
      </c>
      <c r="H14" s="25">
        <f t="array" ref="H14">SUM(IF("1522"&amp;C14=KHN&amp;MH,TH))</f>
        <v>0</v>
      </c>
      <c r="I14" s="25">
        <f t="array" ref="I14">SUM(IF("1522"&amp;C14=KHC&amp;MH,SL))</f>
        <v>0</v>
      </c>
      <c r="J14" s="25">
        <f t="array" ref="J14">SUM(IF("1522"&amp;C14=KHC&amp;MH,TH))</f>
        <v>0</v>
      </c>
      <c r="K14" s="8">
        <f t="shared" si="0"/>
        <v>300</v>
      </c>
      <c r="L14" s="8">
        <f t="shared" si="0"/>
        <v>3500002</v>
      </c>
      <c r="M14" s="479"/>
      <c r="N14" s="482" t="s">
        <v>350</v>
      </c>
      <c r="O14" s="484" t="s">
        <v>343</v>
      </c>
      <c r="P14" s="481">
        <v>320892558</v>
      </c>
      <c r="Q14" s="481" t="s">
        <v>351</v>
      </c>
      <c r="R14" s="481"/>
      <c r="S14" s="481" t="s">
        <v>339</v>
      </c>
    </row>
    <row r="15" spans="1:19" ht="18" customHeight="1">
      <c r="A15" s="475" t="str">
        <f t="shared" si="1"/>
        <v>VL</v>
      </c>
      <c r="B15" s="476">
        <f t="shared" si="2"/>
        <v>4</v>
      </c>
      <c r="C15" s="482" t="s">
        <v>225</v>
      </c>
      <c r="D15" s="483" t="s">
        <v>341</v>
      </c>
      <c r="E15" s="8">
        <v>495</v>
      </c>
      <c r="F15" s="8">
        <v>10879997</v>
      </c>
      <c r="G15" s="25">
        <f t="array" ref="G15">SUM(IF("1522"&amp;C15=KHN&amp;MH,SL))</f>
        <v>0</v>
      </c>
      <c r="H15" s="25">
        <f t="array" ref="H15">SUM(IF("1522"&amp;C15=KHN&amp;MH,TH))</f>
        <v>0</v>
      </c>
      <c r="I15" s="25">
        <f t="array" ref="I15">SUM(IF("1522"&amp;C15=KHC&amp;MH,SL))</f>
        <v>0</v>
      </c>
      <c r="J15" s="25">
        <f t="array" ref="J15">SUM(IF("1522"&amp;C15=KHC&amp;MH,TH))</f>
        <v>0</v>
      </c>
      <c r="K15" s="8">
        <f t="shared" si="0"/>
        <v>495</v>
      </c>
      <c r="L15" s="8">
        <f t="shared" si="0"/>
        <v>10879997</v>
      </c>
      <c r="M15" s="479"/>
      <c r="N15" s="482" t="s">
        <v>352</v>
      </c>
      <c r="O15" s="484" t="s">
        <v>343</v>
      </c>
      <c r="P15" s="481">
        <v>320892578</v>
      </c>
      <c r="Q15" s="481" t="s">
        <v>353</v>
      </c>
      <c r="R15" s="481"/>
      <c r="S15" s="481" t="s">
        <v>339</v>
      </c>
    </row>
    <row r="16" spans="1:19" ht="18" customHeight="1">
      <c r="A16" s="475" t="str">
        <f t="shared" si="1"/>
        <v>VL</v>
      </c>
      <c r="B16" s="476">
        <f t="shared" si="2"/>
        <v>5</v>
      </c>
      <c r="C16" s="482" t="s">
        <v>354</v>
      </c>
      <c r="D16" s="483" t="s">
        <v>341</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479"/>
      <c r="N16" s="482" t="s">
        <v>355</v>
      </c>
      <c r="O16" s="484" t="s">
        <v>343</v>
      </c>
      <c r="P16" s="481">
        <v>321179471</v>
      </c>
      <c r="Q16" s="481" t="s">
        <v>356</v>
      </c>
      <c r="R16" s="481"/>
      <c r="S16" s="481" t="s">
        <v>339</v>
      </c>
    </row>
    <row r="17" spans="1:20" ht="18" customHeight="1">
      <c r="A17" s="475" t="str">
        <f t="shared" si="1"/>
        <v>VL</v>
      </c>
      <c r="B17" s="476">
        <f t="shared" si="2"/>
        <v>6</v>
      </c>
      <c r="C17" s="485" t="s">
        <v>357</v>
      </c>
      <c r="D17" s="486" t="s">
        <v>341</v>
      </c>
      <c r="E17" s="415">
        <v>5400</v>
      </c>
      <c r="F17" s="415">
        <v>80459999</v>
      </c>
      <c r="G17" s="25">
        <f t="array" ref="G17">SUM(IF("1522"&amp;C17=KHN&amp;MH,SL))</f>
        <v>0</v>
      </c>
      <c r="H17" s="25">
        <f t="array" ref="H17">SUM(IF("1522"&amp;C17=KHN&amp;MH,TH))</f>
        <v>0</v>
      </c>
      <c r="I17" s="25">
        <f t="array" ref="I17">SUM(IF("1522"&amp;C17=KHC&amp;MH,SL))</f>
        <v>0</v>
      </c>
      <c r="J17" s="25">
        <f t="array" ref="J17">SUM(IF("1522"&amp;C17=KHC&amp;MH,TH))</f>
        <v>0</v>
      </c>
      <c r="K17" s="8">
        <f t="shared" si="0"/>
        <v>5400</v>
      </c>
      <c r="L17" s="8">
        <f t="shared" si="0"/>
        <v>80459999</v>
      </c>
      <c r="M17" s="479"/>
      <c r="N17" s="482" t="s">
        <v>358</v>
      </c>
      <c r="O17" s="484" t="s">
        <v>343</v>
      </c>
      <c r="P17" s="481">
        <v>324478047</v>
      </c>
      <c r="Q17" s="481" t="s">
        <v>359</v>
      </c>
      <c r="R17" s="481"/>
      <c r="S17" s="481" t="s">
        <v>339</v>
      </c>
    </row>
    <row r="18" spans="1:20" ht="18" customHeight="1">
      <c r="A18" s="475" t="str">
        <f t="shared" si="1"/>
        <v>VL</v>
      </c>
      <c r="B18" s="476">
        <f t="shared" si="2"/>
        <v>7</v>
      </c>
      <c r="C18" s="485" t="s">
        <v>360</v>
      </c>
      <c r="D18" s="487" t="s">
        <v>361</v>
      </c>
      <c r="E18" s="415">
        <v>950</v>
      </c>
      <c r="F18" s="415">
        <v>8075000</v>
      </c>
      <c r="G18" s="25">
        <f t="array" ref="G18">SUM(IF("1522"&amp;C18=KHN&amp;MH,SL))</f>
        <v>0</v>
      </c>
      <c r="H18" s="25">
        <f t="array" ref="H18">SUM(IF("1522"&amp;C18=KHN&amp;MH,TH))</f>
        <v>0</v>
      </c>
      <c r="I18" s="25">
        <f t="array" ref="I18">SUM(IF("1522"&amp;C18=KHC&amp;MH,SL))</f>
        <v>0</v>
      </c>
      <c r="J18" s="25">
        <f t="array" ref="J18">SUM(IF("1522"&amp;C18=KHC&amp;MH,TH))</f>
        <v>0</v>
      </c>
      <c r="K18" s="8">
        <f t="shared" si="0"/>
        <v>950</v>
      </c>
      <c r="L18" s="8">
        <f t="shared" si="0"/>
        <v>8075000</v>
      </c>
      <c r="M18" s="479"/>
      <c r="N18" s="482" t="s">
        <v>362</v>
      </c>
      <c r="O18" s="484" t="s">
        <v>343</v>
      </c>
      <c r="P18" s="481">
        <v>321413712</v>
      </c>
      <c r="Q18" s="481" t="s">
        <v>363</v>
      </c>
      <c r="R18" s="481"/>
      <c r="S18" s="481" t="s">
        <v>339</v>
      </c>
    </row>
    <row r="19" spans="1:20" ht="18" customHeight="1">
      <c r="A19" s="475" t="str">
        <f t="shared" si="1"/>
        <v>VL</v>
      </c>
      <c r="B19" s="476">
        <f t="shared" si="2"/>
        <v>8</v>
      </c>
      <c r="C19" s="485" t="s">
        <v>364</v>
      </c>
      <c r="D19" s="487" t="s">
        <v>341</v>
      </c>
      <c r="E19" s="415">
        <v>1646.6999999999971</v>
      </c>
      <c r="F19" s="415">
        <v>531969</v>
      </c>
      <c r="G19" s="25">
        <f t="array" ref="G19">SUM(IF("1522"&amp;C19=KHN&amp;MH,SL))</f>
        <v>0</v>
      </c>
      <c r="H19" s="25">
        <f t="array" ref="H19">SUM(IF("1522"&amp;C19=KHN&amp;MH,TH))</f>
        <v>0</v>
      </c>
      <c r="I19" s="25">
        <f t="array" ref="I19">SUM(IF("1522"&amp;C19=KHC&amp;MH,SL))</f>
        <v>0</v>
      </c>
      <c r="J19" s="25">
        <f t="array" ref="J19">SUM(IF("1522"&amp;C19=KHC&amp;MH,TH))</f>
        <v>0</v>
      </c>
      <c r="K19" s="415">
        <f t="shared" si="0"/>
        <v>1646.6999999999971</v>
      </c>
      <c r="L19" s="415">
        <f t="shared" si="0"/>
        <v>531969</v>
      </c>
      <c r="M19" s="479"/>
      <c r="N19" s="482" t="s">
        <v>365</v>
      </c>
      <c r="O19" s="477" t="s">
        <v>343</v>
      </c>
      <c r="P19" s="481">
        <v>320744085</v>
      </c>
      <c r="Q19" s="481" t="s">
        <v>348</v>
      </c>
      <c r="R19" s="481"/>
      <c r="S19" s="481" t="s">
        <v>339</v>
      </c>
    </row>
    <row r="20" spans="1:20" ht="18" customHeight="1">
      <c r="A20" s="475" t="str">
        <f t="shared" si="1"/>
        <v>VL</v>
      </c>
      <c r="B20" s="476">
        <f t="shared" si="2"/>
        <v>9</v>
      </c>
      <c r="C20" s="485" t="s">
        <v>619</v>
      </c>
      <c r="D20" s="490" t="s">
        <v>383</v>
      </c>
      <c r="E20" s="415"/>
      <c r="F20" s="415"/>
      <c r="G20" s="25">
        <f t="array" ref="G20">SUM(IF("1522"&amp;C20=KHN&amp;MH,SL))</f>
        <v>0</v>
      </c>
      <c r="H20" s="25">
        <f t="array" ref="H20">SUM(IF("1522"&amp;C20=KHN&amp;MH,TH))</f>
        <v>0</v>
      </c>
      <c r="I20" s="25">
        <f t="array" ref="I20">SUM(IF("1522"&amp;C20=KHC&amp;MH,SL))</f>
        <v>0</v>
      </c>
      <c r="J20" s="25">
        <f t="array" ref="J20">SUM(IF("1522"&amp;C20=KHC&amp;MH,TH))</f>
        <v>0</v>
      </c>
      <c r="K20" s="415">
        <f t="shared" ref="K20:L24" si="3">E20+G20-I20</f>
        <v>0</v>
      </c>
      <c r="L20" s="415">
        <f t="shared" si="3"/>
        <v>0</v>
      </c>
      <c r="M20" s="479"/>
      <c r="N20" s="482" t="s">
        <v>368</v>
      </c>
      <c r="O20" s="477" t="s">
        <v>343</v>
      </c>
      <c r="P20" s="481">
        <v>320807672</v>
      </c>
      <c r="Q20" s="481" t="s">
        <v>369</v>
      </c>
      <c r="R20" s="481"/>
      <c r="S20" s="481" t="s">
        <v>339</v>
      </c>
    </row>
    <row r="21" spans="1:20" ht="18" customHeight="1">
      <c r="A21" s="475" t="str">
        <f>IF(B21&lt;&gt;"","VL","")</f>
        <v>VL</v>
      </c>
      <c r="B21" s="476">
        <f>IF(C21&lt;&gt;"",ROW()-11,"")</f>
        <v>10</v>
      </c>
      <c r="C21" s="485" t="s">
        <v>810</v>
      </c>
      <c r="D21" s="490" t="s">
        <v>341</v>
      </c>
      <c r="E21" s="415"/>
      <c r="F21" s="415"/>
      <c r="G21" s="25">
        <f t="array" ref="G21">SUM(IF("1522"&amp;C21=KHN&amp;MH,SL))</f>
        <v>0</v>
      </c>
      <c r="H21" s="25">
        <f t="array" ref="H21">SUM(IF("1522"&amp;C21=KHN&amp;MH,TH))</f>
        <v>0</v>
      </c>
      <c r="I21" s="25">
        <f t="array" ref="I21">SUM(IF("1522"&amp;C21=KHC&amp;MH,SL))</f>
        <v>0</v>
      </c>
      <c r="J21" s="25">
        <f t="array" ref="J21">SUM(IF("1522"&amp;C21=KHC&amp;MH,TH))</f>
        <v>0</v>
      </c>
      <c r="K21" s="415">
        <f t="shared" si="3"/>
        <v>0</v>
      </c>
      <c r="L21" s="415">
        <f t="shared" si="3"/>
        <v>0</v>
      </c>
      <c r="M21" s="479"/>
      <c r="N21" s="482" t="s">
        <v>371</v>
      </c>
      <c r="O21" s="477" t="s">
        <v>343</v>
      </c>
      <c r="P21" s="481">
        <v>320044169</v>
      </c>
      <c r="Q21" s="481" t="s">
        <v>372</v>
      </c>
      <c r="R21" s="481"/>
      <c r="S21" s="481" t="s">
        <v>339</v>
      </c>
    </row>
    <row r="22" spans="1:20" ht="18" customHeight="1">
      <c r="A22" s="475" t="str">
        <f t="shared" si="1"/>
        <v>VL</v>
      </c>
      <c r="B22" s="476">
        <f t="shared" si="2"/>
        <v>11</v>
      </c>
      <c r="C22" s="905" t="s">
        <v>366</v>
      </c>
      <c r="D22" s="906" t="s">
        <v>367</v>
      </c>
      <c r="E22" s="907">
        <v>93800</v>
      </c>
      <c r="F22" s="907">
        <v>28140000</v>
      </c>
      <c r="G22" s="908">
        <f t="array" ref="G22">SUM(IF("1522"&amp;C22=KHN&amp;MH,SL))</f>
        <v>0</v>
      </c>
      <c r="H22" s="908">
        <f t="array" ref="H22">SUM(IF("1522"&amp;C22=KHN&amp;MH,TH))</f>
        <v>0</v>
      </c>
      <c r="I22" s="908">
        <f t="array" ref="I22">SUM(IF("1522"&amp;C22=KHC&amp;MH,SL))</f>
        <v>0</v>
      </c>
      <c r="J22" s="908">
        <f t="array" ref="J22">SUM(IF("1522"&amp;C22=KHC&amp;MH,TH))</f>
        <v>0</v>
      </c>
      <c r="K22" s="909">
        <f t="shared" si="3"/>
        <v>93800</v>
      </c>
      <c r="L22" s="909">
        <f t="shared" si="3"/>
        <v>28140000</v>
      </c>
      <c r="M22" s="479"/>
      <c r="N22" s="488" t="s">
        <v>374</v>
      </c>
      <c r="O22" s="477" t="s">
        <v>343</v>
      </c>
      <c r="P22" s="481">
        <v>320881573</v>
      </c>
      <c r="Q22" s="481" t="s">
        <v>369</v>
      </c>
      <c r="R22" s="481"/>
      <c r="S22" s="481" t="s">
        <v>339</v>
      </c>
    </row>
    <row r="23" spans="1:20" ht="18" customHeight="1">
      <c r="A23" s="475" t="str">
        <f t="shared" si="1"/>
        <v>VL</v>
      </c>
      <c r="B23" s="476">
        <f t="shared" si="2"/>
        <v>12</v>
      </c>
      <c r="C23" s="910" t="s">
        <v>370</v>
      </c>
      <c r="D23" s="906" t="s">
        <v>367</v>
      </c>
      <c r="E23" s="907">
        <v>48700</v>
      </c>
      <c r="F23" s="907">
        <v>19480000</v>
      </c>
      <c r="G23" s="908">
        <f t="array" ref="G23">SUM(IF("1522"&amp;C23=KHN&amp;MH,SL))</f>
        <v>0</v>
      </c>
      <c r="H23" s="908">
        <f t="array" ref="H23">SUM(IF("1522"&amp;C23=KHN&amp;MH,TH))</f>
        <v>0</v>
      </c>
      <c r="I23" s="908">
        <f t="array" ref="I23">SUM(IF("1522"&amp;C23=KHC&amp;MH,SL))</f>
        <v>0</v>
      </c>
      <c r="J23" s="908">
        <f t="array" ref="J23">SUM(IF("1522"&amp;C23=KHC&amp;MH,TH))</f>
        <v>0</v>
      </c>
      <c r="K23" s="909">
        <f t="shared" si="3"/>
        <v>48700</v>
      </c>
      <c r="L23" s="909">
        <f t="shared" si="3"/>
        <v>19480000</v>
      </c>
      <c r="M23" s="479"/>
      <c r="N23" s="482" t="s">
        <v>376</v>
      </c>
      <c r="O23" s="477" t="s">
        <v>343</v>
      </c>
      <c r="P23" s="481">
        <v>320876558</v>
      </c>
      <c r="Q23" s="481" t="s">
        <v>377</v>
      </c>
      <c r="R23" s="481"/>
      <c r="S23" s="481" t="s">
        <v>339</v>
      </c>
    </row>
    <row r="24" spans="1:20" ht="18" customHeight="1">
      <c r="A24" s="475" t="str">
        <f t="shared" si="1"/>
        <v>VL</v>
      </c>
      <c r="B24" s="476">
        <f t="shared" si="2"/>
        <v>13</v>
      </c>
      <c r="C24" s="910" t="s">
        <v>373</v>
      </c>
      <c r="D24" s="906" t="s">
        <v>367</v>
      </c>
      <c r="E24" s="907">
        <v>12300</v>
      </c>
      <c r="F24" s="907">
        <v>2890500</v>
      </c>
      <c r="G24" s="908">
        <f t="array" ref="G24">SUM(IF("1522"&amp;C24=KHN&amp;MH,SL))</f>
        <v>0</v>
      </c>
      <c r="H24" s="908">
        <f t="array" ref="H24">SUM(IF("1522"&amp;C24=KHN&amp;MH,TH))</f>
        <v>0</v>
      </c>
      <c r="I24" s="908">
        <f t="array" ref="I24">SUM(IF("1522"&amp;C24=KHC&amp;MH,SL))</f>
        <v>0</v>
      </c>
      <c r="J24" s="908">
        <f t="array" ref="J24">SUM(IF("1522"&amp;C24=KHC&amp;MH,TH))</f>
        <v>0</v>
      </c>
      <c r="K24" s="909">
        <f t="shared" si="3"/>
        <v>12300</v>
      </c>
      <c r="L24" s="909">
        <f t="shared" si="3"/>
        <v>2890500</v>
      </c>
      <c r="M24" s="479"/>
      <c r="N24" s="482" t="s">
        <v>379</v>
      </c>
      <c r="O24" s="484" t="s">
        <v>380</v>
      </c>
      <c r="P24" s="481">
        <v>250746332</v>
      </c>
      <c r="Q24" s="481" t="s">
        <v>381</v>
      </c>
      <c r="R24" s="481"/>
      <c r="S24" s="481" t="s">
        <v>339</v>
      </c>
    </row>
    <row r="25" spans="1:20" ht="18" customHeight="1">
      <c r="A25" s="475" t="str">
        <f t="shared" si="1"/>
        <v>VL</v>
      </c>
      <c r="B25" s="476">
        <f t="shared" si="2"/>
        <v>14</v>
      </c>
      <c r="C25" s="910" t="s">
        <v>375</v>
      </c>
      <c r="D25" s="906" t="s">
        <v>367</v>
      </c>
      <c r="E25" s="907">
        <v>295214</v>
      </c>
      <c r="F25" s="907">
        <v>102435290</v>
      </c>
      <c r="G25" s="908">
        <f t="array" ref="G25">SUM(IF("1522"&amp;C25=KHN&amp;MH,SL))</f>
        <v>0</v>
      </c>
      <c r="H25" s="908">
        <f t="array" ref="H25">SUM(IF("1522"&amp;C25=KHN&amp;MH,TH))</f>
        <v>0</v>
      </c>
      <c r="I25" s="908">
        <f t="array" ref="I25">SUM(IF("1522"&amp;C25=KHC&amp;MH,SL))</f>
        <v>0</v>
      </c>
      <c r="J25" s="908">
        <f t="array" ref="J25">SUM(IF("1522"&amp;C25=KHC&amp;MH,TH))</f>
        <v>0</v>
      </c>
      <c r="K25" s="909">
        <f t="shared" si="0"/>
        <v>295214</v>
      </c>
      <c r="L25" s="909">
        <f t="shared" si="0"/>
        <v>102435290</v>
      </c>
      <c r="M25" s="479"/>
      <c r="N25" s="482" t="s">
        <v>384</v>
      </c>
      <c r="O25" s="484" t="s">
        <v>380</v>
      </c>
      <c r="P25" s="481">
        <v>260682094</v>
      </c>
      <c r="Q25" s="481" t="s">
        <v>381</v>
      </c>
      <c r="R25" s="481"/>
      <c r="S25" s="481" t="s">
        <v>339</v>
      </c>
    </row>
    <row r="26" spans="1:20" ht="18" customHeight="1">
      <c r="A26" s="475" t="str">
        <f t="shared" si="1"/>
        <v>VL</v>
      </c>
      <c r="B26" s="476">
        <f t="shared" si="2"/>
        <v>15</v>
      </c>
      <c r="C26" s="910" t="s">
        <v>378</v>
      </c>
      <c r="D26" s="906" t="s">
        <v>367</v>
      </c>
      <c r="E26" s="907">
        <v>6600</v>
      </c>
      <c r="F26" s="907">
        <v>3597000</v>
      </c>
      <c r="G26" s="908">
        <f t="array" ref="G26">SUM(IF("1522"&amp;C26=KHN&amp;MH,SL))</f>
        <v>0</v>
      </c>
      <c r="H26" s="908">
        <f t="array" ref="H26">SUM(IF("1522"&amp;C26=KHN&amp;MH,TH))</f>
        <v>0</v>
      </c>
      <c r="I26" s="908">
        <f t="array" ref="I26">SUM(IF("1522"&amp;C26=KHC&amp;MH,SL))</f>
        <v>0</v>
      </c>
      <c r="J26" s="908">
        <f t="array" ref="J26">SUM(IF("1522"&amp;C26=KHC&amp;MH,TH))</f>
        <v>0</v>
      </c>
      <c r="K26" s="907">
        <f t="shared" si="0"/>
        <v>6600</v>
      </c>
      <c r="L26" s="907">
        <f t="shared" si="0"/>
        <v>3597000</v>
      </c>
      <c r="M26" s="479"/>
      <c r="N26" s="482" t="s">
        <v>386</v>
      </c>
      <c r="O26" s="484" t="s">
        <v>380</v>
      </c>
      <c r="P26" s="481">
        <v>260690910</v>
      </c>
      <c r="Q26" s="481" t="s">
        <v>387</v>
      </c>
      <c r="R26" s="481"/>
      <c r="S26" s="481" t="s">
        <v>339</v>
      </c>
    </row>
    <row r="27" spans="1:20" ht="18" customHeight="1">
      <c r="A27" s="475" t="str">
        <f t="shared" si="1"/>
        <v>VL</v>
      </c>
      <c r="B27" s="476">
        <f t="shared" si="2"/>
        <v>16</v>
      </c>
      <c r="C27" s="489" t="s">
        <v>382</v>
      </c>
      <c r="D27" s="490" t="s">
        <v>383</v>
      </c>
      <c r="E27" s="491">
        <v>9928</v>
      </c>
      <c r="F27" s="491">
        <v>57392400</v>
      </c>
      <c r="G27" s="25">
        <f t="array" ref="G27">SUM(IF("1522"&amp;C27=KHN&amp;MH,SL))</f>
        <v>0</v>
      </c>
      <c r="H27" s="25">
        <f t="array" ref="H27">SUM(IF("1522"&amp;C27=KHN&amp;MH,TH))</f>
        <v>0</v>
      </c>
      <c r="I27" s="25">
        <f t="array" ref="I27">SUM(IF("1522"&amp;C27=KHC&amp;MH,SL))</f>
        <v>0</v>
      </c>
      <c r="J27" s="25">
        <f t="array" ref="J27">SUM(IF("1522"&amp;C27=KHC&amp;MH,TH))</f>
        <v>0</v>
      </c>
      <c r="K27" s="492">
        <f t="shared" si="0"/>
        <v>9928</v>
      </c>
      <c r="L27" s="492">
        <f t="shared" si="0"/>
        <v>57392400</v>
      </c>
      <c r="M27" s="479"/>
      <c r="N27" s="482" t="s">
        <v>389</v>
      </c>
      <c r="O27" s="484" t="s">
        <v>380</v>
      </c>
      <c r="P27" s="481">
        <v>260178873</v>
      </c>
      <c r="Q27" s="481" t="s">
        <v>390</v>
      </c>
      <c r="R27" s="481"/>
      <c r="S27" s="481" t="s">
        <v>339</v>
      </c>
    </row>
    <row r="28" spans="1:20" ht="18" customHeight="1">
      <c r="A28" s="475" t="str">
        <f t="shared" si="1"/>
        <v>VL</v>
      </c>
      <c r="B28" s="476">
        <f t="shared" si="2"/>
        <v>17</v>
      </c>
      <c r="C28" s="489" t="s">
        <v>385</v>
      </c>
      <c r="D28" s="490" t="s">
        <v>383</v>
      </c>
      <c r="E28" s="491">
        <v>13938</v>
      </c>
      <c r="F28" s="491">
        <v>62251600</v>
      </c>
      <c r="G28" s="25">
        <f t="array" ref="G28">SUM(IF("1522"&amp;C28=KHN&amp;MH,SL))</f>
        <v>0</v>
      </c>
      <c r="H28" s="25">
        <f t="array" ref="H28">SUM(IF("1522"&amp;C28=KHN&amp;MH,TH))</f>
        <v>0</v>
      </c>
      <c r="I28" s="25">
        <f t="array" ref="I28">SUM(IF("1522"&amp;C28=KHC&amp;MH,SL))</f>
        <v>0</v>
      </c>
      <c r="J28" s="25">
        <f t="array" ref="J28">SUM(IF("1522"&amp;C28=KHC&amp;MH,TH))</f>
        <v>0</v>
      </c>
      <c r="K28" s="492">
        <f t="shared" si="0"/>
        <v>13938</v>
      </c>
      <c r="L28" s="492">
        <f t="shared" si="0"/>
        <v>62251600</v>
      </c>
      <c r="M28" s="479"/>
      <c r="N28" s="482" t="s">
        <v>392</v>
      </c>
      <c r="O28" s="484" t="s">
        <v>380</v>
      </c>
      <c r="P28" s="481">
        <v>260850613</v>
      </c>
      <c r="Q28" s="481" t="s">
        <v>390</v>
      </c>
      <c r="R28" s="481"/>
      <c r="S28" s="481" t="s">
        <v>339</v>
      </c>
      <c r="T28" s="493"/>
    </row>
    <row r="29" spans="1:20" s="493" customFormat="1" ht="18" customHeight="1">
      <c r="A29" s="475" t="str">
        <f t="shared" si="1"/>
        <v>VL</v>
      </c>
      <c r="B29" s="476">
        <f t="shared" si="2"/>
        <v>18</v>
      </c>
      <c r="C29" s="489" t="s">
        <v>388</v>
      </c>
      <c r="D29" s="490" t="s">
        <v>383</v>
      </c>
      <c r="E29" s="491">
        <v>7380</v>
      </c>
      <c r="F29" s="491">
        <v>106222000</v>
      </c>
      <c r="G29" s="25">
        <f t="array" ref="G29">SUM(IF("1522"&amp;C29=KHN&amp;MH,SL))</f>
        <v>0</v>
      </c>
      <c r="H29" s="25">
        <f t="array" ref="H29">SUM(IF("1522"&amp;C29=KHN&amp;MH,TH))</f>
        <v>0</v>
      </c>
      <c r="I29" s="25">
        <f t="array" ref="I29">SUM(IF("1522"&amp;C29=KHC&amp;MH,SL))</f>
        <v>0</v>
      </c>
      <c r="J29" s="25">
        <f t="array" ref="J29">SUM(IF("1522"&amp;C29=KHC&amp;MH,TH))</f>
        <v>0</v>
      </c>
      <c r="K29" s="492">
        <f t="shared" si="0"/>
        <v>7380</v>
      </c>
      <c r="L29" s="492">
        <f t="shared" si="0"/>
        <v>106222000</v>
      </c>
      <c r="M29" s="479"/>
      <c r="N29" s="482" t="s">
        <v>394</v>
      </c>
      <c r="O29" s="484" t="s">
        <v>380</v>
      </c>
      <c r="P29" s="481">
        <v>280853616</v>
      </c>
      <c r="Q29" s="481" t="s">
        <v>390</v>
      </c>
      <c r="R29" s="481"/>
      <c r="S29" s="481" t="s">
        <v>339</v>
      </c>
    </row>
    <row r="30" spans="1:20" s="493" customFormat="1" ht="18" customHeight="1">
      <c r="A30" s="475" t="str">
        <f t="shared" si="1"/>
        <v>VL</v>
      </c>
      <c r="B30" s="476">
        <f t="shared" si="2"/>
        <v>19</v>
      </c>
      <c r="C30" s="489" t="s">
        <v>391</v>
      </c>
      <c r="D30" s="490" t="s">
        <v>383</v>
      </c>
      <c r="E30" s="491"/>
      <c r="F30" s="491"/>
      <c r="G30" s="25">
        <f t="array" ref="G30">SUM(IF("1522"&amp;C30=KHN&amp;MH,SL))</f>
        <v>0</v>
      </c>
      <c r="H30" s="25">
        <f t="array" ref="H30">SUM(IF("1522"&amp;C30=KHN&amp;MH,TH))</f>
        <v>0</v>
      </c>
      <c r="I30" s="25">
        <f t="array" ref="I30">SUM(IF("1522"&amp;C30=KHC&amp;MH,SL))</f>
        <v>0</v>
      </c>
      <c r="J30" s="25">
        <f t="array" ref="J30">SUM(IF("1522"&amp;C30=KHC&amp;MH,TH))</f>
        <v>0</v>
      </c>
      <c r="K30" s="492">
        <f t="shared" ref="K30:L35" si="4">E30+G30-I30</f>
        <v>0</v>
      </c>
      <c r="L30" s="492">
        <f t="shared" si="4"/>
        <v>0</v>
      </c>
      <c r="M30" s="479"/>
      <c r="N30" s="482" t="s">
        <v>396</v>
      </c>
      <c r="O30" s="484" t="s">
        <v>380</v>
      </c>
      <c r="P30" s="481">
        <v>261005222</v>
      </c>
      <c r="Q30" s="481" t="s">
        <v>397</v>
      </c>
      <c r="R30" s="481"/>
      <c r="S30" s="481" t="s">
        <v>339</v>
      </c>
    </row>
    <row r="31" spans="1:20" s="493" customFormat="1" ht="18" customHeight="1">
      <c r="A31" s="475" t="str">
        <f t="shared" si="1"/>
        <v>VL</v>
      </c>
      <c r="B31" s="476">
        <f>IF(C31&lt;&gt;"",ROW()-11,"")</f>
        <v>20</v>
      </c>
      <c r="C31" s="489" t="s">
        <v>393</v>
      </c>
      <c r="D31" s="490" t="s">
        <v>383</v>
      </c>
      <c r="E31" s="491"/>
      <c r="F31" s="491"/>
      <c r="G31" s="25">
        <f t="array" ref="G31">SUM(IF("1522"&amp;C31=KHN&amp;MH,SL))</f>
        <v>0</v>
      </c>
      <c r="H31" s="25">
        <f t="array" ref="H31">SUM(IF("1522"&amp;C31=KHN&amp;MH,TH))</f>
        <v>0</v>
      </c>
      <c r="I31" s="25">
        <f t="array" ref="I31">SUM(IF("1522"&amp;C31=KHC&amp;MH,SL))</f>
        <v>0</v>
      </c>
      <c r="J31" s="25">
        <f t="array" ref="J31">SUM(IF("1522"&amp;C31=KHC&amp;MH,TH))</f>
        <v>0</v>
      </c>
      <c r="K31" s="491">
        <f t="shared" si="4"/>
        <v>0</v>
      </c>
      <c r="L31" s="491">
        <f t="shared" si="4"/>
        <v>0</v>
      </c>
      <c r="M31" s="479"/>
      <c r="N31" s="482" t="s">
        <v>399</v>
      </c>
      <c r="O31" s="484" t="s">
        <v>400</v>
      </c>
      <c r="P31" s="481">
        <v>370047763</v>
      </c>
      <c r="Q31" s="481" t="s">
        <v>401</v>
      </c>
      <c r="R31" s="481"/>
      <c r="S31" s="481" t="s">
        <v>345</v>
      </c>
      <c r="T31" s="466"/>
    </row>
    <row r="32" spans="1:20" ht="18.75" customHeight="1">
      <c r="A32" s="475" t="str">
        <f t="shared" si="1"/>
        <v>VL</v>
      </c>
      <c r="B32" s="476">
        <f t="shared" si="2"/>
        <v>21</v>
      </c>
      <c r="C32" s="489" t="s">
        <v>395</v>
      </c>
      <c r="D32" s="490" t="s">
        <v>383</v>
      </c>
      <c r="E32" s="491"/>
      <c r="F32" s="491"/>
      <c r="G32" s="25">
        <f t="array" ref="G32">SUM(IF("1522"&amp;C32=KHN&amp;MH,SL))</f>
        <v>0</v>
      </c>
      <c r="H32" s="25">
        <f t="array" ref="H32">SUM(IF("1522"&amp;C32=KHN&amp;MH,TH))</f>
        <v>0</v>
      </c>
      <c r="I32" s="25">
        <f t="array" ref="I32">SUM(IF("1522"&amp;C32=KHC&amp;MH,SL))</f>
        <v>0</v>
      </c>
      <c r="J32" s="25">
        <f t="array" ref="J32">SUM(IF("1522"&amp;C32=KHC&amp;MH,TH))</f>
        <v>0</v>
      </c>
      <c r="K32" s="491">
        <f t="shared" si="4"/>
        <v>0</v>
      </c>
      <c r="L32" s="491">
        <f t="shared" si="4"/>
        <v>0</v>
      </c>
      <c r="M32" s="479"/>
      <c r="N32" s="482" t="s">
        <v>403</v>
      </c>
      <c r="O32" s="484" t="s">
        <v>400</v>
      </c>
      <c r="P32" s="481">
        <v>370054438</v>
      </c>
      <c r="Q32" s="481" t="s">
        <v>401</v>
      </c>
      <c r="R32" s="481"/>
      <c r="S32" s="481" t="s">
        <v>345</v>
      </c>
    </row>
    <row r="33" spans="1:19" ht="18.75" customHeight="1">
      <c r="A33" s="475" t="str">
        <f t="shared" si="1"/>
        <v>VL</v>
      </c>
      <c r="B33" s="476">
        <f t="shared" si="2"/>
        <v>22</v>
      </c>
      <c r="C33" s="489" t="s">
        <v>701</v>
      </c>
      <c r="D33" s="490" t="s">
        <v>383</v>
      </c>
      <c r="E33" s="491"/>
      <c r="F33" s="491"/>
      <c r="G33" s="25">
        <f t="array" ref="G33">SUM(IF("1522"&amp;C33=KHN&amp;MH,SL))</f>
        <v>0</v>
      </c>
      <c r="H33" s="25">
        <f t="array" ref="H33">SUM(IF("1522"&amp;C33=KHN&amp;MH,TH))</f>
        <v>0</v>
      </c>
      <c r="I33" s="25">
        <f t="array" ref="I33">SUM(IF("1522"&amp;C33=KHC&amp;MH,SL))</f>
        <v>0</v>
      </c>
      <c r="J33" s="25">
        <f t="array" ref="J33">SUM(IF("1522"&amp;C33=KHC&amp;MH,TH))</f>
        <v>0</v>
      </c>
      <c r="K33" s="491">
        <f t="shared" si="4"/>
        <v>0</v>
      </c>
      <c r="L33" s="491">
        <f t="shared" si="4"/>
        <v>0</v>
      </c>
      <c r="M33" s="479"/>
      <c r="N33" s="482" t="s">
        <v>404</v>
      </c>
      <c r="O33" s="484" t="s">
        <v>400</v>
      </c>
      <c r="P33" s="481">
        <v>370615318</v>
      </c>
      <c r="Q33" s="481" t="s">
        <v>405</v>
      </c>
      <c r="R33" s="481"/>
      <c r="S33" s="481" t="s">
        <v>345</v>
      </c>
    </row>
    <row r="34" spans="1:19" ht="18.75" customHeight="1">
      <c r="A34" s="475" t="str">
        <f t="shared" si="1"/>
        <v>VL</v>
      </c>
      <c r="B34" s="476">
        <f t="shared" si="2"/>
        <v>23</v>
      </c>
      <c r="C34" s="489" t="s">
        <v>402</v>
      </c>
      <c r="D34" s="490" t="s">
        <v>383</v>
      </c>
      <c r="E34" s="491"/>
      <c r="F34" s="491"/>
      <c r="G34" s="25">
        <f t="array" ref="G34">SUM(IF("1522"&amp;C34=KHN&amp;MH,SL))</f>
        <v>0</v>
      </c>
      <c r="H34" s="25">
        <f t="array" ref="H34">SUM(IF("1522"&amp;C34=KHN&amp;MH,TH))</f>
        <v>0</v>
      </c>
      <c r="I34" s="25">
        <f t="array" ref="I34">SUM(IF("1522"&amp;C34=KHC&amp;MH,SL))</f>
        <v>0</v>
      </c>
      <c r="J34" s="25">
        <f t="array" ref="J34">SUM(IF("1522"&amp;C34=KHC&amp;MH,TH))</f>
        <v>0</v>
      </c>
      <c r="K34" s="491">
        <f t="shared" si="4"/>
        <v>0</v>
      </c>
      <c r="L34" s="491">
        <f t="shared" si="4"/>
        <v>0</v>
      </c>
      <c r="M34" s="479"/>
      <c r="N34" s="482" t="s">
        <v>406</v>
      </c>
      <c r="O34" s="484" t="s">
        <v>400</v>
      </c>
      <c r="P34" s="481">
        <v>370825748</v>
      </c>
      <c r="Q34" s="481" t="s">
        <v>405</v>
      </c>
      <c r="R34" s="481"/>
      <c r="S34" s="481" t="s">
        <v>345</v>
      </c>
    </row>
    <row r="35" spans="1:19" ht="18.75" customHeight="1">
      <c r="A35" s="475" t="str">
        <f t="shared" si="1"/>
        <v/>
      </c>
      <c r="B35" s="476" t="str">
        <f t="shared" si="2"/>
        <v/>
      </c>
      <c r="C35" s="489"/>
      <c r="D35" s="490"/>
      <c r="E35" s="491"/>
      <c r="F35" s="491"/>
      <c r="G35" s="25">
        <f t="array" ref="G35">SUM(IF("1522"&amp;C35=KHN&amp;MH,SL))</f>
        <v>0</v>
      </c>
      <c r="H35" s="25">
        <f t="array" ref="H35">SUM(IF("1522"&amp;C35=KHN&amp;MH,TH))</f>
        <v>0</v>
      </c>
      <c r="I35" s="25">
        <f t="array" ref="I35">SUM(IF("1522"&amp;C35=KHC&amp;MH,SL))</f>
        <v>0</v>
      </c>
      <c r="J35" s="25">
        <f t="array" ref="J35">SUM(IF("1522"&amp;C35=KHC&amp;MH,TH))</f>
        <v>0</v>
      </c>
      <c r="K35" s="491">
        <f t="shared" si="4"/>
        <v>0</v>
      </c>
      <c r="L35" s="491">
        <f t="shared" si="4"/>
        <v>0</v>
      </c>
      <c r="M35" s="479"/>
      <c r="N35" s="482" t="s">
        <v>407</v>
      </c>
      <c r="O35" s="484" t="s">
        <v>400</v>
      </c>
      <c r="P35" s="481">
        <v>370698949</v>
      </c>
      <c r="Q35" s="481" t="s">
        <v>408</v>
      </c>
      <c r="R35" s="481" t="s">
        <v>409</v>
      </c>
      <c r="S35" s="481" t="s">
        <v>345</v>
      </c>
    </row>
    <row r="36" spans="1:19" ht="18.75" customHeight="1">
      <c r="A36" s="475" t="str">
        <f t="shared" si="1"/>
        <v/>
      </c>
      <c r="B36" s="476" t="str">
        <f t="shared" si="2"/>
        <v/>
      </c>
      <c r="C36" s="488"/>
      <c r="D36" s="494"/>
      <c r="E36" s="495"/>
      <c r="F36" s="495"/>
      <c r="G36" s="25"/>
      <c r="H36" s="495"/>
      <c r="I36" s="495"/>
      <c r="J36" s="495"/>
      <c r="K36" s="495"/>
      <c r="L36" s="495"/>
      <c r="M36" s="479"/>
      <c r="N36" s="482" t="s">
        <v>410</v>
      </c>
      <c r="O36" s="484" t="s">
        <v>400</v>
      </c>
      <c r="P36" s="481">
        <v>370803567</v>
      </c>
      <c r="Q36" s="481" t="s">
        <v>411</v>
      </c>
      <c r="R36" s="481"/>
      <c r="S36" s="481" t="s">
        <v>345</v>
      </c>
    </row>
    <row r="37" spans="1:19" ht="18.75" customHeight="1">
      <c r="A37" s="475" t="str">
        <f t="shared" si="1"/>
        <v/>
      </c>
      <c r="B37" s="472"/>
      <c r="C37" s="496" t="s">
        <v>423</v>
      </c>
      <c r="D37" s="13"/>
      <c r="E37" s="13">
        <f t="shared" ref="E37:L37" si="5">SUM(E12:E36)</f>
        <v>497676.7</v>
      </c>
      <c r="F37" s="13">
        <f t="shared" si="5"/>
        <v>526519887</v>
      </c>
      <c r="G37" s="13">
        <f t="shared" si="5"/>
        <v>0</v>
      </c>
      <c r="H37" s="13">
        <f t="shared" si="5"/>
        <v>0</v>
      </c>
      <c r="I37" s="13">
        <f t="shared" si="5"/>
        <v>0</v>
      </c>
      <c r="J37" s="13">
        <f t="shared" si="5"/>
        <v>0</v>
      </c>
      <c r="K37" s="13">
        <f t="shared" si="5"/>
        <v>497676.7</v>
      </c>
      <c r="L37" s="13">
        <f t="shared" si="5"/>
        <v>526519887</v>
      </c>
      <c r="M37" s="479"/>
      <c r="N37" s="482" t="s">
        <v>412</v>
      </c>
      <c r="O37" s="484" t="s">
        <v>400</v>
      </c>
      <c r="P37" s="481">
        <v>370004125</v>
      </c>
      <c r="Q37" s="481" t="s">
        <v>401</v>
      </c>
      <c r="R37" s="481"/>
      <c r="S37" s="481" t="s">
        <v>345</v>
      </c>
    </row>
    <row r="38" spans="1:19" ht="18.75" customHeight="1">
      <c r="A38" s="475"/>
      <c r="B38" s="902"/>
      <c r="C38" s="903"/>
      <c r="D38" s="904"/>
      <c r="E38" s="904">
        <f>F37-F38</f>
        <v>0</v>
      </c>
      <c r="F38" s="904">
        <f>CDPS!C22</f>
        <v>526519887</v>
      </c>
      <c r="G38" s="904">
        <f>H37-H38</f>
        <v>0</v>
      </c>
      <c r="H38" s="904">
        <f>CDPS!E22</f>
        <v>0</v>
      </c>
      <c r="I38" s="904">
        <f>J37-J38</f>
        <v>0</v>
      </c>
      <c r="J38" s="904">
        <f>CDPS!F22</f>
        <v>0</v>
      </c>
      <c r="K38" s="904">
        <f>L37-L38</f>
        <v>0</v>
      </c>
      <c r="L38" s="904">
        <f>CDPS!G22</f>
        <v>526519887</v>
      </c>
      <c r="M38" s="479"/>
      <c r="N38" s="482" t="s">
        <v>413</v>
      </c>
      <c r="O38" s="484" t="s">
        <v>400</v>
      </c>
      <c r="P38" s="481">
        <v>370033286</v>
      </c>
      <c r="Q38" s="481" t="s">
        <v>401</v>
      </c>
      <c r="R38" s="481"/>
      <c r="S38" s="481" t="s">
        <v>345</v>
      </c>
    </row>
    <row r="39" spans="1:19" ht="18.75" customHeight="1">
      <c r="A39" s="475" t="str">
        <f t="shared" ref="A39:A45" si="6">IF(B39&lt;&gt;"","NL","")</f>
        <v>NL</v>
      </c>
      <c r="B39" s="901">
        <f>IF(C39&lt;&gt;"",ROW()-(ROW()-1),"")</f>
        <v>1</v>
      </c>
      <c r="C39" s="477" t="s">
        <v>622</v>
      </c>
      <c r="D39" s="478" t="s">
        <v>341</v>
      </c>
      <c r="E39" s="25">
        <v>46400</v>
      </c>
      <c r="F39" s="25">
        <v>858400000</v>
      </c>
      <c r="G39" s="25">
        <f t="array" ref="G39">SUM(IF("1521"&amp;C39=KHN&amp;MH,SL))</f>
        <v>0</v>
      </c>
      <c r="H39" s="25">
        <f t="array" ref="H39">SUM(IF("1521"&amp;C39=KHN&amp;MH,TH))</f>
        <v>0</v>
      </c>
      <c r="I39" s="25">
        <f t="array" ref="I39">SUM(IF("1521"&amp;C39=KHC&amp;MH,SL))</f>
        <v>0</v>
      </c>
      <c r="J39" s="25">
        <f t="array" ref="J39">SUM(IF("1521"&amp;C39=KHC&amp;MH,TH))</f>
        <v>0</v>
      </c>
      <c r="K39" s="25">
        <f t="shared" ref="K39:L43" si="7">E39+G39-I39</f>
        <v>46400</v>
      </c>
      <c r="L39" s="25">
        <f t="shared" si="7"/>
        <v>858400000</v>
      </c>
      <c r="M39" s="479"/>
      <c r="N39" s="482" t="s">
        <v>414</v>
      </c>
      <c r="O39" s="484" t="s">
        <v>415</v>
      </c>
      <c r="P39" s="481">
        <v>310703274</v>
      </c>
      <c r="Q39" s="481" t="s">
        <v>416</v>
      </c>
      <c r="R39" s="481"/>
      <c r="S39" s="481" t="s">
        <v>345</v>
      </c>
    </row>
    <row r="40" spans="1:19" ht="18.75" customHeight="1">
      <c r="A40" s="475" t="str">
        <f t="shared" si="6"/>
        <v>NL</v>
      </c>
      <c r="B40" s="476">
        <f>IF(C40&lt;&gt;"",B39+1,"")</f>
        <v>2</v>
      </c>
      <c r="C40" s="482" t="s">
        <v>623</v>
      </c>
      <c r="D40" s="478" t="s">
        <v>341</v>
      </c>
      <c r="E40" s="8">
        <v>132000</v>
      </c>
      <c r="F40" s="8">
        <v>1914000000</v>
      </c>
      <c r="G40" s="25">
        <f t="array" ref="G40">SUM(IF("1521"&amp;C40=KHN&amp;MH,SL))</f>
        <v>0</v>
      </c>
      <c r="H40" s="25">
        <f t="array" ref="H40">SUM(IF("1521"&amp;C40=KHN&amp;MH,TH))</f>
        <v>0</v>
      </c>
      <c r="I40" s="25">
        <f t="array" ref="I40">SUM(IF("1521"&amp;C40=KHC&amp;MH,SL))</f>
        <v>0</v>
      </c>
      <c r="J40" s="25">
        <f t="array" ref="J40">SUM(IF("1521"&amp;C40=KHC&amp;MH,TH))</f>
        <v>0</v>
      </c>
      <c r="K40" s="8">
        <f t="shared" si="7"/>
        <v>132000</v>
      </c>
      <c r="L40" s="8">
        <f t="shared" si="7"/>
        <v>1914000000</v>
      </c>
      <c r="M40" s="479"/>
      <c r="N40" s="482" t="s">
        <v>417</v>
      </c>
      <c r="O40" s="484" t="s">
        <v>415</v>
      </c>
      <c r="P40" s="481">
        <v>311704830</v>
      </c>
      <c r="Q40" s="481" t="s">
        <v>418</v>
      </c>
      <c r="R40" s="481"/>
      <c r="S40" s="481" t="s">
        <v>345</v>
      </c>
    </row>
    <row r="41" spans="1:19" ht="18.75" customHeight="1">
      <c r="A41" s="475" t="str">
        <f t="shared" si="6"/>
        <v/>
      </c>
      <c r="B41" s="476" t="str">
        <f>IF(C41&lt;&gt;"",B40+1,"")</f>
        <v/>
      </c>
      <c r="C41" s="482"/>
      <c r="D41" s="478"/>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479"/>
      <c r="N41" s="482" t="s">
        <v>419</v>
      </c>
      <c r="O41" s="484" t="s">
        <v>415</v>
      </c>
      <c r="P41" s="481">
        <v>311318331</v>
      </c>
      <c r="Q41" s="481" t="s">
        <v>420</v>
      </c>
      <c r="R41" s="481"/>
      <c r="S41" s="481" t="s">
        <v>345</v>
      </c>
    </row>
    <row r="42" spans="1:19" ht="18" customHeight="1">
      <c r="A42" s="475" t="str">
        <f t="shared" si="6"/>
        <v/>
      </c>
      <c r="B42" s="476" t="str">
        <f>IF(C42&lt;&gt;"",B41+1,"")</f>
        <v/>
      </c>
      <c r="C42" s="482"/>
      <c r="D42" s="478"/>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479"/>
      <c r="N42" s="482" t="s">
        <v>421</v>
      </c>
      <c r="O42" s="484" t="s">
        <v>415</v>
      </c>
      <c r="P42" s="481">
        <v>310882191</v>
      </c>
      <c r="Q42" s="481" t="s">
        <v>422</v>
      </c>
      <c r="R42" s="481"/>
      <c r="S42" s="481" t="s">
        <v>345</v>
      </c>
    </row>
    <row r="43" spans="1:19" ht="18" customHeight="1">
      <c r="A43" s="475" t="str">
        <f t="shared" si="6"/>
        <v/>
      </c>
      <c r="B43" s="476" t="str">
        <f>IF(C43&lt;&gt;"",B42+1,"")</f>
        <v/>
      </c>
      <c r="C43" s="482"/>
      <c r="D43" s="478"/>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479"/>
      <c r="N43" s="482" t="s">
        <v>424</v>
      </c>
      <c r="O43" s="484" t="s">
        <v>415</v>
      </c>
      <c r="P43" s="481">
        <v>310882158</v>
      </c>
      <c r="Q43" s="481" t="s">
        <v>425</v>
      </c>
      <c r="R43" s="481"/>
      <c r="S43" s="481" t="s">
        <v>345</v>
      </c>
    </row>
    <row r="44" spans="1:19" ht="19.5" customHeight="1">
      <c r="A44" s="475" t="str">
        <f t="shared" si="6"/>
        <v/>
      </c>
      <c r="B44" s="476" t="str">
        <f>IF(C44&lt;&gt;"",B43+1,"")</f>
        <v/>
      </c>
      <c r="C44" s="497"/>
      <c r="D44" s="498"/>
      <c r="E44" s="499"/>
      <c r="F44" s="499"/>
      <c r="G44" s="499"/>
      <c r="H44" s="499"/>
      <c r="I44" s="499"/>
      <c r="J44" s="499"/>
      <c r="K44" s="8"/>
      <c r="L44" s="8"/>
      <c r="M44" s="479"/>
      <c r="N44" s="482" t="s">
        <v>426</v>
      </c>
      <c r="O44" s="484" t="s">
        <v>415</v>
      </c>
      <c r="P44" s="481">
        <v>310033074</v>
      </c>
      <c r="Q44" s="481" t="s">
        <v>416</v>
      </c>
      <c r="R44" s="481"/>
      <c r="S44" s="481" t="s">
        <v>345</v>
      </c>
    </row>
    <row r="45" spans="1:19" ht="19.5" customHeight="1">
      <c r="A45" s="475" t="str">
        <f t="shared" si="6"/>
        <v/>
      </c>
      <c r="B45" s="472"/>
      <c r="C45" s="496" t="s">
        <v>437</v>
      </c>
      <c r="D45" s="472"/>
      <c r="E45" s="13">
        <f>SUM(E39:E43)</f>
        <v>178400</v>
      </c>
      <c r="F45" s="13">
        <f>SUM(F39:F43)</f>
        <v>2772400000</v>
      </c>
      <c r="G45" s="13">
        <f t="shared" ref="G45:L45" si="8">SUM(G39:G42)</f>
        <v>0</v>
      </c>
      <c r="H45" s="13">
        <f t="shared" si="8"/>
        <v>0</v>
      </c>
      <c r="I45" s="13">
        <f t="shared" si="8"/>
        <v>0</v>
      </c>
      <c r="J45" s="13">
        <f t="shared" si="8"/>
        <v>0</v>
      </c>
      <c r="K45" s="13">
        <f t="shared" si="8"/>
        <v>178400</v>
      </c>
      <c r="L45" s="13">
        <f t="shared" si="8"/>
        <v>2772400000</v>
      </c>
      <c r="M45" s="479"/>
      <c r="N45" s="482" t="s">
        <v>427</v>
      </c>
      <c r="O45" s="484" t="s">
        <v>415</v>
      </c>
      <c r="P45" s="481">
        <v>310526150</v>
      </c>
      <c r="Q45" s="481" t="s">
        <v>416</v>
      </c>
      <c r="R45" s="481"/>
      <c r="S45" s="481" t="s">
        <v>345</v>
      </c>
    </row>
    <row r="46" spans="1:19" ht="19.5" customHeight="1">
      <c r="A46" s="475"/>
      <c r="B46" s="902"/>
      <c r="C46" s="903"/>
      <c r="D46" s="902"/>
      <c r="E46" s="904">
        <f>F45-F46</f>
        <v>0</v>
      </c>
      <c r="F46" s="904">
        <f>CDPS!C21</f>
        <v>2772400000</v>
      </c>
      <c r="G46" s="904">
        <f>H45-H46</f>
        <v>-5278000000</v>
      </c>
      <c r="H46" s="904">
        <f>CDPS!E21</f>
        <v>5278000000</v>
      </c>
      <c r="I46" s="904">
        <f>J45-J46</f>
        <v>0</v>
      </c>
      <c r="J46" s="904">
        <f>CDPS!F21</f>
        <v>0</v>
      </c>
      <c r="K46" s="904">
        <f>L45-L46</f>
        <v>-5278000000</v>
      </c>
      <c r="L46" s="904">
        <f>CDPS!G21</f>
        <v>8050400000</v>
      </c>
      <c r="M46" s="479"/>
      <c r="N46" s="482" t="s">
        <v>428</v>
      </c>
      <c r="O46" s="484" t="s">
        <v>415</v>
      </c>
      <c r="P46" s="481">
        <v>311514350</v>
      </c>
      <c r="Q46" s="481" t="s">
        <v>418</v>
      </c>
      <c r="R46" s="481"/>
      <c r="S46" s="481" t="s">
        <v>345</v>
      </c>
    </row>
    <row r="47" spans="1:19" ht="19.5" customHeight="1">
      <c r="A47" s="475" t="str">
        <f>IF(B47&lt;&gt;"","TP","")</f>
        <v>TP</v>
      </c>
      <c r="B47" s="500">
        <f>IF(C47&lt;&gt;"",ROW()-(ROW()-1),"")</f>
        <v>1</v>
      </c>
      <c r="C47" s="477" t="s">
        <v>442</v>
      </c>
      <c r="D47" s="501"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479"/>
      <c r="N47" s="482" t="s">
        <v>429</v>
      </c>
      <c r="O47" s="484" t="s">
        <v>430</v>
      </c>
      <c r="P47" s="481">
        <v>270106056</v>
      </c>
      <c r="Q47" s="481" t="s">
        <v>430</v>
      </c>
      <c r="R47" s="481" t="s">
        <v>431</v>
      </c>
      <c r="S47" s="481" t="s">
        <v>345</v>
      </c>
    </row>
    <row r="48" spans="1:19" ht="19.5" customHeight="1">
      <c r="A48" s="475" t="str">
        <f t="shared" ref="A48:A56" si="10">IF(B48&lt;&gt;"","TP","")</f>
        <v>TP</v>
      </c>
      <c r="B48" s="502">
        <f>IF(C48&lt;&gt;"",B47+1,"")</f>
        <v>2</v>
      </c>
      <c r="C48" s="482" t="s">
        <v>444</v>
      </c>
      <c r="D48" s="501"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479"/>
      <c r="N48" s="482" t="s">
        <v>432</v>
      </c>
      <c r="O48" s="484" t="s">
        <v>430</v>
      </c>
      <c r="P48" s="481">
        <v>270176684</v>
      </c>
      <c r="Q48" s="481" t="s">
        <v>430</v>
      </c>
      <c r="R48" s="481" t="s">
        <v>433</v>
      </c>
      <c r="S48" s="481" t="s">
        <v>345</v>
      </c>
    </row>
    <row r="49" spans="1:20" ht="19.5" customHeight="1">
      <c r="A49" s="475" t="str">
        <f t="shared" si="10"/>
        <v>TP</v>
      </c>
      <c r="B49" s="502">
        <f t="shared" ref="B49:B54" si="11">IF(C49&lt;&gt;"",B48+1,"")</f>
        <v>3</v>
      </c>
      <c r="C49" s="482" t="s">
        <v>446</v>
      </c>
      <c r="D49" s="501"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479"/>
      <c r="N49" s="482" t="s">
        <v>434</v>
      </c>
      <c r="O49" s="484" t="s">
        <v>430</v>
      </c>
      <c r="P49" s="481">
        <v>270176960</v>
      </c>
      <c r="Q49" s="481" t="s">
        <v>430</v>
      </c>
      <c r="R49" s="481" t="s">
        <v>435</v>
      </c>
      <c r="S49" s="481" t="s">
        <v>345</v>
      </c>
    </row>
    <row r="50" spans="1:20" ht="18" customHeight="1">
      <c r="A50" s="475" t="str">
        <f t="shared" si="10"/>
        <v>TP</v>
      </c>
      <c r="B50" s="502">
        <f t="shared" si="11"/>
        <v>4</v>
      </c>
      <c r="C50" s="482" t="s">
        <v>449</v>
      </c>
      <c r="D50" s="501"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479"/>
      <c r="N50" s="482" t="s">
        <v>436</v>
      </c>
      <c r="O50" s="484" t="s">
        <v>430</v>
      </c>
      <c r="P50" s="481">
        <v>271181056</v>
      </c>
      <c r="Q50" s="481" t="s">
        <v>430</v>
      </c>
      <c r="R50" s="481"/>
      <c r="S50" s="481" t="s">
        <v>345</v>
      </c>
    </row>
    <row r="51" spans="1:20" ht="18" customHeight="1">
      <c r="A51" s="475" t="str">
        <f t="shared" si="10"/>
        <v>TP</v>
      </c>
      <c r="B51" s="502">
        <f t="shared" si="11"/>
        <v>5</v>
      </c>
      <c r="C51" s="482" t="s">
        <v>451</v>
      </c>
      <c r="D51" s="501"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479"/>
      <c r="N51" s="482" t="s">
        <v>438</v>
      </c>
      <c r="O51" s="484" t="s">
        <v>430</v>
      </c>
      <c r="P51" s="481">
        <v>270986506</v>
      </c>
      <c r="Q51" s="481" t="s">
        <v>430</v>
      </c>
      <c r="R51" s="481"/>
      <c r="S51" s="481" t="s">
        <v>345</v>
      </c>
    </row>
    <row r="52" spans="1:20" ht="18.75" customHeight="1">
      <c r="A52" s="475" t="str">
        <f t="shared" si="10"/>
        <v>TP</v>
      </c>
      <c r="B52" s="502">
        <f t="shared" si="11"/>
        <v>6</v>
      </c>
      <c r="C52" s="482" t="s">
        <v>452</v>
      </c>
      <c r="D52" s="501" t="s">
        <v>341</v>
      </c>
      <c r="E52" s="8">
        <v>0</v>
      </c>
      <c r="F52" s="8">
        <v>0</v>
      </c>
      <c r="G52" s="25">
        <f t="array" ref="G52">SUM(IF("155"&amp;C52=KHN&amp;MH,SL))</f>
        <v>0</v>
      </c>
      <c r="H52" s="25">
        <f t="array" ref="H52">SUM(IF("155"&amp;C52=KHN&amp;MH,TH))</f>
        <v>0</v>
      </c>
      <c r="I52" s="25">
        <f t="array" ref="I52">SUM(IF("155"&amp;C52=KHC&amp;MH,SL))</f>
        <v>0</v>
      </c>
      <c r="J52" s="25">
        <f t="array" ref="J52">SUM(IF("155"&amp;C52=KHC&amp;MH,TH))</f>
        <v>0</v>
      </c>
      <c r="K52" s="8">
        <f>E52+G52-I52</f>
        <v>0</v>
      </c>
      <c r="L52" s="8">
        <f>F52+H52-J52</f>
        <v>0</v>
      </c>
      <c r="M52" s="479"/>
      <c r="N52" s="482" t="s">
        <v>439</v>
      </c>
      <c r="O52" s="484" t="s">
        <v>430</v>
      </c>
      <c r="P52" s="481">
        <v>273042454</v>
      </c>
      <c r="Q52" s="481" t="s">
        <v>440</v>
      </c>
      <c r="R52" s="481" t="s">
        <v>441</v>
      </c>
      <c r="S52" s="481" t="s">
        <v>345</v>
      </c>
    </row>
    <row r="53" spans="1:20" ht="18.75" customHeight="1">
      <c r="A53" s="475" t="str">
        <f t="shared" si="10"/>
        <v>TP</v>
      </c>
      <c r="B53" s="502">
        <f t="shared" si="11"/>
        <v>7</v>
      </c>
      <c r="C53" s="482" t="s">
        <v>453</v>
      </c>
      <c r="D53" s="501" t="s">
        <v>341</v>
      </c>
      <c r="E53" s="8">
        <v>0</v>
      </c>
      <c r="F53" s="8">
        <v>0</v>
      </c>
      <c r="G53" s="25">
        <f t="array" ref="G53">SUM(IF("155"&amp;C53=KHN&amp;MH,SL))</f>
        <v>0</v>
      </c>
      <c r="H53" s="25">
        <f t="array" ref="H53">SUM(IF("155"&amp;C53=KHN&amp;MH,TH))</f>
        <v>0</v>
      </c>
      <c r="I53" s="25">
        <f t="array" ref="I53">SUM(IF("155"&amp;C53=KHC&amp;MH,SL))</f>
        <v>0</v>
      </c>
      <c r="J53" s="25">
        <f t="array" ref="J53">SUM(IF("155"&amp;C53=KHC&amp;MH,TH))</f>
        <v>0</v>
      </c>
      <c r="K53" s="8">
        <f>E53+G53-I53</f>
        <v>0</v>
      </c>
      <c r="L53" s="8">
        <f>F53+H53-J53</f>
        <v>0</v>
      </c>
      <c r="M53" s="479"/>
      <c r="N53" s="482" t="s">
        <v>443</v>
      </c>
      <c r="O53" s="484" t="s">
        <v>430</v>
      </c>
      <c r="P53" s="481">
        <v>273249576</v>
      </c>
      <c r="Q53" s="481" t="s">
        <v>430</v>
      </c>
      <c r="R53" s="481"/>
      <c r="S53" s="481" t="s">
        <v>345</v>
      </c>
    </row>
    <row r="54" spans="1:20" ht="18.75" customHeight="1">
      <c r="A54" s="475" t="str">
        <f t="shared" si="10"/>
        <v>TP</v>
      </c>
      <c r="B54" s="502">
        <f t="shared" si="11"/>
        <v>8</v>
      </c>
      <c r="C54" s="482" t="s">
        <v>454</v>
      </c>
      <c r="D54" s="501" t="s">
        <v>341</v>
      </c>
      <c r="E54" s="8">
        <v>0</v>
      </c>
      <c r="F54" s="8">
        <v>0</v>
      </c>
      <c r="G54" s="25">
        <f t="array" ref="G54">SUM(IF("155"&amp;C54=KHN&amp;MH,SL))</f>
        <v>0</v>
      </c>
      <c r="H54" s="25">
        <f t="array" ref="H54">SUM(IF("155"&amp;C54=KHN&amp;MH,TH))</f>
        <v>0</v>
      </c>
      <c r="I54" s="25">
        <f t="array" ref="I54">SUM(IF("155"&amp;C54=KHC&amp;MH,SL))</f>
        <v>0</v>
      </c>
      <c r="J54" s="25">
        <f t="array" ref="J54">SUM(IF("155"&amp;C54=KHC&amp;MH,TH))</f>
        <v>0</v>
      </c>
      <c r="K54" s="8">
        <f t="shared" si="9"/>
        <v>0</v>
      </c>
      <c r="L54" s="8">
        <f t="shared" si="9"/>
        <v>0</v>
      </c>
      <c r="M54" s="479"/>
      <c r="N54" s="482" t="s">
        <v>445</v>
      </c>
      <c r="O54" s="484" t="s">
        <v>430</v>
      </c>
      <c r="P54" s="481">
        <v>271642418</v>
      </c>
      <c r="Q54" s="481" t="s">
        <v>430</v>
      </c>
      <c r="R54" s="481"/>
      <c r="S54" s="481" t="s">
        <v>345</v>
      </c>
    </row>
    <row r="55" spans="1:20" ht="18.75" customHeight="1">
      <c r="A55" s="475" t="str">
        <f t="shared" si="10"/>
        <v/>
      </c>
      <c r="B55" s="502" t="str">
        <f>IF(C55&lt;&gt;"",#REF!+1,"")</f>
        <v/>
      </c>
      <c r="C55" s="506"/>
      <c r="D55" s="498"/>
      <c r="E55" s="8"/>
      <c r="F55" s="8"/>
      <c r="G55" s="499"/>
      <c r="H55" s="499"/>
      <c r="I55" s="499"/>
      <c r="J55" s="499"/>
      <c r="K55" s="499"/>
      <c r="L55" s="499"/>
      <c r="M55" s="479"/>
      <c r="N55" s="488" t="s">
        <v>447</v>
      </c>
      <c r="O55" s="484" t="s">
        <v>430</v>
      </c>
      <c r="P55" s="481">
        <v>273017840</v>
      </c>
      <c r="Q55" s="481" t="s">
        <v>448</v>
      </c>
      <c r="R55" s="481"/>
      <c r="S55" s="481" t="s">
        <v>345</v>
      </c>
    </row>
    <row r="56" spans="1:20" ht="19.5" customHeight="1">
      <c r="A56" s="475" t="str">
        <f t="shared" si="10"/>
        <v/>
      </c>
      <c r="B56" s="472"/>
      <c r="C56" s="496" t="s">
        <v>456</v>
      </c>
      <c r="D56" s="472"/>
      <c r="E56" s="13">
        <f t="shared" ref="E56:L56" si="12">SUM(E47:E55)</f>
        <v>73584</v>
      </c>
      <c r="F56" s="13">
        <f t="shared" si="12"/>
        <v>9386323824</v>
      </c>
      <c r="G56" s="13">
        <f t="shared" si="12"/>
        <v>0</v>
      </c>
      <c r="H56" s="13">
        <f t="shared" si="12"/>
        <v>0</v>
      </c>
      <c r="I56" s="13">
        <f t="shared" si="12"/>
        <v>0</v>
      </c>
      <c r="J56" s="13">
        <f t="shared" si="12"/>
        <v>0</v>
      </c>
      <c r="K56" s="13">
        <f t="shared" si="12"/>
        <v>73584</v>
      </c>
      <c r="L56" s="13">
        <f t="shared" si="12"/>
        <v>9386323824</v>
      </c>
      <c r="M56" s="479"/>
      <c r="N56" s="482" t="s">
        <v>450</v>
      </c>
      <c r="O56" s="482"/>
      <c r="P56" s="482"/>
      <c r="Q56" s="482"/>
      <c r="R56" s="482"/>
      <c r="S56" s="482"/>
    </row>
    <row r="57" spans="1:20" ht="18.75" customHeight="1">
      <c r="A57" s="475" t="str">
        <f>IF(B57&lt;&gt;"","TP","")</f>
        <v/>
      </c>
      <c r="B57" s="903"/>
      <c r="C57" s="903"/>
      <c r="D57" s="902"/>
      <c r="E57" s="904">
        <f>F56-F57</f>
        <v>0</v>
      </c>
      <c r="F57" s="904">
        <f>CDPS!C26</f>
        <v>9386323824</v>
      </c>
      <c r="G57" s="904">
        <f>H56-H57</f>
        <v>0</v>
      </c>
      <c r="H57" s="904">
        <f>CDPS!E26</f>
        <v>0</v>
      </c>
      <c r="I57" s="904">
        <f>J56-J57</f>
        <v>-103787000</v>
      </c>
      <c r="J57" s="904">
        <f>CDPS!F26</f>
        <v>103787000</v>
      </c>
      <c r="K57" s="904">
        <f>L56-L57</f>
        <v>103787000</v>
      </c>
      <c r="L57" s="904">
        <f>CDPS!G26</f>
        <v>9282536824</v>
      </c>
      <c r="M57" s="503"/>
      <c r="N57" s="503"/>
      <c r="O57" s="503"/>
      <c r="P57" s="503"/>
      <c r="Q57" s="503"/>
      <c r="R57" s="503"/>
      <c r="S57" s="503"/>
      <c r="T57" s="503"/>
    </row>
    <row r="58" spans="1:20" ht="18.75" customHeight="1">
      <c r="M58" s="466"/>
      <c r="P58" s="503"/>
      <c r="Q58" s="503"/>
      <c r="R58" s="503"/>
      <c r="S58" s="503"/>
      <c r="T58" s="503"/>
    </row>
    <row r="59" spans="1:20" ht="19.5" customHeight="1">
      <c r="M59" s="466"/>
      <c r="P59" s="503"/>
      <c r="Q59" s="503"/>
      <c r="R59" s="503"/>
      <c r="S59" s="503"/>
    </row>
    <row r="60" spans="1:20" ht="19.5" customHeight="1">
      <c r="C60" s="1231"/>
      <c r="D60" s="1231"/>
      <c r="E60" s="1231"/>
      <c r="F60" s="508"/>
      <c r="G60" s="508"/>
      <c r="H60" s="508"/>
      <c r="I60" s="508"/>
      <c r="J60" s="1231" t="s">
        <v>460</v>
      </c>
      <c r="K60" s="1231"/>
      <c r="L60" s="1231"/>
      <c r="M60" s="466"/>
      <c r="Q60" s="504"/>
      <c r="R60" s="504"/>
      <c r="S60" s="504"/>
    </row>
    <row r="61" spans="1:20" ht="19.5" customHeight="1">
      <c r="C61" s="509" t="s">
        <v>11</v>
      </c>
      <c r="D61" s="509"/>
      <c r="E61" s="509"/>
      <c r="F61" s="1231" t="s">
        <v>12</v>
      </c>
      <c r="G61" s="1231"/>
      <c r="H61" s="1231"/>
      <c r="I61" s="508"/>
      <c r="J61" s="1231" t="s">
        <v>131</v>
      </c>
      <c r="K61" s="1231"/>
      <c r="L61" s="1231"/>
      <c r="M61" s="466"/>
      <c r="Q61" s="477" t="s">
        <v>442</v>
      </c>
      <c r="R61" s="477"/>
      <c r="S61" s="501">
        <v>4.5</v>
      </c>
    </row>
    <row r="62" spans="1:20" ht="19.5" customHeight="1">
      <c r="C62" s="509" t="s">
        <v>13</v>
      </c>
      <c r="D62" s="509" t="s">
        <v>463</v>
      </c>
      <c r="E62" s="509"/>
      <c r="F62" s="1231" t="s">
        <v>13</v>
      </c>
      <c r="G62" s="1231"/>
      <c r="H62" s="1231"/>
      <c r="I62" s="466"/>
      <c r="J62" s="1231" t="s">
        <v>161</v>
      </c>
      <c r="K62" s="1231"/>
      <c r="L62" s="1231"/>
      <c r="M62" s="466"/>
      <c r="Q62" s="482" t="s">
        <v>444</v>
      </c>
      <c r="R62" s="477"/>
      <c r="S62" s="501">
        <v>5</v>
      </c>
    </row>
    <row r="63" spans="1:20" ht="20.25" customHeight="1">
      <c r="M63" s="466"/>
      <c r="Q63" s="482" t="s">
        <v>446</v>
      </c>
      <c r="R63" s="477"/>
      <c r="S63" s="501">
        <v>5</v>
      </c>
    </row>
    <row r="64" spans="1:20" ht="20.25" customHeight="1">
      <c r="M64" s="466"/>
      <c r="Q64" s="482" t="s">
        <v>449</v>
      </c>
      <c r="R64" s="477"/>
      <c r="S64" s="501">
        <v>5</v>
      </c>
    </row>
    <row r="65" spans="13:19" ht="20.25" customHeight="1">
      <c r="M65" s="466"/>
      <c r="Q65" s="482" t="s">
        <v>451</v>
      </c>
      <c r="R65" s="482"/>
      <c r="S65" s="505"/>
    </row>
    <row r="66" spans="13:19" ht="20.25" customHeight="1">
      <c r="M66" s="466"/>
      <c r="Q66" s="482" t="s">
        <v>455</v>
      </c>
      <c r="R66" s="482"/>
      <c r="S66" s="505">
        <v>8</v>
      </c>
    </row>
    <row r="67" spans="13:19" ht="20.25" customHeight="1">
      <c r="M67" s="466"/>
      <c r="Q67" s="482" t="s">
        <v>457</v>
      </c>
      <c r="R67" s="482"/>
      <c r="S67" s="505">
        <v>9</v>
      </c>
    </row>
    <row r="68" spans="13:19" ht="20.25" customHeight="1">
      <c r="M68" s="466"/>
      <c r="Q68" s="482" t="s">
        <v>458</v>
      </c>
      <c r="R68" s="482"/>
      <c r="S68" s="505">
        <v>8</v>
      </c>
    </row>
    <row r="69" spans="13:19" ht="20.25" customHeight="1">
      <c r="M69" s="466"/>
      <c r="Q69" s="482" t="s">
        <v>454</v>
      </c>
      <c r="R69" s="482"/>
      <c r="S69" s="505">
        <v>8</v>
      </c>
    </row>
    <row r="70" spans="13:19" ht="19.5" customHeight="1">
      <c r="M70" s="466"/>
      <c r="Q70" s="482" t="s">
        <v>459</v>
      </c>
      <c r="R70" s="482"/>
      <c r="S70" s="505">
        <v>5</v>
      </c>
    </row>
    <row r="71" spans="13:19" ht="19.5" customHeight="1">
      <c r="M71" s="466"/>
      <c r="Q71" s="482" t="s">
        <v>461</v>
      </c>
      <c r="R71" s="482"/>
      <c r="S71" s="505">
        <v>5</v>
      </c>
    </row>
    <row r="72" spans="13:19" ht="19.5" customHeight="1">
      <c r="M72" s="466"/>
      <c r="Q72" s="482" t="s">
        <v>462</v>
      </c>
      <c r="R72" s="482"/>
      <c r="S72" s="505">
        <v>5</v>
      </c>
    </row>
    <row r="73" spans="13:19" ht="19.5" customHeight="1">
      <c r="M73" s="466"/>
      <c r="Q73" s="482" t="s">
        <v>464</v>
      </c>
      <c r="R73" s="482"/>
      <c r="S73" s="505">
        <v>4.5</v>
      </c>
    </row>
    <row r="74" spans="13:19" ht="19.5" customHeight="1">
      <c r="M74" s="466"/>
      <c r="Q74" s="482" t="s">
        <v>465</v>
      </c>
      <c r="R74" s="482"/>
      <c r="S74" s="505">
        <v>4.5</v>
      </c>
    </row>
    <row r="75" spans="13:19" ht="19.5" customHeight="1">
      <c r="M75" s="466"/>
      <c r="Q75" s="482" t="s">
        <v>452</v>
      </c>
      <c r="R75" s="482"/>
      <c r="S75" s="505">
        <v>11</v>
      </c>
    </row>
    <row r="76" spans="13:19" ht="19.5" customHeight="1">
      <c r="M76" s="466"/>
      <c r="Q76" s="482" t="s">
        <v>453</v>
      </c>
      <c r="R76" s="482"/>
      <c r="S76" s="505">
        <v>11</v>
      </c>
    </row>
    <row r="77" spans="13:19" ht="19.5" customHeight="1">
      <c r="M77" s="466"/>
      <c r="Q77" s="482" t="s">
        <v>466</v>
      </c>
      <c r="R77" s="482"/>
      <c r="S77" s="505">
        <v>4.4000000000000004</v>
      </c>
    </row>
    <row r="78" spans="13:19" ht="19.5" customHeight="1">
      <c r="M78" s="466"/>
      <c r="Q78" s="482" t="s">
        <v>467</v>
      </c>
      <c r="R78" s="482"/>
      <c r="S78" s="505">
        <v>4.5</v>
      </c>
    </row>
    <row r="79" spans="13:19" ht="19.5" customHeight="1">
      <c r="M79" s="466"/>
    </row>
    <row r="80" spans="13:19" ht="19.5" customHeight="1">
      <c r="M80" s="466"/>
    </row>
    <row r="81" spans="13:14" ht="19.5" customHeight="1">
      <c r="M81" s="466"/>
    </row>
    <row r="82" spans="13:14" ht="19.5" customHeight="1">
      <c r="M82" s="466"/>
    </row>
    <row r="83" spans="13:14" ht="19.5" customHeight="1">
      <c r="M83" s="466"/>
    </row>
    <row r="84" spans="13:14" ht="19.5" customHeight="1">
      <c r="M84" s="466"/>
    </row>
    <row r="85" spans="13:14" ht="19.5" customHeight="1">
      <c r="M85" s="466"/>
    </row>
    <row r="86" spans="13:14" ht="19.5" customHeight="1">
      <c r="M86" s="466"/>
    </row>
    <row r="87" spans="13:14" ht="19.5" customHeight="1">
      <c r="M87" s="466"/>
    </row>
    <row r="88" spans="13:14" ht="19.5" customHeight="1">
      <c r="N88" s="503"/>
    </row>
    <row r="89" spans="13:14">
      <c r="N89" s="503"/>
    </row>
    <row r="90" spans="13:14">
      <c r="N90" s="503"/>
    </row>
    <row r="91" spans="13:14">
      <c r="N91" s="503"/>
    </row>
    <row r="93" spans="13:14">
      <c r="N93" s="503"/>
    </row>
    <row r="94" spans="13:14">
      <c r="N94" s="503"/>
    </row>
    <row r="95" spans="13:14">
      <c r="N95" s="503"/>
    </row>
    <row r="96" spans="13:14">
      <c r="N96" s="503"/>
    </row>
    <row r="97" spans="14:14">
      <c r="N97" s="503"/>
    </row>
    <row r="98" spans="14:14">
      <c r="N98" s="503"/>
    </row>
    <row r="99" spans="14:14">
      <c r="N99" s="503"/>
    </row>
    <row r="100" spans="14:14">
      <c r="N100" s="503"/>
    </row>
    <row r="101" spans="14:14">
      <c r="N101" s="503"/>
    </row>
    <row r="102" spans="14:14">
      <c r="N102" s="503"/>
    </row>
    <row r="103" spans="14:14">
      <c r="N103" s="503"/>
    </row>
    <row r="104" spans="14:14">
      <c r="N104" s="503"/>
    </row>
    <row r="105" spans="14:14">
      <c r="N105" s="503"/>
    </row>
    <row r="106" spans="14:14">
      <c r="N106" s="503"/>
    </row>
    <row r="107" spans="14:14">
      <c r="N107" s="503"/>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2:H62"/>
    <mergeCell ref="J62:L62"/>
    <mergeCell ref="S8:S10"/>
    <mergeCell ref="C60:E60"/>
    <mergeCell ref="J60:L60"/>
    <mergeCell ref="F61:H61"/>
    <mergeCell ref="J61:L61"/>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A2" sqref="A2:A3"/>
    </sheetView>
  </sheetViews>
  <sheetFormatPr defaultRowHeight="12"/>
  <cols>
    <col min="1" max="1" width="4.7109375" style="510" customWidth="1"/>
    <col min="2" max="2" width="29.7109375" style="510" customWidth="1"/>
    <col min="3" max="3" width="5.7109375" style="510" customWidth="1"/>
    <col min="4" max="4" width="6.7109375" style="510" customWidth="1"/>
    <col min="5" max="5" width="12.7109375" style="510" customWidth="1"/>
    <col min="6" max="6" width="9.85546875" style="510" customWidth="1"/>
    <col min="7" max="7" width="11" style="510" customWidth="1"/>
    <col min="8" max="8" width="14" style="510" customWidth="1"/>
    <col min="9" max="9" width="4.28515625" style="510" customWidth="1"/>
    <col min="10" max="10" width="5.7109375" style="510" customWidth="1"/>
    <col min="11" max="11" width="3.140625" style="510" customWidth="1"/>
    <col min="12" max="12" width="5.7109375" style="510" customWidth="1"/>
    <col min="13" max="13" width="2.7109375" style="510" customWidth="1"/>
    <col min="14" max="14" width="4" style="510" customWidth="1"/>
    <col min="15" max="15" width="3.7109375" style="510" customWidth="1"/>
    <col min="16" max="16384" width="9.140625" style="510"/>
  </cols>
  <sheetData>
    <row r="1" spans="1:16" ht="5.25" customHeight="1"/>
    <row r="2" spans="1:16" ht="12.75" customHeight="1">
      <c r="A2" s="89" t="s">
        <v>138</v>
      </c>
      <c r="G2" s="104" t="str">
        <f>+IF(LEFT($D$7,1)="N","Mẫu số 01 - VT","Mẫu số 02 - VT")</f>
        <v>Mẫu số 01 - VT</v>
      </c>
    </row>
    <row r="3" spans="1:16" ht="12.75" customHeight="1">
      <c r="A3" s="100" t="s">
        <v>892</v>
      </c>
      <c r="G3" s="101" t="s">
        <v>320</v>
      </c>
      <c r="N3" s="104" t="s">
        <v>126</v>
      </c>
      <c r="O3" s="511"/>
    </row>
    <row r="4" spans="1:16" ht="11.25" customHeight="1">
      <c r="G4" s="101" t="s">
        <v>238</v>
      </c>
      <c r="J4" s="512" t="s">
        <v>468</v>
      </c>
      <c r="M4" s="513"/>
      <c r="N4" s="104" t="s">
        <v>127</v>
      </c>
      <c r="O4" s="511"/>
    </row>
    <row r="5" spans="1:16" ht="18" customHeight="1">
      <c r="D5" s="514" t="str">
        <f>+IF(LEFT($L$5,1)="N","PHIẾU NHẬP KHO","PHIẾU XUẤT KHO")</f>
        <v>PHIẾU NHẬP KHO</v>
      </c>
      <c r="J5" s="515">
        <v>12</v>
      </c>
      <c r="K5" s="516"/>
      <c r="L5" s="517" t="s">
        <v>890</v>
      </c>
      <c r="M5" s="518"/>
      <c r="N5" s="519">
        <v>33</v>
      </c>
      <c r="O5" s="511"/>
      <c r="P5" s="511"/>
    </row>
    <row r="6" spans="1:16" s="520" customFormat="1" ht="10.5" customHeight="1">
      <c r="D6" s="521" t="e">
        <f ca="1">"Ngày  " &amp;DAY(IF(ROWS($1:1)&gt;COUNT(Dong10),"",OFFSET(TH!C$1,SMALL(Dong10,ROWS($1:1)),)))&amp;"  tháng  " &amp; MONTH(IF(ROWS($1:1)&gt;COUNT(Dong10),"",OFFSET(TH!C$1,SMALL(Dong10,ROWS($1:1)),)))&amp;"  năm  "&amp;YEAR(IF(ROWS($1:1)&gt;COUNT(Dong10),"",OFFSET(TH!C$1,SMALL(Dong10,ROWS($1:1)),)))</f>
        <v>#VALUE!</v>
      </c>
      <c r="E6" s="522"/>
      <c r="M6" s="523"/>
      <c r="O6" s="524"/>
    </row>
    <row r="7" spans="1:16" s="520" customFormat="1" ht="10.5" customHeight="1">
      <c r="C7" s="525" t="str">
        <f xml:space="preserve"> "Số:"</f>
        <v>Số:</v>
      </c>
      <c r="D7" s="526" t="str">
        <f xml:space="preserve"> RIGHT($L$5,2)&amp;"/"&amp;LEFT($L$5,1)&amp;IF($N$5&gt;=10,$N$5,"0"&amp;$N$5)</f>
        <v>NL/N33</v>
      </c>
      <c r="G7" s="520" t="str">
        <f ca="1">"Nợ:  "&amp;IF(ROWS($1:1)&gt;COUNT(Dong10),"",OFFSET(TH!N$1,SMALL(Dong10,ROWS($1:1)),))</f>
        <v xml:space="preserve">Nợ:  </v>
      </c>
      <c r="M7" s="523"/>
      <c r="O7" s="524"/>
    </row>
    <row r="8" spans="1:16" s="520" customFormat="1" ht="10.5" customHeight="1">
      <c r="D8" s="101"/>
      <c r="G8" s="520" t="str">
        <f ca="1">"Có:  "&amp;IF(ROWS($1:1)&gt;COUNT(Dong10),"",OFFSET(TH!O$1,SMALL(Dong10,ROWS($1:1)),))</f>
        <v xml:space="preserve">Có:  </v>
      </c>
      <c r="M8" s="523"/>
      <c r="O8" s="527"/>
    </row>
    <row r="9" spans="1:16" s="520" customFormat="1" ht="10.5" customHeight="1">
      <c r="A9" s="520" t="str">
        <f ca="1">+IF(MID($D$7,4,1)="N","Họ và tên người giao :   ","Họ và tên người nhận hàng :   ")&amp;IF(ROWS($1:1)&gt;COUNT(Dong10),"",OFFSET(TH!H$1,SMALL(Dong10,ROWS($1:1)),)) &amp;IF(MID($D$7,4,1)="N","","                                         Địa chỉ (bộ phận) :     Sản Xuất ")</f>
        <v xml:space="preserve">Họ và tên người giao :   </v>
      </c>
      <c r="M9" s="523"/>
    </row>
    <row r="10" spans="1:16" s="520" customFormat="1" ht="10.5" customHeight="1">
      <c r="A10" s="520" t="str">
        <f>+IF(MID($D$7,4,1)="N","Theo……………………………………....…………..số………….…………….……ngày……...tháng…......năm……....","Lý do xuất :                                 Xuất bán ")</f>
        <v>Theo……………………………………....…………..số………….…………….……ngày……...tháng…......năm……....</v>
      </c>
    </row>
    <row r="11" spans="1:16" s="520" customFormat="1" ht="10.5" customHeight="1">
      <c r="A11" s="520" t="str">
        <f>+IF(MID($D$7,4,1)="N","của………………………………………………………………………………………………………………………………....","Xuất tại kho (ngăn lô) :            Công ty TNHH Hải Sản An Lạc                      Địa điểm :  Đức Hòa, Long An.")</f>
        <v>của………………………………………………………………………………………………………………………………....</v>
      </c>
    </row>
    <row r="12" spans="1:16" s="520" customFormat="1" ht="10.5" customHeight="1">
      <c r="A12" s="520" t="str">
        <f>+IF(LEFT("x",1)="N","Nhập tại kho:       Công ty TNHH Hải Sản An Lạc                      Địa điểm:  Đức Hòa, Long An."," ")</f>
        <v xml:space="preserve"> </v>
      </c>
    </row>
    <row r="13" spans="1:16" s="520" customFormat="1" ht="2.25" customHeight="1"/>
    <row r="14" spans="1:16" s="520" customFormat="1" ht="11.25" customHeight="1">
      <c r="A14" s="1245" t="s">
        <v>37</v>
      </c>
      <c r="B14" s="1245" t="s">
        <v>469</v>
      </c>
      <c r="C14" s="1245" t="s">
        <v>470</v>
      </c>
      <c r="D14" s="1245" t="s">
        <v>327</v>
      </c>
      <c r="E14" s="1248" t="s">
        <v>471</v>
      </c>
      <c r="F14" s="1248"/>
      <c r="G14" s="1245" t="s">
        <v>472</v>
      </c>
      <c r="H14" s="1245" t="s">
        <v>473</v>
      </c>
    </row>
    <row r="15" spans="1:16" s="520" customFormat="1" ht="19.5" customHeight="1">
      <c r="A15" s="1246"/>
      <c r="B15" s="1246"/>
      <c r="C15" s="1246"/>
      <c r="D15" s="1246"/>
      <c r="E15" s="528" t="s">
        <v>474</v>
      </c>
      <c r="F15" s="528" t="str">
        <f>IF(LEFT($D$7,1)="N","Thực nhập","Thực xuất")</f>
        <v>Thực nhập</v>
      </c>
      <c r="G15" s="1246"/>
      <c r="H15" s="1246"/>
    </row>
    <row r="16" spans="1:16" s="530" customFormat="1" ht="8.25" customHeight="1">
      <c r="A16" s="529" t="s">
        <v>2</v>
      </c>
      <c r="B16" s="529" t="s">
        <v>3</v>
      </c>
      <c r="C16" s="529" t="s">
        <v>4</v>
      </c>
      <c r="D16" s="529" t="s">
        <v>5</v>
      </c>
      <c r="E16" s="529">
        <v>1</v>
      </c>
      <c r="F16" s="529">
        <v>2</v>
      </c>
      <c r="G16" s="529">
        <v>3</v>
      </c>
      <c r="H16" s="529">
        <v>4</v>
      </c>
    </row>
    <row r="17" spans="1:8" s="520" customFormat="1" ht="11.25" customHeight="1">
      <c r="A17" s="1083" t="str">
        <f ca="1">IF(B17="","",ROW()-16)</f>
        <v/>
      </c>
      <c r="B17" s="1084" t="str">
        <f ca="1">IF(ROWS($1:1)&gt;COUNT(Dong10),"",OFFSET(TH!F$1,SMALL(Dong10,ROWS($1:1)),))</f>
        <v/>
      </c>
      <c r="C17" s="1085"/>
      <c r="D17" s="1086" t="str">
        <f ca="1">IF(ISNA(VLOOKUP(B17,NXT!$C$12:$D$55,2,0)),"",VLOOKUP(B17,NXT!$C$12:$D$55,2,0))</f>
        <v/>
      </c>
      <c r="E17" s="1087"/>
      <c r="F17" s="1088" t="str">
        <f ca="1">IF(ROWS($1:1)&gt;COUNT(Dong10),"",OFFSET(TH!I$1,SMALL(Dong10,ROWS($1:1)),))</f>
        <v/>
      </c>
      <c r="G17" s="1089" t="str">
        <f ca="1">IF(ROWS($1:1)&gt;COUNT(Dong10),"",OFFSET(TH!J$1,SMALL(Dong10,ROWS($1:1)),))</f>
        <v/>
      </c>
      <c r="H17" s="1087" t="str">
        <f t="shared" ref="H17:H18" ca="1" si="0">IF(F17&lt;&gt;"",ROUND(F17*G17,0),"")</f>
        <v/>
      </c>
    </row>
    <row r="18" spans="1:8" s="520" customFormat="1" ht="11.25" customHeight="1">
      <c r="A18" s="1083" t="str">
        <f t="shared" ref="A18" ca="1" si="1">IF(B18="","",A17+1)</f>
        <v/>
      </c>
      <c r="B18" s="1084" t="str">
        <f ca="1">IF(ROWS($1:2)&gt;COUNT(Dong10),"",OFFSET(TH!F$1,SMALL(Dong10,ROWS($1:2)),))</f>
        <v/>
      </c>
      <c r="C18" s="1085"/>
      <c r="D18" s="1086" t="str">
        <f ca="1">IF(ISNA(VLOOKUP(B18,NXT!$C$12:$D$55,2,0)),"",VLOOKUP(B18,NXT!$C$12:$D$55,2,0))</f>
        <v/>
      </c>
      <c r="E18" s="1087"/>
      <c r="F18" s="1088" t="str">
        <f ca="1">IF(ROWS($1:2)&gt;COUNT(Dong10),"",OFFSET(TH!I$1,SMALL(Dong10,ROWS($1:2)),))</f>
        <v/>
      </c>
      <c r="G18" s="1089" t="str">
        <f ca="1">IF(ROWS($1:2)&gt;COUNT(Dong10),"",OFFSET(TH!J$1,SMALL(Dong10,ROWS($1:2)),))</f>
        <v/>
      </c>
      <c r="H18" s="1087" t="str">
        <f t="shared" ca="1" si="0"/>
        <v/>
      </c>
    </row>
    <row r="19" spans="1:8" s="520" customFormat="1" ht="11.25" customHeight="1">
      <c r="A19" s="1083" t="str">
        <f t="shared" ref="A19:A22" ca="1" si="2">IF(B19="","",A18+1)</f>
        <v/>
      </c>
      <c r="B19" s="1084" t="str">
        <f ca="1">IF(ROWS($1:3)&gt;COUNT(Dong10),"",OFFSET(TH!F$1,SMALL(Dong10,ROWS($1:3)),))</f>
        <v/>
      </c>
      <c r="C19" s="1085"/>
      <c r="D19" s="1086" t="str">
        <f ca="1">IF(ISNA(VLOOKUP(B19,NXT!$C$12:$D$55,2,0)),"",VLOOKUP(B19,NXT!$C$12:$D$55,2,0))</f>
        <v/>
      </c>
      <c r="E19" s="1087"/>
      <c r="F19" s="1088" t="str">
        <f ca="1">IF(ROWS($1:3)&gt;COUNT(Dong10),"",OFFSET(TH!I$1,SMALL(Dong10,ROWS($1:3)),))</f>
        <v/>
      </c>
      <c r="G19" s="1089" t="str">
        <f ca="1">IF(ROWS($1:3)&gt;COUNT(Dong10),"",OFFSET(TH!J$1,SMALL(Dong10,ROWS($1:3)),))</f>
        <v/>
      </c>
      <c r="H19" s="1087" t="str">
        <f t="shared" ref="H19:H22" ca="1" si="3">IF(F19&lt;&gt;"",ROUND(F19*G19,0),"")</f>
        <v/>
      </c>
    </row>
    <row r="20" spans="1:8" s="520" customFormat="1" ht="11.25" customHeight="1">
      <c r="A20" s="1083" t="str">
        <f t="shared" ca="1" si="2"/>
        <v/>
      </c>
      <c r="B20" s="1084" t="str">
        <f ca="1">IF(ROWS($1:4)&gt;COUNT(Dong10),"",OFFSET(TH!F$1,SMALL(Dong10,ROWS($1:4)),))</f>
        <v/>
      </c>
      <c r="C20" s="1085"/>
      <c r="D20" s="1086" t="str">
        <f ca="1">IF(ISNA(VLOOKUP(B20,NXT!$C$12:$D$55,2,0)),"",VLOOKUP(B20,NXT!$C$12:$D$55,2,0))</f>
        <v/>
      </c>
      <c r="E20" s="1087"/>
      <c r="F20" s="1088" t="str">
        <f ca="1">IF(ROWS($1:4)&gt;COUNT(Dong10),"",OFFSET(TH!I$1,SMALL(Dong10,ROWS($1:4)),))</f>
        <v/>
      </c>
      <c r="G20" s="1089" t="str">
        <f ca="1">IF(ROWS($1:4)&gt;COUNT(Dong10),"",OFFSET(TH!J$1,SMALL(Dong10,ROWS($1:4)),))</f>
        <v/>
      </c>
      <c r="H20" s="1087" t="str">
        <f t="shared" ca="1" si="3"/>
        <v/>
      </c>
    </row>
    <row r="21" spans="1:8" s="520" customFormat="1" ht="11.25" customHeight="1">
      <c r="A21" s="1083" t="str">
        <f t="shared" ca="1" si="2"/>
        <v/>
      </c>
      <c r="B21" s="1084" t="str">
        <f ca="1">IF(ROWS($1:5)&gt;COUNT(Dong10),"",OFFSET(TH!F$1,SMALL(Dong10,ROWS($1:5)),))</f>
        <v/>
      </c>
      <c r="C21" s="1085"/>
      <c r="D21" s="1086" t="str">
        <f ca="1">IF(ISNA(VLOOKUP(B21,NXT!$C$12:$D$55,2,0)),"",VLOOKUP(B21,NXT!$C$12:$D$55,2,0))</f>
        <v/>
      </c>
      <c r="E21" s="1087"/>
      <c r="F21" s="1088" t="str">
        <f ca="1">IF(ROWS($1:5)&gt;COUNT(Dong10),"",OFFSET(TH!I$1,SMALL(Dong10,ROWS($1:5)),))</f>
        <v/>
      </c>
      <c r="G21" s="1089" t="str">
        <f ca="1">IF(ROWS($1:5)&gt;COUNT(Dong10),"",OFFSET(TH!J$1,SMALL(Dong10,ROWS($1:5)),))</f>
        <v/>
      </c>
      <c r="H21" s="1087" t="str">
        <f t="shared" ca="1" si="3"/>
        <v/>
      </c>
    </row>
    <row r="22" spans="1:8" s="520" customFormat="1" ht="11.25" customHeight="1">
      <c r="A22" s="1083" t="str">
        <f t="shared" ca="1" si="2"/>
        <v/>
      </c>
      <c r="B22" s="1084" t="str">
        <f ca="1">IF(ROWS($1:6)&gt;COUNT(Dong10),"",OFFSET(TH!F$1,SMALL(Dong10,ROWS($1:6)),))</f>
        <v/>
      </c>
      <c r="C22" s="1085"/>
      <c r="D22" s="1086" t="str">
        <f ca="1">IF(ISNA(VLOOKUP(B22,NXT!$C$12:$D$55,2,0)),"",VLOOKUP(B22,NXT!$C$12:$D$55,2,0))</f>
        <v/>
      </c>
      <c r="E22" s="1087"/>
      <c r="F22" s="1088" t="str">
        <f ca="1">IF(ROWS($1:6)&gt;COUNT(Dong10),"",OFFSET(TH!I$1,SMALL(Dong10,ROWS($1:6)),))</f>
        <v/>
      </c>
      <c r="G22" s="1089" t="str">
        <f ca="1">IF(ROWS($1:6)&gt;COUNT(Dong10),"",OFFSET(TH!J$1,SMALL(Dong10,ROWS($1:6)),))</f>
        <v/>
      </c>
      <c r="H22" s="1087" t="str">
        <f t="shared" ca="1" si="3"/>
        <v/>
      </c>
    </row>
    <row r="23" spans="1:8" s="520" customFormat="1" ht="11.25" customHeight="1">
      <c r="A23" s="1090"/>
      <c r="B23" s="1091"/>
      <c r="C23" s="1092"/>
      <c r="D23" s="1093"/>
      <c r="E23" s="1094"/>
      <c r="F23" s="1095"/>
      <c r="G23" s="1096"/>
      <c r="H23" s="1094"/>
    </row>
    <row r="24" spans="1:8" s="520" customFormat="1" ht="11.25" customHeight="1">
      <c r="A24" s="1247" t="s">
        <v>475</v>
      </c>
      <c r="B24" s="1247"/>
      <c r="C24" s="1097"/>
      <c r="D24" s="1097"/>
      <c r="E24" s="1098"/>
      <c r="F24" s="1098"/>
      <c r="G24" s="1098"/>
      <c r="H24" s="1098">
        <f ca="1">SUM(H17:H23)</f>
        <v>0</v>
      </c>
    </row>
    <row r="25" spans="1:8" s="520" customFormat="1" ht="3" customHeight="1">
      <c r="A25" s="532"/>
      <c r="B25" s="532"/>
      <c r="C25" s="523"/>
      <c r="D25" s="523"/>
      <c r="E25" s="533"/>
      <c r="F25" s="533"/>
      <c r="G25" s="533"/>
      <c r="H25" s="533"/>
    </row>
    <row r="26" spans="1:8" s="520" customFormat="1" ht="13.5" customHeight="1">
      <c r="A26" s="520" t="str">
        <f ca="1">"Tổng số tiền (viết bằng chữ):  "&amp; [3]!VND(H24, TRUE)</f>
        <v>Tổng số tiền (viết bằng chữ):  không đồng</v>
      </c>
    </row>
    <row r="27" spans="1:8" s="520" customFormat="1" ht="13.5" customHeight="1">
      <c r="A27" s="520" t="str">
        <f>"Số chứng từ gốc kèm theo :  "</f>
        <v xml:space="preserve">Số chứng từ gốc kèm theo :  </v>
      </c>
    </row>
    <row r="28" spans="1:8" s="520" customFormat="1" ht="13.5" customHeight="1">
      <c r="F28" s="112" t="e">
        <f ca="1">+IF(LEFT($D$7,1)="N","                                                          "&amp;D6,"                                                                                           "&amp;D6)</f>
        <v>#VALUE!</v>
      </c>
    </row>
    <row r="29" spans="1:8" s="535" customFormat="1" ht="14.25" customHeight="1">
      <c r="A29" s="534" t="s">
        <v>891</v>
      </c>
      <c r="C29" s="536"/>
      <c r="E29" s="536"/>
      <c r="F29" s="536" t="str">
        <f>+IF(MID($D$7,4,1)="N","                                                       Người giao hàng","                                          Người nhận hàng                           Giám đốc")</f>
        <v xml:space="preserve">                                                       Người giao hàng</v>
      </c>
    </row>
    <row r="30" spans="1:8" s="520" customFormat="1" ht="12.75" customHeight="1">
      <c r="A30" s="526" t="s">
        <v>476</v>
      </c>
      <c r="C30" s="112"/>
      <c r="E30" s="112"/>
      <c r="F30" s="112" t="str">
        <f>+IF(LEFT($D$7,1)="N","                                                     (Ký, họ tên)","                (Ký, họ tên)                ")</f>
        <v xml:space="preserve">                                                     (Ký, họ tên)</v>
      </c>
      <c r="H30" s="526" t="str">
        <f>+IF(LEFT($D$7,1)="N","","  (Ký, họ tên)")</f>
        <v/>
      </c>
    </row>
    <row r="31" spans="1:8" s="520" customFormat="1" ht="12.75" customHeight="1">
      <c r="G31" s="112"/>
    </row>
    <row r="32" spans="1:8" s="520" customFormat="1" ht="11.25" customHeight="1"/>
    <row r="33" spans="1:6" s="520" customFormat="1" ht="11.25" customHeight="1"/>
    <row r="34" spans="1:6" s="520" customFormat="1" ht="11.25" customHeight="1"/>
    <row r="35" spans="1:6" s="520" customFormat="1" ht="11.25" customHeight="1"/>
    <row r="36" spans="1:6" ht="11.25" customHeight="1">
      <c r="A36" s="537" t="s">
        <v>477</v>
      </c>
      <c r="F36" s="538" t="str">
        <f>+IF(LEFT($D$7,1)="N","","                                                                                                    Nguyễn Thiện Duy")</f>
        <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40" customWidth="1"/>
    <col min="2" max="2" width="8.5703125" style="540" customWidth="1"/>
    <col min="3" max="3" width="11" style="540" customWidth="1"/>
    <col min="4" max="4" width="41.7109375" style="540" customWidth="1"/>
    <col min="5" max="5" width="8" style="553" customWidth="1"/>
    <col min="6" max="6" width="8.85546875" style="540" customWidth="1"/>
    <col min="7" max="7" width="9" style="540" customWidth="1"/>
    <col min="8" max="8" width="14.140625" style="540" customWidth="1"/>
    <col min="9" max="9" width="8.85546875" style="540" customWidth="1"/>
    <col min="10" max="10" width="13.42578125" style="540" customWidth="1"/>
    <col min="11" max="11" width="10.140625" style="540" customWidth="1"/>
    <col min="12" max="12" width="13" style="540" customWidth="1"/>
    <col min="13" max="13" width="7.140625" style="540" customWidth="1"/>
    <col min="14" max="14" width="2" style="540" customWidth="1"/>
    <col min="15" max="15" width="5.5703125" style="540" customWidth="1"/>
    <col min="16" max="16" width="4.42578125" style="540" customWidth="1"/>
    <col min="17" max="16384" width="23.85546875" style="540"/>
  </cols>
  <sheetData>
    <row r="1" spans="1:17">
      <c r="A1" s="539" t="s">
        <v>478</v>
      </c>
      <c r="E1" s="540"/>
      <c r="O1" s="541"/>
    </row>
    <row r="2" spans="1:17" s="421" customFormat="1" ht="16.5" customHeight="1">
      <c r="B2" s="542" t="s">
        <v>317</v>
      </c>
      <c r="C2" s="543"/>
      <c r="D2" s="544"/>
      <c r="E2" s="545"/>
      <c r="F2" s="2"/>
      <c r="J2" s="1249" t="s">
        <v>479</v>
      </c>
      <c r="K2" s="1249"/>
      <c r="L2" s="1249"/>
      <c r="M2" s="1249"/>
      <c r="N2" s="546"/>
    </row>
    <row r="3" spans="1:17" s="421" customFormat="1" ht="16.5" customHeight="1">
      <c r="B3" s="542" t="s">
        <v>319</v>
      </c>
      <c r="C3" s="542"/>
      <c r="D3" s="542"/>
      <c r="E3" s="547"/>
      <c r="F3" s="542"/>
      <c r="J3" s="1250" t="s">
        <v>50</v>
      </c>
      <c r="K3" s="1250"/>
      <c r="L3" s="1250"/>
      <c r="M3" s="1250"/>
      <c r="N3" s="548"/>
    </row>
    <row r="4" spans="1:17" s="421" customFormat="1" ht="16.5" customHeight="1">
      <c r="B4" s="542"/>
      <c r="C4" s="542"/>
      <c r="D4" s="542"/>
      <c r="E4" s="547"/>
      <c r="F4" s="542"/>
      <c r="J4" s="1250"/>
      <c r="K4" s="1250"/>
      <c r="L4" s="1250"/>
      <c r="M4" s="1250"/>
      <c r="N4" s="548"/>
    </row>
    <row r="5" spans="1:17" ht="18.75" customHeight="1">
      <c r="B5" s="1251" t="s">
        <v>480</v>
      </c>
      <c r="C5" s="1251"/>
      <c r="D5" s="1251"/>
      <c r="E5" s="1251"/>
      <c r="F5" s="1251"/>
      <c r="G5" s="1251"/>
      <c r="H5" s="1251"/>
      <c r="I5" s="1251"/>
      <c r="J5" s="1251"/>
      <c r="K5" s="1251"/>
      <c r="L5" s="1251"/>
      <c r="M5" s="1251"/>
      <c r="N5" s="549"/>
    </row>
    <row r="6" spans="1:17" s="550" customFormat="1" ht="12.75">
      <c r="B6" s="1252" t="s">
        <v>481</v>
      </c>
      <c r="C6" s="1252"/>
      <c r="D6" s="1252"/>
      <c r="E6" s="1252"/>
      <c r="F6" s="1252"/>
      <c r="G6" s="1252"/>
      <c r="H6" s="1252"/>
      <c r="I6" s="1252"/>
      <c r="J6" s="1252"/>
      <c r="K6" s="1252"/>
      <c r="L6" s="1252"/>
      <c r="M6" s="1252"/>
      <c r="N6" s="551"/>
    </row>
    <row r="7" spans="1:17">
      <c r="C7" s="552"/>
      <c r="D7" s="552"/>
      <c r="F7" s="554" t="s">
        <v>667</v>
      </c>
      <c r="G7" s="884" t="str">
        <f>IF($O$10="VL","1522",IF($O$10="NL","1521",IF($O$10="TP","155","")))</f>
        <v>1522</v>
      </c>
      <c r="H7" s="554" t="s">
        <v>482</v>
      </c>
      <c r="I7" s="552" t="str">
        <f>IF($O$10="NL","Nguyên Liệu",IF($O$10="TP","Thành Phẩm",IF($O$10="VL","Vật Liệu","")))</f>
        <v>Vật Liệu</v>
      </c>
      <c r="J7" s="552"/>
      <c r="K7" s="552"/>
      <c r="L7" s="552"/>
      <c r="M7" s="552"/>
      <c r="N7" s="553"/>
    </row>
    <row r="8" spans="1:17">
      <c r="B8" s="553"/>
      <c r="C8" s="552"/>
      <c r="D8" s="552"/>
      <c r="F8" s="553" t="s">
        <v>483</v>
      </c>
      <c r="H8" s="552"/>
      <c r="I8" s="552"/>
      <c r="J8" s="1253" t="s">
        <v>385</v>
      </c>
      <c r="K8" s="1253"/>
      <c r="L8" s="1253"/>
      <c r="M8" s="552"/>
      <c r="N8" s="552"/>
    </row>
    <row r="9" spans="1:17">
      <c r="D9" s="555"/>
      <c r="E9" s="556"/>
      <c r="F9" s="555"/>
      <c r="G9" s="555"/>
      <c r="H9" s="555"/>
      <c r="I9" s="555"/>
      <c r="J9" s="555"/>
      <c r="K9" s="555" t="s">
        <v>148</v>
      </c>
      <c r="M9" s="557"/>
      <c r="N9" s="558"/>
    </row>
    <row r="10" spans="1:17" ht="15.75" customHeight="1">
      <c r="A10" s="1255" t="s">
        <v>37</v>
      </c>
      <c r="B10" s="1256" t="s">
        <v>1</v>
      </c>
      <c r="C10" s="1256"/>
      <c r="D10" s="1257" t="s">
        <v>0</v>
      </c>
      <c r="E10" s="1257" t="s">
        <v>484</v>
      </c>
      <c r="F10" s="1257" t="s">
        <v>472</v>
      </c>
      <c r="G10" s="1259" t="s">
        <v>485</v>
      </c>
      <c r="H10" s="1260"/>
      <c r="I10" s="1259" t="s">
        <v>486</v>
      </c>
      <c r="J10" s="1260"/>
      <c r="K10" s="1259" t="s">
        <v>487</v>
      </c>
      <c r="L10" s="1260"/>
      <c r="M10" s="1257" t="s">
        <v>152</v>
      </c>
      <c r="N10" s="559"/>
      <c r="O10" s="560" t="s">
        <v>488</v>
      </c>
    </row>
    <row r="11" spans="1:17" ht="31.5" customHeight="1">
      <c r="A11" s="1255"/>
      <c r="B11" s="561" t="s">
        <v>17</v>
      </c>
      <c r="C11" s="561" t="s">
        <v>34</v>
      </c>
      <c r="D11" s="1257"/>
      <c r="E11" s="1257"/>
      <c r="F11" s="1257"/>
      <c r="G11" s="561" t="s">
        <v>471</v>
      </c>
      <c r="H11" s="561" t="s">
        <v>473</v>
      </c>
      <c r="I11" s="561" t="s">
        <v>471</v>
      </c>
      <c r="J11" s="561" t="s">
        <v>473</v>
      </c>
      <c r="K11" s="561" t="s">
        <v>471</v>
      </c>
      <c r="L11" s="561" t="s">
        <v>473</v>
      </c>
      <c r="M11" s="1257"/>
      <c r="N11" s="559"/>
    </row>
    <row r="12" spans="1:17" s="553" customFormat="1">
      <c r="A12" s="562"/>
      <c r="B12" s="563" t="s">
        <v>2</v>
      </c>
      <c r="C12" s="564" t="s">
        <v>3</v>
      </c>
      <c r="D12" s="564" t="s">
        <v>4</v>
      </c>
      <c r="E12" s="563" t="s">
        <v>5</v>
      </c>
      <c r="F12" s="563">
        <v>1</v>
      </c>
      <c r="G12" s="563">
        <v>2</v>
      </c>
      <c r="H12" s="563" t="s">
        <v>489</v>
      </c>
      <c r="I12" s="563">
        <v>4</v>
      </c>
      <c r="J12" s="563" t="s">
        <v>490</v>
      </c>
      <c r="K12" s="563">
        <v>6</v>
      </c>
      <c r="L12" s="563" t="s">
        <v>491</v>
      </c>
      <c r="M12" s="563"/>
      <c r="N12" s="565"/>
    </row>
    <row r="13" spans="1:17">
      <c r="A13" s="566"/>
      <c r="B13" s="566"/>
      <c r="C13" s="566"/>
      <c r="D13" s="567" t="s">
        <v>174</v>
      </c>
      <c r="E13" s="568"/>
      <c r="F13" s="569">
        <f>L13/K13</f>
        <v>4466.322284402353</v>
      </c>
      <c r="G13" s="569"/>
      <c r="H13" s="569"/>
      <c r="I13" s="569"/>
      <c r="J13" s="569"/>
      <c r="K13" s="570">
        <f>VLOOKUP($J$8,NXT!$C$12:$L$55,3,0)</f>
        <v>13938</v>
      </c>
      <c r="L13" s="570">
        <f>VLOOKUP($J$8,NXT!$C$12:$L$55,4,0)</f>
        <v>62251600</v>
      </c>
      <c r="M13" s="569"/>
      <c r="N13" s="565"/>
    </row>
    <row r="14" spans="1:17">
      <c r="A14" s="531" t="str">
        <f ca="1">IF(B14="","",ROW()-13)</f>
        <v/>
      </c>
      <c r="B14" s="571" t="str">
        <f ca="1">IF(ROWS($1:1)&gt;COUNT(Dong11),"",OFFSET(TH!D$1,SMALL(Dong11,ROWS($1:1)),))</f>
        <v/>
      </c>
      <c r="C14" s="572" t="str">
        <f ca="1">IF(ROWS($1:1)&gt;COUNT(Dong11),"",OFFSET(TH!E$1,SMALL(Dong11,ROWS($1:1)),))</f>
        <v/>
      </c>
      <c r="D14" s="573" t="str">
        <f ca="1">IF(ROWS($1:1)&gt;COUNT(Dong11),"",OFFSET(TH!F$1,SMALL(Dong11,ROWS($1:1)),)&amp;" - "&amp;OFFSET(TH!H$1,SMALL(Dong11,ROWS($1:1)),))</f>
        <v/>
      </c>
      <c r="E14" s="571" t="str">
        <f ca="1">IF(ROWS($1:1)&gt;COUNT(Dong11),"",IF(OFFSET(TH!N$1,SMALL(Dong11,ROWS($1:1)),)=$G$7,OFFSET(TH!O$1,SMALL(Dong11,ROWS($1:1)),),OFFSET(TH!N$1,SMALL(Dong11,ROWS($1:1)),)))</f>
        <v/>
      </c>
      <c r="F14" s="574">
        <f ca="1">IF(ROWS($1:1)&gt;COUNT(Dong11),0,OFFSET(TH!J$1,SMALL(Dong11,ROWS($1:1)),))</f>
        <v>0</v>
      </c>
      <c r="G14" s="574">
        <f ca="1">IF(ROWS($1:1)&gt;COUNT(Dong11),0,IF(MID(OFFSET(TH!D$1,SMALL(Dong11,ROWS($1:1)),),4,1)="N",OFFSET(TH!I$1,SMALL(Dong11,ROWS($1:1)),),0))</f>
        <v>0</v>
      </c>
      <c r="H14" s="575">
        <f ca="1">ROUND(F14*G14,0)</f>
        <v>0</v>
      </c>
      <c r="I14" s="574">
        <f ca="1">IF(ROWS($1:1)&gt;COUNT(Dong11),0,IF(MID(OFFSET(TH!D$1,SMALL(Dong11,ROWS($1:1)),),4,1)="X",OFFSET(TH!I$1,SMALL(Dong11,ROWS($1:1)),),0))</f>
        <v>0</v>
      </c>
      <c r="J14" s="575">
        <f ca="1">ROUND(F14*I14,0)</f>
        <v>0</v>
      </c>
      <c r="K14" s="575">
        <f ca="1">IF(D14&lt;&gt;"",K13+G14-I14,0)</f>
        <v>0</v>
      </c>
      <c r="L14" s="575">
        <f ca="1">IF(D14&lt;&gt;"",L13+H14-J14,0)</f>
        <v>0</v>
      </c>
      <c r="M14" s="575"/>
      <c r="N14" s="565"/>
    </row>
    <row r="15" spans="1:17">
      <c r="A15" s="531" t="str">
        <f t="shared" ref="A15:A31" ca="1" si="0">IF(B15="","",A14+1)</f>
        <v/>
      </c>
      <c r="B15" s="571" t="str">
        <f ca="1">IF(ROWS($1:2)&gt;COUNT(Dong11),"",OFFSET(TH!D$1,SMALL(Dong11,ROWS($1:2)),))</f>
        <v/>
      </c>
      <c r="C15" s="572" t="str">
        <f ca="1">IF(ROWS($1:2)&gt;COUNT(Dong11),"",OFFSET(TH!E$1,SMALL(Dong11,ROWS($1:2)),))</f>
        <v/>
      </c>
      <c r="D15" s="573" t="str">
        <f ca="1">IF(ROWS($1:2)&gt;COUNT(Dong11),"",OFFSET(TH!F$1,SMALL(Dong11,ROWS($1:2)),)&amp;" - "&amp;OFFSET(TH!H$1,SMALL(Dong11,ROWS($1:2)),))</f>
        <v/>
      </c>
      <c r="E15" s="571" t="str">
        <f ca="1">IF(ROWS($1:2)&gt;COUNT(Dong11),"",IF(OFFSET(TH!N$1,SMALL(Dong11,ROWS($1:2)),)=$G$7,OFFSET(TH!O$1,SMALL(Dong11,ROWS($1:2)),),OFFSET(TH!N$1,SMALL(Dong11,ROWS($1:2)),)))</f>
        <v/>
      </c>
      <c r="F15" s="574">
        <f ca="1">IF(ROWS($1:2)&gt;COUNT(Dong11),0,OFFSET(TH!J$1,SMALL(Dong11,ROWS($1:2)),))</f>
        <v>0</v>
      </c>
      <c r="G15" s="574">
        <f ca="1">IF(ROWS($1:2)&gt;COUNT(Dong11),0,IF(MID(OFFSET(TH!D$1,SMALL(Dong11,ROWS($1:2)),),4,1)="N",OFFSET(TH!I$1,SMALL(Dong11,ROWS($1:2)),),0))</f>
        <v>0</v>
      </c>
      <c r="H15" s="575">
        <f t="shared" ref="H15:H30" ca="1" si="1">ROUND(F15*G15,0)</f>
        <v>0</v>
      </c>
      <c r="I15" s="574">
        <f ca="1">IF(ROWS($1:2)&gt;COUNT(Dong11),0,IF(MID(OFFSET(TH!D$1,SMALL(Dong11,ROWS($1:2)),),4,1)="X",OFFSET(TH!I$1,SMALL(Dong11,ROWS($1:2)),),0))</f>
        <v>0</v>
      </c>
      <c r="J15" s="575">
        <f t="shared" ref="J15:J30" ca="1" si="2">ROUND(F15*I15,0)</f>
        <v>0</v>
      </c>
      <c r="K15" s="575">
        <f t="shared" ref="K15:K30" ca="1" si="3">IF(D15&lt;&gt;"",K14+G15-I15,0)</f>
        <v>0</v>
      </c>
      <c r="L15" s="575">
        <f t="shared" ref="L15:L30" ca="1" si="4">IF(D15&lt;&gt;"",L14+H15-J15,0)</f>
        <v>0</v>
      </c>
      <c r="M15" s="575"/>
      <c r="N15" s="565"/>
      <c r="Q15" s="576"/>
    </row>
    <row r="16" spans="1:17">
      <c r="A16" s="531" t="str">
        <f t="shared" ca="1" si="0"/>
        <v/>
      </c>
      <c r="B16" s="571" t="str">
        <f ca="1">IF(ROWS($1:3)&gt;COUNT(Dong11),"",OFFSET(TH!D$1,SMALL(Dong11,ROWS($1:3)),))</f>
        <v/>
      </c>
      <c r="C16" s="572" t="str">
        <f ca="1">IF(ROWS($1:3)&gt;COUNT(Dong11),"",OFFSET(TH!E$1,SMALL(Dong11,ROWS($1:3)),))</f>
        <v/>
      </c>
      <c r="D16" s="573" t="str">
        <f ca="1">IF(ROWS($1:3)&gt;COUNT(Dong11),"",OFFSET(TH!F$1,SMALL(Dong11,ROWS($1:3)),)&amp;" - "&amp;OFFSET(TH!H$1,SMALL(Dong11,ROWS($1:3)),))</f>
        <v/>
      </c>
      <c r="E16" s="571" t="str">
        <f ca="1">IF(ROWS($1:3)&gt;COUNT(Dong11),"",IF(OFFSET(TH!N$1,SMALL(Dong11,ROWS($1:3)),)=$G$7,OFFSET(TH!O$1,SMALL(Dong11,ROWS($1:3)),),OFFSET(TH!N$1,SMALL(Dong11,ROWS($1:3)),)))</f>
        <v/>
      </c>
      <c r="F16" s="574">
        <f ca="1">IF(ROWS($1:3)&gt;COUNT(Dong11),0,OFFSET(TH!J$1,SMALL(Dong11,ROWS($1:3)),))</f>
        <v>0</v>
      </c>
      <c r="G16" s="574">
        <f ca="1">IF(ROWS($1:3)&gt;COUNT(Dong11),0,IF(MID(OFFSET(TH!D$1,SMALL(Dong11,ROWS($1:3)),),4,1)="N",OFFSET(TH!I$1,SMALL(Dong11,ROWS($1:3)),),0))</f>
        <v>0</v>
      </c>
      <c r="H16" s="575">
        <f t="shared" ca="1" si="1"/>
        <v>0</v>
      </c>
      <c r="I16" s="574">
        <f ca="1">IF(ROWS($1:3)&gt;COUNT(Dong11),0,IF(MID(OFFSET(TH!D$1,SMALL(Dong11,ROWS($1:3)),),4,1)="X",OFFSET(TH!I$1,SMALL(Dong11,ROWS($1:3)),),0))</f>
        <v>0</v>
      </c>
      <c r="J16" s="575">
        <f t="shared" ca="1" si="2"/>
        <v>0</v>
      </c>
      <c r="K16" s="575">
        <f t="shared" ca="1" si="3"/>
        <v>0</v>
      </c>
      <c r="L16" s="575">
        <f t="shared" ca="1" si="4"/>
        <v>0</v>
      </c>
      <c r="M16" s="575"/>
      <c r="N16" s="565"/>
    </row>
    <row r="17" spans="1:16">
      <c r="A17" s="531" t="str">
        <f t="shared" ca="1" si="0"/>
        <v/>
      </c>
      <c r="B17" s="571" t="str">
        <f ca="1">IF(ROWS($1:4)&gt;COUNT(Dong11),"",OFFSET(TH!D$1,SMALL(Dong11,ROWS($1:4)),))</f>
        <v/>
      </c>
      <c r="C17" s="572" t="str">
        <f ca="1">IF(ROWS($1:4)&gt;COUNT(Dong11),"",OFFSET(TH!E$1,SMALL(Dong11,ROWS($1:4)),))</f>
        <v/>
      </c>
      <c r="D17" s="573" t="str">
        <f ca="1">IF(ROWS($1:4)&gt;COUNT(Dong11),"",OFFSET(TH!F$1,SMALL(Dong11,ROWS($1:4)),)&amp;" - "&amp;OFFSET(TH!H$1,SMALL(Dong11,ROWS($1:4)),))</f>
        <v/>
      </c>
      <c r="E17" s="571" t="str">
        <f ca="1">IF(ROWS($1:4)&gt;COUNT(Dong11),"",IF(OFFSET(TH!N$1,SMALL(Dong11,ROWS($1:4)),)=$G$7,OFFSET(TH!O$1,SMALL(Dong11,ROWS($1:4)),),OFFSET(TH!N$1,SMALL(Dong11,ROWS($1:4)),)))</f>
        <v/>
      </c>
      <c r="F17" s="574">
        <f ca="1">IF(ROWS($1:4)&gt;COUNT(Dong11),0,OFFSET(TH!J$1,SMALL(Dong11,ROWS($1:4)),))</f>
        <v>0</v>
      </c>
      <c r="G17" s="574">
        <f ca="1">IF(ROWS($1:4)&gt;COUNT(Dong11),0,IF(MID(OFFSET(TH!D$1,SMALL(Dong11,ROWS($1:4)),),4,1)="N",OFFSET(TH!I$1,SMALL(Dong11,ROWS($1:4)),),0))</f>
        <v>0</v>
      </c>
      <c r="H17" s="575">
        <f t="shared" ca="1" si="1"/>
        <v>0</v>
      </c>
      <c r="I17" s="574">
        <f ca="1">IF(ROWS($1:4)&gt;COUNT(Dong11),0,IF(MID(OFFSET(TH!D$1,SMALL(Dong11,ROWS($1:4)),),4,1)="X",OFFSET(TH!I$1,SMALL(Dong11,ROWS($1:4)),),0))</f>
        <v>0</v>
      </c>
      <c r="J17" s="575">
        <f t="shared" ca="1" si="2"/>
        <v>0</v>
      </c>
      <c r="K17" s="575">
        <f t="shared" ca="1" si="3"/>
        <v>0</v>
      </c>
      <c r="L17" s="575">
        <f t="shared" ca="1" si="4"/>
        <v>0</v>
      </c>
      <c r="M17" s="575"/>
      <c r="N17" s="565"/>
      <c r="P17" s="577"/>
    </row>
    <row r="18" spans="1:16">
      <c r="A18" s="531" t="str">
        <f t="shared" ca="1" si="0"/>
        <v/>
      </c>
      <c r="B18" s="571" t="str">
        <f ca="1">IF(ROWS($1:5)&gt;COUNT(Dong11),"",OFFSET(TH!D$1,SMALL(Dong11,ROWS($1:5)),))</f>
        <v/>
      </c>
      <c r="C18" s="572" t="str">
        <f ca="1">IF(ROWS($1:5)&gt;COUNT(Dong11),"",OFFSET(TH!E$1,SMALL(Dong11,ROWS($1:5)),))</f>
        <v/>
      </c>
      <c r="D18" s="573" t="str">
        <f ca="1">IF(ROWS($1:5)&gt;COUNT(Dong11),"",OFFSET(TH!F$1,SMALL(Dong11,ROWS($1:5)),)&amp;" - "&amp;OFFSET(TH!H$1,SMALL(Dong11,ROWS($1:5)),))</f>
        <v/>
      </c>
      <c r="E18" s="571" t="str">
        <f ca="1">IF(ROWS($1:5)&gt;COUNT(Dong11),"",IF(OFFSET(TH!N$1,SMALL(Dong11,ROWS($1:5)),)=$G$7,OFFSET(TH!O$1,SMALL(Dong11,ROWS($1:5)),),OFFSET(TH!N$1,SMALL(Dong11,ROWS($1:5)),)))</f>
        <v/>
      </c>
      <c r="F18" s="574">
        <f ca="1">IF(ROWS($1:5)&gt;COUNT(Dong11),0,OFFSET(TH!J$1,SMALL(Dong11,ROWS($1:5)),))</f>
        <v>0</v>
      </c>
      <c r="G18" s="574">
        <f ca="1">IF(ROWS($1:5)&gt;COUNT(Dong11),0,IF(MID(OFFSET(TH!D$1,SMALL(Dong11,ROWS($1:5)),),4,1)="N",OFFSET(TH!I$1,SMALL(Dong11,ROWS($1:5)),),0))</f>
        <v>0</v>
      </c>
      <c r="H18" s="575">
        <f t="shared" ca="1" si="1"/>
        <v>0</v>
      </c>
      <c r="I18" s="574">
        <f ca="1">IF(ROWS($1:5)&gt;COUNT(Dong11),0,IF(MID(OFFSET(TH!D$1,SMALL(Dong11,ROWS($1:5)),),4,1)="X",OFFSET(TH!I$1,SMALL(Dong11,ROWS($1:5)),),0))</f>
        <v>0</v>
      </c>
      <c r="J18" s="575">
        <f t="shared" ca="1" si="2"/>
        <v>0</v>
      </c>
      <c r="K18" s="575">
        <f t="shared" ca="1" si="3"/>
        <v>0</v>
      </c>
      <c r="L18" s="575">
        <f t="shared" ca="1" si="4"/>
        <v>0</v>
      </c>
      <c r="M18" s="575"/>
      <c r="N18" s="565"/>
    </row>
    <row r="19" spans="1:16">
      <c r="A19" s="531" t="str">
        <f t="shared" ca="1" si="0"/>
        <v/>
      </c>
      <c r="B19" s="571" t="str">
        <f ca="1">IF(ROWS($1:6)&gt;COUNT(Dong11),"",OFFSET(TH!D$1,SMALL(Dong11,ROWS($1:6)),))</f>
        <v/>
      </c>
      <c r="C19" s="572" t="str">
        <f ca="1">IF(ROWS($1:6)&gt;COUNT(Dong11),"",OFFSET(TH!E$1,SMALL(Dong11,ROWS($1:6)),))</f>
        <v/>
      </c>
      <c r="D19" s="573" t="str">
        <f ca="1">IF(ROWS($1:6)&gt;COUNT(Dong11),"",OFFSET(TH!F$1,SMALL(Dong11,ROWS($1:6)),)&amp;" - "&amp;OFFSET(TH!H$1,SMALL(Dong11,ROWS($1:6)),))</f>
        <v/>
      </c>
      <c r="E19" s="571" t="str">
        <f ca="1">IF(ROWS($1:6)&gt;COUNT(Dong11),"",IF(OFFSET(TH!N$1,SMALL(Dong11,ROWS($1:6)),)=$G$7,OFFSET(TH!O$1,SMALL(Dong11,ROWS($1:6)),),OFFSET(TH!N$1,SMALL(Dong11,ROWS($1:6)),)))</f>
        <v/>
      </c>
      <c r="F19" s="574">
        <f ca="1">IF(ROWS($1:6)&gt;COUNT(Dong11),0,OFFSET(TH!J$1,SMALL(Dong11,ROWS($1:6)),))</f>
        <v>0</v>
      </c>
      <c r="G19" s="574">
        <f ca="1">IF(ROWS($1:6)&gt;COUNT(Dong11),0,IF(MID(OFFSET(TH!D$1,SMALL(Dong11,ROWS($1:6)),),4,1)="N",OFFSET(TH!I$1,SMALL(Dong11,ROWS($1:6)),),0))</f>
        <v>0</v>
      </c>
      <c r="H19" s="575">
        <f t="shared" ca="1" si="1"/>
        <v>0</v>
      </c>
      <c r="I19" s="574">
        <f ca="1">IF(ROWS($1:6)&gt;COUNT(Dong11),0,IF(MID(OFFSET(TH!D$1,SMALL(Dong11,ROWS($1:6)),),4,1)="X",OFFSET(TH!I$1,SMALL(Dong11,ROWS($1:6)),),0))</f>
        <v>0</v>
      </c>
      <c r="J19" s="575">
        <f t="shared" ca="1" si="2"/>
        <v>0</v>
      </c>
      <c r="K19" s="575">
        <f t="shared" ca="1" si="3"/>
        <v>0</v>
      </c>
      <c r="L19" s="575">
        <f t="shared" ca="1" si="4"/>
        <v>0</v>
      </c>
      <c r="M19" s="575"/>
      <c r="N19" s="565"/>
    </row>
    <row r="20" spans="1:16">
      <c r="A20" s="531" t="str">
        <f t="shared" ca="1" si="0"/>
        <v/>
      </c>
      <c r="B20" s="571" t="str">
        <f ca="1">IF(ROWS($1:7)&gt;COUNT(Dong11),"",OFFSET(TH!D$1,SMALL(Dong11,ROWS($1:7)),))</f>
        <v/>
      </c>
      <c r="C20" s="572" t="str">
        <f ca="1">IF(ROWS($1:7)&gt;COUNT(Dong11),"",OFFSET(TH!E$1,SMALL(Dong11,ROWS($1:7)),))</f>
        <v/>
      </c>
      <c r="D20" s="573" t="str">
        <f ca="1">IF(ROWS($1:7)&gt;COUNT(Dong11),"",OFFSET(TH!F$1,SMALL(Dong11,ROWS($1:7)),)&amp;" - "&amp;OFFSET(TH!H$1,SMALL(Dong11,ROWS($1:7)),))</f>
        <v/>
      </c>
      <c r="E20" s="571" t="str">
        <f ca="1">IF(ROWS($1:7)&gt;COUNT(Dong11),"",IF(OFFSET(TH!N$1,SMALL(Dong11,ROWS($1:7)),)=$G$7,OFFSET(TH!O$1,SMALL(Dong11,ROWS($1:7)),),OFFSET(TH!N$1,SMALL(Dong11,ROWS($1:7)),)))</f>
        <v/>
      </c>
      <c r="F20" s="574">
        <f ca="1">IF(ROWS($1:7)&gt;COUNT(Dong11),0,OFFSET(TH!J$1,SMALL(Dong11,ROWS($1:7)),))</f>
        <v>0</v>
      </c>
      <c r="G20" s="574">
        <f ca="1">IF(ROWS($1:7)&gt;COUNT(Dong11),0,IF(MID(OFFSET(TH!D$1,SMALL(Dong11,ROWS($1:7)),),4,1)="N",OFFSET(TH!I$1,SMALL(Dong11,ROWS($1:7)),),0))</f>
        <v>0</v>
      </c>
      <c r="H20" s="575">
        <f t="shared" ca="1" si="1"/>
        <v>0</v>
      </c>
      <c r="I20" s="574">
        <f ca="1">IF(ROWS($1:7)&gt;COUNT(Dong11),0,IF(MID(OFFSET(TH!D$1,SMALL(Dong11,ROWS($1:7)),),4,1)="X",OFFSET(TH!I$1,SMALL(Dong11,ROWS($1:7)),),0))</f>
        <v>0</v>
      </c>
      <c r="J20" s="575">
        <f t="shared" ca="1" si="2"/>
        <v>0</v>
      </c>
      <c r="K20" s="575">
        <f t="shared" ca="1" si="3"/>
        <v>0</v>
      </c>
      <c r="L20" s="575">
        <f t="shared" ca="1" si="4"/>
        <v>0</v>
      </c>
      <c r="M20" s="575"/>
      <c r="N20" s="565"/>
    </row>
    <row r="21" spans="1:16">
      <c r="A21" s="531" t="str">
        <f t="shared" ca="1" si="0"/>
        <v/>
      </c>
      <c r="B21" s="571" t="str">
        <f ca="1">IF(ROWS($1:8)&gt;COUNT(Dong11),"",OFFSET(TH!D$1,SMALL(Dong11,ROWS($1:8)),))</f>
        <v/>
      </c>
      <c r="C21" s="572" t="str">
        <f ca="1">IF(ROWS($1:8)&gt;COUNT(Dong11),"",OFFSET(TH!E$1,SMALL(Dong11,ROWS($1:8)),))</f>
        <v/>
      </c>
      <c r="D21" s="573" t="str">
        <f ca="1">IF(ROWS($1:8)&gt;COUNT(Dong11),"",OFFSET(TH!F$1,SMALL(Dong11,ROWS($1:8)),)&amp;" - "&amp;OFFSET(TH!H$1,SMALL(Dong11,ROWS($1:8)),))</f>
        <v/>
      </c>
      <c r="E21" s="571" t="str">
        <f ca="1">IF(ROWS($1:8)&gt;COUNT(Dong11),"",IF(OFFSET(TH!N$1,SMALL(Dong11,ROWS($1:8)),)=$G$7,OFFSET(TH!O$1,SMALL(Dong11,ROWS($1:8)),),OFFSET(TH!N$1,SMALL(Dong11,ROWS($1:8)),)))</f>
        <v/>
      </c>
      <c r="F21" s="574">
        <f ca="1">IF(ROWS($1:8)&gt;COUNT(Dong11),0,OFFSET(TH!J$1,SMALL(Dong11,ROWS($1:8)),))</f>
        <v>0</v>
      </c>
      <c r="G21" s="574">
        <f ca="1">IF(ROWS($1:8)&gt;COUNT(Dong11),0,IF(MID(OFFSET(TH!D$1,SMALL(Dong11,ROWS($1:8)),),4,1)="N",OFFSET(TH!I$1,SMALL(Dong11,ROWS($1:8)),),0))</f>
        <v>0</v>
      </c>
      <c r="H21" s="575">
        <f t="shared" ca="1" si="1"/>
        <v>0</v>
      </c>
      <c r="I21" s="574">
        <f ca="1">IF(ROWS($1:8)&gt;COUNT(Dong11),0,IF(MID(OFFSET(TH!D$1,SMALL(Dong11,ROWS($1:8)),),4,1)="X",OFFSET(TH!I$1,SMALL(Dong11,ROWS($1:8)),),0))</f>
        <v>0</v>
      </c>
      <c r="J21" s="575">
        <f t="shared" ca="1" si="2"/>
        <v>0</v>
      </c>
      <c r="K21" s="575">
        <f t="shared" ca="1" si="3"/>
        <v>0</v>
      </c>
      <c r="L21" s="575">
        <f t="shared" ca="1" si="4"/>
        <v>0</v>
      </c>
      <c r="M21" s="575"/>
      <c r="N21" s="565"/>
    </row>
    <row r="22" spans="1:16">
      <c r="A22" s="531" t="str">
        <f t="shared" ca="1" si="0"/>
        <v/>
      </c>
      <c r="B22" s="571" t="str">
        <f ca="1">IF(ROWS($1:9)&gt;COUNT(Dong11),"",OFFSET(TH!D$1,SMALL(Dong11,ROWS($1:9)),))</f>
        <v/>
      </c>
      <c r="C22" s="572" t="str">
        <f ca="1">IF(ROWS($1:9)&gt;COUNT(Dong11),"",OFFSET(TH!E$1,SMALL(Dong11,ROWS($1:9)),))</f>
        <v/>
      </c>
      <c r="D22" s="573" t="str">
        <f ca="1">IF(ROWS($1:9)&gt;COUNT(Dong11),"",OFFSET(TH!F$1,SMALL(Dong11,ROWS($1:9)),)&amp;" - "&amp;OFFSET(TH!H$1,SMALL(Dong11,ROWS($1:9)),))</f>
        <v/>
      </c>
      <c r="E22" s="571" t="str">
        <f ca="1">IF(ROWS($1:9)&gt;COUNT(Dong11),"",IF(OFFSET(TH!N$1,SMALL(Dong11,ROWS($1:9)),)=$G$7,OFFSET(TH!O$1,SMALL(Dong11,ROWS($1:9)),),OFFSET(TH!N$1,SMALL(Dong11,ROWS($1:9)),)))</f>
        <v/>
      </c>
      <c r="F22" s="574">
        <f ca="1">IF(ROWS($1:9)&gt;COUNT(Dong11),0,OFFSET(TH!J$1,SMALL(Dong11,ROWS($1:9)),))</f>
        <v>0</v>
      </c>
      <c r="G22" s="574">
        <f ca="1">IF(ROWS($1:9)&gt;COUNT(Dong11),0,IF(MID(OFFSET(TH!D$1,SMALL(Dong11,ROWS($1:9)),),4,1)="N",OFFSET(TH!I$1,SMALL(Dong11,ROWS($1:9)),),0))</f>
        <v>0</v>
      </c>
      <c r="H22" s="575">
        <f t="shared" ca="1" si="1"/>
        <v>0</v>
      </c>
      <c r="I22" s="574">
        <f ca="1">IF(ROWS($1:9)&gt;COUNT(Dong11),0,IF(MID(OFFSET(TH!D$1,SMALL(Dong11,ROWS($1:9)),),4,1)="X",OFFSET(TH!I$1,SMALL(Dong11,ROWS($1:9)),),0))</f>
        <v>0</v>
      </c>
      <c r="J22" s="575">
        <f t="shared" ca="1" si="2"/>
        <v>0</v>
      </c>
      <c r="K22" s="575">
        <f t="shared" ca="1" si="3"/>
        <v>0</v>
      </c>
      <c r="L22" s="575">
        <f t="shared" ca="1" si="4"/>
        <v>0</v>
      </c>
      <c r="M22" s="575"/>
      <c r="N22" s="565"/>
    </row>
    <row r="23" spans="1:16">
      <c r="A23" s="531" t="str">
        <f t="shared" ca="1" si="0"/>
        <v/>
      </c>
      <c r="B23" s="571" t="str">
        <f ca="1">IF(ROWS($1:10)&gt;COUNT(Dong11),"",OFFSET(TH!D$1,SMALL(Dong11,ROWS($1:10)),))</f>
        <v/>
      </c>
      <c r="C23" s="572" t="str">
        <f ca="1">IF(ROWS($1:10)&gt;COUNT(Dong11),"",OFFSET(TH!E$1,SMALL(Dong11,ROWS($1:10)),))</f>
        <v/>
      </c>
      <c r="D23" s="573" t="str">
        <f ca="1">IF(ROWS($1:10)&gt;COUNT(Dong11),"",OFFSET(TH!F$1,SMALL(Dong11,ROWS($1:10)),)&amp;" - "&amp;OFFSET(TH!H$1,SMALL(Dong11,ROWS($1:10)),))</f>
        <v/>
      </c>
      <c r="E23" s="571" t="str">
        <f ca="1">IF(ROWS($1:10)&gt;COUNT(Dong11),"",IF(OFFSET(TH!N$1,SMALL(Dong11,ROWS($1:10)),)=$G$7,OFFSET(TH!O$1,SMALL(Dong11,ROWS($1:10)),),OFFSET(TH!N$1,SMALL(Dong11,ROWS($1:10)),)))</f>
        <v/>
      </c>
      <c r="F23" s="574">
        <f ca="1">IF(ROWS($1:10)&gt;COUNT(Dong11),0,OFFSET(TH!J$1,SMALL(Dong11,ROWS($1:10)),))</f>
        <v>0</v>
      </c>
      <c r="G23" s="574">
        <f ca="1">IF(ROWS($1:10)&gt;COUNT(Dong11),0,IF(MID(OFFSET(TH!D$1,SMALL(Dong11,ROWS($1:10)),),4,1)="N",OFFSET(TH!I$1,SMALL(Dong11,ROWS($1:10)),),0))</f>
        <v>0</v>
      </c>
      <c r="H23" s="575">
        <f t="shared" ca="1" si="1"/>
        <v>0</v>
      </c>
      <c r="I23" s="574">
        <f ca="1">IF(ROWS($1:10)&gt;COUNT(Dong11),0,IF(MID(OFFSET(TH!D$1,SMALL(Dong11,ROWS($1:10)),),4,1)="X",OFFSET(TH!I$1,SMALL(Dong11,ROWS($1:10)),),0))</f>
        <v>0</v>
      </c>
      <c r="J23" s="575">
        <f t="shared" ca="1" si="2"/>
        <v>0</v>
      </c>
      <c r="K23" s="575">
        <f t="shared" ca="1" si="3"/>
        <v>0</v>
      </c>
      <c r="L23" s="575">
        <f t="shared" ca="1" si="4"/>
        <v>0</v>
      </c>
      <c r="M23" s="575"/>
      <c r="N23" s="565"/>
    </row>
    <row r="24" spans="1:16">
      <c r="A24" s="531" t="str">
        <f t="shared" ca="1" si="0"/>
        <v/>
      </c>
      <c r="B24" s="571" t="str">
        <f ca="1">IF(ROWS($1:11)&gt;COUNT(Dong11),"",OFFSET(TH!D$1,SMALL(Dong11,ROWS($1:11)),))</f>
        <v/>
      </c>
      <c r="C24" s="572" t="str">
        <f ca="1">IF(ROWS($1:11)&gt;COUNT(Dong11),"",OFFSET(TH!E$1,SMALL(Dong11,ROWS($1:11)),))</f>
        <v/>
      </c>
      <c r="D24" s="573" t="str">
        <f ca="1">IF(ROWS($1:11)&gt;COUNT(Dong11),"",OFFSET(TH!F$1,SMALL(Dong11,ROWS($1:11)),)&amp;" - "&amp;OFFSET(TH!H$1,SMALL(Dong11,ROWS($1:11)),))</f>
        <v/>
      </c>
      <c r="E24" s="571" t="str">
        <f ca="1">IF(ROWS($1:11)&gt;COUNT(Dong11),"",IF(OFFSET(TH!N$1,SMALL(Dong11,ROWS($1:11)),)=$G$7,OFFSET(TH!O$1,SMALL(Dong11,ROWS($1:11)),),OFFSET(TH!N$1,SMALL(Dong11,ROWS($1:11)),)))</f>
        <v/>
      </c>
      <c r="F24" s="574">
        <f ca="1">IF(ROWS($1:11)&gt;COUNT(Dong11),0,OFFSET(TH!J$1,SMALL(Dong11,ROWS($1:11)),))</f>
        <v>0</v>
      </c>
      <c r="G24" s="574">
        <f ca="1">IF(ROWS($1:11)&gt;COUNT(Dong11),0,IF(MID(OFFSET(TH!D$1,SMALL(Dong11,ROWS($1:11)),),4,1)="N",OFFSET(TH!I$1,SMALL(Dong11,ROWS($1:11)),),0))</f>
        <v>0</v>
      </c>
      <c r="H24" s="575">
        <f t="shared" ca="1" si="1"/>
        <v>0</v>
      </c>
      <c r="I24" s="574">
        <f ca="1">IF(ROWS($1:11)&gt;COUNT(Dong11),0,IF(MID(OFFSET(TH!D$1,SMALL(Dong11,ROWS($1:11)),),4,1)="X",OFFSET(TH!I$1,SMALL(Dong11,ROWS($1:11)),),0))</f>
        <v>0</v>
      </c>
      <c r="J24" s="575">
        <f t="shared" ca="1" si="2"/>
        <v>0</v>
      </c>
      <c r="K24" s="575">
        <f t="shared" ca="1" si="3"/>
        <v>0</v>
      </c>
      <c r="L24" s="575">
        <f t="shared" ca="1" si="4"/>
        <v>0</v>
      </c>
      <c r="M24" s="575"/>
      <c r="N24" s="565"/>
    </row>
    <row r="25" spans="1:16">
      <c r="A25" s="531" t="str">
        <f t="shared" ca="1" si="0"/>
        <v/>
      </c>
      <c r="B25" s="571" t="str">
        <f ca="1">IF(ROWS($1:12)&gt;COUNT(Dong11),"",OFFSET(TH!D$1,SMALL(Dong11,ROWS($1:12)),))</f>
        <v/>
      </c>
      <c r="C25" s="572" t="str">
        <f ca="1">IF(ROWS($1:12)&gt;COUNT(Dong11),"",OFFSET(TH!E$1,SMALL(Dong11,ROWS($1:12)),))</f>
        <v/>
      </c>
      <c r="D25" s="573" t="str">
        <f ca="1">IF(ROWS($1:12)&gt;COUNT(Dong11),"",OFFSET(TH!F$1,SMALL(Dong11,ROWS($1:12)),)&amp;" - "&amp;OFFSET(TH!H$1,SMALL(Dong11,ROWS($1:12)),))</f>
        <v/>
      </c>
      <c r="E25" s="571" t="str">
        <f ca="1">IF(ROWS($1:12)&gt;COUNT(Dong11),"",IF(OFFSET(TH!N$1,SMALL(Dong11,ROWS($1:12)),)=$G$7,OFFSET(TH!O$1,SMALL(Dong11,ROWS($1:12)),),OFFSET(TH!N$1,SMALL(Dong11,ROWS($1:12)),)))</f>
        <v/>
      </c>
      <c r="F25" s="574">
        <f ca="1">IF(ROWS($1:12)&gt;COUNT(Dong11),0,OFFSET(TH!J$1,SMALL(Dong11,ROWS($1:12)),))</f>
        <v>0</v>
      </c>
      <c r="G25" s="574">
        <f ca="1">IF(ROWS($1:12)&gt;COUNT(Dong11),0,IF(MID(OFFSET(TH!D$1,SMALL(Dong11,ROWS($1:12)),),4,1)="N",OFFSET(TH!I$1,SMALL(Dong11,ROWS($1:12)),),0))</f>
        <v>0</v>
      </c>
      <c r="H25" s="575">
        <f t="shared" ca="1" si="1"/>
        <v>0</v>
      </c>
      <c r="I25" s="574">
        <f ca="1">IF(ROWS($1:12)&gt;COUNT(Dong11),0,IF(MID(OFFSET(TH!D$1,SMALL(Dong11,ROWS($1:12)),),4,1)="X",OFFSET(TH!I$1,SMALL(Dong11,ROWS($1:12)),),0))</f>
        <v>0</v>
      </c>
      <c r="J25" s="575">
        <f t="shared" ca="1" si="2"/>
        <v>0</v>
      </c>
      <c r="K25" s="575">
        <f t="shared" ca="1" si="3"/>
        <v>0</v>
      </c>
      <c r="L25" s="575">
        <f t="shared" ca="1" si="4"/>
        <v>0</v>
      </c>
      <c r="M25" s="575"/>
      <c r="N25" s="565"/>
    </row>
    <row r="26" spans="1:16">
      <c r="A26" s="531" t="str">
        <f t="shared" ca="1" si="0"/>
        <v/>
      </c>
      <c r="B26" s="571" t="str">
        <f ca="1">IF(ROWS($1:13)&gt;COUNT(Dong11),"",OFFSET(TH!D$1,SMALL(Dong11,ROWS($1:13)),))</f>
        <v/>
      </c>
      <c r="C26" s="572" t="str">
        <f ca="1">IF(ROWS($1:13)&gt;COUNT(Dong11),"",OFFSET(TH!E$1,SMALL(Dong11,ROWS($1:13)),))</f>
        <v/>
      </c>
      <c r="D26" s="573" t="str">
        <f ca="1">IF(ROWS($1:13)&gt;COUNT(Dong11),"",OFFSET(TH!F$1,SMALL(Dong11,ROWS($1:13)),)&amp;" - "&amp;OFFSET(TH!H$1,SMALL(Dong11,ROWS($1:13)),))</f>
        <v/>
      </c>
      <c r="E26" s="571" t="str">
        <f ca="1">IF(ROWS($1:13)&gt;COUNT(Dong11),"",IF(OFFSET(TH!N$1,SMALL(Dong11,ROWS($1:13)),)=$G$7,OFFSET(TH!O$1,SMALL(Dong11,ROWS($1:13)),),OFFSET(TH!N$1,SMALL(Dong11,ROWS($1:13)),)))</f>
        <v/>
      </c>
      <c r="F26" s="574">
        <f ca="1">IF(ROWS($1:13)&gt;COUNT(Dong11),0,OFFSET(TH!J$1,SMALL(Dong11,ROWS($1:13)),))</f>
        <v>0</v>
      </c>
      <c r="G26" s="574">
        <f ca="1">IF(ROWS($1:13)&gt;COUNT(Dong11),0,IF(MID(OFFSET(TH!D$1,SMALL(Dong11,ROWS($1:13)),),4,1)="N",OFFSET(TH!I$1,SMALL(Dong11,ROWS($1:13)),),0))</f>
        <v>0</v>
      </c>
      <c r="H26" s="575">
        <f t="shared" ca="1" si="1"/>
        <v>0</v>
      </c>
      <c r="I26" s="574">
        <f ca="1">IF(ROWS($1:13)&gt;COUNT(Dong11),0,IF(MID(OFFSET(TH!D$1,SMALL(Dong11,ROWS($1:13)),),4,1)="X",OFFSET(TH!I$1,SMALL(Dong11,ROWS($1:13)),),0))</f>
        <v>0</v>
      </c>
      <c r="J26" s="575">
        <f t="shared" ca="1" si="2"/>
        <v>0</v>
      </c>
      <c r="K26" s="575">
        <f t="shared" ca="1" si="3"/>
        <v>0</v>
      </c>
      <c r="L26" s="575">
        <f t="shared" ca="1" si="4"/>
        <v>0</v>
      </c>
      <c r="M26" s="575"/>
      <c r="N26" s="565"/>
    </row>
    <row r="27" spans="1:16">
      <c r="A27" s="531" t="str">
        <f t="shared" ca="1" si="0"/>
        <v/>
      </c>
      <c r="B27" s="571" t="str">
        <f ca="1">IF(ROWS($1:14)&gt;COUNT(Dong11),"",OFFSET(TH!D$1,SMALL(Dong11,ROWS($1:14)),))</f>
        <v/>
      </c>
      <c r="C27" s="572" t="str">
        <f ca="1">IF(ROWS($1:14)&gt;COUNT(Dong11),"",OFFSET(TH!E$1,SMALL(Dong11,ROWS($1:14)),))</f>
        <v/>
      </c>
      <c r="D27" s="573" t="str">
        <f ca="1">IF(ROWS($1:14)&gt;COUNT(Dong11),"",OFFSET(TH!F$1,SMALL(Dong11,ROWS($1:14)),)&amp;" - "&amp;OFFSET(TH!H$1,SMALL(Dong11,ROWS($1:14)),))</f>
        <v/>
      </c>
      <c r="E27" s="571" t="str">
        <f ca="1">IF(ROWS($1:14)&gt;COUNT(Dong11),"",IF(OFFSET(TH!N$1,SMALL(Dong11,ROWS($1:14)),)=$G$7,OFFSET(TH!O$1,SMALL(Dong11,ROWS($1:14)),),OFFSET(TH!N$1,SMALL(Dong11,ROWS($1:14)),)))</f>
        <v/>
      </c>
      <c r="F27" s="574">
        <f ca="1">IF(ROWS($1:14)&gt;COUNT(Dong11),0,OFFSET(TH!J$1,SMALL(Dong11,ROWS($1:14)),))</f>
        <v>0</v>
      </c>
      <c r="G27" s="574">
        <f ca="1">IF(ROWS($1:14)&gt;COUNT(Dong11),0,IF(MID(OFFSET(TH!D$1,SMALL(Dong11,ROWS($1:14)),),4,1)="N",OFFSET(TH!I$1,SMALL(Dong11,ROWS($1:14)),),0))</f>
        <v>0</v>
      </c>
      <c r="H27" s="575">
        <f t="shared" ca="1" si="1"/>
        <v>0</v>
      </c>
      <c r="I27" s="574">
        <f ca="1">IF(ROWS($1:14)&gt;COUNT(Dong11),0,IF(MID(OFFSET(TH!D$1,SMALL(Dong11,ROWS($1:14)),),4,1)="X",OFFSET(TH!I$1,SMALL(Dong11,ROWS($1:14)),),0))</f>
        <v>0</v>
      </c>
      <c r="J27" s="575">
        <f t="shared" ca="1" si="2"/>
        <v>0</v>
      </c>
      <c r="K27" s="575">
        <f t="shared" ca="1" si="3"/>
        <v>0</v>
      </c>
      <c r="L27" s="575">
        <f t="shared" ca="1" si="4"/>
        <v>0</v>
      </c>
      <c r="M27" s="575"/>
      <c r="N27" s="565"/>
    </row>
    <row r="28" spans="1:16">
      <c r="A28" s="531" t="str">
        <f t="shared" ca="1" si="0"/>
        <v/>
      </c>
      <c r="B28" s="571" t="str">
        <f ca="1">IF(ROWS($1:15)&gt;COUNT(Dong11),"",OFFSET(TH!D$1,SMALL(Dong11,ROWS($1:15)),))</f>
        <v/>
      </c>
      <c r="C28" s="572" t="str">
        <f ca="1">IF(ROWS($1:15)&gt;COUNT(Dong11),"",OFFSET(TH!E$1,SMALL(Dong11,ROWS($1:15)),))</f>
        <v/>
      </c>
      <c r="D28" s="573" t="str">
        <f ca="1">IF(ROWS($1:15)&gt;COUNT(Dong11),"",OFFSET(TH!F$1,SMALL(Dong11,ROWS($1:15)),)&amp;" - "&amp;OFFSET(TH!H$1,SMALL(Dong11,ROWS($1:15)),))</f>
        <v/>
      </c>
      <c r="E28" s="571" t="str">
        <f ca="1">IF(ROWS($1:15)&gt;COUNT(Dong11),"",IF(OFFSET(TH!N$1,SMALL(Dong11,ROWS($1:15)),)=$G$7,OFFSET(TH!O$1,SMALL(Dong11,ROWS($1:15)),),OFFSET(TH!N$1,SMALL(Dong11,ROWS($1:15)),)))</f>
        <v/>
      </c>
      <c r="F28" s="574">
        <f ca="1">IF(ROWS($1:15)&gt;COUNT(Dong11),0,OFFSET(TH!J$1,SMALL(Dong11,ROWS($1:15)),))</f>
        <v>0</v>
      </c>
      <c r="G28" s="574">
        <f ca="1">IF(ROWS($1:15)&gt;COUNT(Dong11),0,IF(MID(OFFSET(TH!D$1,SMALL(Dong11,ROWS($1:15)),),4,1)="N",OFFSET(TH!I$1,SMALL(Dong11,ROWS($1:15)),),0))</f>
        <v>0</v>
      </c>
      <c r="H28" s="575">
        <f t="shared" ca="1" si="1"/>
        <v>0</v>
      </c>
      <c r="I28" s="574">
        <f ca="1">IF(ROWS($1:15)&gt;COUNT(Dong11),0,IF(MID(OFFSET(TH!D$1,SMALL(Dong11,ROWS($1:15)),),4,1)="X",OFFSET(TH!I$1,SMALL(Dong11,ROWS($1:15)),),0))</f>
        <v>0</v>
      </c>
      <c r="J28" s="575">
        <f t="shared" ca="1" si="2"/>
        <v>0</v>
      </c>
      <c r="K28" s="575">
        <f t="shared" ca="1" si="3"/>
        <v>0</v>
      </c>
      <c r="L28" s="575">
        <f t="shared" ca="1" si="4"/>
        <v>0</v>
      </c>
      <c r="M28" s="575"/>
      <c r="N28" s="565"/>
    </row>
    <row r="29" spans="1:16">
      <c r="A29" s="531" t="str">
        <f t="shared" ca="1" si="0"/>
        <v/>
      </c>
      <c r="B29" s="571" t="str">
        <f ca="1">IF(ROWS($1:16)&gt;COUNT(Dong11),"",OFFSET(TH!D$1,SMALL(Dong11,ROWS($1:16)),))</f>
        <v/>
      </c>
      <c r="C29" s="572" t="str">
        <f ca="1">IF(ROWS($1:16)&gt;COUNT(Dong11),"",OFFSET(TH!E$1,SMALL(Dong11,ROWS($1:16)),))</f>
        <v/>
      </c>
      <c r="D29" s="573" t="str">
        <f ca="1">IF(ROWS($1:16)&gt;COUNT(Dong11),"",OFFSET(TH!F$1,SMALL(Dong11,ROWS($1:16)),)&amp;" - "&amp;OFFSET(TH!H$1,SMALL(Dong11,ROWS($1:16)),))</f>
        <v/>
      </c>
      <c r="E29" s="571" t="str">
        <f ca="1">IF(ROWS($1:16)&gt;COUNT(Dong11),"",IF(OFFSET(TH!N$1,SMALL(Dong11,ROWS($1:16)),)=$G$7,OFFSET(TH!O$1,SMALL(Dong11,ROWS($1:16)),),OFFSET(TH!N$1,SMALL(Dong11,ROWS($1:16)),)))</f>
        <v/>
      </c>
      <c r="F29" s="574">
        <f ca="1">IF(ROWS($1:16)&gt;COUNT(Dong11),0,OFFSET(TH!J$1,SMALL(Dong11,ROWS($1:16)),))</f>
        <v>0</v>
      </c>
      <c r="G29" s="574">
        <f ca="1">IF(ROWS($1:16)&gt;COUNT(Dong11),0,IF(MID(OFFSET(TH!D$1,SMALL(Dong11,ROWS($1:16)),),4,1)="N",OFFSET(TH!I$1,SMALL(Dong11,ROWS($1:16)),),0))</f>
        <v>0</v>
      </c>
      <c r="H29" s="575">
        <f t="shared" ca="1" si="1"/>
        <v>0</v>
      </c>
      <c r="I29" s="574">
        <f ca="1">IF(ROWS($1:16)&gt;COUNT(Dong11),0,IF(MID(OFFSET(TH!D$1,SMALL(Dong11,ROWS($1:16)),),4,1)="X",OFFSET(TH!I$1,SMALL(Dong11,ROWS($1:16)),),0))</f>
        <v>0</v>
      </c>
      <c r="J29" s="575">
        <f t="shared" ca="1" si="2"/>
        <v>0</v>
      </c>
      <c r="K29" s="575">
        <f t="shared" ca="1" si="3"/>
        <v>0</v>
      </c>
      <c r="L29" s="575">
        <f t="shared" ca="1" si="4"/>
        <v>0</v>
      </c>
      <c r="M29" s="575"/>
      <c r="N29" s="565"/>
    </row>
    <row r="30" spans="1:16">
      <c r="A30" s="531" t="str">
        <f t="shared" ca="1" si="0"/>
        <v/>
      </c>
      <c r="B30" s="571" t="str">
        <f ca="1">IF(ROWS($1:17)&gt;COUNT(Dong11),"",OFFSET(TH!D$1,SMALL(Dong11,ROWS($1:17)),))</f>
        <v/>
      </c>
      <c r="C30" s="572" t="str">
        <f ca="1">IF(ROWS($1:17)&gt;COUNT(Dong11),"",OFFSET(TH!E$1,SMALL(Dong11,ROWS($1:17)),))</f>
        <v/>
      </c>
      <c r="D30" s="573" t="str">
        <f ca="1">IF(ROWS($1:17)&gt;COUNT(Dong11),"",OFFSET(TH!F$1,SMALL(Dong11,ROWS($1:17)),)&amp;" - "&amp;OFFSET(TH!H$1,SMALL(Dong11,ROWS($1:17)),))</f>
        <v/>
      </c>
      <c r="E30" s="571" t="str">
        <f ca="1">IF(ROWS($1:17)&gt;COUNT(Dong11),"",IF(OFFSET(TH!N$1,SMALL(Dong11,ROWS($1:17)),)=$G$7,OFFSET(TH!O$1,SMALL(Dong11,ROWS($1:17)),),OFFSET(TH!N$1,SMALL(Dong11,ROWS($1:17)),)))</f>
        <v/>
      </c>
      <c r="F30" s="574">
        <f ca="1">IF(ROWS($1:17)&gt;COUNT(Dong11),0,OFFSET(TH!J$1,SMALL(Dong11,ROWS($1:17)),))</f>
        <v>0</v>
      </c>
      <c r="G30" s="574">
        <f ca="1">IF(ROWS($1:17)&gt;COUNT(Dong11),0,IF(MID(OFFSET(TH!D$1,SMALL(Dong11,ROWS($1:17)),),4,1)="N",OFFSET(TH!I$1,SMALL(Dong11,ROWS($1:17)),),0))</f>
        <v>0</v>
      </c>
      <c r="H30" s="575">
        <f t="shared" ca="1" si="1"/>
        <v>0</v>
      </c>
      <c r="I30" s="574">
        <f ca="1">IF(ROWS($1:17)&gt;COUNT(Dong11),0,IF(MID(OFFSET(TH!D$1,SMALL(Dong11,ROWS($1:17)),),4,1)="X",OFFSET(TH!I$1,SMALL(Dong11,ROWS($1:17)),),0))</f>
        <v>0</v>
      </c>
      <c r="J30" s="575">
        <f t="shared" ca="1" si="2"/>
        <v>0</v>
      </c>
      <c r="K30" s="575">
        <f t="shared" ca="1" si="3"/>
        <v>0</v>
      </c>
      <c r="L30" s="575">
        <f t="shared" ca="1" si="4"/>
        <v>0</v>
      </c>
      <c r="M30" s="575"/>
      <c r="N30" s="565"/>
    </row>
    <row r="31" spans="1:16">
      <c r="A31" s="531" t="str">
        <f t="shared" si="0"/>
        <v/>
      </c>
      <c r="B31" s="578"/>
      <c r="C31" s="579"/>
      <c r="D31" s="580"/>
      <c r="E31" s="581"/>
      <c r="F31" s="582"/>
      <c r="G31" s="567"/>
      <c r="H31" s="567"/>
      <c r="I31" s="567"/>
      <c r="J31" s="567"/>
      <c r="K31" s="567"/>
      <c r="L31" s="567"/>
      <c r="M31" s="583"/>
      <c r="N31" s="565"/>
    </row>
    <row r="32" spans="1:16">
      <c r="A32" s="584"/>
      <c r="B32" s="584"/>
      <c r="C32" s="584"/>
      <c r="D32" s="584" t="s">
        <v>492</v>
      </c>
      <c r="E32" s="563" t="s">
        <v>21</v>
      </c>
      <c r="F32" s="563" t="s">
        <v>21</v>
      </c>
      <c r="G32" s="585">
        <f ca="1">SUM(G14:G31)</f>
        <v>0</v>
      </c>
      <c r="H32" s="585">
        <f ca="1">SUM(H14:H31)</f>
        <v>0</v>
      </c>
      <c r="I32" s="585">
        <f ca="1">SUM(I14:I31)</f>
        <v>0</v>
      </c>
      <c r="J32" s="585">
        <f ca="1">SUM(J14:J31)</f>
        <v>0</v>
      </c>
      <c r="K32" s="585">
        <f ca="1">K13+G32-I32</f>
        <v>13938</v>
      </c>
      <c r="L32" s="585">
        <f ca="1">L13+H32-J32</f>
        <v>62251600</v>
      </c>
      <c r="M32" s="584"/>
      <c r="N32" s="565"/>
    </row>
    <row r="33" spans="2:14">
      <c r="B33" s="586" t="s">
        <v>493</v>
      </c>
      <c r="G33" s="577"/>
      <c r="N33" s="565"/>
    </row>
    <row r="34" spans="2:14">
      <c r="B34" s="587" t="str">
        <f ca="1">IF(ISERROR(" - Ngày mở sổ: ngày "&amp;DAY(C14)&amp;" tháng "&amp;MONTH(C14)&amp;" năm "&amp;YEAR(C14))," - Ngày mở sổ: ngày 01 tháng  01 năm 2016 "," - Ngày mở sổ: ngày "&amp;DAY(C14)&amp;" tháng "&amp;MONTH(C14)&amp;" năm "&amp;YEAR(C14))</f>
        <v xml:space="preserve"> - Ngày mở sổ: ngày 01 tháng  01 năm 2016 </v>
      </c>
      <c r="G34" s="577"/>
      <c r="I34" s="577"/>
      <c r="N34" s="565"/>
    </row>
    <row r="35" spans="2:14">
      <c r="B35" s="552"/>
      <c r="C35" s="552"/>
      <c r="D35" s="552"/>
      <c r="F35" s="552"/>
      <c r="G35" s="588"/>
      <c r="H35" s="553"/>
      <c r="I35" s="589"/>
      <c r="J35" s="1258" t="s">
        <v>460</v>
      </c>
      <c r="K35" s="1258"/>
      <c r="L35" s="1258"/>
      <c r="M35" s="1258"/>
      <c r="N35" s="565"/>
    </row>
    <row r="36" spans="2:14">
      <c r="C36" s="552"/>
      <c r="D36" s="1019" t="s">
        <v>11</v>
      </c>
      <c r="E36" s="1258" t="s">
        <v>12</v>
      </c>
      <c r="F36" s="1258"/>
      <c r="G36" s="1258"/>
      <c r="H36" s="1258"/>
      <c r="I36" s="1258"/>
      <c r="J36" s="1258" t="s">
        <v>131</v>
      </c>
      <c r="K36" s="1258"/>
      <c r="L36" s="1258"/>
      <c r="M36" s="1258"/>
      <c r="N36" s="565"/>
    </row>
    <row r="37" spans="2:14">
      <c r="C37" s="552"/>
      <c r="D37" s="1019" t="s">
        <v>13</v>
      </c>
      <c r="E37" s="1258" t="s">
        <v>13</v>
      </c>
      <c r="F37" s="1258"/>
      <c r="G37" s="1258"/>
      <c r="H37" s="1258" t="s">
        <v>161</v>
      </c>
      <c r="I37" s="1258"/>
      <c r="J37" s="1258" t="s">
        <v>161</v>
      </c>
      <c r="K37" s="1258"/>
      <c r="L37" s="1258"/>
      <c r="M37" s="1258"/>
      <c r="N37" s="565"/>
    </row>
    <row r="38" spans="2:14">
      <c r="N38" s="590"/>
    </row>
    <row r="39" spans="2:14">
      <c r="E39" s="540"/>
    </row>
    <row r="41" spans="2:14" customFormat="1" ht="12.75">
      <c r="E41" s="591"/>
    </row>
    <row r="46" spans="2:14">
      <c r="D46" s="1052" t="s">
        <v>230</v>
      </c>
      <c r="E46" s="1052"/>
      <c r="J46" s="1254" t="s">
        <v>125</v>
      </c>
      <c r="K46" s="1254"/>
      <c r="L46" s="1254"/>
      <c r="M46" s="1254"/>
      <c r="N46" s="1053"/>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597" customWidth="1"/>
    <col min="2" max="2" width="9.140625" style="597"/>
    <col min="3" max="3" width="9.140625" style="661" customWidth="1"/>
    <col min="4" max="4" width="10.85546875" style="661" customWidth="1"/>
    <col min="5" max="5" width="39.42578125" style="662" customWidth="1"/>
    <col min="6" max="6" width="10.85546875" style="663" customWidth="1"/>
    <col min="7" max="7" width="9" style="664" customWidth="1"/>
    <col min="8" max="8" width="9.5703125" style="664" customWidth="1"/>
    <col min="9" max="9" width="10" style="664" customWidth="1"/>
    <col min="10" max="10" width="8" style="597" customWidth="1"/>
    <col min="11" max="11" width="2.42578125" style="597" customWidth="1"/>
    <col min="12" max="12" width="6.5703125" style="597" customWidth="1"/>
    <col min="13" max="16384" width="9.140625" style="597"/>
  </cols>
  <sheetData>
    <row r="1" spans="1:12" ht="15" customHeight="1">
      <c r="A1" s="592" t="s">
        <v>182</v>
      </c>
      <c r="B1" s="593"/>
      <c r="C1" s="593"/>
      <c r="D1" s="593"/>
      <c r="E1" s="594"/>
      <c r="F1" s="593"/>
      <c r="G1" s="595"/>
      <c r="H1" s="596" t="s">
        <v>494</v>
      </c>
      <c r="I1" s="597"/>
      <c r="J1" s="598"/>
      <c r="K1" s="598"/>
      <c r="L1" s="599"/>
    </row>
    <row r="2" spans="1:12" ht="15" customHeight="1">
      <c r="A2" s="600" t="s">
        <v>319</v>
      </c>
      <c r="B2" s="601"/>
      <c r="C2" s="601"/>
      <c r="D2" s="601"/>
      <c r="E2" s="602"/>
      <c r="F2" s="603"/>
      <c r="G2" s="604"/>
      <c r="H2" s="605" t="s">
        <v>320</v>
      </c>
      <c r="I2" s="597"/>
      <c r="J2" s="598"/>
      <c r="K2" s="598"/>
    </row>
    <row r="3" spans="1:12" ht="15">
      <c r="A3" s="601"/>
      <c r="B3" s="601"/>
      <c r="C3" s="601"/>
      <c r="D3" s="601"/>
      <c r="E3" s="602"/>
      <c r="F3" s="603"/>
      <c r="G3" s="604"/>
      <c r="H3" s="605" t="s">
        <v>238</v>
      </c>
      <c r="I3" s="597"/>
      <c r="J3" s="598"/>
      <c r="K3" s="598"/>
    </row>
    <row r="4" spans="1:12" ht="18.75" customHeight="1">
      <c r="A4" s="606"/>
      <c r="B4" s="606"/>
      <c r="C4" s="606"/>
      <c r="D4" s="606"/>
      <c r="E4" s="607" t="s">
        <v>495</v>
      </c>
      <c r="F4" s="606"/>
      <c r="G4" s="606"/>
      <c r="H4" s="606"/>
      <c r="I4" s="606"/>
      <c r="J4" s="598"/>
      <c r="K4" s="598"/>
    </row>
    <row r="5" spans="1:12" ht="15">
      <c r="A5" s="608"/>
      <c r="B5" s="608"/>
      <c r="C5" s="608"/>
      <c r="D5" s="608"/>
      <c r="E5" s="609" t="str">
        <f ca="1">IF(ISERROR("Ngày lập thẻ: ngày "&amp;DAY(B14)&amp;"/"&amp;MONTH(B14)&amp;"/"&amp;YEAR(B14)),"Ngày lập thẻ: ngày 01/ 01/2016 ","Ngày lập thẻ: ngày "&amp;DAY(B14)&amp;"/"&amp;MONTH(B14)&amp;"/"&amp;YEAR(B14))</f>
        <v xml:space="preserve">Ngày lập thẻ: ngày 01/ 01/2016 </v>
      </c>
      <c r="F5" s="608"/>
      <c r="G5" s="608"/>
      <c r="H5" s="608"/>
      <c r="I5" s="608"/>
      <c r="J5" s="598"/>
      <c r="K5" s="598"/>
    </row>
    <row r="6" spans="1:12" ht="15">
      <c r="A6" s="608"/>
      <c r="B6" s="608"/>
      <c r="C6" s="608"/>
      <c r="D6" s="608"/>
      <c r="E6" s="609" t="s">
        <v>496</v>
      </c>
      <c r="F6" s="608"/>
      <c r="G6" s="608"/>
      <c r="H6" s="608"/>
      <c r="I6" s="608"/>
      <c r="J6" s="598"/>
      <c r="K6" s="598"/>
    </row>
    <row r="7" spans="1:12" ht="15">
      <c r="A7" s="587" t="s">
        <v>497</v>
      </c>
      <c r="B7" s="587"/>
      <c r="C7" s="610"/>
      <c r="D7" s="610"/>
      <c r="E7" s="611" t="s">
        <v>349</v>
      </c>
      <c r="F7" s="603"/>
      <c r="G7" s="612"/>
      <c r="H7" s="612"/>
      <c r="I7" s="612"/>
      <c r="J7" s="598"/>
      <c r="K7" s="598"/>
    </row>
    <row r="8" spans="1:12" ht="15">
      <c r="A8" s="587" t="s">
        <v>498</v>
      </c>
      <c r="B8" s="587"/>
      <c r="C8" s="598" t="str">
        <f>VLOOKUP($E$7,NXT!$C$12:$L$56,2,0)</f>
        <v>kg</v>
      </c>
      <c r="D8" s="587"/>
      <c r="E8" s="611"/>
      <c r="F8" s="603"/>
      <c r="G8" s="612"/>
      <c r="H8" s="612"/>
      <c r="I8" s="612"/>
      <c r="J8" s="598"/>
      <c r="K8" s="598"/>
    </row>
    <row r="9" spans="1:12" ht="15">
      <c r="A9" s="1271" t="s">
        <v>499</v>
      </c>
      <c r="B9" s="1272"/>
      <c r="C9" s="1272"/>
      <c r="D9" s="1272"/>
      <c r="E9" s="611"/>
      <c r="F9" s="603"/>
      <c r="G9" s="612"/>
      <c r="H9" s="612"/>
      <c r="I9" s="612"/>
      <c r="J9" s="613"/>
      <c r="K9" s="613"/>
    </row>
    <row r="10" spans="1:12" ht="19.5" customHeight="1">
      <c r="A10" s="1273" t="s">
        <v>500</v>
      </c>
      <c r="B10" s="1274" t="s">
        <v>501</v>
      </c>
      <c r="C10" s="1276" t="s">
        <v>17</v>
      </c>
      <c r="D10" s="1263"/>
      <c r="E10" s="1277" t="s">
        <v>0</v>
      </c>
      <c r="F10" s="1269" t="s">
        <v>502</v>
      </c>
      <c r="G10" s="1262" t="s">
        <v>471</v>
      </c>
      <c r="H10" s="1262"/>
      <c r="I10" s="1263"/>
      <c r="J10" s="1264" t="s">
        <v>503</v>
      </c>
      <c r="K10" s="614"/>
      <c r="L10" s="615" t="s">
        <v>488</v>
      </c>
    </row>
    <row r="11" spans="1:12" ht="19.5" customHeight="1">
      <c r="A11" s="1273"/>
      <c r="B11" s="1275"/>
      <c r="C11" s="616" t="s">
        <v>485</v>
      </c>
      <c r="D11" s="616" t="s">
        <v>486</v>
      </c>
      <c r="E11" s="1278"/>
      <c r="F11" s="1270"/>
      <c r="G11" s="617" t="s">
        <v>485</v>
      </c>
      <c r="H11" s="617" t="s">
        <v>486</v>
      </c>
      <c r="I11" s="617" t="s">
        <v>487</v>
      </c>
      <c r="J11" s="1265"/>
      <c r="K11" s="614"/>
    </row>
    <row r="12" spans="1:12" ht="15">
      <c r="A12" s="618" t="s">
        <v>2</v>
      </c>
      <c r="B12" s="619" t="s">
        <v>3</v>
      </c>
      <c r="C12" s="620" t="s">
        <v>4</v>
      </c>
      <c r="D12" s="620" t="s">
        <v>5</v>
      </c>
      <c r="E12" s="621" t="s">
        <v>6</v>
      </c>
      <c r="F12" s="619" t="s">
        <v>155</v>
      </c>
      <c r="G12" s="622">
        <v>1</v>
      </c>
      <c r="H12" s="622">
        <v>2</v>
      </c>
      <c r="I12" s="622">
        <v>3</v>
      </c>
      <c r="J12" s="620" t="s">
        <v>156</v>
      </c>
      <c r="K12" s="623"/>
    </row>
    <row r="13" spans="1:12" ht="16.5" customHeight="1">
      <c r="A13" s="624"/>
      <c r="B13" s="625"/>
      <c r="C13" s="626"/>
      <c r="D13" s="626"/>
      <c r="E13" s="627" t="s">
        <v>334</v>
      </c>
      <c r="F13" s="625"/>
      <c r="G13" s="628"/>
      <c r="H13" s="628"/>
      <c r="I13" s="629">
        <f>VLOOKUP($E$7,NXT!$C$12:$L$56,3,0)</f>
        <v>300</v>
      </c>
      <c r="J13" s="624"/>
      <c r="K13" s="630"/>
    </row>
    <row r="14" spans="1:12" ht="16.5" customHeight="1">
      <c r="A14" s="631" t="str">
        <f ca="1">IF(B14&lt;&gt;"",ROW()-(ROW()-1),"")</f>
        <v/>
      </c>
      <c r="B14" s="632" t="str">
        <f ca="1">IF(ROWS($1:1)&gt;COUNT(Dong12),"",OFFSET(TH!E$1,SMALL(Dong12,ROWS($1:1)),))</f>
        <v/>
      </c>
      <c r="C14" s="822" t="str">
        <f ca="1">IF(ROWS($1:1)&gt;COUNT(Dong12),"",IF(MID(OFFSET(TH!D$1,SMALL(Dong12,ROWS($1:1)),),4,1)="N",OFFSET(TH!D$1,SMALL(Dong12,ROWS($1:1)),),""))</f>
        <v/>
      </c>
      <c r="D14" s="632" t="str">
        <f ca="1">IF(ROWS($1:1)&gt;COUNT(Dong12),"",IF(MID(OFFSET(TH!D$1,SMALL(Dong12,ROWS($1:1)),),4,1)="X",OFFSET(TH!D$1,SMALL(Dong12,ROWS($1:1)),),""))</f>
        <v/>
      </c>
      <c r="E14" s="633" t="str">
        <f ca="1">IF(ROWS($1:1)&gt;COUNT(Dong12),"",OFFSET(TH!F$1,SMALL(Dong12,ROWS($1:1)),)&amp;" - "&amp;OFFSET(TH!H$1,SMALL(Dong12,ROWS($1:1)),))</f>
        <v/>
      </c>
      <c r="F14" s="632" t="str">
        <f ca="1">B14</f>
        <v/>
      </c>
      <c r="G14" s="634">
        <f ca="1">IF(ROWS($1:1)&gt;COUNT(Dong12),0,IF(MID(OFFSET(TH!D$1,SMALL(Dong12,ROWS($1:1)),),4,1)="N",OFFSET(TH!I$1,SMALL(Dong12,ROWS($1:1)),),0))</f>
        <v>0</v>
      </c>
      <c r="H14" s="634">
        <f ca="1">IF(ROWS($1:1)&gt;COUNT(Dong12),0,IF(MID(OFFSET(TH!D$1,SMALL(Dong12,ROWS($1:1)),),4,1)="X",OFFSET(TH!I$1,SMALL(Dong12,ROWS($1:1)),),0))</f>
        <v>0</v>
      </c>
      <c r="I14" s="635">
        <f ca="1">IF(E14&lt;&gt;"",I13+G14-H14,0)</f>
        <v>0</v>
      </c>
      <c r="J14" s="636"/>
      <c r="K14" s="637"/>
    </row>
    <row r="15" spans="1:12" ht="16.5" customHeight="1">
      <c r="A15" s="638" t="str">
        <f ca="1">IF(B15&lt;&gt;"",A14+1,"")</f>
        <v/>
      </c>
      <c r="B15" s="632" t="str">
        <f ca="1">IF(ROWS($1:2)&gt;COUNT(Dong12),"",OFFSET(TH!E$1,SMALL(Dong12,ROWS($1:2)),))</f>
        <v/>
      </c>
      <c r="C15" s="822" t="str">
        <f ca="1">IF(ROWS($1:2)&gt;COUNT(Dong12),"",IF(MID(OFFSET(TH!D$1,SMALL(Dong12,ROWS($1:2)),),4,1)="N",OFFSET(TH!D$1,SMALL(Dong12,ROWS($1:2)),),""))</f>
        <v/>
      </c>
      <c r="D15" s="632" t="str">
        <f ca="1">IF(ROWS($1:2)&gt;COUNT(Dong12),"",IF(MID(OFFSET(TH!D$1,SMALL(Dong12,ROWS($1:2)),),4,1)="X",OFFSET(TH!D$1,SMALL(Dong12,ROWS($1:2)),),""))</f>
        <v/>
      </c>
      <c r="E15" s="633" t="str">
        <f ca="1">IF(ROWS($1:2)&gt;COUNT(Dong12),"",OFFSET(TH!F$1,SMALL(Dong12,ROWS($1:2)),)&amp;" - "&amp;OFFSET(TH!H$1,SMALL(Dong12,ROWS($1:2)),))</f>
        <v/>
      </c>
      <c r="F15" s="632" t="str">
        <f t="shared" ref="F15:F30" ca="1" si="0">B15</f>
        <v/>
      </c>
      <c r="G15" s="634">
        <f ca="1">IF(ROWS($1:2)&gt;COUNT(Dong12),0,IF(MID(OFFSET(TH!D$1,SMALL(Dong12,ROWS($1:2)),),4,1)="N",OFFSET(TH!I$1,SMALL(Dong12,ROWS($1:2)),),0))</f>
        <v>0</v>
      </c>
      <c r="H15" s="634">
        <f ca="1">IF(ROWS($1:2)&gt;COUNT(Dong12),0,IF(MID(OFFSET(TH!D$1,SMALL(Dong12,ROWS($1:2)),),4,1)="X",OFFSET(TH!I$1,SMALL(Dong12,ROWS($1:2)),),0))</f>
        <v>0</v>
      </c>
      <c r="I15" s="635">
        <f t="shared" ref="I15:I30" ca="1" si="1">IF(E15&lt;&gt;"",I14+G15-H15,0)</f>
        <v>0</v>
      </c>
      <c r="J15" s="636"/>
      <c r="K15" s="637"/>
    </row>
    <row r="16" spans="1:12" ht="16.5" customHeight="1">
      <c r="A16" s="638" t="str">
        <f t="shared" ref="A16:A30" ca="1" si="2">IF(B16&lt;&gt;"",A15+1,"")</f>
        <v/>
      </c>
      <c r="B16" s="632" t="str">
        <f ca="1">IF(ROWS($1:3)&gt;COUNT(Dong12),"",OFFSET(TH!E$1,SMALL(Dong12,ROWS($1:3)),))</f>
        <v/>
      </c>
      <c r="C16" s="822" t="str">
        <f ca="1">IF(ROWS($1:3)&gt;COUNT(Dong12),"",IF(MID(OFFSET(TH!D$1,SMALL(Dong12,ROWS($1:3)),),4,1)="N",OFFSET(TH!D$1,SMALL(Dong12,ROWS($1:3)),),""))</f>
        <v/>
      </c>
      <c r="D16" s="632" t="str">
        <f ca="1">IF(ROWS($1:3)&gt;COUNT(Dong12),"",IF(MID(OFFSET(TH!D$1,SMALL(Dong12,ROWS($1:3)),),4,1)="X",OFFSET(TH!D$1,SMALL(Dong12,ROWS($1:3)),),""))</f>
        <v/>
      </c>
      <c r="E16" s="633" t="str">
        <f ca="1">IF(ROWS($1:3)&gt;COUNT(Dong12),"",OFFSET(TH!F$1,SMALL(Dong12,ROWS($1:3)),)&amp;" - "&amp;OFFSET(TH!H$1,SMALL(Dong12,ROWS($1:3)),))</f>
        <v/>
      </c>
      <c r="F16" s="632" t="str">
        <f t="shared" ca="1" si="0"/>
        <v/>
      </c>
      <c r="G16" s="634">
        <f ca="1">IF(ROWS($1:3)&gt;COUNT(Dong12),0,IF(MID(OFFSET(TH!D$1,SMALL(Dong12,ROWS($1:3)),),4,1)="N",OFFSET(TH!I$1,SMALL(Dong12,ROWS($1:3)),),0))</f>
        <v>0</v>
      </c>
      <c r="H16" s="634">
        <f ca="1">IF(ROWS($1:3)&gt;COUNT(Dong12),0,IF(MID(OFFSET(TH!D$1,SMALL(Dong12,ROWS($1:3)),),4,1)="X",OFFSET(TH!I$1,SMALL(Dong12,ROWS($1:3)),),0))</f>
        <v>0</v>
      </c>
      <c r="I16" s="635">
        <f t="shared" ca="1" si="1"/>
        <v>0</v>
      </c>
      <c r="J16" s="636"/>
      <c r="K16" s="637"/>
    </row>
    <row r="17" spans="1:11" ht="16.5" customHeight="1">
      <c r="A17" s="638" t="str">
        <f t="shared" ca="1" si="2"/>
        <v/>
      </c>
      <c r="B17" s="632" t="str">
        <f ca="1">IF(ROWS($1:4)&gt;COUNT(Dong12),"",OFFSET(TH!E$1,SMALL(Dong12,ROWS($1:4)),))</f>
        <v/>
      </c>
      <c r="C17" s="822" t="str">
        <f ca="1">IF(ROWS($1:4)&gt;COUNT(Dong12),"",IF(MID(OFFSET(TH!D$1,SMALL(Dong12,ROWS($1:4)),),4,1)="N",OFFSET(TH!D$1,SMALL(Dong12,ROWS($1:4)),),""))</f>
        <v/>
      </c>
      <c r="D17" s="632" t="str">
        <f ca="1">IF(ROWS($1:4)&gt;COUNT(Dong12),"",IF(MID(OFFSET(TH!D$1,SMALL(Dong12,ROWS($1:4)),),4,1)="X",OFFSET(TH!D$1,SMALL(Dong12,ROWS($1:4)),),""))</f>
        <v/>
      </c>
      <c r="E17" s="633" t="str">
        <f ca="1">IF(ROWS($1:4)&gt;COUNT(Dong12),"",OFFSET(TH!F$1,SMALL(Dong12,ROWS($1:4)),)&amp;" - "&amp;OFFSET(TH!H$1,SMALL(Dong12,ROWS($1:4)),))</f>
        <v/>
      </c>
      <c r="F17" s="632" t="str">
        <f t="shared" ca="1" si="0"/>
        <v/>
      </c>
      <c r="G17" s="634">
        <f ca="1">IF(ROWS($1:4)&gt;COUNT(Dong12),0,IF(MID(OFFSET(TH!D$1,SMALL(Dong12,ROWS($1:4)),),4,1)="N",OFFSET(TH!I$1,SMALL(Dong12,ROWS($1:4)),),0))</f>
        <v>0</v>
      </c>
      <c r="H17" s="634">
        <f ca="1">IF(ROWS($1:4)&gt;COUNT(Dong12),0,IF(MID(OFFSET(TH!D$1,SMALL(Dong12,ROWS($1:4)),),4,1)="X",OFFSET(TH!I$1,SMALL(Dong12,ROWS($1:4)),),0))</f>
        <v>0</v>
      </c>
      <c r="I17" s="635">
        <f t="shared" ca="1" si="1"/>
        <v>0</v>
      </c>
      <c r="J17" s="636"/>
      <c r="K17" s="637"/>
    </row>
    <row r="18" spans="1:11" ht="16.5" customHeight="1">
      <c r="A18" s="638" t="str">
        <f t="shared" ca="1" si="2"/>
        <v/>
      </c>
      <c r="B18" s="632" t="str">
        <f ca="1">IF(ROWS($1:5)&gt;COUNT(Dong12),"",OFFSET(TH!E$1,SMALL(Dong12,ROWS($1:5)),))</f>
        <v/>
      </c>
      <c r="C18" s="822" t="str">
        <f ca="1">IF(ROWS($1:5)&gt;COUNT(Dong12),"",IF(MID(OFFSET(TH!D$1,SMALL(Dong12,ROWS($1:5)),),4,1)="N",OFFSET(TH!D$1,SMALL(Dong12,ROWS($1:5)),),""))</f>
        <v/>
      </c>
      <c r="D18" s="632" t="str">
        <f ca="1">IF(ROWS($1:5)&gt;COUNT(Dong12),"",IF(MID(OFFSET(TH!D$1,SMALL(Dong12,ROWS($1:5)),),4,1)="X",OFFSET(TH!D$1,SMALL(Dong12,ROWS($1:5)),),""))</f>
        <v/>
      </c>
      <c r="E18" s="633" t="str">
        <f ca="1">IF(ROWS($1:5)&gt;COUNT(Dong12),"",OFFSET(TH!F$1,SMALL(Dong12,ROWS($1:5)),)&amp;" - "&amp;OFFSET(TH!H$1,SMALL(Dong12,ROWS($1:5)),))</f>
        <v/>
      </c>
      <c r="F18" s="632" t="str">
        <f t="shared" ca="1" si="0"/>
        <v/>
      </c>
      <c r="G18" s="634">
        <f ca="1">IF(ROWS($1:5)&gt;COUNT(Dong12),0,IF(MID(OFFSET(TH!D$1,SMALL(Dong12,ROWS($1:5)),),4,1)="N",OFFSET(TH!I$1,SMALL(Dong12,ROWS($1:5)),),0))</f>
        <v>0</v>
      </c>
      <c r="H18" s="634">
        <f ca="1">IF(ROWS($1:5)&gt;COUNT(Dong12),0,IF(MID(OFFSET(TH!D$1,SMALL(Dong12,ROWS($1:5)),),4,1)="X",OFFSET(TH!I$1,SMALL(Dong12,ROWS($1:5)),),0))</f>
        <v>0</v>
      </c>
      <c r="I18" s="635">
        <f t="shared" ca="1" si="1"/>
        <v>0</v>
      </c>
      <c r="J18" s="636"/>
      <c r="K18" s="637"/>
    </row>
    <row r="19" spans="1:11" ht="16.5" customHeight="1">
      <c r="A19" s="638" t="str">
        <f t="shared" ca="1" si="2"/>
        <v/>
      </c>
      <c r="B19" s="632" t="str">
        <f ca="1">IF(ROWS($1:6)&gt;COUNT(Dong12),"",OFFSET(TH!E$1,SMALL(Dong12,ROWS($1:6)),))</f>
        <v/>
      </c>
      <c r="C19" s="822" t="str">
        <f ca="1">IF(ROWS($1:6)&gt;COUNT(Dong12),"",IF(MID(OFFSET(TH!D$1,SMALL(Dong12,ROWS($1:6)),),4,1)="N",OFFSET(TH!D$1,SMALL(Dong12,ROWS($1:6)),),""))</f>
        <v/>
      </c>
      <c r="D19" s="632" t="str">
        <f ca="1">IF(ROWS($1:6)&gt;COUNT(Dong12),"",IF(MID(OFFSET(TH!D$1,SMALL(Dong12,ROWS($1:6)),),4,1)="X",OFFSET(TH!D$1,SMALL(Dong12,ROWS($1:6)),),""))</f>
        <v/>
      </c>
      <c r="E19" s="633" t="str">
        <f ca="1">IF(ROWS($1:6)&gt;COUNT(Dong12),"",OFFSET(TH!F$1,SMALL(Dong12,ROWS($1:6)),)&amp;" - "&amp;OFFSET(TH!H$1,SMALL(Dong12,ROWS($1:6)),))</f>
        <v/>
      </c>
      <c r="F19" s="632" t="str">
        <f t="shared" ca="1" si="0"/>
        <v/>
      </c>
      <c r="G19" s="634">
        <f ca="1">IF(ROWS($1:6)&gt;COUNT(Dong12),0,IF(MID(OFFSET(TH!D$1,SMALL(Dong12,ROWS($1:6)),),4,1)="N",OFFSET(TH!I$1,SMALL(Dong12,ROWS($1:6)),),0))</f>
        <v>0</v>
      </c>
      <c r="H19" s="634">
        <f ca="1">IF(ROWS($1:6)&gt;COUNT(Dong12),0,IF(MID(OFFSET(TH!D$1,SMALL(Dong12,ROWS($1:6)),),4,1)="X",OFFSET(TH!I$1,SMALL(Dong12,ROWS($1:6)),),0))</f>
        <v>0</v>
      </c>
      <c r="I19" s="635">
        <f t="shared" ca="1" si="1"/>
        <v>0</v>
      </c>
      <c r="J19" s="636"/>
      <c r="K19" s="637"/>
    </row>
    <row r="20" spans="1:11" ht="16.5" customHeight="1">
      <c r="A20" s="638" t="str">
        <f t="shared" ca="1" si="2"/>
        <v/>
      </c>
      <c r="B20" s="632" t="str">
        <f ca="1">IF(ROWS($1:7)&gt;COUNT(Dong12),"",OFFSET(TH!E$1,SMALL(Dong12,ROWS($1:7)),))</f>
        <v/>
      </c>
      <c r="C20" s="822" t="str">
        <f ca="1">IF(ROWS($1:7)&gt;COUNT(Dong12),"",IF(MID(OFFSET(TH!D$1,SMALL(Dong12,ROWS($1:7)),),4,1)="N",OFFSET(TH!D$1,SMALL(Dong12,ROWS($1:7)),),""))</f>
        <v/>
      </c>
      <c r="D20" s="632" t="str">
        <f ca="1">IF(ROWS($1:7)&gt;COUNT(Dong12),"",IF(MID(OFFSET(TH!D$1,SMALL(Dong12,ROWS($1:7)),),4,1)="X",OFFSET(TH!D$1,SMALL(Dong12,ROWS($1:7)),),""))</f>
        <v/>
      </c>
      <c r="E20" s="633" t="str">
        <f ca="1">IF(ROWS($1:7)&gt;COUNT(Dong12),"",OFFSET(TH!F$1,SMALL(Dong12,ROWS($1:7)),)&amp;" - "&amp;OFFSET(TH!H$1,SMALL(Dong12,ROWS($1:7)),))</f>
        <v/>
      </c>
      <c r="F20" s="632" t="str">
        <f t="shared" ca="1" si="0"/>
        <v/>
      </c>
      <c r="G20" s="634">
        <f ca="1">IF(ROWS($1:7)&gt;COUNT(Dong12),0,IF(MID(OFFSET(TH!D$1,SMALL(Dong12,ROWS($1:7)),),4,1)="N",OFFSET(TH!I$1,SMALL(Dong12,ROWS($1:7)),),0))</f>
        <v>0</v>
      </c>
      <c r="H20" s="634">
        <f ca="1">IF(ROWS($1:7)&gt;COUNT(Dong12),0,IF(MID(OFFSET(TH!D$1,SMALL(Dong12,ROWS($1:7)),),4,1)="X",OFFSET(TH!I$1,SMALL(Dong12,ROWS($1:7)),),0))</f>
        <v>0</v>
      </c>
      <c r="I20" s="635">
        <f t="shared" ca="1" si="1"/>
        <v>0</v>
      </c>
      <c r="J20" s="636"/>
      <c r="K20" s="637"/>
    </row>
    <row r="21" spans="1:11" ht="16.5" customHeight="1">
      <c r="A21" s="638" t="str">
        <f t="shared" ca="1" si="2"/>
        <v/>
      </c>
      <c r="B21" s="632" t="str">
        <f ca="1">IF(ROWS($1:8)&gt;COUNT(Dong12),"",OFFSET(TH!E$1,SMALL(Dong12,ROWS($1:8)),))</f>
        <v/>
      </c>
      <c r="C21" s="822" t="str">
        <f ca="1">IF(ROWS($1:8)&gt;COUNT(Dong12),"",IF(MID(OFFSET(TH!D$1,SMALL(Dong12,ROWS($1:8)),),4,1)="N",OFFSET(TH!D$1,SMALL(Dong12,ROWS($1:8)),),""))</f>
        <v/>
      </c>
      <c r="D21" s="632" t="str">
        <f ca="1">IF(ROWS($1:8)&gt;COUNT(Dong12),"",IF(MID(OFFSET(TH!D$1,SMALL(Dong12,ROWS($1:8)),),4,1)="X",OFFSET(TH!D$1,SMALL(Dong12,ROWS($1:8)),),""))</f>
        <v/>
      </c>
      <c r="E21" s="633" t="str">
        <f ca="1">IF(ROWS($1:8)&gt;COUNT(Dong12),"",OFFSET(TH!F$1,SMALL(Dong12,ROWS($1:8)),)&amp;" - "&amp;OFFSET(TH!H$1,SMALL(Dong12,ROWS($1:8)),))</f>
        <v/>
      </c>
      <c r="F21" s="632" t="str">
        <f t="shared" ca="1" si="0"/>
        <v/>
      </c>
      <c r="G21" s="634">
        <f ca="1">IF(ROWS($1:8)&gt;COUNT(Dong12),0,IF(MID(OFFSET(TH!D$1,SMALL(Dong12,ROWS($1:8)),),4,1)="N",OFFSET(TH!I$1,SMALL(Dong12,ROWS($1:8)),),0))</f>
        <v>0</v>
      </c>
      <c r="H21" s="634">
        <f ca="1">IF(ROWS($1:8)&gt;COUNT(Dong12),0,IF(MID(OFFSET(TH!D$1,SMALL(Dong12,ROWS($1:8)),),4,1)="X",OFFSET(TH!I$1,SMALL(Dong12,ROWS($1:8)),),0))</f>
        <v>0</v>
      </c>
      <c r="I21" s="635">
        <f t="shared" ca="1" si="1"/>
        <v>0</v>
      </c>
      <c r="J21" s="636"/>
      <c r="K21" s="637"/>
    </row>
    <row r="22" spans="1:11" ht="16.5" customHeight="1">
      <c r="A22" s="638" t="str">
        <f t="shared" ca="1" si="2"/>
        <v/>
      </c>
      <c r="B22" s="632" t="str">
        <f ca="1">IF(ROWS($1:9)&gt;COUNT(Dong12),"",OFFSET(TH!E$1,SMALL(Dong12,ROWS($1:9)),))</f>
        <v/>
      </c>
      <c r="C22" s="822" t="str">
        <f ca="1">IF(ROWS($1:9)&gt;COUNT(Dong12),"",IF(MID(OFFSET(TH!D$1,SMALL(Dong12,ROWS($1:9)),),4,1)="N",OFFSET(TH!D$1,SMALL(Dong12,ROWS($1:9)),),""))</f>
        <v/>
      </c>
      <c r="D22" s="632" t="str">
        <f ca="1">IF(ROWS($1:9)&gt;COUNT(Dong12),"",IF(MID(OFFSET(TH!D$1,SMALL(Dong12,ROWS($1:9)),),4,1)="X",OFFSET(TH!D$1,SMALL(Dong12,ROWS($1:9)),),""))</f>
        <v/>
      </c>
      <c r="E22" s="633" t="str">
        <f ca="1">IF(ROWS($1:9)&gt;COUNT(Dong12),"",OFFSET(TH!F$1,SMALL(Dong12,ROWS($1:9)),)&amp;" - "&amp;OFFSET(TH!H$1,SMALL(Dong12,ROWS($1:9)),))</f>
        <v/>
      </c>
      <c r="F22" s="632" t="str">
        <f t="shared" ca="1" si="0"/>
        <v/>
      </c>
      <c r="G22" s="634">
        <f ca="1">IF(ROWS($1:9)&gt;COUNT(Dong12),0,IF(MID(OFFSET(TH!D$1,SMALL(Dong12,ROWS($1:9)),),4,1)="N",OFFSET(TH!I$1,SMALL(Dong12,ROWS($1:9)),),0))</f>
        <v>0</v>
      </c>
      <c r="H22" s="634">
        <f ca="1">IF(ROWS($1:9)&gt;COUNT(Dong12),0,IF(MID(OFFSET(TH!D$1,SMALL(Dong12,ROWS($1:9)),),4,1)="X",OFFSET(TH!I$1,SMALL(Dong12,ROWS($1:9)),),0))</f>
        <v>0</v>
      </c>
      <c r="I22" s="635">
        <f t="shared" ca="1" si="1"/>
        <v>0</v>
      </c>
      <c r="J22" s="636"/>
      <c r="K22" s="637"/>
    </row>
    <row r="23" spans="1:11" ht="16.5" customHeight="1">
      <c r="A23" s="638" t="str">
        <f t="shared" ca="1" si="2"/>
        <v/>
      </c>
      <c r="B23" s="632" t="str">
        <f ca="1">IF(ROWS($1:10)&gt;COUNT(Dong12),"",OFFSET(TH!E$1,SMALL(Dong12,ROWS($1:10)),))</f>
        <v/>
      </c>
      <c r="C23" s="822" t="str">
        <f ca="1">IF(ROWS($1:10)&gt;COUNT(Dong12),"",IF(MID(OFFSET(TH!D$1,SMALL(Dong12,ROWS($1:10)),),4,1)="N",OFFSET(TH!D$1,SMALL(Dong12,ROWS($1:10)),),""))</f>
        <v/>
      </c>
      <c r="D23" s="632" t="str">
        <f ca="1">IF(ROWS($1:10)&gt;COUNT(Dong12),"",IF(MID(OFFSET(TH!D$1,SMALL(Dong12,ROWS($1:10)),),4,1)="X",OFFSET(TH!D$1,SMALL(Dong12,ROWS($1:10)),),""))</f>
        <v/>
      </c>
      <c r="E23" s="633" t="str">
        <f ca="1">IF(ROWS($1:10)&gt;COUNT(Dong12),"",OFFSET(TH!F$1,SMALL(Dong12,ROWS($1:10)),)&amp;" - "&amp;OFFSET(TH!H$1,SMALL(Dong12,ROWS($1:10)),))</f>
        <v/>
      </c>
      <c r="F23" s="632" t="str">
        <f t="shared" ca="1" si="0"/>
        <v/>
      </c>
      <c r="G23" s="634">
        <f ca="1">IF(ROWS($1:10)&gt;COUNT(Dong12),0,IF(MID(OFFSET(TH!D$1,SMALL(Dong12,ROWS($1:10)),),4,1)="N",OFFSET(TH!I$1,SMALL(Dong12,ROWS($1:10)),),0))</f>
        <v>0</v>
      </c>
      <c r="H23" s="634">
        <f ca="1">IF(ROWS($1:10)&gt;COUNT(Dong12),0,IF(MID(OFFSET(TH!D$1,SMALL(Dong12,ROWS($1:10)),),4,1)="X",OFFSET(TH!I$1,SMALL(Dong12,ROWS($1:10)),),0))</f>
        <v>0</v>
      </c>
      <c r="I23" s="635">
        <f t="shared" ca="1" si="1"/>
        <v>0</v>
      </c>
      <c r="J23" s="636"/>
      <c r="K23" s="637"/>
    </row>
    <row r="24" spans="1:11" ht="16.5" customHeight="1">
      <c r="A24" s="638" t="str">
        <f t="shared" ca="1" si="2"/>
        <v/>
      </c>
      <c r="B24" s="632" t="str">
        <f ca="1">IF(ROWS($1:11)&gt;COUNT(Dong12),"",OFFSET(TH!E$1,SMALL(Dong12,ROWS($1:11)),))</f>
        <v/>
      </c>
      <c r="C24" s="822" t="str">
        <f ca="1">IF(ROWS($1:11)&gt;COUNT(Dong12),"",IF(MID(OFFSET(TH!D$1,SMALL(Dong12,ROWS($1:11)),),4,1)="N",OFFSET(TH!D$1,SMALL(Dong12,ROWS($1:11)),),""))</f>
        <v/>
      </c>
      <c r="D24" s="632" t="str">
        <f ca="1">IF(ROWS($1:11)&gt;COUNT(Dong12),"",IF(MID(OFFSET(TH!D$1,SMALL(Dong12,ROWS($1:11)),),4,1)="X",OFFSET(TH!D$1,SMALL(Dong12,ROWS($1:11)),),""))</f>
        <v/>
      </c>
      <c r="E24" s="633" t="str">
        <f ca="1">IF(ROWS($1:11)&gt;COUNT(Dong12),"",OFFSET(TH!F$1,SMALL(Dong12,ROWS($1:11)),)&amp;" - "&amp;OFFSET(TH!H$1,SMALL(Dong12,ROWS($1:11)),))</f>
        <v/>
      </c>
      <c r="F24" s="632" t="str">
        <f t="shared" ca="1" si="0"/>
        <v/>
      </c>
      <c r="G24" s="634">
        <f ca="1">IF(ROWS($1:11)&gt;COUNT(Dong12),0,IF(MID(OFFSET(TH!D$1,SMALL(Dong12,ROWS($1:11)),),4,1)="N",OFFSET(TH!I$1,SMALL(Dong12,ROWS($1:11)),),0))</f>
        <v>0</v>
      </c>
      <c r="H24" s="634">
        <f ca="1">IF(ROWS($1:11)&gt;COUNT(Dong12),0,IF(MID(OFFSET(TH!D$1,SMALL(Dong12,ROWS($1:11)),),4,1)="X",OFFSET(TH!I$1,SMALL(Dong12,ROWS($1:11)),),0))</f>
        <v>0</v>
      </c>
      <c r="I24" s="635">
        <f t="shared" ca="1" si="1"/>
        <v>0</v>
      </c>
      <c r="J24" s="636"/>
      <c r="K24" s="637"/>
    </row>
    <row r="25" spans="1:11" ht="16.5" customHeight="1">
      <c r="A25" s="638" t="str">
        <f t="shared" ca="1" si="2"/>
        <v/>
      </c>
      <c r="B25" s="632" t="str">
        <f ca="1">IF(ROWS($1:12)&gt;COUNT(Dong12),"",OFFSET(TH!E$1,SMALL(Dong12,ROWS($1:12)),))</f>
        <v/>
      </c>
      <c r="C25" s="822" t="str">
        <f ca="1">IF(ROWS($1:12)&gt;COUNT(Dong12),"",IF(MID(OFFSET(TH!D$1,SMALL(Dong12,ROWS($1:12)),),4,1)="N",OFFSET(TH!D$1,SMALL(Dong12,ROWS($1:12)),),""))</f>
        <v/>
      </c>
      <c r="D25" s="632" t="str">
        <f ca="1">IF(ROWS($1:12)&gt;COUNT(Dong12),"",IF(MID(OFFSET(TH!D$1,SMALL(Dong12,ROWS($1:12)),),4,1)="X",OFFSET(TH!D$1,SMALL(Dong12,ROWS($1:12)),),""))</f>
        <v/>
      </c>
      <c r="E25" s="633" t="str">
        <f ca="1">IF(ROWS($1:12)&gt;COUNT(Dong12),"",OFFSET(TH!F$1,SMALL(Dong12,ROWS($1:12)),)&amp;" - "&amp;OFFSET(TH!H$1,SMALL(Dong12,ROWS($1:12)),))</f>
        <v/>
      </c>
      <c r="F25" s="632" t="str">
        <f t="shared" ca="1" si="0"/>
        <v/>
      </c>
      <c r="G25" s="634">
        <f ca="1">IF(ROWS($1:12)&gt;COUNT(Dong12),0,IF(MID(OFFSET(TH!D$1,SMALL(Dong12,ROWS($1:12)),),4,1)="N",OFFSET(TH!I$1,SMALL(Dong12,ROWS($1:12)),),0))</f>
        <v>0</v>
      </c>
      <c r="H25" s="634">
        <f ca="1">IF(ROWS($1:12)&gt;COUNT(Dong12),0,IF(MID(OFFSET(TH!D$1,SMALL(Dong12,ROWS($1:12)),),4,1)="X",OFFSET(TH!I$1,SMALL(Dong12,ROWS($1:12)),),0))</f>
        <v>0</v>
      </c>
      <c r="I25" s="635">
        <f t="shared" ca="1" si="1"/>
        <v>0</v>
      </c>
      <c r="J25" s="636"/>
      <c r="K25" s="637"/>
    </row>
    <row r="26" spans="1:11" ht="16.5" customHeight="1">
      <c r="A26" s="638" t="str">
        <f t="shared" ca="1" si="2"/>
        <v/>
      </c>
      <c r="B26" s="632" t="str">
        <f ca="1">IF(ROWS($1:13)&gt;COUNT(Dong12),"",OFFSET(TH!E$1,SMALL(Dong12,ROWS($1:13)),))</f>
        <v/>
      </c>
      <c r="C26" s="822" t="str">
        <f ca="1">IF(ROWS($1:13)&gt;COUNT(Dong12),"",IF(MID(OFFSET(TH!D$1,SMALL(Dong12,ROWS($1:13)),),4,1)="N",OFFSET(TH!D$1,SMALL(Dong12,ROWS($1:13)),),""))</f>
        <v/>
      </c>
      <c r="D26" s="632" t="str">
        <f ca="1">IF(ROWS($1:13)&gt;COUNT(Dong12),"",IF(MID(OFFSET(TH!D$1,SMALL(Dong12,ROWS($1:13)),),4,1)="X",OFFSET(TH!D$1,SMALL(Dong12,ROWS($1:13)),),""))</f>
        <v/>
      </c>
      <c r="E26" s="633" t="str">
        <f ca="1">IF(ROWS($1:13)&gt;COUNT(Dong12),"",OFFSET(TH!F$1,SMALL(Dong12,ROWS($1:13)),)&amp;" - "&amp;OFFSET(TH!H$1,SMALL(Dong12,ROWS($1:13)),))</f>
        <v/>
      </c>
      <c r="F26" s="632" t="str">
        <f t="shared" ca="1" si="0"/>
        <v/>
      </c>
      <c r="G26" s="634">
        <f ca="1">IF(ROWS($1:13)&gt;COUNT(Dong12),0,IF(MID(OFFSET(TH!D$1,SMALL(Dong12,ROWS($1:13)),),4,1)="N",OFFSET(TH!I$1,SMALL(Dong12,ROWS($1:13)),),0))</f>
        <v>0</v>
      </c>
      <c r="H26" s="634">
        <f ca="1">IF(ROWS($1:13)&gt;COUNT(Dong12),0,IF(MID(OFFSET(TH!D$1,SMALL(Dong12,ROWS($1:13)),),4,1)="X",OFFSET(TH!I$1,SMALL(Dong12,ROWS($1:13)),),0))</f>
        <v>0</v>
      </c>
      <c r="I26" s="635">
        <f t="shared" ca="1" si="1"/>
        <v>0</v>
      </c>
      <c r="J26" s="636"/>
      <c r="K26" s="637"/>
    </row>
    <row r="27" spans="1:11" ht="16.5" customHeight="1">
      <c r="A27" s="638" t="str">
        <f t="shared" ca="1" si="2"/>
        <v/>
      </c>
      <c r="B27" s="632" t="str">
        <f ca="1">IF(ROWS($1:14)&gt;COUNT(Dong12),"",OFFSET(TH!E$1,SMALL(Dong12,ROWS($1:14)),))</f>
        <v/>
      </c>
      <c r="C27" s="822" t="str">
        <f ca="1">IF(ROWS($1:14)&gt;COUNT(Dong12),"",IF(MID(OFFSET(TH!D$1,SMALL(Dong12,ROWS($1:14)),),4,1)="N",OFFSET(TH!D$1,SMALL(Dong12,ROWS($1:14)),),""))</f>
        <v/>
      </c>
      <c r="D27" s="632" t="str">
        <f ca="1">IF(ROWS($1:14)&gt;COUNT(Dong12),"",IF(MID(OFFSET(TH!D$1,SMALL(Dong12,ROWS($1:14)),),4,1)="X",OFFSET(TH!D$1,SMALL(Dong12,ROWS($1:14)),),""))</f>
        <v/>
      </c>
      <c r="E27" s="633" t="str">
        <f ca="1">IF(ROWS($1:14)&gt;COUNT(Dong12),"",OFFSET(TH!F$1,SMALL(Dong12,ROWS($1:14)),)&amp;" - "&amp;OFFSET(TH!H$1,SMALL(Dong12,ROWS($1:14)),))</f>
        <v/>
      </c>
      <c r="F27" s="632" t="str">
        <f t="shared" ca="1" si="0"/>
        <v/>
      </c>
      <c r="G27" s="634">
        <f ca="1">IF(ROWS($1:14)&gt;COUNT(Dong12),0,IF(MID(OFFSET(TH!D$1,SMALL(Dong12,ROWS($1:14)),),4,1)="N",OFFSET(TH!I$1,SMALL(Dong12,ROWS($1:14)),),0))</f>
        <v>0</v>
      </c>
      <c r="H27" s="634">
        <f ca="1">IF(ROWS($1:14)&gt;COUNT(Dong12),0,IF(MID(OFFSET(TH!D$1,SMALL(Dong12,ROWS($1:14)),),4,1)="X",OFFSET(TH!I$1,SMALL(Dong12,ROWS($1:14)),),0))</f>
        <v>0</v>
      </c>
      <c r="I27" s="635">
        <f t="shared" ca="1" si="1"/>
        <v>0</v>
      </c>
      <c r="J27" s="636"/>
      <c r="K27" s="637"/>
    </row>
    <row r="28" spans="1:11" ht="16.5" customHeight="1">
      <c r="A28" s="638" t="str">
        <f t="shared" ca="1" si="2"/>
        <v/>
      </c>
      <c r="B28" s="632" t="str">
        <f ca="1">IF(ROWS($1:15)&gt;COUNT(Dong12),"",OFFSET(TH!E$1,SMALL(Dong12,ROWS($1:15)),))</f>
        <v/>
      </c>
      <c r="C28" s="822" t="str">
        <f ca="1">IF(ROWS($1:15)&gt;COUNT(Dong12),"",IF(MID(OFFSET(TH!D$1,SMALL(Dong12,ROWS($1:15)),),4,1)="N",OFFSET(TH!D$1,SMALL(Dong12,ROWS($1:15)),),""))</f>
        <v/>
      </c>
      <c r="D28" s="632" t="str">
        <f ca="1">IF(ROWS($1:15)&gt;COUNT(Dong12),"",IF(MID(OFFSET(TH!D$1,SMALL(Dong12,ROWS($1:15)),),4,1)="X",OFFSET(TH!D$1,SMALL(Dong12,ROWS($1:15)),),""))</f>
        <v/>
      </c>
      <c r="E28" s="633" t="str">
        <f ca="1">IF(ROWS($1:15)&gt;COUNT(Dong12),"",OFFSET(TH!F$1,SMALL(Dong12,ROWS($1:15)),)&amp;" - "&amp;OFFSET(TH!H$1,SMALL(Dong12,ROWS($1:15)),))</f>
        <v/>
      </c>
      <c r="F28" s="632" t="str">
        <f t="shared" ca="1" si="0"/>
        <v/>
      </c>
      <c r="G28" s="634">
        <f ca="1">IF(ROWS($1:15)&gt;COUNT(Dong12),0,IF(MID(OFFSET(TH!D$1,SMALL(Dong12,ROWS($1:15)),),4,1)="N",OFFSET(TH!I$1,SMALL(Dong12,ROWS($1:15)),),0))</f>
        <v>0</v>
      </c>
      <c r="H28" s="634">
        <f ca="1">IF(ROWS($1:15)&gt;COUNT(Dong12),0,IF(MID(OFFSET(TH!D$1,SMALL(Dong12,ROWS($1:15)),),4,1)="X",OFFSET(TH!I$1,SMALL(Dong12,ROWS($1:15)),),0))</f>
        <v>0</v>
      </c>
      <c r="I28" s="635">
        <f t="shared" ca="1" si="1"/>
        <v>0</v>
      </c>
      <c r="J28" s="636"/>
      <c r="K28" s="637"/>
    </row>
    <row r="29" spans="1:11" ht="16.5" customHeight="1">
      <c r="A29" s="638" t="str">
        <f t="shared" ca="1" si="2"/>
        <v/>
      </c>
      <c r="B29" s="632" t="str">
        <f ca="1">IF(ROWS($1:16)&gt;COUNT(Dong12),"",OFFSET(TH!E$1,SMALL(Dong12,ROWS($1:16)),))</f>
        <v/>
      </c>
      <c r="C29" s="822" t="str">
        <f ca="1">IF(ROWS($1:16)&gt;COUNT(Dong12),"",IF(MID(OFFSET(TH!D$1,SMALL(Dong12,ROWS($1:16)),),4,1)="N",OFFSET(TH!D$1,SMALL(Dong12,ROWS($1:16)),),""))</f>
        <v/>
      </c>
      <c r="D29" s="632" t="str">
        <f ca="1">IF(ROWS($1:16)&gt;COUNT(Dong12),"",IF(MID(OFFSET(TH!D$1,SMALL(Dong12,ROWS($1:16)),),4,1)="X",OFFSET(TH!D$1,SMALL(Dong12,ROWS($1:16)),),""))</f>
        <v/>
      </c>
      <c r="E29" s="633" t="str">
        <f ca="1">IF(ROWS($1:16)&gt;COUNT(Dong12),"",OFFSET(TH!F$1,SMALL(Dong12,ROWS($1:16)),)&amp;" - "&amp;OFFSET(TH!H$1,SMALL(Dong12,ROWS($1:16)),))</f>
        <v/>
      </c>
      <c r="F29" s="632" t="str">
        <f t="shared" ca="1" si="0"/>
        <v/>
      </c>
      <c r="G29" s="634">
        <f ca="1">IF(ROWS($1:16)&gt;COUNT(Dong12),0,IF(MID(OFFSET(TH!D$1,SMALL(Dong12,ROWS($1:16)),),4,1)="N",OFFSET(TH!I$1,SMALL(Dong12,ROWS($1:16)),),0))</f>
        <v>0</v>
      </c>
      <c r="H29" s="634">
        <f ca="1">IF(ROWS($1:16)&gt;COUNT(Dong12),0,IF(MID(OFFSET(TH!D$1,SMALL(Dong12,ROWS($1:16)),),4,1)="X",OFFSET(TH!I$1,SMALL(Dong12,ROWS($1:16)),),0))</f>
        <v>0</v>
      </c>
      <c r="I29" s="635">
        <f t="shared" ca="1" si="1"/>
        <v>0</v>
      </c>
      <c r="J29" s="636"/>
      <c r="K29" s="637"/>
    </row>
    <row r="30" spans="1:11" ht="16.5" customHeight="1">
      <c r="A30" s="638" t="str">
        <f t="shared" ca="1" si="2"/>
        <v/>
      </c>
      <c r="B30" s="632" t="str">
        <f ca="1">IF(ROWS($1:17)&gt;COUNT(Dong12),"",OFFSET(TH!E$1,SMALL(Dong12,ROWS($1:17)),))</f>
        <v/>
      </c>
      <c r="C30" s="822" t="str">
        <f ca="1">IF(ROWS($1:17)&gt;COUNT(Dong12),"",IF(MID(OFFSET(TH!D$1,SMALL(Dong12,ROWS($1:17)),),4,1)="N",OFFSET(TH!D$1,SMALL(Dong12,ROWS($1:17)),),""))</f>
        <v/>
      </c>
      <c r="D30" s="632" t="str">
        <f ca="1">IF(ROWS($1:17)&gt;COUNT(Dong12),"",IF(MID(OFFSET(TH!D$1,SMALL(Dong12,ROWS($1:17)),),4,1)="X",OFFSET(TH!D$1,SMALL(Dong12,ROWS($1:17)),),""))</f>
        <v/>
      </c>
      <c r="E30" s="633" t="str">
        <f ca="1">IF(ROWS($1:17)&gt;COUNT(Dong12),"",OFFSET(TH!F$1,SMALL(Dong12,ROWS($1:17)),)&amp;" - "&amp;OFFSET(TH!H$1,SMALL(Dong12,ROWS($1:17)),))</f>
        <v/>
      </c>
      <c r="F30" s="632" t="str">
        <f t="shared" ca="1" si="0"/>
        <v/>
      </c>
      <c r="G30" s="634">
        <f ca="1">IF(ROWS($1:17)&gt;COUNT(Dong12),0,IF(MID(OFFSET(TH!D$1,SMALL(Dong12,ROWS($1:17)),),4,1)="N",OFFSET(TH!I$1,SMALL(Dong12,ROWS($1:17)),),0))</f>
        <v>0</v>
      </c>
      <c r="H30" s="634">
        <f ca="1">IF(ROWS($1:17)&gt;COUNT(Dong12),0,IF(MID(OFFSET(TH!D$1,SMALL(Dong12,ROWS($1:17)),),4,1)="X",OFFSET(TH!I$1,SMALL(Dong12,ROWS($1:17)),),0))</f>
        <v>0</v>
      </c>
      <c r="I30" s="635">
        <f t="shared" ca="1" si="1"/>
        <v>0</v>
      </c>
      <c r="J30" s="636"/>
      <c r="K30" s="637"/>
    </row>
    <row r="31" spans="1:11" ht="16.5" customHeight="1">
      <c r="A31" s="639" t="str">
        <f>IF(D31&lt;&gt;"",A21+1,"")</f>
        <v/>
      </c>
      <c r="B31" s="640"/>
      <c r="C31" s="641"/>
      <c r="D31" s="641"/>
      <c r="E31" s="642"/>
      <c r="F31" s="640"/>
      <c r="G31" s="643"/>
      <c r="H31" s="643"/>
      <c r="I31" s="643"/>
      <c r="J31" s="644"/>
      <c r="K31" s="637"/>
    </row>
    <row r="32" spans="1:11" ht="16.5" customHeight="1">
      <c r="A32" s="626"/>
      <c r="B32" s="645"/>
      <c r="C32" s="626"/>
      <c r="D32" s="626"/>
      <c r="E32" s="627" t="s">
        <v>504</v>
      </c>
      <c r="F32" s="646" t="s">
        <v>21</v>
      </c>
      <c r="G32" s="647">
        <f ca="1">SUM(G14:G31)</f>
        <v>0</v>
      </c>
      <c r="H32" s="647">
        <f ca="1">SUM(H14:H31)</f>
        <v>0</v>
      </c>
      <c r="I32" s="647">
        <f ca="1">I13+G32-H32</f>
        <v>300</v>
      </c>
      <c r="J32" s="626" t="s">
        <v>21</v>
      </c>
      <c r="K32" s="648"/>
    </row>
    <row r="33" spans="1:11" ht="12.75" customHeight="1">
      <c r="A33" s="649"/>
      <c r="B33" s="603"/>
      <c r="C33" s="649"/>
      <c r="D33" s="649"/>
      <c r="E33" s="611"/>
      <c r="F33" s="603"/>
      <c r="G33" s="612"/>
      <c r="H33" s="612"/>
      <c r="I33" s="612"/>
      <c r="J33" s="598"/>
      <c r="K33" s="598"/>
    </row>
    <row r="34" spans="1:11" ht="15">
      <c r="A34" s="650" t="s">
        <v>505</v>
      </c>
      <c r="B34" s="650"/>
      <c r="C34" s="651"/>
      <c r="D34" s="651"/>
      <c r="E34" s="611"/>
      <c r="F34" s="603"/>
      <c r="G34" s="612"/>
      <c r="H34" s="612"/>
      <c r="I34" s="612"/>
      <c r="J34" s="598"/>
      <c r="K34" s="598"/>
    </row>
    <row r="35" spans="1:11" ht="15">
      <c r="A35" s="1266" t="str">
        <f ca="1">IF(ISERROR(" - Ngày mở sổ: ngày "&amp;DAY(B14)&amp;" tháng "&amp;MONTH(B14)&amp;" năm "&amp;YEAR(B14))," - Ngày mở sổ: ngày 01 tháng  01 năm 2016 "," - Ngày mở sổ: ngày "&amp;DAY(B14)&amp;" tháng "&amp;MONTH(B14)&amp;" năm "&amp;YEAR(B14))</f>
        <v xml:space="preserve"> - Ngày mở sổ: ngày 01 tháng  01 năm 2016 </v>
      </c>
      <c r="B35" s="1267"/>
      <c r="C35" s="1267"/>
      <c r="D35" s="1267"/>
      <c r="E35" s="1267"/>
      <c r="F35" s="603"/>
      <c r="G35" s="612"/>
      <c r="H35" s="612"/>
      <c r="I35" s="612"/>
      <c r="J35" s="598"/>
      <c r="K35" s="598"/>
    </row>
    <row r="36" spans="1:11" ht="15">
      <c r="A36" s="652"/>
      <c r="B36" s="653"/>
      <c r="C36" s="654"/>
      <c r="D36" s="649"/>
      <c r="E36" s="611"/>
      <c r="F36" s="603"/>
      <c r="H36" s="508"/>
      <c r="I36" s="1018" t="s">
        <v>460</v>
      </c>
      <c r="J36" s="508"/>
      <c r="K36" s="509"/>
    </row>
    <row r="37" spans="1:11" ht="15" customHeight="1">
      <c r="A37" s="652"/>
      <c r="C37" s="655" t="s">
        <v>506</v>
      </c>
      <c r="D37" s="649"/>
      <c r="E37" s="1268" t="s">
        <v>12</v>
      </c>
      <c r="F37" s="1268"/>
      <c r="G37" s="612"/>
      <c r="I37" s="1056" t="s">
        <v>131</v>
      </c>
      <c r="J37" s="601"/>
      <c r="K37" s="652"/>
    </row>
    <row r="38" spans="1:11" ht="15" customHeight="1">
      <c r="A38" s="656"/>
      <c r="C38" s="657" t="s">
        <v>13</v>
      </c>
      <c r="D38" s="658"/>
      <c r="E38" s="1261" t="s">
        <v>13</v>
      </c>
      <c r="F38" s="1261"/>
      <c r="G38" s="612"/>
      <c r="I38" s="1057" t="s">
        <v>161</v>
      </c>
      <c r="J38" s="1055"/>
      <c r="K38" s="656"/>
    </row>
    <row r="39" spans="1:11" ht="15">
      <c r="A39" s="656"/>
      <c r="C39" s="657"/>
      <c r="D39" s="649"/>
      <c r="E39" s="659"/>
      <c r="F39" s="660"/>
      <c r="G39" s="612"/>
      <c r="H39" s="656"/>
      <c r="I39" s="656"/>
      <c r="J39" s="656"/>
      <c r="K39" s="656"/>
    </row>
    <row r="40" spans="1:11" ht="15">
      <c r="A40" s="656"/>
      <c r="B40" s="657"/>
      <c r="C40" s="656"/>
      <c r="D40" s="649"/>
      <c r="E40" s="659"/>
      <c r="F40" s="660"/>
      <c r="G40" s="612"/>
      <c r="H40" s="656"/>
      <c r="I40" s="656"/>
      <c r="J40" s="656"/>
      <c r="K40" s="656"/>
    </row>
    <row r="41" spans="1:11" ht="15">
      <c r="A41" s="656"/>
      <c r="B41" s="657"/>
      <c r="C41" s="656"/>
      <c r="D41" s="649"/>
      <c r="E41" s="659"/>
      <c r="F41" s="660"/>
      <c r="G41" s="612"/>
      <c r="H41" s="656"/>
      <c r="I41" s="656"/>
      <c r="J41" s="656"/>
      <c r="K41" s="656"/>
    </row>
    <row r="46" spans="1:11" ht="15">
      <c r="C46" s="1058" t="s">
        <v>801</v>
      </c>
      <c r="H46" s="1054"/>
      <c r="I46" s="1053" t="s">
        <v>125</v>
      </c>
      <c r="J46" s="1054"/>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070"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282" t="s">
        <v>507</v>
      </c>
      <c r="B1" s="1282"/>
      <c r="C1" s="1282"/>
      <c r="D1" s="1282"/>
      <c r="E1" s="1282"/>
      <c r="F1" s="1282"/>
      <c r="G1" s="1282"/>
      <c r="H1" s="1282"/>
      <c r="I1" s="1282"/>
      <c r="J1" s="1283" t="s">
        <v>508</v>
      </c>
      <c r="K1" s="1284"/>
      <c r="L1" s="665"/>
      <c r="M1" s="665"/>
      <c r="N1" s="666"/>
    </row>
    <row r="2" spans="1:14" ht="15.75">
      <c r="A2" s="1282"/>
      <c r="B2" s="1282"/>
      <c r="C2" s="1282"/>
      <c r="D2" s="1282"/>
      <c r="E2" s="1282"/>
      <c r="F2" s="1282"/>
      <c r="G2" s="1282"/>
      <c r="H2" s="1282"/>
      <c r="I2" s="1282"/>
      <c r="J2" s="1285"/>
      <c r="K2" s="1286"/>
      <c r="L2" s="665"/>
      <c r="M2" s="665"/>
      <c r="N2" s="666"/>
    </row>
    <row r="3" spans="1:14" ht="15.75">
      <c r="A3" s="1282"/>
      <c r="B3" s="1282"/>
      <c r="C3" s="1282"/>
      <c r="D3" s="1282"/>
      <c r="E3" s="1282"/>
      <c r="F3" s="1282"/>
      <c r="G3" s="1282"/>
      <c r="H3" s="1282"/>
      <c r="I3" s="1282"/>
      <c r="J3" s="1285"/>
      <c r="K3" s="1286"/>
      <c r="L3" s="665"/>
      <c r="M3" s="665"/>
      <c r="N3" s="666"/>
    </row>
    <row r="4" spans="1:14" ht="16.5">
      <c r="A4" s="1289" t="str">
        <f>"( " &amp; IF(OR($M$11=1,$M$11=4,$M$11=6,$M$11=9,$M$11=11),"Ngày  30  tháng  "&amp;$M$11&amp;"  năm 2016",IF(OR($M$11=3,$M$11=5,$M$11=7,$M$11=8,$M$11=10,$M$11=12),"Ngày  31  tháng  "&amp;$M$11&amp;"  năm 2016","Ngày  29  tháng  "&amp;$M$11&amp;"  năm 2016")) &amp; " ) "</f>
        <v xml:space="preserve">( Ngày  29  tháng  2  năm 2016 ) </v>
      </c>
      <c r="B4" s="1289"/>
      <c r="C4" s="1289"/>
      <c r="D4" s="1289"/>
      <c r="E4" s="1289"/>
      <c r="F4" s="1289"/>
      <c r="G4" s="1289"/>
      <c r="H4" s="1289"/>
      <c r="I4" s="1289"/>
      <c r="J4" s="1287"/>
      <c r="K4" s="1288"/>
      <c r="L4" s="665"/>
      <c r="M4" s="665"/>
      <c r="N4" s="666"/>
    </row>
    <row r="5" spans="1:14" ht="20.25">
      <c r="A5" s="667"/>
      <c r="B5" s="665"/>
      <c r="C5" s="665"/>
      <c r="D5" s="665"/>
      <c r="E5" s="1063"/>
      <c r="F5" s="668"/>
      <c r="G5" s="665"/>
      <c r="H5" s="669"/>
      <c r="I5" s="669"/>
      <c r="J5" s="665"/>
      <c r="K5" s="665"/>
      <c r="L5" s="665"/>
      <c r="M5" s="666"/>
      <c r="N5" s="666"/>
    </row>
    <row r="6" spans="1:14" ht="15.75">
      <c r="A6" s="667" t="s">
        <v>509</v>
      </c>
      <c r="B6" s="665"/>
      <c r="C6" s="665"/>
      <c r="D6" s="665"/>
      <c r="E6" s="1064"/>
      <c r="F6" s="665"/>
      <c r="G6" s="665" t="s">
        <v>510</v>
      </c>
      <c r="H6" s="669"/>
      <c r="I6" s="669"/>
      <c r="J6" s="665"/>
      <c r="K6" s="665"/>
      <c r="L6" s="665"/>
      <c r="M6" s="666"/>
      <c r="N6" s="666"/>
    </row>
    <row r="7" spans="1:14" ht="15.75">
      <c r="A7" s="667" t="s">
        <v>511</v>
      </c>
      <c r="B7" s="665"/>
      <c r="C7" s="665"/>
      <c r="D7" s="665"/>
      <c r="E7" s="1064"/>
      <c r="F7" s="665"/>
      <c r="G7" s="665"/>
      <c r="H7" s="669"/>
      <c r="I7" s="669"/>
      <c r="J7" s="665"/>
      <c r="K7" s="665"/>
      <c r="L7" s="665"/>
      <c r="M7" s="666"/>
      <c r="N7" s="666"/>
    </row>
    <row r="8" spans="1:14" ht="15.75">
      <c r="A8" s="667" t="s">
        <v>512</v>
      </c>
      <c r="B8" s="665"/>
      <c r="C8" s="665"/>
      <c r="D8" s="665"/>
      <c r="E8" s="1064"/>
      <c r="F8" s="665"/>
      <c r="G8" s="665"/>
      <c r="H8" s="669"/>
      <c r="I8" s="669"/>
      <c r="J8" s="665"/>
      <c r="K8" s="665"/>
      <c r="L8" s="665"/>
      <c r="M8" s="666"/>
      <c r="N8" s="666"/>
    </row>
    <row r="9" spans="1:14" ht="15.75">
      <c r="A9" s="667" t="s">
        <v>513</v>
      </c>
      <c r="B9" s="665"/>
      <c r="C9" s="665"/>
      <c r="D9" s="665"/>
      <c r="E9" s="1064"/>
      <c r="F9" s="665"/>
      <c r="G9" s="665"/>
      <c r="H9" s="669"/>
      <c r="I9" s="669"/>
      <c r="J9" s="665"/>
      <c r="K9" s="665"/>
      <c r="L9" s="665"/>
      <c r="M9" s="666"/>
      <c r="N9" s="666"/>
    </row>
    <row r="10" spans="1:14" ht="16.5" thickBot="1">
      <c r="A10" s="667"/>
      <c r="B10" s="665"/>
      <c r="C10" s="665"/>
      <c r="D10" s="665"/>
      <c r="E10" s="1064"/>
      <c r="F10" s="665"/>
      <c r="G10" s="665"/>
      <c r="H10" s="669"/>
      <c r="I10" s="669"/>
      <c r="J10" s="665"/>
      <c r="K10" s="665"/>
      <c r="L10" s="665"/>
      <c r="M10" s="670"/>
      <c r="N10" s="666"/>
    </row>
    <row r="11" spans="1:14" ht="15.75" thickBot="1">
      <c r="A11" s="1290" t="s">
        <v>580</v>
      </c>
      <c r="B11" s="1292" t="s">
        <v>514</v>
      </c>
      <c r="C11" s="1293"/>
      <c r="D11" s="1293"/>
      <c r="E11" s="1293"/>
      <c r="F11" s="1294"/>
      <c r="G11" s="1295" t="s">
        <v>515</v>
      </c>
      <c r="H11" s="1295"/>
      <c r="I11" s="1295"/>
      <c r="J11" s="1295"/>
      <c r="K11" s="1296" t="s">
        <v>152</v>
      </c>
      <c r="L11" s="671"/>
      <c r="M11" s="1062">
        <v>2</v>
      </c>
      <c r="N11" s="673"/>
    </row>
    <row r="12" spans="1:14" ht="36" customHeight="1">
      <c r="A12" s="1291"/>
      <c r="B12" s="674" t="s">
        <v>516</v>
      </c>
      <c r="C12" s="674"/>
      <c r="D12" s="674" t="s">
        <v>517</v>
      </c>
      <c r="E12" s="674" t="s">
        <v>518</v>
      </c>
      <c r="F12" s="674" t="s">
        <v>519</v>
      </c>
      <c r="G12" s="674" t="s">
        <v>520</v>
      </c>
      <c r="H12" s="675" t="s">
        <v>471</v>
      </c>
      <c r="I12" s="675" t="s">
        <v>472</v>
      </c>
      <c r="J12" s="674" t="s">
        <v>521</v>
      </c>
      <c r="K12" s="1297"/>
      <c r="L12" s="676"/>
      <c r="M12" s="677"/>
      <c r="N12" s="677"/>
    </row>
    <row r="13" spans="1:14">
      <c r="A13" s="678" t="s">
        <v>173</v>
      </c>
      <c r="B13" s="679">
        <v>2</v>
      </c>
      <c r="C13" s="679"/>
      <c r="D13" s="679"/>
      <c r="E13" s="1065">
        <v>3</v>
      </c>
      <c r="F13" s="679">
        <v>4</v>
      </c>
      <c r="G13" s="679">
        <v>5</v>
      </c>
      <c r="H13" s="680" t="s">
        <v>522</v>
      </c>
      <c r="I13" s="680" t="s">
        <v>523</v>
      </c>
      <c r="J13" s="679">
        <v>8</v>
      </c>
      <c r="K13" s="679">
        <v>9</v>
      </c>
      <c r="L13" s="681"/>
      <c r="M13" s="681"/>
      <c r="N13" s="681"/>
    </row>
    <row r="14" spans="1:14" ht="27" customHeight="1">
      <c r="A14" s="212" t="str">
        <f ca="1">IF(ROWS($1:1)&gt;COUNT(Dong13),"",OFFSET(TH!E$1,SMALL(Dong13,ROWS($1:1)),))</f>
        <v/>
      </c>
      <c r="B14" s="215" t="str">
        <f ca="1">IF(ROWS($1:1)&gt;COUNT(Dong13),"",OFFSET(TH!H$1,SMALL(Dong13,ROWS($1:1)),))</f>
        <v/>
      </c>
      <c r="C14" s="682" t="str">
        <f ca="1">IF(ISNA(VLOOKUP($B14,DSNL,6,0)),"",VLOOKUP($B14,DSNL,6,0))</f>
        <v/>
      </c>
      <c r="D14" s="682" t="str">
        <f ca="1">IF(ROWS($1:1)&gt;COUNT(Dong13),"",OFFSET(TH!D$1,SMALL(Dong13,ROWS($1:1)),))</f>
        <v/>
      </c>
      <c r="E14" s="1066" t="str">
        <f t="shared" ref="E14:E40" ca="1" si="0">IF(ISNA(VLOOKUP($B14,DSNL,4,0)),"",VLOOKUP($B14,DSNL,4,0))</f>
        <v/>
      </c>
      <c r="F14" s="683" t="str">
        <f t="shared" ref="F14:F40" ca="1" si="1">IF(ISNA(VLOOKUP($B14,DSNL,3,0)),"",VLOOKUP($B14,DSNL,3,0))</f>
        <v/>
      </c>
      <c r="G14" s="684" t="str">
        <f ca="1">IF(ROWS($1:1)&gt;COUNT(Dong13),"",OFFSET(TH!F$1,SMALL(Dong13,ROWS($1:1)),))</f>
        <v/>
      </c>
      <c r="H14" s="685" t="str">
        <f ca="1">IF(ROWS($1:1)&gt;COUNT(Dong13),"",OFFSET(TH!I$1,SMALL(Dong13,ROWS($1:1)),))</f>
        <v/>
      </c>
      <c r="I14" s="685" t="str">
        <f ca="1">IF(ROWS($1:1)&gt;COUNT(Dong13),"",OFFSET(TH!J$1,SMALL(Dong13,ROWS($1:1)),))</f>
        <v/>
      </c>
      <c r="J14" s="686">
        <f ca="1">IF(B14&lt;&gt;"",H14*I14,0)</f>
        <v>0</v>
      </c>
      <c r="K14" s="686"/>
      <c r="L14" s="687"/>
      <c r="M14" s="666"/>
      <c r="N14" s="666"/>
    </row>
    <row r="15" spans="1:14" ht="27" customHeight="1">
      <c r="A15" s="212" t="str">
        <f ca="1">IF(ROWS($1:2)&gt;COUNT(Dong13),"",OFFSET(TH!E$1,SMALL(Dong13,ROWS($1:2)),))</f>
        <v/>
      </c>
      <c r="B15" s="215" t="str">
        <f ca="1">IF(ROWS($1:2)&gt;COUNT(Dong13),"",OFFSET(TH!H$1,SMALL(Dong13,ROWS($1:2)),))</f>
        <v/>
      </c>
      <c r="C15" s="682" t="str">
        <f t="shared" ref="C15:C40" ca="1" si="2">IF(ISNA(VLOOKUP($B15,DSNL,6,0)),"",VLOOKUP($B15,DSNL,6,0))</f>
        <v/>
      </c>
      <c r="D15" s="682" t="str">
        <f ca="1">IF(ROWS($1:2)&gt;COUNT(Dong13),"",OFFSET(TH!D$1,SMALL(Dong13,ROWS($1:2)),))</f>
        <v/>
      </c>
      <c r="E15" s="1066" t="str">
        <f t="shared" ca="1" si="0"/>
        <v/>
      </c>
      <c r="F15" s="683" t="str">
        <f t="shared" ca="1" si="1"/>
        <v/>
      </c>
      <c r="G15" s="684" t="str">
        <f ca="1">IF(ROWS($1:2)&gt;COUNT(Dong13),"",OFFSET(TH!F$1,SMALL(Dong13,ROWS($1:2)),))</f>
        <v/>
      </c>
      <c r="H15" s="685" t="str">
        <f ca="1">IF(ROWS($1:2)&gt;COUNT(Dong13),"",OFFSET(TH!I$1,SMALL(Dong13,ROWS($1:2)),))</f>
        <v/>
      </c>
      <c r="I15" s="685" t="str">
        <f ca="1">IF(ROWS($1:2)&gt;COUNT(Dong13),"",OFFSET(TH!J$1,SMALL(Dong13,ROWS($1:2)),))</f>
        <v/>
      </c>
      <c r="J15" s="686">
        <f t="shared" ref="J15:J40" ca="1" si="3">IF(B15&lt;&gt;"",H15*I15,0)</f>
        <v>0</v>
      </c>
      <c r="K15" s="688"/>
      <c r="L15" s="687"/>
      <c r="M15" s="666"/>
      <c r="N15" s="666"/>
    </row>
    <row r="16" spans="1:14" ht="27" customHeight="1">
      <c r="A16" s="212" t="str">
        <f ca="1">IF(ROWS($1:3)&gt;COUNT(Dong13),"",OFFSET(TH!E$1,SMALL(Dong13,ROWS($1:3)),))</f>
        <v/>
      </c>
      <c r="B16" s="215" t="str">
        <f ca="1">IF(ROWS($1:3)&gt;COUNT(Dong13),"",OFFSET(TH!H$1,SMALL(Dong13,ROWS($1:3)),))</f>
        <v/>
      </c>
      <c r="C16" s="682" t="str">
        <f t="shared" ca="1" si="2"/>
        <v/>
      </c>
      <c r="D16" s="682" t="str">
        <f ca="1">IF(ROWS($1:3)&gt;COUNT(Dong13),"",OFFSET(TH!D$1,SMALL(Dong13,ROWS($1:3)),))</f>
        <v/>
      </c>
      <c r="E16" s="1066" t="str">
        <f t="shared" ca="1" si="0"/>
        <v/>
      </c>
      <c r="F16" s="683" t="str">
        <f t="shared" ca="1" si="1"/>
        <v/>
      </c>
      <c r="G16" s="684" t="str">
        <f ca="1">IF(ROWS($1:3)&gt;COUNT(Dong13),"",OFFSET(TH!F$1,SMALL(Dong13,ROWS($1:3)),))</f>
        <v/>
      </c>
      <c r="H16" s="685" t="str">
        <f ca="1">IF(ROWS($1:3)&gt;COUNT(Dong13),"",OFFSET(TH!I$1,SMALL(Dong13,ROWS($1:3)),))</f>
        <v/>
      </c>
      <c r="I16" s="685" t="str">
        <f ca="1">IF(ROWS($1:3)&gt;COUNT(Dong13),"",OFFSET(TH!J$1,SMALL(Dong13,ROWS($1:3)),))</f>
        <v/>
      </c>
      <c r="J16" s="686">
        <f t="shared" ca="1" si="3"/>
        <v>0</v>
      </c>
      <c r="K16" s="688"/>
      <c r="L16" s="687"/>
      <c r="M16" s="666"/>
      <c r="N16" s="666"/>
    </row>
    <row r="17" spans="1:14" ht="27" customHeight="1">
      <c r="A17" s="212" t="str">
        <f ca="1">IF(ROWS($1:4)&gt;COUNT(Dong13),"",OFFSET(TH!E$1,SMALL(Dong13,ROWS($1:4)),))</f>
        <v/>
      </c>
      <c r="B17" s="215" t="str">
        <f ca="1">IF(ROWS($1:4)&gt;COUNT(Dong13),"",OFFSET(TH!H$1,SMALL(Dong13,ROWS($1:4)),))</f>
        <v/>
      </c>
      <c r="C17" s="682" t="str">
        <f t="shared" ca="1" si="2"/>
        <v/>
      </c>
      <c r="D17" s="682" t="str">
        <f ca="1">IF(ROWS($1:4)&gt;COUNT(Dong13),"",OFFSET(TH!D$1,SMALL(Dong13,ROWS($1:4)),))</f>
        <v/>
      </c>
      <c r="E17" s="1066" t="str">
        <f t="shared" ca="1" si="0"/>
        <v/>
      </c>
      <c r="F17" s="683" t="str">
        <f t="shared" ca="1" si="1"/>
        <v/>
      </c>
      <c r="G17" s="684" t="str">
        <f ca="1">IF(ROWS($1:4)&gt;COUNT(Dong13),"",OFFSET(TH!F$1,SMALL(Dong13,ROWS($1:4)),))</f>
        <v/>
      </c>
      <c r="H17" s="685" t="str">
        <f ca="1">IF(ROWS($1:4)&gt;COUNT(Dong13),"",OFFSET(TH!I$1,SMALL(Dong13,ROWS($1:4)),))</f>
        <v/>
      </c>
      <c r="I17" s="685" t="str">
        <f ca="1">IF(ROWS($1:4)&gt;COUNT(Dong13),"",OFFSET(TH!J$1,SMALL(Dong13,ROWS($1:4)),))</f>
        <v/>
      </c>
      <c r="J17" s="686">
        <f t="shared" ca="1" si="3"/>
        <v>0</v>
      </c>
      <c r="K17" s="688"/>
      <c r="L17" s="687"/>
      <c r="M17" s="666"/>
      <c r="N17" s="666"/>
    </row>
    <row r="18" spans="1:14" ht="27" customHeight="1">
      <c r="A18" s="212" t="str">
        <f ca="1">IF(ROWS($1:5)&gt;COUNT(Dong13),"",OFFSET(TH!E$1,SMALL(Dong13,ROWS($1:5)),))</f>
        <v/>
      </c>
      <c r="B18" s="215" t="str">
        <f ca="1">IF(ROWS($1:5)&gt;COUNT(Dong13),"",OFFSET(TH!H$1,SMALL(Dong13,ROWS($1:5)),))</f>
        <v/>
      </c>
      <c r="C18" s="682" t="str">
        <f t="shared" ca="1" si="2"/>
        <v/>
      </c>
      <c r="D18" s="682" t="str">
        <f ca="1">IF(ROWS($1:5)&gt;COUNT(Dong13),"",OFFSET(TH!D$1,SMALL(Dong13,ROWS($1:5)),))</f>
        <v/>
      </c>
      <c r="E18" s="1066" t="str">
        <f t="shared" ca="1" si="0"/>
        <v/>
      </c>
      <c r="F18" s="683" t="str">
        <f t="shared" ca="1" si="1"/>
        <v/>
      </c>
      <c r="G18" s="684" t="str">
        <f ca="1">IF(ROWS($1:5)&gt;COUNT(Dong13),"",OFFSET(TH!F$1,SMALL(Dong13,ROWS($1:5)),))</f>
        <v/>
      </c>
      <c r="H18" s="685" t="str">
        <f ca="1">IF(ROWS($1:5)&gt;COUNT(Dong13),"",OFFSET(TH!I$1,SMALL(Dong13,ROWS($1:5)),))</f>
        <v/>
      </c>
      <c r="I18" s="685" t="str">
        <f ca="1">IF(ROWS($1:5)&gt;COUNT(Dong13),"",OFFSET(TH!J$1,SMALL(Dong13,ROWS($1:5)),))</f>
        <v/>
      </c>
      <c r="J18" s="686">
        <f t="shared" ca="1" si="3"/>
        <v>0</v>
      </c>
      <c r="K18" s="688"/>
      <c r="L18" s="687"/>
      <c r="M18" s="666"/>
      <c r="N18" s="666"/>
    </row>
    <row r="19" spans="1:14" ht="27" customHeight="1">
      <c r="A19" s="212" t="str">
        <f ca="1">IF(ROWS($1:6)&gt;COUNT(Dong13),"",OFFSET(TH!E$1,SMALL(Dong13,ROWS($1:6)),))</f>
        <v/>
      </c>
      <c r="B19" s="215" t="str">
        <f ca="1">IF(ROWS($1:6)&gt;COUNT(Dong13),"",OFFSET(TH!H$1,SMALL(Dong13,ROWS($1:6)),))</f>
        <v/>
      </c>
      <c r="C19" s="682" t="str">
        <f t="shared" ca="1" si="2"/>
        <v/>
      </c>
      <c r="D19" s="682" t="str">
        <f ca="1">IF(ROWS($1:6)&gt;COUNT(Dong13),"",OFFSET(TH!D$1,SMALL(Dong13,ROWS($1:6)),))</f>
        <v/>
      </c>
      <c r="E19" s="1066" t="str">
        <f t="shared" ca="1" si="0"/>
        <v/>
      </c>
      <c r="F19" s="683" t="str">
        <f t="shared" ca="1" si="1"/>
        <v/>
      </c>
      <c r="G19" s="684" t="str">
        <f ca="1">IF(ROWS($1:6)&gt;COUNT(Dong13),"",OFFSET(TH!F$1,SMALL(Dong13,ROWS($1:6)),))</f>
        <v/>
      </c>
      <c r="H19" s="685" t="str">
        <f ca="1">IF(ROWS($1:6)&gt;COUNT(Dong13),"",OFFSET(TH!I$1,SMALL(Dong13,ROWS($1:6)),))</f>
        <v/>
      </c>
      <c r="I19" s="685" t="str">
        <f ca="1">IF(ROWS($1:6)&gt;COUNT(Dong13),"",OFFSET(TH!J$1,SMALL(Dong13,ROWS($1:6)),))</f>
        <v/>
      </c>
      <c r="J19" s="686">
        <f t="shared" ca="1" si="3"/>
        <v>0</v>
      </c>
      <c r="K19" s="688"/>
      <c r="L19" s="687"/>
      <c r="M19" s="666"/>
      <c r="N19" s="666"/>
    </row>
    <row r="20" spans="1:14" ht="31.5" customHeight="1">
      <c r="A20" s="212" t="str">
        <f ca="1">IF(ROWS($1:7)&gt;COUNT(Dong13),"",OFFSET(TH!E$1,SMALL(Dong13,ROWS($1:7)),))</f>
        <v/>
      </c>
      <c r="B20" s="215" t="str">
        <f ca="1">IF(ROWS($1:7)&gt;COUNT(Dong13),"",OFFSET(TH!H$1,SMALL(Dong13,ROWS($1:7)),))</f>
        <v/>
      </c>
      <c r="C20" s="682" t="str">
        <f t="shared" ca="1" si="2"/>
        <v/>
      </c>
      <c r="D20" s="682" t="str">
        <f ca="1">IF(ROWS($1:7)&gt;COUNT(Dong13),"",OFFSET(TH!D$1,SMALL(Dong13,ROWS($1:7)),))</f>
        <v/>
      </c>
      <c r="E20" s="1066" t="str">
        <f t="shared" ca="1" si="0"/>
        <v/>
      </c>
      <c r="F20" s="683" t="str">
        <f t="shared" ca="1" si="1"/>
        <v/>
      </c>
      <c r="G20" s="684" t="str">
        <f ca="1">IF(ROWS($1:7)&gt;COUNT(Dong13),"",OFFSET(TH!F$1,SMALL(Dong13,ROWS($1:7)),))</f>
        <v/>
      </c>
      <c r="H20" s="685" t="str">
        <f ca="1">IF(ROWS($1:7)&gt;COUNT(Dong13),"",OFFSET(TH!I$1,SMALL(Dong13,ROWS($1:7)),))</f>
        <v/>
      </c>
      <c r="I20" s="685" t="str">
        <f ca="1">IF(ROWS($1:7)&gt;COUNT(Dong13),"",OFFSET(TH!J$1,SMALL(Dong13,ROWS($1:7)),))</f>
        <v/>
      </c>
      <c r="J20" s="686">
        <f t="shared" ca="1" si="3"/>
        <v>0</v>
      </c>
      <c r="K20" s="688"/>
      <c r="L20" s="687"/>
      <c r="M20" s="666"/>
      <c r="N20" s="666"/>
    </row>
    <row r="21" spans="1:14" ht="27" customHeight="1">
      <c r="A21" s="212" t="str">
        <f ca="1">IF(ROWS($1:8)&gt;COUNT(Dong13),"",OFFSET(TH!E$1,SMALL(Dong13,ROWS($1:8)),))</f>
        <v/>
      </c>
      <c r="B21" s="215" t="str">
        <f ca="1">IF(ROWS($1:8)&gt;COUNT(Dong13),"",OFFSET(TH!H$1,SMALL(Dong13,ROWS($1:8)),))</f>
        <v/>
      </c>
      <c r="C21" s="682" t="str">
        <f t="shared" ca="1" si="2"/>
        <v/>
      </c>
      <c r="D21" s="682" t="str">
        <f ca="1">IF(ROWS($1:8)&gt;COUNT(Dong13),"",OFFSET(TH!D$1,SMALL(Dong13,ROWS($1:8)),))</f>
        <v/>
      </c>
      <c r="E21" s="1066" t="str">
        <f t="shared" ca="1" si="0"/>
        <v/>
      </c>
      <c r="F21" s="683" t="str">
        <f t="shared" ca="1" si="1"/>
        <v/>
      </c>
      <c r="G21" s="684" t="str">
        <f ca="1">IF(ROWS($1:8)&gt;COUNT(Dong13),"",OFFSET(TH!F$1,SMALL(Dong13,ROWS($1:8)),))</f>
        <v/>
      </c>
      <c r="H21" s="685" t="str">
        <f ca="1">IF(ROWS($1:8)&gt;COUNT(Dong13),"",OFFSET(TH!I$1,SMALL(Dong13,ROWS($1:8)),))</f>
        <v/>
      </c>
      <c r="I21" s="685" t="str">
        <f ca="1">IF(ROWS($1:8)&gt;COUNT(Dong13),"",OFFSET(TH!J$1,SMALL(Dong13,ROWS($1:8)),))</f>
        <v/>
      </c>
      <c r="J21" s="686">
        <f t="shared" ca="1" si="3"/>
        <v>0</v>
      </c>
      <c r="K21" s="688"/>
      <c r="L21" s="687"/>
      <c r="M21" s="666"/>
      <c r="N21" s="666"/>
    </row>
    <row r="22" spans="1:14" ht="27" customHeight="1">
      <c r="A22" s="212" t="str">
        <f ca="1">IF(ROWS($1:9)&gt;COUNT(Dong13),"",OFFSET(TH!E$1,SMALL(Dong13,ROWS($1:9)),))</f>
        <v/>
      </c>
      <c r="B22" s="215" t="str">
        <f ca="1">IF(ROWS($1:9)&gt;COUNT(Dong13),"",OFFSET(TH!H$1,SMALL(Dong13,ROWS($1:9)),))</f>
        <v/>
      </c>
      <c r="C22" s="682" t="str">
        <f t="shared" ca="1" si="2"/>
        <v/>
      </c>
      <c r="D22" s="682" t="str">
        <f ca="1">IF(ROWS($1:9)&gt;COUNT(Dong13),"",OFFSET(TH!D$1,SMALL(Dong13,ROWS($1:9)),))</f>
        <v/>
      </c>
      <c r="E22" s="1066" t="str">
        <f t="shared" ca="1" si="0"/>
        <v/>
      </c>
      <c r="F22" s="683" t="str">
        <f t="shared" ca="1" si="1"/>
        <v/>
      </c>
      <c r="G22" s="684" t="str">
        <f ca="1">IF(ROWS($1:9)&gt;COUNT(Dong13),"",OFFSET(TH!F$1,SMALL(Dong13,ROWS($1:9)),))</f>
        <v/>
      </c>
      <c r="H22" s="685" t="str">
        <f ca="1">IF(ROWS($1:9)&gt;COUNT(Dong13),"",OFFSET(TH!I$1,SMALL(Dong13,ROWS($1:9)),))</f>
        <v/>
      </c>
      <c r="I22" s="685" t="str">
        <f ca="1">IF(ROWS($1:9)&gt;COUNT(Dong13),"",OFFSET(TH!J$1,SMALL(Dong13,ROWS($1:9)),))</f>
        <v/>
      </c>
      <c r="J22" s="686">
        <f t="shared" ca="1" si="3"/>
        <v>0</v>
      </c>
      <c r="K22" s="688"/>
      <c r="L22" s="687"/>
      <c r="M22" s="666"/>
      <c r="N22" s="666"/>
    </row>
    <row r="23" spans="1:14" ht="27" customHeight="1">
      <c r="A23" s="212" t="str">
        <f ca="1">IF(ROWS($1:10)&gt;COUNT(Dong13),"",OFFSET(TH!E$1,SMALL(Dong13,ROWS($1:10)),))</f>
        <v/>
      </c>
      <c r="B23" s="215" t="str">
        <f ca="1">IF(ROWS($1:10)&gt;COUNT(Dong13),"",OFFSET(TH!H$1,SMALL(Dong13,ROWS($1:10)),))</f>
        <v/>
      </c>
      <c r="C23" s="682" t="str">
        <f t="shared" ca="1" si="2"/>
        <v/>
      </c>
      <c r="D23" s="682" t="str">
        <f ca="1">IF(ROWS($1:10)&gt;COUNT(Dong13),"",OFFSET(TH!D$1,SMALL(Dong13,ROWS($1:10)),))</f>
        <v/>
      </c>
      <c r="E23" s="1066" t="str">
        <f t="shared" ca="1" si="0"/>
        <v/>
      </c>
      <c r="F23" s="683" t="str">
        <f t="shared" ca="1" si="1"/>
        <v/>
      </c>
      <c r="G23" s="684" t="str">
        <f ca="1">IF(ROWS($1:10)&gt;COUNT(Dong13),"",OFFSET(TH!F$1,SMALL(Dong13,ROWS($1:10)),))</f>
        <v/>
      </c>
      <c r="H23" s="685" t="str">
        <f ca="1">IF(ROWS($1:10)&gt;COUNT(Dong13),"",OFFSET(TH!I$1,SMALL(Dong13,ROWS($1:10)),))</f>
        <v/>
      </c>
      <c r="I23" s="685" t="str">
        <f ca="1">IF(ROWS($1:10)&gt;COUNT(Dong13),"",OFFSET(TH!J$1,SMALL(Dong13,ROWS($1:10)),))</f>
        <v/>
      </c>
      <c r="J23" s="686">
        <f t="shared" ca="1" si="3"/>
        <v>0</v>
      </c>
      <c r="K23" s="688"/>
      <c r="L23" s="687"/>
      <c r="M23" s="666"/>
      <c r="N23" s="666"/>
    </row>
    <row r="24" spans="1:14" ht="27" customHeight="1">
      <c r="A24" s="212" t="str">
        <f ca="1">IF(ROWS($1:11)&gt;COUNT(Dong13),"",OFFSET(TH!E$1,SMALL(Dong13,ROWS($1:11)),))</f>
        <v/>
      </c>
      <c r="B24" s="215" t="str">
        <f ca="1">IF(ROWS($1:11)&gt;COUNT(Dong13),"",OFFSET(TH!H$1,SMALL(Dong13,ROWS($1:11)),))</f>
        <v/>
      </c>
      <c r="C24" s="682" t="str">
        <f t="shared" ca="1" si="2"/>
        <v/>
      </c>
      <c r="D24" s="682" t="str">
        <f ca="1">IF(ROWS($1:11)&gt;COUNT(Dong13),"",OFFSET(TH!D$1,SMALL(Dong13,ROWS($1:11)),))</f>
        <v/>
      </c>
      <c r="E24" s="1066" t="str">
        <f t="shared" ca="1" si="0"/>
        <v/>
      </c>
      <c r="F24" s="683" t="str">
        <f t="shared" ca="1" si="1"/>
        <v/>
      </c>
      <c r="G24" s="684" t="str">
        <f ca="1">IF(ROWS($1:11)&gt;COUNT(Dong13),"",OFFSET(TH!F$1,SMALL(Dong13,ROWS($1:11)),))</f>
        <v/>
      </c>
      <c r="H24" s="685" t="str">
        <f ca="1">IF(ROWS($1:11)&gt;COUNT(Dong13),"",OFFSET(TH!I$1,SMALL(Dong13,ROWS($1:11)),))</f>
        <v/>
      </c>
      <c r="I24" s="685" t="str">
        <f ca="1">IF(ROWS($1:11)&gt;COUNT(Dong13),"",OFFSET(TH!J$1,SMALL(Dong13,ROWS($1:11)),))</f>
        <v/>
      </c>
      <c r="J24" s="686">
        <f t="shared" ca="1" si="3"/>
        <v>0</v>
      </c>
      <c r="K24" s="688"/>
      <c r="L24" s="687"/>
      <c r="M24" s="666"/>
      <c r="N24" s="666"/>
    </row>
    <row r="25" spans="1:14" ht="27" customHeight="1">
      <c r="A25" s="212" t="str">
        <f ca="1">IF(ROWS($1:12)&gt;COUNT(Dong13),"",OFFSET(TH!E$1,SMALL(Dong13,ROWS($1:12)),))</f>
        <v/>
      </c>
      <c r="B25" s="215" t="str">
        <f ca="1">IF(ROWS($1:12)&gt;COUNT(Dong13),"",OFFSET(TH!H$1,SMALL(Dong13,ROWS($1:12)),))</f>
        <v/>
      </c>
      <c r="C25" s="682" t="str">
        <f t="shared" ca="1" si="2"/>
        <v/>
      </c>
      <c r="D25" s="682" t="str">
        <f ca="1">IF(ROWS($1:12)&gt;COUNT(Dong13),"",OFFSET(TH!D$1,SMALL(Dong13,ROWS($1:12)),))</f>
        <v/>
      </c>
      <c r="E25" s="1066" t="str">
        <f t="shared" ca="1" si="0"/>
        <v/>
      </c>
      <c r="F25" s="683" t="str">
        <f t="shared" ca="1" si="1"/>
        <v/>
      </c>
      <c r="G25" s="684" t="str">
        <f ca="1">IF(ROWS($1:12)&gt;COUNT(Dong13),"",OFFSET(TH!F$1,SMALL(Dong13,ROWS($1:12)),))</f>
        <v/>
      </c>
      <c r="H25" s="685" t="str">
        <f ca="1">IF(ROWS($1:12)&gt;COUNT(Dong13),"",OFFSET(TH!I$1,SMALL(Dong13,ROWS($1:12)),))</f>
        <v/>
      </c>
      <c r="I25" s="685" t="str">
        <f ca="1">IF(ROWS($1:12)&gt;COUNT(Dong13),"",OFFSET(TH!J$1,SMALL(Dong13,ROWS($1:12)),))</f>
        <v/>
      </c>
      <c r="J25" s="686">
        <f t="shared" ca="1" si="3"/>
        <v>0</v>
      </c>
      <c r="K25" s="688"/>
      <c r="L25" s="687"/>
      <c r="M25" s="666"/>
      <c r="N25" s="666"/>
    </row>
    <row r="26" spans="1:14" ht="27" customHeight="1">
      <c r="A26" s="212" t="str">
        <f ca="1">IF(ROWS($1:13)&gt;COUNT(Dong13),"",OFFSET(TH!E$1,SMALL(Dong13,ROWS($1:13)),))</f>
        <v/>
      </c>
      <c r="B26" s="215" t="str">
        <f ca="1">IF(ROWS($1:13)&gt;COUNT(Dong13),"",OFFSET(TH!H$1,SMALL(Dong13,ROWS($1:13)),))</f>
        <v/>
      </c>
      <c r="C26" s="682" t="str">
        <f t="shared" ca="1" si="2"/>
        <v/>
      </c>
      <c r="D26" s="682" t="str">
        <f ca="1">IF(ROWS($1:13)&gt;COUNT(Dong13),"",OFFSET(TH!D$1,SMALL(Dong13,ROWS($1:13)),))</f>
        <v/>
      </c>
      <c r="E26" s="1066" t="str">
        <f t="shared" ca="1" si="0"/>
        <v/>
      </c>
      <c r="F26" s="683" t="str">
        <f t="shared" ca="1" si="1"/>
        <v/>
      </c>
      <c r="G26" s="684" t="str">
        <f ca="1">IF(ROWS($1:13)&gt;COUNT(Dong13),"",OFFSET(TH!F$1,SMALL(Dong13,ROWS($1:13)),))</f>
        <v/>
      </c>
      <c r="H26" s="685" t="str">
        <f ca="1">IF(ROWS($1:13)&gt;COUNT(Dong13),"",OFFSET(TH!I$1,SMALL(Dong13,ROWS($1:13)),))</f>
        <v/>
      </c>
      <c r="I26" s="685" t="str">
        <f ca="1">IF(ROWS($1:13)&gt;COUNT(Dong13),"",OFFSET(TH!J$1,SMALL(Dong13,ROWS($1:13)),))</f>
        <v/>
      </c>
      <c r="J26" s="686">
        <f t="shared" ca="1" si="3"/>
        <v>0</v>
      </c>
      <c r="K26" s="688"/>
      <c r="L26" s="687"/>
      <c r="M26" s="666"/>
      <c r="N26" s="666"/>
    </row>
    <row r="27" spans="1:14" ht="27" customHeight="1">
      <c r="A27" s="212" t="str">
        <f ca="1">IF(ROWS($1:14)&gt;COUNT(Dong13),"",OFFSET(TH!E$1,SMALL(Dong13,ROWS($1:14)),))</f>
        <v/>
      </c>
      <c r="B27" s="215" t="str">
        <f ca="1">IF(ROWS($1:14)&gt;COUNT(Dong13),"",OFFSET(TH!H$1,SMALL(Dong13,ROWS($1:14)),))</f>
        <v/>
      </c>
      <c r="C27" s="682" t="str">
        <f t="shared" ca="1" si="2"/>
        <v/>
      </c>
      <c r="D27" s="682" t="str">
        <f ca="1">IF(ROWS($1:14)&gt;COUNT(Dong13),"",OFFSET(TH!D$1,SMALL(Dong13,ROWS($1:14)),))</f>
        <v/>
      </c>
      <c r="E27" s="1066" t="str">
        <f t="shared" ca="1" si="0"/>
        <v/>
      </c>
      <c r="F27" s="683" t="str">
        <f t="shared" ca="1" si="1"/>
        <v/>
      </c>
      <c r="G27" s="684" t="str">
        <f ca="1">IF(ROWS($1:14)&gt;COUNT(Dong13),"",OFFSET(TH!F$1,SMALL(Dong13,ROWS($1:14)),))</f>
        <v/>
      </c>
      <c r="H27" s="685" t="str">
        <f ca="1">IF(ROWS($1:14)&gt;COUNT(Dong13),"",OFFSET(TH!I$1,SMALL(Dong13,ROWS($1:14)),))</f>
        <v/>
      </c>
      <c r="I27" s="685" t="str">
        <f ca="1">IF(ROWS($1:14)&gt;COUNT(Dong13),"",OFFSET(TH!J$1,SMALL(Dong13,ROWS($1:14)),))</f>
        <v/>
      </c>
      <c r="J27" s="686">
        <f t="shared" ca="1" si="3"/>
        <v>0</v>
      </c>
      <c r="K27" s="688"/>
      <c r="L27" s="687"/>
      <c r="M27" s="666"/>
      <c r="N27" s="666"/>
    </row>
    <row r="28" spans="1:14" ht="27" customHeight="1">
      <c r="A28" s="212" t="str">
        <f ca="1">IF(ROWS($1:15)&gt;COUNT(Dong13),"",OFFSET(TH!E$1,SMALL(Dong13,ROWS($1:15)),))</f>
        <v/>
      </c>
      <c r="B28" s="215" t="str">
        <f ca="1">IF(ROWS($1:15)&gt;COUNT(Dong13),"",OFFSET(TH!H$1,SMALL(Dong13,ROWS($1:15)),))</f>
        <v/>
      </c>
      <c r="C28" s="682" t="str">
        <f t="shared" ca="1" si="2"/>
        <v/>
      </c>
      <c r="D28" s="682" t="str">
        <f ca="1">IF(ROWS($1:15)&gt;COUNT(Dong13),"",OFFSET(TH!D$1,SMALL(Dong13,ROWS($1:15)),))</f>
        <v/>
      </c>
      <c r="E28" s="1066" t="str">
        <f t="shared" ca="1" si="0"/>
        <v/>
      </c>
      <c r="F28" s="683" t="str">
        <f t="shared" ca="1" si="1"/>
        <v/>
      </c>
      <c r="G28" s="684" t="str">
        <f ca="1">IF(ROWS($1:15)&gt;COUNT(Dong13),"",OFFSET(TH!F$1,SMALL(Dong13,ROWS($1:15)),))</f>
        <v/>
      </c>
      <c r="H28" s="685" t="str">
        <f ca="1">IF(ROWS($1:15)&gt;COUNT(Dong13),"",OFFSET(TH!I$1,SMALL(Dong13,ROWS($1:15)),))</f>
        <v/>
      </c>
      <c r="I28" s="685" t="str">
        <f ca="1">IF(ROWS($1:15)&gt;COUNT(Dong13),"",OFFSET(TH!J$1,SMALL(Dong13,ROWS($1:15)),))</f>
        <v/>
      </c>
      <c r="J28" s="686">
        <f t="shared" ca="1" si="3"/>
        <v>0</v>
      </c>
      <c r="K28" s="688"/>
      <c r="L28" s="687"/>
      <c r="M28" s="666"/>
      <c r="N28" s="666"/>
    </row>
    <row r="29" spans="1:14" ht="27" customHeight="1">
      <c r="A29" s="212" t="str">
        <f ca="1">IF(ROWS($1:16)&gt;COUNT(Dong13),"",OFFSET(TH!E$1,SMALL(Dong13,ROWS($1:16)),))</f>
        <v/>
      </c>
      <c r="B29" s="215" t="str">
        <f ca="1">IF(ROWS($1:16)&gt;COUNT(Dong13),"",OFFSET(TH!H$1,SMALL(Dong13,ROWS($1:16)),))</f>
        <v/>
      </c>
      <c r="C29" s="682" t="str">
        <f t="shared" ca="1" si="2"/>
        <v/>
      </c>
      <c r="D29" s="682" t="str">
        <f ca="1">IF(ROWS($1:16)&gt;COUNT(Dong13),"",OFFSET(TH!D$1,SMALL(Dong13,ROWS($1:16)),))</f>
        <v/>
      </c>
      <c r="E29" s="1066" t="str">
        <f t="shared" ca="1" si="0"/>
        <v/>
      </c>
      <c r="F29" s="683" t="str">
        <f t="shared" ca="1" si="1"/>
        <v/>
      </c>
      <c r="G29" s="684" t="str">
        <f ca="1">IF(ROWS($1:16)&gt;COUNT(Dong13),"",OFFSET(TH!F$1,SMALL(Dong13,ROWS($1:16)),))</f>
        <v/>
      </c>
      <c r="H29" s="685" t="str">
        <f ca="1">IF(ROWS($1:16)&gt;COUNT(Dong13),"",OFFSET(TH!I$1,SMALL(Dong13,ROWS($1:16)),))</f>
        <v/>
      </c>
      <c r="I29" s="685" t="str">
        <f ca="1">IF(ROWS($1:16)&gt;COUNT(Dong13),"",OFFSET(TH!J$1,SMALL(Dong13,ROWS($1:16)),))</f>
        <v/>
      </c>
      <c r="J29" s="686">
        <f t="shared" ca="1" si="3"/>
        <v>0</v>
      </c>
      <c r="K29" s="688"/>
      <c r="L29" s="687"/>
      <c r="M29" s="666"/>
      <c r="N29" s="666"/>
    </row>
    <row r="30" spans="1:14" ht="27" customHeight="1">
      <c r="A30" s="212" t="str">
        <f ca="1">IF(ROWS($1:17)&gt;COUNT(Dong13),"",OFFSET(TH!E$1,SMALL(Dong13,ROWS($1:17)),))</f>
        <v/>
      </c>
      <c r="B30" s="215" t="str">
        <f ca="1">IF(ROWS($1:17)&gt;COUNT(Dong13),"",OFFSET(TH!H$1,SMALL(Dong13,ROWS($1:17)),))</f>
        <v/>
      </c>
      <c r="C30" s="682" t="str">
        <f t="shared" ca="1" si="2"/>
        <v/>
      </c>
      <c r="D30" s="682" t="str">
        <f ca="1">IF(ROWS($1:17)&gt;COUNT(Dong13),"",OFFSET(TH!D$1,SMALL(Dong13,ROWS($1:17)),))</f>
        <v/>
      </c>
      <c r="E30" s="1066" t="str">
        <f t="shared" ca="1" si="0"/>
        <v/>
      </c>
      <c r="F30" s="683" t="str">
        <f t="shared" ca="1" si="1"/>
        <v/>
      </c>
      <c r="G30" s="684" t="str">
        <f ca="1">IF(ROWS($1:17)&gt;COUNT(Dong13),"",OFFSET(TH!F$1,SMALL(Dong13,ROWS($1:17)),))</f>
        <v/>
      </c>
      <c r="H30" s="685" t="str">
        <f ca="1">IF(ROWS($1:17)&gt;COUNT(Dong13),"",OFFSET(TH!I$1,SMALL(Dong13,ROWS($1:17)),))</f>
        <v/>
      </c>
      <c r="I30" s="685" t="str">
        <f ca="1">IF(ROWS($1:17)&gt;COUNT(Dong13),"",OFFSET(TH!J$1,SMALL(Dong13,ROWS($1:17)),))</f>
        <v/>
      </c>
      <c r="J30" s="686">
        <f t="shared" ca="1" si="3"/>
        <v>0</v>
      </c>
      <c r="K30" s="688"/>
      <c r="L30" s="687"/>
      <c r="M30" s="666"/>
      <c r="N30" s="666"/>
    </row>
    <row r="31" spans="1:14" ht="27" customHeight="1">
      <c r="A31" s="212" t="str">
        <f ca="1">IF(ROWS($1:18)&gt;COUNT(Dong13),"",OFFSET(TH!E$1,SMALL(Dong13,ROWS($1:18)),))</f>
        <v/>
      </c>
      <c r="B31" s="215" t="str">
        <f ca="1">IF(ROWS($1:18)&gt;COUNT(Dong13),"",OFFSET(TH!H$1,SMALL(Dong13,ROWS($1:18)),))</f>
        <v/>
      </c>
      <c r="C31" s="682" t="str">
        <f t="shared" ca="1" si="2"/>
        <v/>
      </c>
      <c r="D31" s="682" t="str">
        <f ca="1">IF(ROWS($1:18)&gt;COUNT(Dong13),"",OFFSET(TH!D$1,SMALL(Dong13,ROWS($1:18)),))</f>
        <v/>
      </c>
      <c r="E31" s="1066" t="str">
        <f t="shared" ca="1" si="0"/>
        <v/>
      </c>
      <c r="F31" s="683" t="str">
        <f t="shared" ca="1" si="1"/>
        <v/>
      </c>
      <c r="G31" s="684" t="str">
        <f ca="1">IF(ROWS($1:18)&gt;COUNT(Dong13),"",OFFSET(TH!F$1,SMALL(Dong13,ROWS($1:18)),))</f>
        <v/>
      </c>
      <c r="H31" s="685" t="str">
        <f ca="1">IF(ROWS($1:18)&gt;COUNT(Dong13),"",OFFSET(TH!I$1,SMALL(Dong13,ROWS($1:18)),))</f>
        <v/>
      </c>
      <c r="I31" s="685" t="str">
        <f ca="1">IF(ROWS($1:18)&gt;COUNT(Dong13),"",OFFSET(TH!J$1,SMALL(Dong13,ROWS($1:18)),))</f>
        <v/>
      </c>
      <c r="J31" s="686">
        <f t="shared" ca="1" si="3"/>
        <v>0</v>
      </c>
      <c r="K31" s="688"/>
      <c r="L31" s="687"/>
      <c r="M31" s="666"/>
      <c r="N31" s="666"/>
    </row>
    <row r="32" spans="1:14" ht="27" customHeight="1">
      <c r="A32" s="212" t="str">
        <f ca="1">IF(ROWS($1:19)&gt;COUNT(Dong13),"",OFFSET(TH!E$1,SMALL(Dong13,ROWS($1:19)),))</f>
        <v/>
      </c>
      <c r="B32" s="215" t="str">
        <f ca="1">IF(ROWS($1:19)&gt;COUNT(Dong13),"",OFFSET(TH!H$1,SMALL(Dong13,ROWS($1:19)),))</f>
        <v/>
      </c>
      <c r="C32" s="682" t="str">
        <f t="shared" ca="1" si="2"/>
        <v/>
      </c>
      <c r="D32" s="682" t="str">
        <f ca="1">IF(ROWS($1:19)&gt;COUNT(Dong13),"",OFFSET(TH!D$1,SMALL(Dong13,ROWS($1:19)),))</f>
        <v/>
      </c>
      <c r="E32" s="1066" t="str">
        <f t="shared" ca="1" si="0"/>
        <v/>
      </c>
      <c r="F32" s="683" t="str">
        <f t="shared" ca="1" si="1"/>
        <v/>
      </c>
      <c r="G32" s="684" t="str">
        <f ca="1">IF(ROWS($1:19)&gt;COUNT(Dong13),"",OFFSET(TH!F$1,SMALL(Dong13,ROWS($1:19)),))</f>
        <v/>
      </c>
      <c r="H32" s="685" t="str">
        <f ca="1">IF(ROWS($1:19)&gt;COUNT(Dong13),"",OFFSET(TH!I$1,SMALL(Dong13,ROWS($1:19)),))</f>
        <v/>
      </c>
      <c r="I32" s="685" t="str">
        <f ca="1">IF(ROWS($1:19)&gt;COUNT(Dong13),"",OFFSET(TH!J$1,SMALL(Dong13,ROWS($1:19)),))</f>
        <v/>
      </c>
      <c r="J32" s="686">
        <f t="shared" ca="1" si="3"/>
        <v>0</v>
      </c>
      <c r="K32" s="688"/>
      <c r="L32" s="687"/>
      <c r="M32" s="666"/>
      <c r="N32" s="666"/>
    </row>
    <row r="33" spans="1:14" ht="27" customHeight="1">
      <c r="A33" s="212" t="str">
        <f ca="1">IF(ROWS($1:20)&gt;COUNT(Dong13),"",OFFSET(TH!E$1,SMALL(Dong13,ROWS($1:20)),))</f>
        <v/>
      </c>
      <c r="B33" s="215" t="str">
        <f ca="1">IF(ROWS($1:20)&gt;COUNT(Dong13),"",OFFSET(TH!H$1,SMALL(Dong13,ROWS($1:20)),))</f>
        <v/>
      </c>
      <c r="C33" s="682" t="str">
        <f t="shared" ca="1" si="2"/>
        <v/>
      </c>
      <c r="D33" s="682" t="str">
        <f ca="1">IF(ROWS($1:20)&gt;COUNT(Dong13),"",OFFSET(TH!D$1,SMALL(Dong13,ROWS($1:20)),))</f>
        <v/>
      </c>
      <c r="E33" s="1066" t="str">
        <f t="shared" ca="1" si="0"/>
        <v/>
      </c>
      <c r="F33" s="683" t="str">
        <f t="shared" ca="1" si="1"/>
        <v/>
      </c>
      <c r="G33" s="684" t="str">
        <f ca="1">IF(ROWS($1:20)&gt;COUNT(Dong13),"",OFFSET(TH!F$1,SMALL(Dong13,ROWS($1:20)),))</f>
        <v/>
      </c>
      <c r="H33" s="685" t="str">
        <f ca="1">IF(ROWS($1:20)&gt;COUNT(Dong13),"",OFFSET(TH!I$1,SMALL(Dong13,ROWS($1:20)),))</f>
        <v/>
      </c>
      <c r="I33" s="685" t="str">
        <f ca="1">IF(ROWS($1:20)&gt;COUNT(Dong13),"",OFFSET(TH!J$1,SMALL(Dong13,ROWS($1:20)),))</f>
        <v/>
      </c>
      <c r="J33" s="686">
        <f t="shared" ca="1" si="3"/>
        <v>0</v>
      </c>
      <c r="K33" s="688"/>
      <c r="L33" s="687"/>
      <c r="M33" s="666"/>
      <c r="N33" s="666"/>
    </row>
    <row r="34" spans="1:14" ht="27" customHeight="1">
      <c r="A34" s="212" t="str">
        <f ca="1">IF(ROWS($1:21)&gt;COUNT(Dong13),"",OFFSET(TH!E$1,SMALL(Dong13,ROWS($1:21)),))</f>
        <v/>
      </c>
      <c r="B34" s="215" t="str">
        <f ca="1">IF(ROWS($1:21)&gt;COUNT(Dong13),"",OFFSET(TH!H$1,SMALL(Dong13,ROWS($1:21)),))</f>
        <v/>
      </c>
      <c r="C34" s="682" t="str">
        <f t="shared" ca="1" si="2"/>
        <v/>
      </c>
      <c r="D34" s="682" t="str">
        <f ca="1">IF(ROWS($1:21)&gt;COUNT(Dong13),"",OFFSET(TH!D$1,SMALL(Dong13,ROWS($1:21)),))</f>
        <v/>
      </c>
      <c r="E34" s="1066" t="str">
        <f t="shared" ca="1" si="0"/>
        <v/>
      </c>
      <c r="F34" s="683" t="str">
        <f t="shared" ca="1" si="1"/>
        <v/>
      </c>
      <c r="G34" s="684" t="str">
        <f ca="1">IF(ROWS($1:21)&gt;COUNT(Dong13),"",OFFSET(TH!F$1,SMALL(Dong13,ROWS($1:21)),))</f>
        <v/>
      </c>
      <c r="H34" s="685" t="str">
        <f ca="1">IF(ROWS($1:21)&gt;COUNT(Dong13),"",OFFSET(TH!I$1,SMALL(Dong13,ROWS($1:21)),))</f>
        <v/>
      </c>
      <c r="I34" s="685" t="str">
        <f ca="1">IF(ROWS($1:21)&gt;COUNT(Dong13),"",OFFSET(TH!J$1,SMALL(Dong13,ROWS($1:21)),))</f>
        <v/>
      </c>
      <c r="J34" s="686">
        <f t="shared" ca="1" si="3"/>
        <v>0</v>
      </c>
      <c r="K34" s="688"/>
      <c r="L34" s="687"/>
      <c r="M34" s="666"/>
      <c r="N34" s="666"/>
    </row>
    <row r="35" spans="1:14" ht="27" customHeight="1">
      <c r="A35" s="212" t="str">
        <f ca="1">IF(ROWS($1:22)&gt;COUNT(Dong13),"",OFFSET(TH!E$1,SMALL(Dong13,ROWS($1:22)),))</f>
        <v/>
      </c>
      <c r="B35" s="215" t="str">
        <f ca="1">IF(ROWS($1:22)&gt;COUNT(Dong13),"",OFFSET(TH!H$1,SMALL(Dong13,ROWS($1:22)),))</f>
        <v/>
      </c>
      <c r="C35" s="682" t="str">
        <f t="shared" ca="1" si="2"/>
        <v/>
      </c>
      <c r="D35" s="682" t="str">
        <f ca="1">IF(ROWS($1:22)&gt;COUNT(Dong13),"",OFFSET(TH!D$1,SMALL(Dong13,ROWS($1:22)),))</f>
        <v/>
      </c>
      <c r="E35" s="1066" t="str">
        <f t="shared" ca="1" si="0"/>
        <v/>
      </c>
      <c r="F35" s="683" t="str">
        <f t="shared" ca="1" si="1"/>
        <v/>
      </c>
      <c r="G35" s="684" t="str">
        <f ca="1">IF(ROWS($1:22)&gt;COUNT(Dong13),"",OFFSET(TH!F$1,SMALL(Dong13,ROWS($1:22)),))</f>
        <v/>
      </c>
      <c r="H35" s="685" t="str">
        <f ca="1">IF(ROWS($1:22)&gt;COUNT(Dong13),"",OFFSET(TH!I$1,SMALL(Dong13,ROWS($1:22)),))</f>
        <v/>
      </c>
      <c r="I35" s="685" t="str">
        <f ca="1">IF(ROWS($1:22)&gt;COUNT(Dong13),"",OFFSET(TH!J$1,SMALL(Dong13,ROWS($1:22)),))</f>
        <v/>
      </c>
      <c r="J35" s="686">
        <f t="shared" ca="1" si="3"/>
        <v>0</v>
      </c>
      <c r="K35" s="688"/>
      <c r="L35" s="687"/>
      <c r="M35" s="666"/>
      <c r="N35" s="666"/>
    </row>
    <row r="36" spans="1:14" ht="27" customHeight="1">
      <c r="A36" s="212" t="str">
        <f ca="1">IF(ROWS($1:23)&gt;COUNT(Dong13),"",OFFSET(TH!E$1,SMALL(Dong13,ROWS($1:23)),))</f>
        <v/>
      </c>
      <c r="B36" s="215" t="str">
        <f ca="1">IF(ROWS($1:23)&gt;COUNT(Dong13),"",OFFSET(TH!H$1,SMALL(Dong13,ROWS($1:23)),))</f>
        <v/>
      </c>
      <c r="C36" s="682" t="str">
        <f t="shared" ca="1" si="2"/>
        <v/>
      </c>
      <c r="D36" s="682" t="str">
        <f ca="1">IF(ROWS($1:23)&gt;COUNT(Dong13),"",OFFSET(TH!D$1,SMALL(Dong13,ROWS($1:23)),))</f>
        <v/>
      </c>
      <c r="E36" s="1066" t="str">
        <f t="shared" ca="1" si="0"/>
        <v/>
      </c>
      <c r="F36" s="683" t="str">
        <f t="shared" ca="1" si="1"/>
        <v/>
      </c>
      <c r="G36" s="684" t="str">
        <f ca="1">IF(ROWS($1:23)&gt;COUNT(Dong13),"",OFFSET(TH!F$1,SMALL(Dong13,ROWS($1:23)),))</f>
        <v/>
      </c>
      <c r="H36" s="685" t="str">
        <f ca="1">IF(ROWS($1:23)&gt;COUNT(Dong13),"",OFFSET(TH!I$1,SMALL(Dong13,ROWS($1:23)),))</f>
        <v/>
      </c>
      <c r="I36" s="685" t="str">
        <f ca="1">IF(ROWS($1:23)&gt;COUNT(Dong13),"",OFFSET(TH!J$1,SMALL(Dong13,ROWS($1:23)),))</f>
        <v/>
      </c>
      <c r="J36" s="686">
        <f t="shared" ca="1" si="3"/>
        <v>0</v>
      </c>
      <c r="K36" s="688"/>
      <c r="L36" s="687"/>
      <c r="M36" s="666"/>
      <c r="N36" s="666"/>
    </row>
    <row r="37" spans="1:14" ht="27" customHeight="1">
      <c r="A37" s="212" t="str">
        <f ca="1">IF(ROWS($1:24)&gt;COUNT(Dong13),"",OFFSET(TH!E$1,SMALL(Dong13,ROWS($1:24)),))</f>
        <v/>
      </c>
      <c r="B37" s="215" t="str">
        <f ca="1">IF(ROWS($1:24)&gt;COUNT(Dong13),"",OFFSET(TH!H$1,SMALL(Dong13,ROWS($1:24)),))</f>
        <v/>
      </c>
      <c r="C37" s="682" t="str">
        <f t="shared" ca="1" si="2"/>
        <v/>
      </c>
      <c r="D37" s="682" t="str">
        <f ca="1">IF(ROWS($1:24)&gt;COUNT(Dong13),"",OFFSET(TH!D$1,SMALL(Dong13,ROWS($1:24)),))</f>
        <v/>
      </c>
      <c r="E37" s="1066" t="str">
        <f t="shared" ca="1" si="0"/>
        <v/>
      </c>
      <c r="F37" s="683" t="str">
        <f t="shared" ca="1" si="1"/>
        <v/>
      </c>
      <c r="G37" s="684" t="str">
        <f ca="1">IF(ROWS($1:24)&gt;COUNT(Dong13),"",OFFSET(TH!F$1,SMALL(Dong13,ROWS($1:24)),))</f>
        <v/>
      </c>
      <c r="H37" s="685" t="str">
        <f ca="1">IF(ROWS($1:24)&gt;COUNT(Dong13),"",OFFSET(TH!I$1,SMALL(Dong13,ROWS($1:24)),))</f>
        <v/>
      </c>
      <c r="I37" s="685" t="str">
        <f ca="1">IF(ROWS($1:24)&gt;COUNT(Dong13),"",OFFSET(TH!J$1,SMALL(Dong13,ROWS($1:24)),))</f>
        <v/>
      </c>
      <c r="J37" s="686">
        <f t="shared" ca="1" si="3"/>
        <v>0</v>
      </c>
      <c r="K37" s="688"/>
      <c r="L37" s="687"/>
      <c r="M37" s="666"/>
      <c r="N37" s="666"/>
    </row>
    <row r="38" spans="1:14" ht="27" customHeight="1">
      <c r="A38" s="212" t="str">
        <f ca="1">IF(ROWS($1:25)&gt;COUNT(Dong13),"",OFFSET(TH!E$1,SMALL(Dong13,ROWS($1:25)),))</f>
        <v/>
      </c>
      <c r="B38" s="215" t="str">
        <f ca="1">IF(ROWS($1:25)&gt;COUNT(Dong13),"",OFFSET(TH!H$1,SMALL(Dong13,ROWS($1:25)),))</f>
        <v/>
      </c>
      <c r="C38" s="682" t="str">
        <f t="shared" ca="1" si="2"/>
        <v/>
      </c>
      <c r="D38" s="682" t="str">
        <f ca="1">IF(ROWS($1:25)&gt;COUNT(Dong13),"",OFFSET(TH!D$1,SMALL(Dong13,ROWS($1:25)),))</f>
        <v/>
      </c>
      <c r="E38" s="1066" t="str">
        <f t="shared" ca="1" si="0"/>
        <v/>
      </c>
      <c r="F38" s="683" t="str">
        <f t="shared" ca="1" si="1"/>
        <v/>
      </c>
      <c r="G38" s="684" t="str">
        <f ca="1">IF(ROWS($1:25)&gt;COUNT(Dong13),"",OFFSET(TH!F$1,SMALL(Dong13,ROWS($1:25)),))</f>
        <v/>
      </c>
      <c r="H38" s="685" t="str">
        <f ca="1">IF(ROWS($1:25)&gt;COUNT(Dong13),"",OFFSET(TH!I$1,SMALL(Dong13,ROWS($1:25)),))</f>
        <v/>
      </c>
      <c r="I38" s="685" t="str">
        <f ca="1">IF(ROWS($1:25)&gt;COUNT(Dong13),"",OFFSET(TH!J$1,SMALL(Dong13,ROWS($1:25)),))</f>
        <v/>
      </c>
      <c r="J38" s="686">
        <f t="shared" ca="1" si="3"/>
        <v>0</v>
      </c>
      <c r="K38" s="688"/>
      <c r="L38" s="687"/>
      <c r="M38" s="666"/>
      <c r="N38" s="666"/>
    </row>
    <row r="39" spans="1:14" ht="27" customHeight="1">
      <c r="A39" s="212" t="str">
        <f ca="1">IF(ROWS($1:26)&gt;COUNT(Dong13),"",OFFSET(TH!E$1,SMALL(Dong13,ROWS($1:26)),))</f>
        <v/>
      </c>
      <c r="B39" s="215" t="str">
        <f ca="1">IF(ROWS($1:26)&gt;COUNT(Dong13),"",OFFSET(TH!H$1,SMALL(Dong13,ROWS($1:26)),))</f>
        <v/>
      </c>
      <c r="C39" s="682" t="str">
        <f t="shared" ca="1" si="2"/>
        <v/>
      </c>
      <c r="D39" s="682" t="str">
        <f ca="1">IF(ROWS($1:26)&gt;COUNT(Dong13),"",OFFSET(TH!D$1,SMALL(Dong13,ROWS($1:26)),))</f>
        <v/>
      </c>
      <c r="E39" s="1066" t="str">
        <f t="shared" ca="1" si="0"/>
        <v/>
      </c>
      <c r="F39" s="683" t="str">
        <f t="shared" ca="1" si="1"/>
        <v/>
      </c>
      <c r="G39" s="684" t="str">
        <f ca="1">IF(ROWS($1:26)&gt;COUNT(Dong13),"",OFFSET(TH!F$1,SMALL(Dong13,ROWS($1:26)),))</f>
        <v/>
      </c>
      <c r="H39" s="685" t="str">
        <f ca="1">IF(ROWS($1:26)&gt;COUNT(Dong13),"",OFFSET(TH!I$1,SMALL(Dong13,ROWS($1:26)),))</f>
        <v/>
      </c>
      <c r="I39" s="685" t="str">
        <f ca="1">IF(ROWS($1:26)&gt;COUNT(Dong13),"",OFFSET(TH!J$1,SMALL(Dong13,ROWS($1:26)),))</f>
        <v/>
      </c>
      <c r="J39" s="686">
        <f t="shared" ca="1" si="3"/>
        <v>0</v>
      </c>
      <c r="K39" s="688"/>
      <c r="L39" s="687"/>
      <c r="M39" s="666"/>
      <c r="N39" s="666"/>
    </row>
    <row r="40" spans="1:14" ht="27" customHeight="1">
      <c r="A40" s="212" t="str">
        <f ca="1">IF(ROWS($1:27)&gt;COUNT(Dong13),"",OFFSET(TH!E$1,SMALL(Dong13,ROWS($1:27)),))</f>
        <v/>
      </c>
      <c r="B40" s="215" t="str">
        <f ca="1">IF(ROWS($1:27)&gt;COUNT(Dong13),"",OFFSET(TH!H$1,SMALL(Dong13,ROWS($1:27)),))</f>
        <v/>
      </c>
      <c r="C40" s="682" t="str">
        <f t="shared" ca="1" si="2"/>
        <v/>
      </c>
      <c r="D40" s="682" t="str">
        <f ca="1">IF(ROWS($1:27)&gt;COUNT(Dong13),"",OFFSET(TH!D$1,SMALL(Dong13,ROWS($1:27)),))</f>
        <v/>
      </c>
      <c r="E40" s="1066" t="str">
        <f t="shared" ca="1" si="0"/>
        <v/>
      </c>
      <c r="F40" s="683" t="str">
        <f t="shared" ca="1" si="1"/>
        <v/>
      </c>
      <c r="G40" s="684" t="str">
        <f ca="1">IF(ROWS($1:27)&gt;COUNT(Dong13),"",OFFSET(TH!F$1,SMALL(Dong13,ROWS($1:27)),))</f>
        <v/>
      </c>
      <c r="H40" s="685" t="str">
        <f ca="1">IF(ROWS($1:27)&gt;COUNT(Dong13),"",OFFSET(TH!I$1,SMALL(Dong13,ROWS($1:27)),))</f>
        <v/>
      </c>
      <c r="I40" s="685" t="str">
        <f ca="1">IF(ROWS($1:27)&gt;COUNT(Dong13),"",OFFSET(TH!J$1,SMALL(Dong13,ROWS($1:27)),))</f>
        <v/>
      </c>
      <c r="J40" s="686">
        <f t="shared" ca="1" si="3"/>
        <v>0</v>
      </c>
      <c r="K40" s="688"/>
      <c r="L40" s="687"/>
      <c r="M40" s="666"/>
      <c r="N40" s="666"/>
    </row>
    <row r="41" spans="1:14" ht="28.5" customHeight="1">
      <c r="A41" s="667" t="s">
        <v>524</v>
      </c>
      <c r="B41" s="665"/>
      <c r="C41" s="665"/>
      <c r="D41" s="665"/>
      <c r="E41" s="1067">
        <f ca="1">SUM(J14:J40)</f>
        <v>0</v>
      </c>
      <c r="F41" s="689"/>
      <c r="G41" s="665"/>
      <c r="H41" s="669"/>
      <c r="I41" s="669"/>
      <c r="J41" s="690"/>
      <c r="K41" s="665"/>
      <c r="L41" s="665"/>
      <c r="M41" s="666"/>
      <c r="N41" s="691">
        <f ca="1">SUBTOTAL(9,J14:J40)</f>
        <v>0</v>
      </c>
    </row>
    <row r="42" spans="1:14" ht="15.75">
      <c r="A42" s="667"/>
      <c r="B42" s="665"/>
      <c r="C42" s="665"/>
      <c r="D42" s="665"/>
      <c r="E42" s="1068"/>
      <c r="F42" s="669"/>
      <c r="G42" s="665"/>
      <c r="H42" s="669"/>
      <c r="I42" s="669"/>
      <c r="J42" s="693" t="str">
        <f xml:space="preserve"> IF(OR($M$11=1,$M$11=4,$M$11=6,$M$11=9,$M$11=11),"Ngày  30  tháng  "&amp;$M$11&amp;"  năm 2016",IF(OR($M$11=3,$M$11=5,$M$11=7,$M$11=8,$M$11=10,$M$11=12),"Ngày  31  tháng  "&amp;$M$11&amp;"  năm 2016","Ngày  29  tháng  "&amp;$M$11&amp;"  năm 2016"))</f>
        <v>Ngày  29  tháng  2  năm 2016</v>
      </c>
      <c r="K42" s="694"/>
      <c r="L42" s="665"/>
      <c r="M42" s="666"/>
      <c r="N42" s="666"/>
    </row>
    <row r="43" spans="1:14" ht="15.75">
      <c r="A43" s="667"/>
      <c r="B43" s="695" t="s">
        <v>525</v>
      </c>
      <c r="C43" s="695"/>
      <c r="D43" s="695"/>
      <c r="E43" s="1064"/>
      <c r="F43" s="665"/>
      <c r="G43" s="665"/>
      <c r="H43" s="669"/>
      <c r="I43" s="669"/>
      <c r="J43" s="696" t="s">
        <v>526</v>
      </c>
      <c r="K43" s="665"/>
      <c r="L43" s="665"/>
      <c r="M43" s="666"/>
      <c r="N43" s="666"/>
    </row>
    <row r="44" spans="1:14" ht="15.75">
      <c r="A44" s="667"/>
      <c r="B44" s="697" t="s">
        <v>527</v>
      </c>
      <c r="C44" s="697"/>
      <c r="D44" s="697"/>
      <c r="E44" s="1064"/>
      <c r="F44" s="698"/>
      <c r="G44" s="665"/>
      <c r="H44" s="669"/>
      <c r="I44" s="669"/>
      <c r="J44" s="699" t="s">
        <v>528</v>
      </c>
      <c r="K44" s="665"/>
      <c r="L44" s="665"/>
      <c r="M44" s="666"/>
      <c r="N44" s="666"/>
    </row>
    <row r="45" spans="1:14" ht="15.75">
      <c r="A45" s="667"/>
      <c r="B45" s="697"/>
      <c r="C45" s="697"/>
      <c r="D45" s="697"/>
      <c r="E45" s="1064"/>
      <c r="F45" s="698"/>
      <c r="G45" s="665"/>
      <c r="H45" s="669"/>
      <c r="I45" s="699"/>
      <c r="J45" s="665"/>
      <c r="K45" s="665"/>
      <c r="L45" s="665"/>
      <c r="M45" s="666"/>
      <c r="N45" s="666"/>
    </row>
    <row r="46" spans="1:14" ht="15.75">
      <c r="A46" s="667"/>
      <c r="B46" s="697"/>
      <c r="C46" s="697"/>
      <c r="D46" s="697"/>
      <c r="E46" s="1064"/>
      <c r="F46" s="698"/>
      <c r="G46" s="665"/>
      <c r="H46" s="669"/>
      <c r="I46" s="699"/>
      <c r="J46" s="665"/>
      <c r="K46" s="665"/>
      <c r="L46" s="665"/>
      <c r="M46" s="666"/>
      <c r="N46" s="666"/>
    </row>
    <row r="47" spans="1:14" ht="15.75">
      <c r="A47" s="667"/>
      <c r="B47" s="692"/>
      <c r="C47" s="665"/>
      <c r="D47" s="665"/>
      <c r="E47" s="1064"/>
      <c r="F47" s="692"/>
      <c r="G47" s="665"/>
      <c r="H47" s="669"/>
      <c r="I47" s="669"/>
      <c r="J47" s="475"/>
      <c r="K47" s="665"/>
      <c r="L47" s="665"/>
      <c r="M47" s="666"/>
      <c r="N47" s="666"/>
    </row>
    <row r="48" spans="1:14" ht="15.75">
      <c r="A48" s="667"/>
      <c r="B48" s="700"/>
      <c r="C48" s="700"/>
      <c r="D48" s="700"/>
      <c r="E48" s="1069"/>
      <c r="F48" s="665"/>
      <c r="G48" s="665"/>
      <c r="H48" s="1279"/>
      <c r="I48" s="1279"/>
      <c r="J48" s="1279"/>
      <c r="K48" s="665"/>
      <c r="L48" s="665"/>
      <c r="M48" s="666"/>
      <c r="N48" s="666"/>
    </row>
    <row r="49" spans="1:14" ht="15.75">
      <c r="A49" s="667"/>
      <c r="B49" s="1059" t="s">
        <v>230</v>
      </c>
      <c r="C49" s="1061"/>
      <c r="D49" s="665"/>
      <c r="E49" s="1064"/>
      <c r="F49" s="665"/>
      <c r="G49" s="665"/>
      <c r="H49" s="669"/>
      <c r="I49" s="669"/>
      <c r="J49" s="1060" t="s">
        <v>125</v>
      </c>
      <c r="K49" s="1060"/>
      <c r="L49" s="1060"/>
      <c r="M49" s="1060"/>
      <c r="N49" s="666"/>
    </row>
    <row r="50" spans="1:14" ht="15.75">
      <c r="A50" s="701" t="s">
        <v>529</v>
      </c>
      <c r="B50" s="665"/>
      <c r="C50" s="665"/>
      <c r="D50" s="665"/>
      <c r="E50" s="1064"/>
      <c r="F50" s="665"/>
      <c r="G50" s="665"/>
      <c r="H50" s="669"/>
      <c r="I50" s="669"/>
      <c r="J50" s="665"/>
      <c r="K50" s="665"/>
      <c r="L50" s="665"/>
      <c r="M50" s="666"/>
      <c r="N50" s="666"/>
    </row>
    <row r="51" spans="1:14" ht="37.5" customHeight="1">
      <c r="A51" s="1280" t="s">
        <v>530</v>
      </c>
      <c r="B51" s="1281"/>
      <c r="C51" s="1281"/>
      <c r="D51" s="1281"/>
      <c r="E51" s="1281"/>
      <c r="F51" s="1281"/>
      <c r="G51" s="1281"/>
      <c r="H51" s="1281"/>
      <c r="I51" s="1281"/>
      <c r="J51" s="1281"/>
      <c r="K51" s="1281"/>
      <c r="L51" s="665"/>
      <c r="M51" s="666"/>
      <c r="N51" s="666"/>
    </row>
    <row r="52" spans="1:14" ht="45" customHeight="1">
      <c r="A52" s="1280" t="s">
        <v>531</v>
      </c>
      <c r="B52" s="1280"/>
      <c r="C52" s="1280"/>
      <c r="D52" s="1280"/>
      <c r="E52" s="1280"/>
      <c r="F52" s="1280"/>
      <c r="G52" s="1280"/>
      <c r="H52" s="1280"/>
      <c r="I52" s="1280"/>
      <c r="J52" s="1280"/>
      <c r="K52" s="1280"/>
      <c r="L52" s="665"/>
      <c r="M52" s="666"/>
      <c r="N52" s="666"/>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44" activePane="bottomRight" state="frozen"/>
      <selection activeCell="C33" sqref="C33"/>
      <selection pane="topRight" activeCell="C33" sqref="C33"/>
      <selection pane="bottomLeft" activeCell="C33" sqref="C33"/>
      <selection pane="bottomRight" activeCell="N72" sqref="N72"/>
    </sheetView>
  </sheetViews>
  <sheetFormatPr defaultColWidth="10.28515625" defaultRowHeight="12.75"/>
  <cols>
    <col min="1" max="1" width="4.7109375" style="702" customWidth="1"/>
    <col min="2" max="2" width="23" style="702" customWidth="1"/>
    <col min="3" max="3" width="6.7109375" style="702" customWidth="1"/>
    <col min="4" max="5" width="8.85546875" style="702" customWidth="1"/>
    <col min="6" max="6" width="9.140625" style="702" customWidth="1"/>
    <col min="7" max="7" width="14.28515625" style="702" customWidth="1"/>
    <col min="8" max="11" width="13.7109375" style="702" customWidth="1"/>
    <col min="12" max="12" width="11.85546875" style="702" customWidth="1"/>
    <col min="13" max="13" width="13.7109375" style="702" hidden="1" customWidth="1"/>
    <col min="14" max="14" width="14.5703125" style="702" customWidth="1"/>
    <col min="15" max="15" width="7.28515625" style="702" customWidth="1"/>
    <col min="16" max="16" width="7.7109375" style="702" customWidth="1"/>
    <col min="17" max="17" width="3.42578125" style="703" customWidth="1"/>
    <col min="18" max="18" width="23" style="702" customWidth="1"/>
    <col min="19" max="19" width="10.140625" style="704" customWidth="1"/>
    <col min="20" max="21" width="7.5703125" style="705" customWidth="1"/>
    <col min="22" max="22" width="12.140625" style="702" customWidth="1"/>
    <col min="23" max="23" width="7.7109375" style="702" customWidth="1"/>
    <col min="24" max="16384" width="10.28515625" style="702"/>
  </cols>
  <sheetData>
    <row r="1" spans="1:25">
      <c r="B1" s="702">
        <v>1</v>
      </c>
      <c r="C1" s="702">
        <v>2</v>
      </c>
      <c r="D1" s="702">
        <v>3</v>
      </c>
      <c r="E1" s="702">
        <v>4</v>
      </c>
      <c r="F1" s="702">
        <v>5</v>
      </c>
      <c r="G1" s="702">
        <v>6</v>
      </c>
      <c r="H1" s="702">
        <v>8</v>
      </c>
      <c r="I1" s="702">
        <v>7</v>
      </c>
      <c r="J1" s="702">
        <v>9</v>
      </c>
      <c r="K1" s="702">
        <v>10</v>
      </c>
      <c r="L1" s="702">
        <v>11</v>
      </c>
      <c r="M1" s="702">
        <v>12</v>
      </c>
      <c r="N1" s="702">
        <v>13</v>
      </c>
      <c r="O1" s="702">
        <v>14</v>
      </c>
      <c r="P1" s="702">
        <v>15</v>
      </c>
    </row>
    <row r="2" spans="1:25" ht="18" customHeight="1">
      <c r="A2" s="706" t="s">
        <v>532</v>
      </c>
      <c r="B2" s="706"/>
      <c r="C2" s="707"/>
      <c r="D2" s="708"/>
      <c r="E2" s="708"/>
      <c r="F2" s="708"/>
      <c r="G2" s="705"/>
      <c r="H2" s="705"/>
      <c r="I2" s="705"/>
      <c r="J2" s="705"/>
      <c r="K2" s="705"/>
      <c r="L2" s="709"/>
      <c r="M2" s="705"/>
      <c r="N2" s="705"/>
      <c r="O2" s="710"/>
      <c r="P2" s="705"/>
      <c r="Q2" s="711"/>
      <c r="R2" s="705"/>
      <c r="S2" s="712"/>
    </row>
    <row r="3" spans="1:25" ht="18.75" customHeight="1">
      <c r="A3" s="713" t="s">
        <v>533</v>
      </c>
      <c r="B3" s="713"/>
      <c r="C3" s="713"/>
      <c r="D3" s="713"/>
      <c r="E3" s="713"/>
      <c r="F3" s="713"/>
      <c r="G3" s="713"/>
      <c r="H3" s="713"/>
      <c r="I3" s="713"/>
      <c r="J3" s="713"/>
      <c r="K3" s="713"/>
      <c r="L3" s="713"/>
      <c r="M3" s="713"/>
      <c r="N3" s="713"/>
      <c r="O3" s="713"/>
      <c r="P3" s="713"/>
      <c r="Q3" s="711"/>
      <c r="R3" s="705"/>
      <c r="S3" s="712"/>
    </row>
    <row r="4" spans="1:25" ht="18.75" customHeight="1">
      <c r="A4" s="714"/>
      <c r="B4" s="714"/>
      <c r="C4" s="715"/>
      <c r="D4" s="714"/>
      <c r="E4" s="714"/>
      <c r="F4" s="714"/>
      <c r="G4" s="714"/>
      <c r="H4" s="714"/>
      <c r="I4" s="714"/>
      <c r="J4" s="714"/>
      <c r="K4" s="714"/>
      <c r="L4" s="713"/>
      <c r="M4" s="714"/>
      <c r="N4" s="714"/>
      <c r="O4" s="716"/>
      <c r="P4" s="714"/>
      <c r="Q4" s="711"/>
      <c r="R4" s="705"/>
      <c r="S4" s="712"/>
    </row>
    <row r="5" spans="1:25" ht="12.75" customHeight="1">
      <c r="A5" s="717"/>
      <c r="B5" s="717"/>
      <c r="C5" s="718"/>
      <c r="D5" s="717"/>
      <c r="E5" s="717"/>
      <c r="F5" s="717"/>
      <c r="G5" s="717"/>
      <c r="H5" s="717"/>
      <c r="I5" s="717"/>
      <c r="J5" s="717"/>
      <c r="K5" s="717"/>
      <c r="L5" s="717"/>
      <c r="M5" s="717"/>
      <c r="N5" s="717"/>
      <c r="O5" s="719"/>
      <c r="P5" s="717"/>
      <c r="Q5" s="711"/>
      <c r="R5" s="720"/>
      <c r="S5" s="1298"/>
      <c r="T5" s="1298"/>
      <c r="U5" s="721"/>
      <c r="V5" s="1298"/>
      <c r="W5" s="1298"/>
      <c r="X5" s="720"/>
      <c r="Y5" s="720"/>
    </row>
    <row r="6" spans="1:25" s="728" customFormat="1" ht="30.75" customHeight="1">
      <c r="A6" s="722" t="s">
        <v>37</v>
      </c>
      <c r="B6" s="722" t="s">
        <v>534</v>
      </c>
      <c r="C6" s="723" t="s">
        <v>535</v>
      </c>
      <c r="D6" s="724" t="s">
        <v>536</v>
      </c>
      <c r="E6" s="724" t="s">
        <v>537</v>
      </c>
      <c r="F6" s="724" t="s">
        <v>538</v>
      </c>
      <c r="G6" s="724" t="s">
        <v>539</v>
      </c>
      <c r="H6" s="724" t="s">
        <v>540</v>
      </c>
      <c r="I6" s="724" t="s">
        <v>541</v>
      </c>
      <c r="J6" s="724" t="s">
        <v>542</v>
      </c>
      <c r="K6" s="725" t="s">
        <v>543</v>
      </c>
      <c r="L6" s="724" t="s">
        <v>544</v>
      </c>
      <c r="M6" s="725" t="s">
        <v>545</v>
      </c>
      <c r="N6" s="724" t="s">
        <v>546</v>
      </c>
      <c r="O6" s="726" t="s">
        <v>537</v>
      </c>
      <c r="P6" s="724" t="s">
        <v>547</v>
      </c>
      <c r="Q6" s="727"/>
      <c r="R6" s="722" t="s">
        <v>534</v>
      </c>
      <c r="S6" s="724" t="s">
        <v>501</v>
      </c>
      <c r="T6" s="724" t="s">
        <v>338</v>
      </c>
      <c r="U6" s="724" t="s">
        <v>538</v>
      </c>
      <c r="V6" s="724" t="s">
        <v>548</v>
      </c>
      <c r="W6" s="722" t="s">
        <v>548</v>
      </c>
    </row>
    <row r="7" spans="1:25">
      <c r="A7" s="729">
        <f>IF(B7&lt;&gt;"",ROW()-(ROW()-1),"")</f>
        <v>1</v>
      </c>
      <c r="B7" s="482" t="s">
        <v>452</v>
      </c>
      <c r="C7" s="730">
        <v>11</v>
      </c>
      <c r="D7" s="582">
        <f>ROUND(C7*O7,0)</f>
        <v>78100</v>
      </c>
      <c r="E7" s="582"/>
      <c r="F7" s="582">
        <v>16000</v>
      </c>
      <c r="G7" s="731">
        <f>(D7+E7)*F7</f>
        <v>1249600000</v>
      </c>
      <c r="H7" s="582">
        <f>IF($D$11&lt;&gt;0,H$11/($D$11+$E$11/5)*($D7+$E7/5),0)</f>
        <v>45374327.428571433</v>
      </c>
      <c r="I7" s="582">
        <f>IF($D$11&lt;&gt;0,I$11/$D$11*$D7,0)</f>
        <v>16528039.314285716</v>
      </c>
      <c r="J7" s="582">
        <f t="shared" ref="J7:K9" si="0">IF($D$11&lt;&gt;0,J$11/$D$11*$D7,0)</f>
        <v>26076882.857142854</v>
      </c>
      <c r="K7" s="582">
        <f t="shared" si="0"/>
        <v>17957921.771428574</v>
      </c>
      <c r="L7" s="582">
        <f>V18+V19</f>
        <v>7800000</v>
      </c>
      <c r="M7" s="582"/>
      <c r="N7" s="731">
        <f>G7+I7+H7+J7+L7+K7+M7</f>
        <v>1363337171.3714287</v>
      </c>
      <c r="O7" s="582">
        <v>7100</v>
      </c>
      <c r="P7" s="582">
        <f>IF(O7&lt;&gt;"",N7/O7,"")</f>
        <v>192019.31991146883</v>
      </c>
      <c r="Q7" s="732"/>
      <c r="R7" s="733" t="s">
        <v>340</v>
      </c>
      <c r="S7" s="734">
        <v>42371</v>
      </c>
      <c r="T7" s="221">
        <v>100</v>
      </c>
      <c r="U7" s="735">
        <v>35444.444444444445</v>
      </c>
      <c r="V7" s="731">
        <f>ROUND(T7*U7,0)</f>
        <v>3544444</v>
      </c>
      <c r="W7" s="736"/>
    </row>
    <row r="8" spans="1:25">
      <c r="A8" s="729">
        <f>IF(B8&lt;&gt;"",A7+1,"")</f>
        <v>2</v>
      </c>
      <c r="B8" s="482" t="s">
        <v>454</v>
      </c>
      <c r="C8" s="730">
        <v>8</v>
      </c>
      <c r="D8" s="582">
        <f>ROUND(C8*O8,0)</f>
        <v>38400</v>
      </c>
      <c r="E8" s="582"/>
      <c r="F8" s="582">
        <v>18500</v>
      </c>
      <c r="G8" s="731">
        <f>(D8+E8)*F8</f>
        <v>710400000</v>
      </c>
      <c r="H8" s="582">
        <f>IF($D$11&lt;&gt;0,H$11/($D$11+$E$11/5)*($D8+$E8/5),0)</f>
        <v>22309528.466800805</v>
      </c>
      <c r="I8" s="582">
        <f>IF($D$11&lt;&gt;0,I$11/$D$11*$D8,0)</f>
        <v>8126462.3517102618</v>
      </c>
      <c r="J8" s="582">
        <f t="shared" si="0"/>
        <v>12821412.313883299</v>
      </c>
      <c r="K8" s="582">
        <f t="shared" si="0"/>
        <v>8829503.1501006037</v>
      </c>
      <c r="L8" s="582">
        <f>V20+V21</f>
        <v>46346000</v>
      </c>
      <c r="M8" s="582"/>
      <c r="N8" s="731">
        <f>G8+I8+H8+J8+L8+K8+M8</f>
        <v>808832906.28249502</v>
      </c>
      <c r="O8" s="737">
        <v>4800</v>
      </c>
      <c r="P8" s="582">
        <f>IF(O8&lt;&gt;"",N8/O8,"")</f>
        <v>168506.85547551978</v>
      </c>
      <c r="Q8" s="732"/>
      <c r="R8" s="738" t="s">
        <v>346</v>
      </c>
      <c r="S8" s="734">
        <v>42371</v>
      </c>
      <c r="T8" s="221">
        <v>20</v>
      </c>
      <c r="U8" s="739">
        <v>46741.2</v>
      </c>
      <c r="V8" s="731">
        <f t="shared" ref="V8:V14" si="1">ROUND(T8*U8,0)</f>
        <v>934824</v>
      </c>
      <c r="W8" s="740"/>
    </row>
    <row r="9" spans="1:25">
      <c r="A9" s="729">
        <f>IF(B9&lt;&gt;"",A8+1,"")</f>
        <v>3</v>
      </c>
      <c r="B9" s="741" t="s">
        <v>453</v>
      </c>
      <c r="C9" s="730">
        <v>11</v>
      </c>
      <c r="D9" s="582">
        <f>ROUND(C9*O9,0)</f>
        <v>132000</v>
      </c>
      <c r="E9" s="582"/>
      <c r="F9" s="582">
        <v>14500</v>
      </c>
      <c r="G9" s="731">
        <f>(D9+E9)*F9</f>
        <v>1914000000</v>
      </c>
      <c r="H9" s="582">
        <f>IF($D$11&lt;&gt;0,H$11/($D$11+$E$11/5)*($D9+$E9/5),0)</f>
        <v>76689004.104627773</v>
      </c>
      <c r="I9" s="582">
        <f>IF($D$11&lt;&gt;0,I$11/$D$11*$D9,0)</f>
        <v>27934714.334004026</v>
      </c>
      <c r="J9" s="582">
        <f t="shared" si="0"/>
        <v>44073604.828973837</v>
      </c>
      <c r="K9" s="582">
        <f t="shared" si="0"/>
        <v>30351417.078470826</v>
      </c>
      <c r="L9" s="582">
        <f>V22+V23</f>
        <v>15225000</v>
      </c>
      <c r="M9" s="582"/>
      <c r="N9" s="731">
        <f>G9+I9+H9+J9+L9+K9+M9</f>
        <v>2108273740.3460765</v>
      </c>
      <c r="O9" s="737">
        <v>12000</v>
      </c>
      <c r="P9" s="582">
        <f>IF(O9&lt;&gt;"",N9/O9,"")</f>
        <v>175689.47836217305</v>
      </c>
      <c r="Q9" s="732"/>
      <c r="R9" s="738" t="s">
        <v>349</v>
      </c>
      <c r="S9" s="734">
        <v>42371</v>
      </c>
      <c r="T9" s="221">
        <v>150</v>
      </c>
      <c r="U9" s="739">
        <v>11666.673333333334</v>
      </c>
      <c r="V9" s="731">
        <f t="shared" si="1"/>
        <v>1750001</v>
      </c>
      <c r="W9" s="740"/>
    </row>
    <row r="10" spans="1:25" s="751" customFormat="1">
      <c r="A10" s="729" t="str">
        <f>IF(B10&lt;&gt;"",#REF!+1,"")</f>
        <v/>
      </c>
      <c r="B10" s="742"/>
      <c r="C10" s="743"/>
      <c r="D10" s="582"/>
      <c r="E10" s="744"/>
      <c r="F10" s="745"/>
      <c r="G10" s="746"/>
      <c r="H10" s="582"/>
      <c r="I10" s="745"/>
      <c r="J10" s="747"/>
      <c r="K10" s="745"/>
      <c r="L10" s="748"/>
      <c r="M10" s="745"/>
      <c r="N10" s="731"/>
      <c r="O10" s="749"/>
      <c r="P10" s="582" t="str">
        <f>IF(B10&lt;&gt;"",N10/O10,"")</f>
        <v/>
      </c>
      <c r="Q10" s="750"/>
      <c r="R10" s="738" t="s">
        <v>225</v>
      </c>
      <c r="S10" s="734">
        <v>42376</v>
      </c>
      <c r="T10" s="221">
        <v>100</v>
      </c>
      <c r="U10" s="739">
        <v>21979.791919191921</v>
      </c>
      <c r="V10" s="731">
        <f t="shared" si="1"/>
        <v>2197979</v>
      </c>
      <c r="W10" s="740"/>
    </row>
    <row r="11" spans="1:25" s="706" customFormat="1">
      <c r="A11" s="752"/>
      <c r="B11" s="753" t="s">
        <v>549</v>
      </c>
      <c r="C11" s="754"/>
      <c r="D11" s="755">
        <f>SUM(D7:D10)</f>
        <v>248500</v>
      </c>
      <c r="E11" s="755"/>
      <c r="F11" s="755"/>
      <c r="G11" s="755">
        <f>SUM(G7:G10)</f>
        <v>3874000000</v>
      </c>
      <c r="H11" s="756">
        <v>144372860</v>
      </c>
      <c r="I11" s="756">
        <f>V17</f>
        <v>52589216</v>
      </c>
      <c r="J11" s="756">
        <v>82971900</v>
      </c>
      <c r="K11" s="756">
        <v>57138842</v>
      </c>
      <c r="L11" s="755">
        <f>ROUND(SUM(L7:L10),0)</f>
        <v>69371000</v>
      </c>
      <c r="M11" s="755">
        <f>ROUND(SUM(M7:M10),0)</f>
        <v>0</v>
      </c>
      <c r="N11" s="755">
        <f>ROUND(SUM(N7:N10),0)</f>
        <v>4280443818</v>
      </c>
      <c r="O11" s="755">
        <f>ROUND(SUM(O7:O10),0)</f>
        <v>23900</v>
      </c>
      <c r="P11" s="755"/>
      <c r="Q11" s="711"/>
      <c r="R11" s="738" t="s">
        <v>354</v>
      </c>
      <c r="S11" s="734"/>
      <c r="T11" s="221"/>
      <c r="U11" s="739">
        <v>3500</v>
      </c>
      <c r="V11" s="731">
        <f t="shared" si="1"/>
        <v>0</v>
      </c>
      <c r="W11" s="740"/>
    </row>
    <row r="12" spans="1:25" s="706" customFormat="1">
      <c r="A12" s="757"/>
      <c r="B12" s="758"/>
      <c r="C12" s="715"/>
      <c r="D12" s="759"/>
      <c r="E12" s="759"/>
      <c r="F12" s="759"/>
      <c r="G12" s="759"/>
      <c r="H12" s="759"/>
      <c r="I12" s="713"/>
      <c r="J12" s="759"/>
      <c r="K12" s="759"/>
      <c r="L12" s="759"/>
      <c r="M12" s="759"/>
      <c r="N12" s="759"/>
      <c r="O12" s="759"/>
      <c r="P12" s="759"/>
      <c r="Q12" s="711"/>
      <c r="R12" s="738" t="s">
        <v>357</v>
      </c>
      <c r="S12" s="734">
        <v>42376</v>
      </c>
      <c r="T12" s="221">
        <v>2700</v>
      </c>
      <c r="U12" s="739">
        <v>14899.99962962963</v>
      </c>
      <c r="V12" s="731">
        <f t="shared" si="1"/>
        <v>40229999</v>
      </c>
      <c r="W12" s="740"/>
    </row>
    <row r="13" spans="1:25" s="706" customFormat="1">
      <c r="A13" s="757"/>
      <c r="B13" s="758"/>
      <c r="C13" s="715"/>
      <c r="D13" s="759"/>
      <c r="E13" s="759"/>
      <c r="F13" s="759"/>
      <c r="G13" s="760"/>
      <c r="H13" s="759"/>
      <c r="I13" s="713"/>
      <c r="J13" s="759"/>
      <c r="K13" s="759"/>
      <c r="L13" s="759"/>
      <c r="M13" s="759"/>
      <c r="N13" s="759"/>
      <c r="O13" s="759"/>
      <c r="P13" s="759"/>
      <c r="Q13" s="711"/>
      <c r="R13" s="738" t="s">
        <v>360</v>
      </c>
      <c r="S13" s="734">
        <v>42384</v>
      </c>
      <c r="T13" s="221">
        <v>400</v>
      </c>
      <c r="U13" s="739">
        <v>8500</v>
      </c>
      <c r="V13" s="731">
        <f t="shared" si="1"/>
        <v>3400000</v>
      </c>
      <c r="W13" s="740"/>
    </row>
    <row r="14" spans="1:25" s="706" customFormat="1">
      <c r="A14" s="757"/>
      <c r="B14" s="758"/>
      <c r="C14" s="715"/>
      <c r="D14" s="759"/>
      <c r="E14" s="759"/>
      <c r="F14" s="759"/>
      <c r="G14" s="760"/>
      <c r="H14" s="759"/>
      <c r="I14" s="713"/>
      <c r="J14" s="759"/>
      <c r="K14" s="759"/>
      <c r="L14" s="759"/>
      <c r="M14" s="759"/>
      <c r="N14" s="759"/>
      <c r="O14" s="759"/>
      <c r="P14" s="759"/>
      <c r="Q14" s="711"/>
      <c r="R14" s="738" t="s">
        <v>364</v>
      </c>
      <c r="S14" s="734">
        <v>42384</v>
      </c>
      <c r="T14" s="761">
        <v>1647</v>
      </c>
      <c r="U14" s="761">
        <v>322.9927140255009</v>
      </c>
      <c r="V14" s="731">
        <f t="shared" si="1"/>
        <v>531969</v>
      </c>
      <c r="W14" s="740"/>
    </row>
    <row r="15" spans="1:25" s="706" customFormat="1">
      <c r="A15" s="757"/>
      <c r="B15" s="758"/>
      <c r="C15" s="715"/>
      <c r="D15" s="759"/>
      <c r="E15" s="759"/>
      <c r="F15" s="759"/>
      <c r="G15" s="760"/>
      <c r="H15" s="759"/>
      <c r="I15" s="713"/>
      <c r="J15" s="759"/>
      <c r="K15" s="759"/>
      <c r="L15" s="759"/>
      <c r="M15" s="759"/>
      <c r="N15" s="759"/>
      <c r="O15" s="759"/>
      <c r="P15" s="759"/>
      <c r="Q15" s="702"/>
      <c r="R15" s="762"/>
      <c r="S15" s="734"/>
      <c r="T15" s="763"/>
      <c r="U15" s="763"/>
      <c r="V15" s="763"/>
      <c r="W15" s="740"/>
    </row>
    <row r="16" spans="1:25" s="706" customFormat="1">
      <c r="A16" s="757"/>
      <c r="B16" s="758"/>
      <c r="C16" s="715"/>
      <c r="D16" s="759"/>
      <c r="E16" s="759"/>
      <c r="F16" s="759"/>
      <c r="G16" s="760"/>
      <c r="H16" s="759"/>
      <c r="I16" s="713"/>
      <c r="J16" s="759"/>
      <c r="K16" s="759"/>
      <c r="L16" s="759"/>
      <c r="M16" s="759"/>
      <c r="N16" s="759"/>
      <c r="O16" s="759"/>
      <c r="P16" s="759"/>
      <c r="Q16" s="702"/>
      <c r="R16" s="762"/>
      <c r="S16" s="734"/>
      <c r="T16" s="763"/>
      <c r="U16" s="763"/>
      <c r="V16" s="763"/>
      <c r="W16" s="740"/>
    </row>
    <row r="17" spans="1:24" s="706" customFormat="1">
      <c r="A17" s="757"/>
      <c r="B17" s="758"/>
      <c r="C17" s="715"/>
      <c r="D17" s="759"/>
      <c r="E17" s="759"/>
      <c r="F17" s="759"/>
      <c r="G17" s="759"/>
      <c r="H17" s="759"/>
      <c r="I17" s="713"/>
      <c r="J17" s="759"/>
      <c r="K17" s="759"/>
      <c r="L17" s="759"/>
      <c r="M17" s="759"/>
      <c r="N17" s="759"/>
      <c r="O17" s="759"/>
      <c r="P17" s="759"/>
      <c r="Q17" s="702"/>
      <c r="R17" s="1299"/>
      <c r="S17" s="1299"/>
      <c r="T17" s="1299"/>
      <c r="U17" s="897"/>
      <c r="V17" s="765">
        <f>SUM(V7:V16)</f>
        <v>52589216</v>
      </c>
      <c r="W17" s="765">
        <f>SUM(W7:W16)</f>
        <v>0</v>
      </c>
    </row>
    <row r="18" spans="1:24">
      <c r="G18" s="720"/>
      <c r="H18" s="720"/>
      <c r="I18" s="766"/>
      <c r="N18" s="767"/>
      <c r="O18" s="759"/>
      <c r="R18" s="761" t="s">
        <v>395</v>
      </c>
      <c r="S18" s="734">
        <v>42388</v>
      </c>
      <c r="T18" s="221">
        <v>400</v>
      </c>
      <c r="U18" s="221">
        <v>17000</v>
      </c>
      <c r="V18" s="731">
        <f t="shared" ref="V18:V23" si="2">ROUND(T18*U18,0)</f>
        <v>6800000</v>
      </c>
      <c r="W18" s="747"/>
    </row>
    <row r="19" spans="1:24">
      <c r="G19" s="720"/>
      <c r="H19" s="720"/>
      <c r="I19" s="766"/>
      <c r="N19" s="767"/>
      <c r="O19" s="759"/>
      <c r="R19" s="761" t="s">
        <v>398</v>
      </c>
      <c r="S19" s="734">
        <v>42388</v>
      </c>
      <c r="T19" s="221">
        <v>400</v>
      </c>
      <c r="U19" s="739">
        <v>2500</v>
      </c>
      <c r="V19" s="731">
        <f t="shared" si="2"/>
        <v>1000000</v>
      </c>
      <c r="W19" s="747"/>
    </row>
    <row r="20" spans="1:24">
      <c r="G20" s="720"/>
      <c r="H20" s="720"/>
      <c r="I20" s="766"/>
      <c r="N20" s="767"/>
      <c r="O20" s="759"/>
      <c r="R20" s="761" t="s">
        <v>402</v>
      </c>
      <c r="S20" s="734">
        <v>42391</v>
      </c>
      <c r="T20" s="739">
        <v>620</v>
      </c>
      <c r="U20" s="739">
        <v>18300</v>
      </c>
      <c r="V20" s="731">
        <f t="shared" si="2"/>
        <v>11346000</v>
      </c>
      <c r="W20" s="747"/>
    </row>
    <row r="21" spans="1:24">
      <c r="G21" s="720"/>
      <c r="H21" s="720"/>
      <c r="I21" s="766"/>
      <c r="N21" s="767"/>
      <c r="O21" s="759"/>
      <c r="R21" s="761" t="s">
        <v>619</v>
      </c>
      <c r="S21" s="734">
        <v>42391</v>
      </c>
      <c r="T21" s="739">
        <v>2500</v>
      </c>
      <c r="U21" s="739">
        <v>14000</v>
      </c>
      <c r="V21" s="731">
        <f t="shared" si="2"/>
        <v>35000000</v>
      </c>
      <c r="W21" s="747"/>
    </row>
    <row r="22" spans="1:24">
      <c r="G22" s="720"/>
      <c r="H22" s="720"/>
      <c r="I22" s="766"/>
      <c r="N22" s="767"/>
      <c r="O22" s="759"/>
      <c r="R22" s="738" t="s">
        <v>391</v>
      </c>
      <c r="S22" s="734">
        <v>42398</v>
      </c>
      <c r="T22" s="739">
        <v>1150</v>
      </c>
      <c r="U22" s="739">
        <v>12000</v>
      </c>
      <c r="V22" s="731">
        <f t="shared" si="2"/>
        <v>13800000</v>
      </c>
      <c r="W22" s="747"/>
    </row>
    <row r="23" spans="1:24">
      <c r="G23" s="720"/>
      <c r="H23" s="720"/>
      <c r="I23" s="766"/>
      <c r="N23" s="767"/>
      <c r="O23" s="759"/>
      <c r="R23" s="761" t="s">
        <v>393</v>
      </c>
      <c r="S23" s="734">
        <v>42398</v>
      </c>
      <c r="T23" s="739">
        <v>150</v>
      </c>
      <c r="U23" s="739">
        <v>9500</v>
      </c>
      <c r="V23" s="731">
        <f t="shared" si="2"/>
        <v>1425000</v>
      </c>
      <c r="W23" s="747"/>
    </row>
    <row r="24" spans="1:24" ht="18" customHeight="1">
      <c r="A24" s="706" t="s">
        <v>532</v>
      </c>
      <c r="B24" s="706"/>
      <c r="C24" s="707"/>
      <c r="D24" s="708"/>
      <c r="E24" s="708"/>
      <c r="F24" s="708"/>
      <c r="G24" s="705"/>
      <c r="H24" s="705"/>
      <c r="I24" s="705"/>
      <c r="J24" s="705"/>
      <c r="K24" s="705"/>
      <c r="L24" s="709"/>
      <c r="M24" s="705"/>
      <c r="N24" s="705"/>
      <c r="O24" s="710"/>
      <c r="P24" s="705"/>
      <c r="Q24" s="711"/>
      <c r="R24" s="768"/>
      <c r="S24" s="769"/>
      <c r="T24" s="770"/>
      <c r="U24" s="770"/>
      <c r="V24" s="770"/>
      <c r="W24" s="771"/>
      <c r="X24" s="720"/>
    </row>
    <row r="25" spans="1:24" ht="18.75" customHeight="1">
      <c r="A25" s="713" t="s">
        <v>550</v>
      </c>
      <c r="B25" s="713"/>
      <c r="C25" s="713"/>
      <c r="D25" s="713"/>
      <c r="E25" s="713"/>
      <c r="F25" s="713"/>
      <c r="G25" s="713"/>
      <c r="H25" s="713"/>
      <c r="I25" s="713"/>
      <c r="J25" s="713"/>
      <c r="K25" s="713"/>
      <c r="L25" s="713"/>
      <c r="M25" s="713"/>
      <c r="N25" s="713"/>
      <c r="O25" s="713"/>
      <c r="P25" s="713"/>
      <c r="Q25" s="711"/>
      <c r="R25" s="772"/>
      <c r="S25" s="773"/>
      <c r="T25" s="721"/>
      <c r="U25" s="721"/>
      <c r="V25" s="774"/>
    </row>
    <row r="26" spans="1:24" ht="18.75" customHeight="1">
      <c r="A26" s="714"/>
      <c r="B26" s="714"/>
      <c r="C26" s="715"/>
      <c r="D26" s="714"/>
      <c r="E26" s="714"/>
      <c r="F26" s="714"/>
      <c r="G26" s="714"/>
      <c r="H26" s="714"/>
      <c r="I26" s="714"/>
      <c r="J26" s="714"/>
      <c r="K26" s="714"/>
      <c r="L26" s="713"/>
      <c r="M26" s="714"/>
      <c r="N26" s="714"/>
      <c r="O26" s="716"/>
      <c r="P26" s="714"/>
      <c r="Q26" s="711"/>
      <c r="R26" s="705"/>
      <c r="S26" s="712"/>
    </row>
    <row r="27" spans="1:24" ht="12.75" customHeight="1">
      <c r="A27" s="717"/>
      <c r="B27" s="717"/>
      <c r="C27" s="718"/>
      <c r="D27" s="717"/>
      <c r="E27" s="717"/>
      <c r="F27" s="717"/>
      <c r="G27" s="717"/>
      <c r="H27" s="717"/>
      <c r="I27" s="717"/>
      <c r="J27" s="717"/>
      <c r="K27" s="717"/>
      <c r="L27" s="717"/>
      <c r="M27" s="717"/>
      <c r="N27" s="717"/>
      <c r="O27" s="719"/>
      <c r="P27" s="717"/>
      <c r="Q27" s="711"/>
      <c r="R27" s="705"/>
      <c r="S27" s="712"/>
    </row>
    <row r="28" spans="1:24" s="728" customFormat="1" ht="30.75" customHeight="1">
      <c r="A28" s="722" t="s">
        <v>37</v>
      </c>
      <c r="B28" s="722" t="s">
        <v>534</v>
      </c>
      <c r="C28" s="723" t="s">
        <v>535</v>
      </c>
      <c r="D28" s="724" t="s">
        <v>536</v>
      </c>
      <c r="E28" s="724" t="s">
        <v>537</v>
      </c>
      <c r="F28" s="724" t="s">
        <v>538</v>
      </c>
      <c r="G28" s="724" t="s">
        <v>539</v>
      </c>
      <c r="H28" s="724" t="s">
        <v>540</v>
      </c>
      <c r="I28" s="724" t="s">
        <v>541</v>
      </c>
      <c r="J28" s="724" t="s">
        <v>542</v>
      </c>
      <c r="K28" s="725" t="s">
        <v>543</v>
      </c>
      <c r="L28" s="724" t="s">
        <v>544</v>
      </c>
      <c r="M28" s="725" t="s">
        <v>545</v>
      </c>
      <c r="N28" s="724" t="s">
        <v>546</v>
      </c>
      <c r="O28" s="726" t="s">
        <v>537</v>
      </c>
      <c r="P28" s="724" t="s">
        <v>547</v>
      </c>
      <c r="Q28" s="727"/>
      <c r="R28" s="722" t="s">
        <v>534</v>
      </c>
      <c r="S28" s="724" t="s">
        <v>501</v>
      </c>
      <c r="T28" s="724" t="s">
        <v>338</v>
      </c>
      <c r="U28" s="724" t="s">
        <v>538</v>
      </c>
      <c r="V28" s="724" t="s">
        <v>548</v>
      </c>
      <c r="W28" s="722" t="s">
        <v>548</v>
      </c>
    </row>
    <row r="29" spans="1:24">
      <c r="A29" s="729">
        <f>IF(B29&lt;&gt;"",ROW()-(ROW()-1),"")</f>
        <v>1</v>
      </c>
      <c r="B29" s="741" t="s">
        <v>453</v>
      </c>
      <c r="C29" s="730">
        <v>11</v>
      </c>
      <c r="D29" s="582">
        <f>ROUND(C29*O29,0)</f>
        <v>88000</v>
      </c>
      <c r="E29" s="582"/>
      <c r="F29" s="582">
        <v>13200</v>
      </c>
      <c r="G29" s="731">
        <f>(D29+E29)*F29</f>
        <v>1161600000</v>
      </c>
      <c r="H29" s="582">
        <f>IF($D$32&lt;&gt;0,H$32/($D$32+$E$32/5)*($D29+$E29/5),0)</f>
        <v>121393280</v>
      </c>
      <c r="I29" s="582">
        <f t="shared" ref="I29:K30" si="3">IF($D$32&lt;&gt;0,I$32/$D$32*$D29,0)</f>
        <v>17952687</v>
      </c>
      <c r="J29" s="582">
        <f t="shared" si="3"/>
        <v>66582899.999999993</v>
      </c>
      <c r="K29" s="582">
        <f t="shared" si="3"/>
        <v>57138841.999999993</v>
      </c>
      <c r="L29" s="582">
        <f>V39</f>
        <v>12139811</v>
      </c>
      <c r="M29" s="582"/>
      <c r="N29" s="731">
        <f>SUM(G29:L29)</f>
        <v>1436807520</v>
      </c>
      <c r="O29" s="582">
        <v>8000</v>
      </c>
      <c r="P29" s="582">
        <f>IF(O29&lt;&gt;"",N29/O29,"")</f>
        <v>179600.94</v>
      </c>
      <c r="Q29" s="750"/>
      <c r="R29" s="733" t="s">
        <v>340</v>
      </c>
      <c r="S29" s="734">
        <v>42415</v>
      </c>
      <c r="T29" s="221">
        <v>20</v>
      </c>
      <c r="U29" s="735">
        <v>35444.444444444445</v>
      </c>
      <c r="V29" s="731">
        <f t="shared" ref="V29:V36" si="4">ROUND(T29*U29,0)</f>
        <v>708889</v>
      </c>
      <c r="W29" s="736"/>
    </row>
    <row r="30" spans="1:24">
      <c r="A30" s="729" t="str">
        <f>IF(B30&lt;&gt;"",A29+1,"")</f>
        <v/>
      </c>
      <c r="B30" s="738"/>
      <c r="C30" s="730">
        <f>IF(ISNA(VLOOKUP(B30,[4]NXT!$Q$61:$S$81,2,0)),0,VLOOKUP(B30,[4]NXT!$Q$61:$S$81,2,0))</f>
        <v>0</v>
      </c>
      <c r="D30" s="582">
        <f>ROUND(C30*O30,0)</f>
        <v>0</v>
      </c>
      <c r="E30" s="582"/>
      <c r="F30" s="582"/>
      <c r="G30" s="731">
        <f>(D30+E30)*F30</f>
        <v>0</v>
      </c>
      <c r="H30" s="582">
        <f>IF($D$32&lt;&gt;0,H$32/($D$32+$E$32/5)*($D30+$E30/5),0)</f>
        <v>0</v>
      </c>
      <c r="I30" s="582">
        <f t="shared" si="3"/>
        <v>0</v>
      </c>
      <c r="J30" s="582">
        <f t="shared" si="3"/>
        <v>0</v>
      </c>
      <c r="K30" s="582">
        <f t="shared" si="3"/>
        <v>0</v>
      </c>
      <c r="L30" s="582"/>
      <c r="M30" s="582"/>
      <c r="N30" s="731">
        <f>SUM(G30:L30)</f>
        <v>0</v>
      </c>
      <c r="O30" s="737"/>
      <c r="P30" s="582" t="str">
        <f>IF(O30&lt;&gt;"",N30/O30,"")</f>
        <v/>
      </c>
      <c r="Q30" s="750"/>
      <c r="R30" s="738" t="s">
        <v>346</v>
      </c>
      <c r="S30" s="734">
        <v>42415</v>
      </c>
      <c r="T30" s="221">
        <v>5</v>
      </c>
      <c r="U30" s="221">
        <v>46741.2</v>
      </c>
      <c r="V30" s="731">
        <f t="shared" si="4"/>
        <v>233706</v>
      </c>
      <c r="W30" s="740"/>
    </row>
    <row r="31" spans="1:24" s="751" customFormat="1">
      <c r="A31" s="729" t="str">
        <f>IF(B31&lt;&gt;"",#REF!+1,"")</f>
        <v/>
      </c>
      <c r="B31" s="775"/>
      <c r="C31" s="776"/>
      <c r="D31" s="777"/>
      <c r="E31" s="777"/>
      <c r="F31" s="777"/>
      <c r="G31" s="778"/>
      <c r="H31" s="779"/>
      <c r="I31" s="777"/>
      <c r="J31" s="780"/>
      <c r="K31" s="777"/>
      <c r="L31" s="781"/>
      <c r="M31" s="777"/>
      <c r="N31" s="779"/>
      <c r="O31" s="782"/>
      <c r="P31" s="777"/>
      <c r="Q31" s="750"/>
      <c r="R31" s="738" t="s">
        <v>349</v>
      </c>
      <c r="S31" s="734">
        <v>42415</v>
      </c>
      <c r="T31" s="221">
        <v>150</v>
      </c>
      <c r="U31" s="739">
        <v>11666.673333333334</v>
      </c>
      <c r="V31" s="731">
        <f t="shared" si="4"/>
        <v>1750001</v>
      </c>
      <c r="W31" s="740"/>
    </row>
    <row r="32" spans="1:24" s="706" customFormat="1">
      <c r="A32" s="752"/>
      <c r="B32" s="753" t="s">
        <v>549</v>
      </c>
      <c r="C32" s="754"/>
      <c r="D32" s="755">
        <f>SUM(D29:D31)</f>
        <v>88000</v>
      </c>
      <c r="E32" s="755">
        <f>SUM(E29:E31)</f>
        <v>0</v>
      </c>
      <c r="F32" s="755"/>
      <c r="G32" s="755">
        <f>SUM(G29:G31)</f>
        <v>1161600000</v>
      </c>
      <c r="H32" s="756">
        <v>121393280</v>
      </c>
      <c r="I32" s="756">
        <f>$V$38</f>
        <v>17952687</v>
      </c>
      <c r="J32" s="756">
        <v>66582900</v>
      </c>
      <c r="K32" s="756">
        <v>57138842</v>
      </c>
      <c r="L32" s="755">
        <f>ROUND(SUM(L29:L31),0)</f>
        <v>12139811</v>
      </c>
      <c r="M32" s="755">
        <f>ROUND(SUM(M29:M31),0)</f>
        <v>0</v>
      </c>
      <c r="N32" s="755">
        <f>ROUND(SUM(N29:N31),0)</f>
        <v>1436807520</v>
      </c>
      <c r="O32" s="755">
        <f>ROUND(SUM(O29:O31),0)</f>
        <v>8000</v>
      </c>
      <c r="P32" s="755"/>
      <c r="Q32" s="711"/>
      <c r="R32" s="738" t="s">
        <v>225</v>
      </c>
      <c r="S32" s="734">
        <v>42415</v>
      </c>
      <c r="T32" s="221">
        <v>45</v>
      </c>
      <c r="U32" s="739">
        <v>21979.791919191921</v>
      </c>
      <c r="V32" s="731">
        <f t="shared" si="4"/>
        <v>989091</v>
      </c>
      <c r="W32" s="740"/>
    </row>
    <row r="33" spans="1:23" s="706" customFormat="1">
      <c r="A33" s="757"/>
      <c r="B33" s="758"/>
      <c r="C33" s="715"/>
      <c r="D33" s="759"/>
      <c r="E33" s="759"/>
      <c r="F33" s="759"/>
      <c r="G33" s="759"/>
      <c r="H33" s="759"/>
      <c r="I33" s="713"/>
      <c r="J33" s="759"/>
      <c r="K33" s="759"/>
      <c r="L33" s="759"/>
      <c r="M33" s="759"/>
      <c r="N33" s="759"/>
      <c r="O33" s="759"/>
      <c r="P33" s="759"/>
      <c r="Q33" s="711"/>
      <c r="R33" s="738" t="s">
        <v>354</v>
      </c>
      <c r="S33" s="734"/>
      <c r="T33" s="221"/>
      <c r="U33" s="221">
        <v>3500</v>
      </c>
      <c r="V33" s="731">
        <f t="shared" si="4"/>
        <v>0</v>
      </c>
      <c r="W33" s="783"/>
    </row>
    <row r="34" spans="1:23" s="706" customFormat="1">
      <c r="A34" s="757"/>
      <c r="B34" s="758"/>
      <c r="C34" s="715"/>
      <c r="D34" s="759"/>
      <c r="E34" s="759"/>
      <c r="F34" s="759"/>
      <c r="G34" s="759"/>
      <c r="H34" s="759"/>
      <c r="I34" s="713"/>
      <c r="J34" s="759"/>
      <c r="K34" s="759"/>
      <c r="L34" s="759"/>
      <c r="M34" s="759"/>
      <c r="N34" s="759"/>
      <c r="O34" s="759"/>
      <c r="P34" s="759"/>
      <c r="Q34" s="711"/>
      <c r="R34" s="738" t="s">
        <v>357</v>
      </c>
      <c r="S34" s="734">
        <v>42415</v>
      </c>
      <c r="T34" s="221">
        <v>540</v>
      </c>
      <c r="U34" s="221">
        <v>14900</v>
      </c>
      <c r="V34" s="731">
        <f t="shared" si="4"/>
        <v>8046000</v>
      </c>
      <c r="W34" s="783"/>
    </row>
    <row r="35" spans="1:23" s="706" customFormat="1">
      <c r="A35" s="757"/>
      <c r="B35" s="758"/>
      <c r="C35" s="715"/>
      <c r="D35" s="759"/>
      <c r="E35" s="759"/>
      <c r="F35" s="759"/>
      <c r="G35" s="759"/>
      <c r="H35" s="759"/>
      <c r="I35" s="713"/>
      <c r="J35" s="759"/>
      <c r="K35" s="759"/>
      <c r="L35" s="759"/>
      <c r="M35" s="759"/>
      <c r="N35" s="759"/>
      <c r="O35" s="759"/>
      <c r="P35" s="759"/>
      <c r="Q35" s="711"/>
      <c r="R35" s="738" t="s">
        <v>360</v>
      </c>
      <c r="S35" s="734">
        <v>42425</v>
      </c>
      <c r="T35" s="221">
        <v>150</v>
      </c>
      <c r="U35" s="221">
        <v>8500</v>
      </c>
      <c r="V35" s="731">
        <f t="shared" si="4"/>
        <v>1275000</v>
      </c>
      <c r="W35" s="783"/>
    </row>
    <row r="36" spans="1:23" s="706" customFormat="1">
      <c r="A36" s="757"/>
      <c r="B36" s="758"/>
      <c r="C36" s="715"/>
      <c r="D36" s="759"/>
      <c r="E36" s="759"/>
      <c r="F36" s="759"/>
      <c r="G36" s="759"/>
      <c r="H36" s="759"/>
      <c r="I36" s="713"/>
      <c r="J36" s="759"/>
      <c r="K36" s="759"/>
      <c r="L36" s="759"/>
      <c r="M36" s="759"/>
      <c r="N36" s="759"/>
      <c r="O36" s="759"/>
      <c r="P36" s="759"/>
      <c r="Q36" s="711"/>
      <c r="R36" s="738" t="s">
        <v>364</v>
      </c>
      <c r="S36" s="734">
        <v>42425</v>
      </c>
      <c r="T36" s="221">
        <v>150</v>
      </c>
      <c r="U36" s="761">
        <v>33000</v>
      </c>
      <c r="V36" s="731">
        <f t="shared" si="4"/>
        <v>4950000</v>
      </c>
      <c r="W36" s="783"/>
    </row>
    <row r="37" spans="1:23">
      <c r="R37" s="762"/>
      <c r="S37" s="734"/>
      <c r="T37" s="763"/>
      <c r="U37" s="221"/>
      <c r="V37" s="763"/>
      <c r="W37" s="783"/>
    </row>
    <row r="38" spans="1:23">
      <c r="R38" s="784"/>
      <c r="S38" s="785"/>
      <c r="T38" s="786"/>
      <c r="U38" s="897"/>
      <c r="V38" s="765">
        <f>SUM(V29:V37)</f>
        <v>17952687</v>
      </c>
      <c r="W38" s="765">
        <f>SUM(W29:W37)</f>
        <v>0</v>
      </c>
    </row>
    <row r="39" spans="1:23">
      <c r="R39" s="787" t="s">
        <v>382</v>
      </c>
      <c r="S39" s="734">
        <v>42401</v>
      </c>
      <c r="T39" s="221">
        <v>2100</v>
      </c>
      <c r="U39" s="221">
        <v>5780.8622078968574</v>
      </c>
      <c r="V39" s="731">
        <f>ROUND(T39*U39,0)</f>
        <v>12139811</v>
      </c>
      <c r="W39" s="736"/>
    </row>
    <row r="40" spans="1:23">
      <c r="R40" s="787"/>
      <c r="S40" s="734"/>
      <c r="T40" s="221"/>
      <c r="U40" s="221"/>
      <c r="V40" s="731">
        <f>ROUND(T40*U40,0)</f>
        <v>0</v>
      </c>
      <c r="W40" s="736"/>
    </row>
    <row r="41" spans="1:23">
      <c r="R41" s="787"/>
      <c r="S41" s="734"/>
      <c r="T41" s="221"/>
      <c r="U41" s="221"/>
      <c r="V41" s="731">
        <f>ROUND(T41*U41,0)</f>
        <v>0</v>
      </c>
      <c r="W41" s="736"/>
    </row>
    <row r="42" spans="1:23" ht="18" customHeight="1">
      <c r="A42" s="706" t="s">
        <v>532</v>
      </c>
      <c r="B42" s="706"/>
      <c r="C42" s="707"/>
      <c r="D42" s="708"/>
      <c r="E42" s="708"/>
      <c r="F42" s="708"/>
      <c r="G42" s="705"/>
      <c r="H42" s="705"/>
      <c r="I42" s="705"/>
      <c r="J42" s="705"/>
      <c r="K42" s="705"/>
      <c r="L42" s="709"/>
      <c r="M42" s="705"/>
      <c r="N42" s="705"/>
      <c r="O42" s="710"/>
      <c r="P42" s="705"/>
      <c r="Q42" s="711"/>
      <c r="R42" s="711"/>
      <c r="S42" s="788"/>
      <c r="T42" s="721"/>
      <c r="U42" s="721"/>
      <c r="V42" s="721"/>
      <c r="W42" s="789"/>
    </row>
    <row r="43" spans="1:23" ht="18.75" customHeight="1">
      <c r="A43" s="713" t="s">
        <v>551</v>
      </c>
      <c r="B43" s="713"/>
      <c r="C43" s="713"/>
      <c r="D43" s="713"/>
      <c r="E43" s="713"/>
      <c r="F43" s="713"/>
      <c r="G43" s="713"/>
      <c r="H43" s="713"/>
      <c r="I43" s="713"/>
      <c r="J43" s="713"/>
      <c r="K43" s="713"/>
      <c r="L43" s="713"/>
      <c r="M43" s="713"/>
      <c r="N43" s="713"/>
      <c r="O43" s="713"/>
      <c r="P43" s="713"/>
      <c r="Q43" s="711"/>
      <c r="R43" s="772"/>
      <c r="S43" s="773"/>
      <c r="T43" s="721"/>
      <c r="U43" s="721"/>
      <c r="V43" s="774"/>
      <c r="W43" s="789"/>
    </row>
    <row r="44" spans="1:23" ht="18.75" customHeight="1">
      <c r="A44" s="714"/>
      <c r="B44" s="714"/>
      <c r="C44" s="715"/>
      <c r="D44" s="714"/>
      <c r="E44" s="714"/>
      <c r="F44" s="714"/>
      <c r="G44" s="714"/>
      <c r="H44" s="714"/>
      <c r="I44" s="714"/>
      <c r="J44" s="714"/>
      <c r="K44" s="714"/>
      <c r="L44" s="713"/>
      <c r="M44" s="714"/>
      <c r="N44" s="714"/>
      <c r="O44" s="716"/>
      <c r="P44" s="714"/>
      <c r="Q44" s="711"/>
      <c r="R44" s="772"/>
      <c r="S44" s="773"/>
      <c r="T44" s="721"/>
      <c r="U44" s="721"/>
      <c r="V44" s="774"/>
      <c r="W44" s="789"/>
    </row>
    <row r="45" spans="1:23" ht="12.75" customHeight="1">
      <c r="A45" s="717"/>
      <c r="B45" s="717"/>
      <c r="C45" s="718"/>
      <c r="D45" s="717"/>
      <c r="E45" s="717"/>
      <c r="F45" s="717"/>
      <c r="G45" s="717"/>
      <c r="H45" s="717"/>
      <c r="I45" s="717"/>
      <c r="J45" s="717"/>
      <c r="K45" s="717"/>
      <c r="L45" s="717"/>
      <c r="M45" s="717"/>
      <c r="N45" s="717"/>
      <c r="O45" s="719"/>
      <c r="P45" s="717"/>
      <c r="Q45" s="711"/>
      <c r="R45" s="772"/>
      <c r="S45" s="773"/>
      <c r="T45" s="721"/>
      <c r="U45" s="721"/>
      <c r="V45" s="774"/>
      <c r="W45" s="720"/>
    </row>
    <row r="46" spans="1:23" s="728" customFormat="1" ht="30.75" customHeight="1">
      <c r="A46" s="722" t="s">
        <v>37</v>
      </c>
      <c r="B46" s="722" t="s">
        <v>534</v>
      </c>
      <c r="C46" s="723" t="s">
        <v>535</v>
      </c>
      <c r="D46" s="724" t="s">
        <v>536</v>
      </c>
      <c r="E46" s="724" t="s">
        <v>537</v>
      </c>
      <c r="F46" s="724" t="s">
        <v>538</v>
      </c>
      <c r="G46" s="724" t="s">
        <v>539</v>
      </c>
      <c r="H46" s="724" t="s">
        <v>540</v>
      </c>
      <c r="I46" s="724" t="s">
        <v>541</v>
      </c>
      <c r="J46" s="724" t="s">
        <v>542</v>
      </c>
      <c r="K46" s="725" t="s">
        <v>543</v>
      </c>
      <c r="L46" s="724" t="s">
        <v>544</v>
      </c>
      <c r="M46" s="725" t="s">
        <v>545</v>
      </c>
      <c r="N46" s="724" t="s">
        <v>546</v>
      </c>
      <c r="O46" s="726" t="s">
        <v>537</v>
      </c>
      <c r="P46" s="724" t="s">
        <v>547</v>
      </c>
      <c r="Q46" s="727"/>
      <c r="R46" s="722" t="s">
        <v>534</v>
      </c>
      <c r="S46" s="724" t="s">
        <v>501</v>
      </c>
      <c r="T46" s="724" t="s">
        <v>338</v>
      </c>
      <c r="U46" s="724" t="s">
        <v>538</v>
      </c>
      <c r="V46" s="724" t="s">
        <v>548</v>
      </c>
      <c r="W46" s="722" t="s">
        <v>548</v>
      </c>
    </row>
    <row r="47" spans="1:23">
      <c r="A47" s="729">
        <f>IF(B47&lt;&gt;"",ROW()-(ROW()-1),"")</f>
        <v>1</v>
      </c>
      <c r="B47" s="741" t="s">
        <v>453</v>
      </c>
      <c r="C47" s="730">
        <v>0</v>
      </c>
      <c r="D47" s="582">
        <f>ROUND(C47*O47,0)</f>
        <v>0</v>
      </c>
      <c r="E47" s="582">
        <v>8000</v>
      </c>
      <c r="F47" s="582">
        <f>P29</f>
        <v>179600.94</v>
      </c>
      <c r="G47" s="731">
        <f>(D47+E47)*F47</f>
        <v>1436807520</v>
      </c>
      <c r="H47" s="582">
        <f>IF($D$52&lt;&gt;0,H$52/($D$52+$E$52/5)*($D47+$E47/5),0)</f>
        <v>2497109.0581778265</v>
      </c>
      <c r="I47" s="582">
        <f t="shared" ref="I47:K49" si="5">IF($D$52&lt;&gt;0,I$52/$D$52*$D47,0)</f>
        <v>0</v>
      </c>
      <c r="J47" s="582">
        <f t="shared" si="5"/>
        <v>0</v>
      </c>
      <c r="K47" s="582">
        <f t="shared" si="5"/>
        <v>0</v>
      </c>
      <c r="L47" s="582">
        <f>SUM($V$57:$V$58)/SUM($O$47:$O$48)*O47</f>
        <v>10075200</v>
      </c>
      <c r="M47" s="582"/>
      <c r="N47" s="731">
        <f>SUM(G47:L47)</f>
        <v>1449379829.0581777</v>
      </c>
      <c r="O47" s="737">
        <v>8000</v>
      </c>
      <c r="P47" s="582">
        <f>IF(O47&lt;&gt;"",N47/O47,"")</f>
        <v>181172.47863227222</v>
      </c>
      <c r="Q47" s="750"/>
      <c r="R47" s="733" t="s">
        <v>340</v>
      </c>
      <c r="S47" s="734">
        <v>42431</v>
      </c>
      <c r="T47" s="221">
        <v>50</v>
      </c>
      <c r="U47" s="735">
        <v>35444.444444444445</v>
      </c>
      <c r="V47" s="731">
        <f t="shared" ref="V47:V54" si="6">ROUND(T47*U47,0)</f>
        <v>1772222</v>
      </c>
      <c r="W47" s="740"/>
    </row>
    <row r="48" spans="1:23">
      <c r="A48" s="729">
        <f>IF(B48&lt;&gt;"",A47+1,"")</f>
        <v>2</v>
      </c>
      <c r="B48" s="790" t="s">
        <v>674</v>
      </c>
      <c r="C48" s="730">
        <v>11</v>
      </c>
      <c r="D48" s="582">
        <f>ROUND(C48*O48,0)</f>
        <v>49500</v>
      </c>
      <c r="E48" s="582"/>
      <c r="F48" s="582">
        <v>13200</v>
      </c>
      <c r="G48" s="731">
        <f>(D48+E48)*F48</f>
        <v>653400000</v>
      </c>
      <c r="H48" s="582">
        <f>IF($D$52&lt;&gt;0,H$52/($D$52+$E$52/5)*($D48+$E48/5),0)</f>
        <v>77254311.487376511</v>
      </c>
      <c r="I48" s="582">
        <f t="shared" si="5"/>
        <v>26767452.972067039</v>
      </c>
      <c r="J48" s="582">
        <f t="shared" si="5"/>
        <v>34356926.815642461</v>
      </c>
      <c r="K48" s="582">
        <f t="shared" si="5"/>
        <v>31601929.374301676</v>
      </c>
      <c r="L48" s="582">
        <f>SUM($V$57:$V$58)/SUM($O$47:$O$48)*O48</f>
        <v>5667300</v>
      </c>
      <c r="M48" s="582"/>
      <c r="N48" s="731">
        <f>SUM(G48:L48)+1</f>
        <v>829047921.6493876</v>
      </c>
      <c r="O48" s="737">
        <v>4500</v>
      </c>
      <c r="P48" s="582">
        <f>IF(O48&lt;&gt;"",N48/O48,"")</f>
        <v>184232.87147764169</v>
      </c>
      <c r="Q48" s="750"/>
      <c r="R48" s="738" t="s">
        <v>346</v>
      </c>
      <c r="S48" s="734">
        <v>42431</v>
      </c>
      <c r="T48" s="221">
        <v>20</v>
      </c>
      <c r="U48" s="221">
        <v>46741.2</v>
      </c>
      <c r="V48" s="731">
        <f t="shared" si="6"/>
        <v>934824</v>
      </c>
      <c r="W48" s="740"/>
    </row>
    <row r="49" spans="1:23">
      <c r="A49" s="729">
        <f>IF(B49&lt;&gt;"",A48+1,"")</f>
        <v>3</v>
      </c>
      <c r="B49" s="790" t="s">
        <v>454</v>
      </c>
      <c r="C49" s="730">
        <v>8</v>
      </c>
      <c r="D49" s="582">
        <f>ROUND(C49*O49,0)</f>
        <v>40000</v>
      </c>
      <c r="E49" s="582"/>
      <c r="F49" s="582">
        <v>18500</v>
      </c>
      <c r="G49" s="731">
        <f>(D49+E49)*F49</f>
        <v>740000000</v>
      </c>
      <c r="H49" s="582">
        <f>IF($D$52&lt;&gt;0,H$52/($D$52+$E$52/5)*($D49+$E49/5),0)</f>
        <v>62427726.454445668</v>
      </c>
      <c r="I49" s="582">
        <f t="shared" si="5"/>
        <v>21630265.027932961</v>
      </c>
      <c r="J49" s="582">
        <f t="shared" si="5"/>
        <v>27763173.184357543</v>
      </c>
      <c r="K49" s="582">
        <f t="shared" si="5"/>
        <v>25536912.625698324</v>
      </c>
      <c r="L49" s="582">
        <f>V59</f>
        <v>12059070</v>
      </c>
      <c r="M49" s="582"/>
      <c r="N49" s="731">
        <f>SUM(G49:L49)</f>
        <v>889417147.29243457</v>
      </c>
      <c r="O49" s="737">
        <v>5000</v>
      </c>
      <c r="P49" s="582">
        <f>IF(O49&lt;&gt;"",N49/O49,"")</f>
        <v>177883.42945848691</v>
      </c>
      <c r="Q49" s="750"/>
      <c r="R49" s="738" t="s">
        <v>349</v>
      </c>
      <c r="S49" s="734">
        <v>42431</v>
      </c>
      <c r="T49" s="761">
        <v>150</v>
      </c>
      <c r="U49" s="739">
        <v>13571.429</v>
      </c>
      <c r="V49" s="731">
        <f t="shared" si="6"/>
        <v>2035714</v>
      </c>
      <c r="W49" s="740"/>
    </row>
    <row r="50" spans="1:23">
      <c r="A50" s="729" t="str">
        <f>IF(B50&lt;&gt;"",#REF!+1,"")</f>
        <v/>
      </c>
      <c r="B50" s="790"/>
      <c r="C50" s="730"/>
      <c r="D50" s="582"/>
      <c r="E50" s="582"/>
      <c r="F50" s="582"/>
      <c r="G50" s="731"/>
      <c r="H50" s="582"/>
      <c r="I50" s="582"/>
      <c r="J50" s="582"/>
      <c r="K50" s="582"/>
      <c r="L50" s="582"/>
      <c r="M50" s="582"/>
      <c r="N50" s="731">
        <f>SUM(G50:L50)</f>
        <v>0</v>
      </c>
      <c r="O50" s="737"/>
      <c r="P50" s="582"/>
      <c r="Q50" s="750"/>
      <c r="R50" s="738" t="s">
        <v>225</v>
      </c>
      <c r="S50" s="734">
        <v>42431</v>
      </c>
      <c r="T50" s="761">
        <v>200</v>
      </c>
      <c r="U50" s="739">
        <v>21979.791919191921</v>
      </c>
      <c r="V50" s="731">
        <f t="shared" si="6"/>
        <v>4395958</v>
      </c>
      <c r="W50" s="740"/>
    </row>
    <row r="51" spans="1:23" s="751" customFormat="1">
      <c r="A51" s="729" t="str">
        <f>IF(B51&lt;&gt;"",#REF!+1,"")</f>
        <v/>
      </c>
      <c r="B51" s="790"/>
      <c r="C51" s="730"/>
      <c r="D51" s="582"/>
      <c r="E51" s="582"/>
      <c r="F51" s="582"/>
      <c r="G51" s="731"/>
      <c r="H51" s="582"/>
      <c r="I51" s="582"/>
      <c r="J51" s="582"/>
      <c r="K51" s="582"/>
      <c r="L51" s="582"/>
      <c r="M51" s="582"/>
      <c r="N51" s="731"/>
      <c r="O51" s="737"/>
      <c r="P51" s="582"/>
      <c r="Q51" s="750"/>
      <c r="R51" s="738" t="s">
        <v>354</v>
      </c>
      <c r="S51" s="734"/>
      <c r="T51" s="761"/>
      <c r="U51" s="221">
        <v>3500</v>
      </c>
      <c r="V51" s="731">
        <f t="shared" si="6"/>
        <v>0</v>
      </c>
      <c r="W51" s="740"/>
    </row>
    <row r="52" spans="1:23" s="706" customFormat="1">
      <c r="A52" s="752"/>
      <c r="B52" s="753" t="s">
        <v>549</v>
      </c>
      <c r="C52" s="754"/>
      <c r="D52" s="755">
        <f>SUM(D47:D51)</f>
        <v>89500</v>
      </c>
      <c r="E52" s="755">
        <f>SUM(E47:E51)</f>
        <v>8000</v>
      </c>
      <c r="F52" s="755"/>
      <c r="G52" s="755">
        <f>SUM(G47:G51)</f>
        <v>2830207520</v>
      </c>
      <c r="H52" s="756">
        <v>142179147</v>
      </c>
      <c r="I52" s="756">
        <f>V56</f>
        <v>48397718</v>
      </c>
      <c r="J52" s="756">
        <v>62120100</v>
      </c>
      <c r="K52" s="756">
        <v>57138842</v>
      </c>
      <c r="L52" s="755">
        <f>ROUND(SUM(L47:L51),0)</f>
        <v>27801570</v>
      </c>
      <c r="M52" s="755">
        <f>ROUND(SUM(M47:M51),0)</f>
        <v>0</v>
      </c>
      <c r="N52" s="755">
        <f>ROUND(SUM(N47:N51),0)</f>
        <v>3167844898</v>
      </c>
      <c r="O52" s="755">
        <f>ROUND(SUM(O47:O51),0)</f>
        <v>17500</v>
      </c>
      <c r="P52" s="755"/>
      <c r="Q52" s="711"/>
      <c r="R52" s="738" t="s">
        <v>357</v>
      </c>
      <c r="S52" s="734">
        <v>42434</v>
      </c>
      <c r="T52" s="761">
        <v>2160</v>
      </c>
      <c r="U52" s="221">
        <v>14900</v>
      </c>
      <c r="V52" s="731">
        <f t="shared" si="6"/>
        <v>32184000</v>
      </c>
      <c r="W52" s="740"/>
    </row>
    <row r="53" spans="1:23" s="706" customFormat="1">
      <c r="A53" s="757"/>
      <c r="B53" s="758"/>
      <c r="C53" s="715"/>
      <c r="D53" s="759"/>
      <c r="E53" s="759"/>
      <c r="F53" s="759"/>
      <c r="G53" s="759"/>
      <c r="H53" s="713"/>
      <c r="I53" s="713"/>
      <c r="J53" s="713"/>
      <c r="K53" s="713"/>
      <c r="L53" s="713"/>
      <c r="M53" s="759"/>
      <c r="N53" s="759"/>
      <c r="O53" s="759"/>
      <c r="P53" s="759"/>
      <c r="Q53" s="711"/>
      <c r="R53" s="738" t="s">
        <v>360</v>
      </c>
      <c r="S53" s="734">
        <v>42434</v>
      </c>
      <c r="T53" s="761">
        <v>250</v>
      </c>
      <c r="U53" s="221">
        <v>8500</v>
      </c>
      <c r="V53" s="731">
        <f t="shared" si="6"/>
        <v>2125000</v>
      </c>
      <c r="W53" s="740"/>
    </row>
    <row r="54" spans="1:23" s="706" customFormat="1">
      <c r="A54" s="757"/>
      <c r="B54" s="758"/>
      <c r="C54" s="715"/>
      <c r="D54" s="759"/>
      <c r="E54" s="759"/>
      <c r="F54" s="759"/>
      <c r="G54" s="759"/>
      <c r="H54" s="713"/>
      <c r="I54" s="713"/>
      <c r="J54" s="713"/>
      <c r="K54" s="713"/>
      <c r="L54" s="713"/>
      <c r="M54" s="759"/>
      <c r="N54" s="759"/>
      <c r="O54" s="759"/>
      <c r="P54" s="759"/>
      <c r="Q54" s="711"/>
      <c r="R54" s="738" t="s">
        <v>364</v>
      </c>
      <c r="S54" s="734">
        <v>42434</v>
      </c>
      <c r="T54" s="761">
        <v>150</v>
      </c>
      <c r="U54" s="761">
        <v>33000</v>
      </c>
      <c r="V54" s="731">
        <f t="shared" si="6"/>
        <v>4950000</v>
      </c>
      <c r="W54" s="740"/>
    </row>
    <row r="55" spans="1:23" s="706" customFormat="1">
      <c r="A55" s="757"/>
      <c r="B55" s="758"/>
      <c r="C55" s="715"/>
      <c r="D55" s="759"/>
      <c r="E55" s="759"/>
      <c r="F55" s="759"/>
      <c r="G55" s="759"/>
      <c r="H55" s="713"/>
      <c r="I55" s="713"/>
      <c r="J55" s="713"/>
      <c r="K55" s="713"/>
      <c r="L55" s="713"/>
      <c r="M55" s="759"/>
      <c r="N55" s="759"/>
      <c r="O55" s="759"/>
      <c r="P55" s="759"/>
      <c r="Q55" s="711"/>
      <c r="R55" s="792"/>
      <c r="S55" s="734"/>
      <c r="T55" s="793"/>
      <c r="U55" s="793"/>
      <c r="V55" s="793"/>
      <c r="W55" s="794"/>
    </row>
    <row r="56" spans="1:23" s="706" customFormat="1">
      <c r="A56" s="757"/>
      <c r="B56" s="758"/>
      <c r="C56" s="715"/>
      <c r="D56" s="759"/>
      <c r="E56" s="759"/>
      <c r="F56" s="759"/>
      <c r="G56" s="759"/>
      <c r="H56" s="759"/>
      <c r="I56" s="713"/>
      <c r="J56" s="759"/>
      <c r="K56" s="759"/>
      <c r="L56" s="759"/>
      <c r="M56" s="759"/>
      <c r="N56" s="759"/>
      <c r="O56" s="759"/>
      <c r="P56" s="759"/>
      <c r="Q56" s="711"/>
      <c r="R56" s="784"/>
      <c r="S56" s="785"/>
      <c r="T56" s="786"/>
      <c r="U56" s="764"/>
      <c r="V56" s="765">
        <f>SUM(V47:V55)</f>
        <v>48397718</v>
      </c>
      <c r="W56" s="765">
        <f>SUM(W47:W52)</f>
        <v>0</v>
      </c>
    </row>
    <row r="57" spans="1:23" s="706" customFormat="1">
      <c r="A57" s="757"/>
      <c r="B57" s="758"/>
      <c r="C57" s="715"/>
      <c r="D57" s="759"/>
      <c r="E57" s="759"/>
      <c r="F57" s="759"/>
      <c r="G57" s="759"/>
      <c r="H57" s="759"/>
      <c r="I57" s="713"/>
      <c r="J57" s="759"/>
      <c r="K57" s="759"/>
      <c r="L57" s="759"/>
      <c r="M57" s="759"/>
      <c r="N57" s="759"/>
      <c r="O57" s="759"/>
      <c r="P57" s="759"/>
      <c r="Q57" s="711"/>
      <c r="R57" s="787" t="s">
        <v>391</v>
      </c>
      <c r="S57" s="734">
        <v>42439</v>
      </c>
      <c r="T57" s="221">
        <v>1015</v>
      </c>
      <c r="U57" s="221">
        <v>12000</v>
      </c>
      <c r="V57" s="731">
        <f t="shared" ref="V57:V62" si="7">ROUND(T57*U57,0)</f>
        <v>12180000</v>
      </c>
      <c r="W57" s="731"/>
    </row>
    <row r="58" spans="1:23" s="706" customFormat="1">
      <c r="A58" s="757"/>
      <c r="B58" s="758"/>
      <c r="C58" s="715"/>
      <c r="D58" s="759"/>
      <c r="E58" s="759"/>
      <c r="F58" s="759"/>
      <c r="G58" s="760"/>
      <c r="H58" s="759"/>
      <c r="I58" s="713"/>
      <c r="J58" s="759"/>
      <c r="K58" s="759"/>
      <c r="L58" s="759"/>
      <c r="M58" s="759"/>
      <c r="N58" s="795"/>
      <c r="O58" s="759"/>
      <c r="P58" s="759"/>
      <c r="Q58" s="711"/>
      <c r="R58" s="787" t="s">
        <v>393</v>
      </c>
      <c r="S58" s="734">
        <v>42439</v>
      </c>
      <c r="T58" s="739">
        <v>375</v>
      </c>
      <c r="U58" s="739">
        <v>9500</v>
      </c>
      <c r="V58" s="731">
        <f t="shared" si="7"/>
        <v>3562500</v>
      </c>
      <c r="W58" s="747"/>
    </row>
    <row r="59" spans="1:23" s="706" customFormat="1">
      <c r="A59" s="757"/>
      <c r="B59" s="758"/>
      <c r="C59" s="715"/>
      <c r="D59" s="759"/>
      <c r="E59" s="759"/>
      <c r="F59" s="759"/>
      <c r="G59" s="760"/>
      <c r="H59" s="759"/>
      <c r="I59" s="713"/>
      <c r="J59" s="759"/>
      <c r="K59" s="759"/>
      <c r="L59" s="759"/>
      <c r="M59" s="759"/>
      <c r="N59" s="795"/>
      <c r="O59" s="759"/>
      <c r="P59" s="759"/>
      <c r="Q59" s="711"/>
      <c r="R59" s="787" t="s">
        <v>385</v>
      </c>
      <c r="S59" s="734">
        <v>42459</v>
      </c>
      <c r="T59" s="221">
        <v>2700</v>
      </c>
      <c r="U59" s="221">
        <v>4466.322284402353</v>
      </c>
      <c r="V59" s="731">
        <f t="shared" si="7"/>
        <v>12059070</v>
      </c>
      <c r="W59" s="747"/>
    </row>
    <row r="60" spans="1:23" s="706" customFormat="1">
      <c r="A60" s="757"/>
      <c r="B60" s="758"/>
      <c r="C60" s="715"/>
      <c r="D60" s="759"/>
      <c r="E60" s="759"/>
      <c r="F60" s="759"/>
      <c r="G60" s="759"/>
      <c r="H60" s="759"/>
      <c r="I60" s="713"/>
      <c r="J60" s="759"/>
      <c r="K60" s="759"/>
      <c r="L60" s="759"/>
      <c r="M60" s="759"/>
      <c r="N60" s="759"/>
      <c r="O60" s="759"/>
      <c r="P60" s="759"/>
      <c r="Q60" s="711"/>
      <c r="R60" s="787"/>
      <c r="S60" s="734"/>
      <c r="T60" s="739"/>
      <c r="U60" s="739"/>
      <c r="V60" s="731">
        <f t="shared" si="7"/>
        <v>0</v>
      </c>
      <c r="W60" s="747"/>
    </row>
    <row r="61" spans="1:23">
      <c r="R61" s="787"/>
      <c r="S61" s="734"/>
      <c r="T61" s="739"/>
      <c r="U61" s="739"/>
      <c r="V61" s="731">
        <f t="shared" si="7"/>
        <v>0</v>
      </c>
      <c r="W61" s="747"/>
    </row>
    <row r="62" spans="1:23">
      <c r="R62" s="787"/>
      <c r="S62" s="734"/>
      <c r="T62" s="221"/>
      <c r="U62" s="221"/>
      <c r="V62" s="731">
        <f t="shared" si="7"/>
        <v>0</v>
      </c>
      <c r="W62" s="747"/>
    </row>
    <row r="63" spans="1:23" ht="18" customHeight="1">
      <c r="A63" s="706" t="s">
        <v>532</v>
      </c>
      <c r="B63" s="706"/>
      <c r="C63" s="707"/>
      <c r="D63" s="708"/>
      <c r="E63" s="708"/>
      <c r="F63" s="708"/>
      <c r="G63" s="705"/>
      <c r="H63" s="705"/>
      <c r="I63" s="705"/>
      <c r="J63" s="705"/>
      <c r="K63" s="705"/>
      <c r="L63" s="709"/>
      <c r="M63" s="705"/>
      <c r="N63" s="705"/>
      <c r="O63" s="710"/>
      <c r="P63" s="705"/>
      <c r="Q63" s="711"/>
      <c r="R63" s="705"/>
      <c r="S63" s="712"/>
    </row>
    <row r="64" spans="1:23" ht="18.75" customHeight="1">
      <c r="A64" s="713" t="s">
        <v>552</v>
      </c>
      <c r="B64" s="713"/>
      <c r="C64" s="713"/>
      <c r="D64" s="713"/>
      <c r="E64" s="713"/>
      <c r="F64" s="713"/>
      <c r="G64" s="713"/>
      <c r="H64" s="713"/>
      <c r="I64" s="713"/>
      <c r="J64" s="713"/>
      <c r="K64" s="713"/>
      <c r="L64" s="713"/>
      <c r="M64" s="713"/>
      <c r="N64" s="713"/>
      <c r="O64" s="713"/>
      <c r="P64" s="713"/>
      <c r="Q64" s="711"/>
      <c r="R64" s="705"/>
      <c r="S64" s="712"/>
    </row>
    <row r="65" spans="1:23" ht="18.75" customHeight="1">
      <c r="A65" s="714"/>
      <c r="B65" s="714"/>
      <c r="C65" s="715"/>
      <c r="D65" s="714"/>
      <c r="E65" s="714"/>
      <c r="F65" s="714"/>
      <c r="G65" s="714"/>
      <c r="H65" s="714"/>
      <c r="I65" s="714"/>
      <c r="J65" s="714"/>
      <c r="K65" s="714"/>
      <c r="L65" s="713"/>
      <c r="M65" s="714"/>
      <c r="N65" s="714"/>
      <c r="O65" s="716"/>
      <c r="P65" s="714"/>
      <c r="Q65" s="711"/>
      <c r="R65" s="705"/>
      <c r="S65" s="712"/>
    </row>
    <row r="66" spans="1:23" ht="12.75" customHeight="1">
      <c r="A66" s="717"/>
      <c r="B66" s="717"/>
      <c r="C66" s="718"/>
      <c r="D66" s="717"/>
      <c r="E66" s="717"/>
      <c r="F66" s="717"/>
      <c r="G66" s="717"/>
      <c r="H66" s="717"/>
      <c r="I66" s="717"/>
      <c r="J66" s="717"/>
      <c r="K66" s="717"/>
      <c r="L66" s="717"/>
      <c r="M66" s="717"/>
      <c r="N66" s="717"/>
      <c r="O66" s="719"/>
      <c r="P66" s="717"/>
      <c r="Q66" s="711"/>
      <c r="R66" s="705"/>
      <c r="S66" s="712"/>
    </row>
    <row r="67" spans="1:23" s="728" customFormat="1" ht="30.75" customHeight="1">
      <c r="A67" s="722" t="s">
        <v>37</v>
      </c>
      <c r="B67" s="722" t="s">
        <v>534</v>
      </c>
      <c r="C67" s="723" t="s">
        <v>535</v>
      </c>
      <c r="D67" s="724" t="s">
        <v>536</v>
      </c>
      <c r="E67" s="724" t="s">
        <v>537</v>
      </c>
      <c r="F67" s="724" t="s">
        <v>538</v>
      </c>
      <c r="G67" s="724" t="s">
        <v>539</v>
      </c>
      <c r="H67" s="724" t="s">
        <v>540</v>
      </c>
      <c r="I67" s="724" t="s">
        <v>541</v>
      </c>
      <c r="J67" s="724" t="s">
        <v>542</v>
      </c>
      <c r="K67" s="725" t="s">
        <v>543</v>
      </c>
      <c r="L67" s="724" t="s">
        <v>544</v>
      </c>
      <c r="M67" s="725" t="s">
        <v>545</v>
      </c>
      <c r="N67" s="724" t="s">
        <v>546</v>
      </c>
      <c r="O67" s="726" t="s">
        <v>537</v>
      </c>
      <c r="P67" s="724" t="s">
        <v>547</v>
      </c>
      <c r="Q67" s="727"/>
      <c r="R67" s="722" t="s">
        <v>534</v>
      </c>
      <c r="S67" s="724" t="s">
        <v>501</v>
      </c>
      <c r="T67" s="724" t="s">
        <v>338</v>
      </c>
      <c r="U67" s="724" t="s">
        <v>538</v>
      </c>
      <c r="V67" s="724" t="s">
        <v>548</v>
      </c>
      <c r="W67" s="722" t="s">
        <v>548</v>
      </c>
    </row>
    <row r="68" spans="1:23">
      <c r="A68" s="796">
        <f>IF(B68&lt;&gt;"",ROW()-(ROW()-1),"")</f>
        <v>1</v>
      </c>
      <c r="B68" s="790" t="s">
        <v>454</v>
      </c>
      <c r="C68" s="730"/>
      <c r="D68" s="582">
        <f>ROUND(C68*O68,0)</f>
        <v>0</v>
      </c>
      <c r="E68" s="582">
        <f>O49</f>
        <v>5000</v>
      </c>
      <c r="F68" s="582">
        <f>P49</f>
        <v>177883.42945848691</v>
      </c>
      <c r="G68" s="731">
        <f>(D68+E68)*F68</f>
        <v>889417147.29243457</v>
      </c>
      <c r="H68" s="582">
        <f>IF($D$72&lt;&gt;0,H$72/($D$72+$E$72/5)*($D68+$E68/5),0)</f>
        <v>0</v>
      </c>
      <c r="I68" s="582">
        <f t="shared" ref="I68:K69" si="8">IF($D$72&lt;&gt;0,I$72/$D$72*$D68,0)</f>
        <v>0</v>
      </c>
      <c r="J68" s="582">
        <f t="shared" si="8"/>
        <v>0</v>
      </c>
      <c r="K68" s="582">
        <f t="shared" si="8"/>
        <v>0</v>
      </c>
      <c r="L68" s="582">
        <f>($V$78+$V$79)/$O$72*O68</f>
        <v>48579545.454545453</v>
      </c>
      <c r="M68" s="582"/>
      <c r="N68" s="731">
        <f>ROUND(SUM(G68:L68),0)</f>
        <v>937996693</v>
      </c>
      <c r="O68" s="737">
        <v>5000</v>
      </c>
      <c r="P68" s="582">
        <f>IF(O68&lt;&gt;"",N68/O68,"")</f>
        <v>187599.33859999999</v>
      </c>
      <c r="Q68" s="750"/>
      <c r="R68" s="733" t="s">
        <v>340</v>
      </c>
      <c r="S68" s="797"/>
      <c r="T68" s="221"/>
      <c r="U68" s="735"/>
      <c r="V68" s="731">
        <f t="shared" ref="V68:V75" si="9">ROUND(T68*U68,0)</f>
        <v>0</v>
      </c>
      <c r="W68" s="731"/>
    </row>
    <row r="69" spans="1:23">
      <c r="A69" s="798">
        <f>IF(B69&lt;&gt;"",A68+1,"")</f>
        <v>2</v>
      </c>
      <c r="B69" s="790" t="s">
        <v>804</v>
      </c>
      <c r="C69" s="730">
        <v>8</v>
      </c>
      <c r="D69" s="582">
        <f>ROUND(C69*O69,0)</f>
        <v>30400</v>
      </c>
      <c r="E69" s="582"/>
      <c r="F69" s="582">
        <v>18500</v>
      </c>
      <c r="G69" s="731">
        <f>(D69+E69)*F69</f>
        <v>562400000</v>
      </c>
      <c r="H69" s="582">
        <f>IF($D$72&lt;&gt;0,H$72/($D$72+$E$72/5)*($D69+$E69/5),0)</f>
        <v>0</v>
      </c>
      <c r="I69" s="582">
        <f t="shared" si="8"/>
        <v>0</v>
      </c>
      <c r="J69" s="582">
        <f t="shared" si="8"/>
        <v>0</v>
      </c>
      <c r="K69" s="582">
        <f t="shared" si="8"/>
        <v>57138842</v>
      </c>
      <c r="L69" s="582">
        <f>($V$78+$V$79)/$O$72*O69</f>
        <v>36920454.545454539</v>
      </c>
      <c r="M69" s="582"/>
      <c r="N69" s="731">
        <f>ROUND(SUM(G69:L69),0)</f>
        <v>656459297</v>
      </c>
      <c r="O69" s="737">
        <v>3800</v>
      </c>
      <c r="P69" s="582">
        <f>IF(O69&lt;&gt;"",N69/O69,"")</f>
        <v>172752.44657894736</v>
      </c>
      <c r="Q69" s="750"/>
      <c r="R69" s="738" t="s">
        <v>346</v>
      </c>
      <c r="S69" s="797"/>
      <c r="T69" s="221"/>
      <c r="U69" s="739"/>
      <c r="V69" s="731">
        <f t="shared" si="9"/>
        <v>0</v>
      </c>
      <c r="W69" s="747"/>
    </row>
    <row r="70" spans="1:23">
      <c r="A70" s="798" t="str">
        <f>IF(B70&lt;&gt;"",A69+1,"")</f>
        <v/>
      </c>
      <c r="B70" s="790"/>
      <c r="C70" s="730"/>
      <c r="D70" s="582">
        <f>ROUND(C70*O70,0)</f>
        <v>0</v>
      </c>
      <c r="E70" s="582"/>
      <c r="F70" s="582"/>
      <c r="G70" s="731">
        <f>(D70+E70)*F70</f>
        <v>0</v>
      </c>
      <c r="H70" s="582">
        <f>IF($D$72&lt;&gt;0,H$72/($D$72+$E$72/5)*($D70+$E70/5),0)</f>
        <v>0</v>
      </c>
      <c r="I70" s="582">
        <f t="shared" ref="I70:K71" si="10">IF($D$72&lt;&gt;0,I$72/$D$72*$D70,0)</f>
        <v>0</v>
      </c>
      <c r="J70" s="582">
        <f t="shared" si="10"/>
        <v>0</v>
      </c>
      <c r="K70" s="582">
        <f t="shared" si="10"/>
        <v>0</v>
      </c>
      <c r="L70" s="582">
        <f>($V$78+$V$79)/$O$72*O70</f>
        <v>0</v>
      </c>
      <c r="M70" s="582"/>
      <c r="N70" s="731">
        <f>ROUND(SUM(G70:L70),0)</f>
        <v>0</v>
      </c>
      <c r="O70" s="737"/>
      <c r="P70" s="582" t="str">
        <f>IF(O70&lt;&gt;"",N70/O70,"")</f>
        <v/>
      </c>
      <c r="Q70" s="750"/>
      <c r="R70" s="738" t="s">
        <v>349</v>
      </c>
      <c r="S70" s="797"/>
      <c r="T70" s="221"/>
      <c r="U70" s="739"/>
      <c r="V70" s="731"/>
      <c r="W70" s="747"/>
    </row>
    <row r="71" spans="1:23">
      <c r="A71" s="798" t="str">
        <f>IF(B71&lt;&gt;"",A70+1,"")</f>
        <v/>
      </c>
      <c r="B71" s="790"/>
      <c r="C71" s="730"/>
      <c r="D71" s="582">
        <f>ROUND(C71*O71,0)</f>
        <v>0</v>
      </c>
      <c r="E71" s="582"/>
      <c r="F71" s="582"/>
      <c r="G71" s="731">
        <f>(D71+E71)*F71</f>
        <v>0</v>
      </c>
      <c r="H71" s="582">
        <f>IF($D$72&lt;&gt;0,H$72/($D$72+$E$72/5)*($D71+$E71/5),0)</f>
        <v>0</v>
      </c>
      <c r="I71" s="582">
        <f t="shared" si="10"/>
        <v>0</v>
      </c>
      <c r="J71" s="582">
        <f t="shared" si="10"/>
        <v>0</v>
      </c>
      <c r="K71" s="582">
        <f t="shared" si="10"/>
        <v>0</v>
      </c>
      <c r="L71" s="582">
        <f>($V$78+$V$79)/$O$72*O71</f>
        <v>0</v>
      </c>
      <c r="M71" s="582"/>
      <c r="N71" s="731">
        <f>ROUND(SUM(G71:L71),0)</f>
        <v>0</v>
      </c>
      <c r="O71" s="737"/>
      <c r="P71" s="582" t="str">
        <f>IF(O71&lt;&gt;"",N71/O71,"")</f>
        <v/>
      </c>
      <c r="Q71" s="750"/>
      <c r="R71" s="738" t="s">
        <v>225</v>
      </c>
      <c r="S71" s="797"/>
      <c r="T71" s="221"/>
      <c r="U71" s="739"/>
      <c r="V71" s="731">
        <f t="shared" si="9"/>
        <v>0</v>
      </c>
      <c r="W71" s="747"/>
    </row>
    <row r="72" spans="1:23" s="751" customFormat="1">
      <c r="A72" s="752"/>
      <c r="B72" s="753" t="s">
        <v>549</v>
      </c>
      <c r="C72" s="754"/>
      <c r="D72" s="755">
        <f>SUM(D68:D69)</f>
        <v>30400</v>
      </c>
      <c r="E72" s="755">
        <f>SUM(E68:E69)</f>
        <v>5000</v>
      </c>
      <c r="F72" s="755"/>
      <c r="G72" s="755">
        <f>SUM(G68:G69)</f>
        <v>1451817147.2924347</v>
      </c>
      <c r="H72" s="756"/>
      <c r="I72" s="756">
        <f>V77</f>
        <v>0</v>
      </c>
      <c r="J72" s="756"/>
      <c r="K72" s="756">
        <v>57138842</v>
      </c>
      <c r="L72" s="755">
        <f>ROUND(SUM(L68:L71),0)</f>
        <v>85500000</v>
      </c>
      <c r="M72" s="755">
        <f>ROUND(SUM(M68:M71),0)</f>
        <v>0</v>
      </c>
      <c r="N72" s="755">
        <f>ROUND(SUM(N68:N71),0)</f>
        <v>1594455990</v>
      </c>
      <c r="O72" s="755">
        <f>ROUND(SUM(O68:O71),0)</f>
        <v>8800</v>
      </c>
      <c r="P72" s="755"/>
      <c r="Q72" s="750"/>
      <c r="R72" s="738" t="s">
        <v>354</v>
      </c>
      <c r="S72" s="797"/>
      <c r="T72" s="761"/>
      <c r="U72" s="739"/>
      <c r="V72" s="731">
        <f t="shared" si="9"/>
        <v>0</v>
      </c>
      <c r="W72" s="747"/>
    </row>
    <row r="73" spans="1:23" s="706" customFormat="1">
      <c r="A73" s="702"/>
      <c r="B73" s="702"/>
      <c r="C73" s="702"/>
      <c r="D73" s="702"/>
      <c r="E73" s="702"/>
      <c r="F73" s="702"/>
      <c r="G73" s="702"/>
      <c r="H73" s="702"/>
      <c r="I73" s="702"/>
      <c r="J73" s="702"/>
      <c r="K73" s="702"/>
      <c r="L73" s="702"/>
      <c r="M73" s="702"/>
      <c r="N73" s="702"/>
      <c r="O73" s="702"/>
      <c r="P73" s="702"/>
      <c r="Q73" s="750"/>
      <c r="R73" s="738" t="s">
        <v>357</v>
      </c>
      <c r="S73" s="797"/>
      <c r="T73" s="221"/>
      <c r="U73" s="739"/>
      <c r="V73" s="731">
        <f t="shared" si="9"/>
        <v>0</v>
      </c>
      <c r="W73" s="747"/>
    </row>
    <row r="74" spans="1:23">
      <c r="Q74" s="750"/>
      <c r="R74" s="738" t="s">
        <v>360</v>
      </c>
      <c r="S74" s="797"/>
      <c r="T74" s="221"/>
      <c r="U74" s="739"/>
      <c r="V74" s="731">
        <f t="shared" si="9"/>
        <v>0</v>
      </c>
      <c r="W74" s="747"/>
    </row>
    <row r="75" spans="1:23">
      <c r="Q75" s="750"/>
      <c r="R75" s="738" t="s">
        <v>364</v>
      </c>
      <c r="S75" s="797"/>
      <c r="T75" s="221"/>
      <c r="U75" s="739"/>
      <c r="V75" s="731">
        <f t="shared" si="9"/>
        <v>0</v>
      </c>
      <c r="W75" s="747"/>
    </row>
    <row r="76" spans="1:23">
      <c r="Q76" s="750"/>
      <c r="R76" s="801"/>
      <c r="S76" s="734"/>
      <c r="T76" s="221"/>
      <c r="U76" s="221"/>
      <c r="V76" s="747"/>
      <c r="W76" s="747"/>
    </row>
    <row r="77" spans="1:23">
      <c r="R77" s="784"/>
      <c r="S77" s="785"/>
      <c r="T77" s="786"/>
      <c r="U77" s="802"/>
      <c r="V77" s="765">
        <f>SUM(V68:V76)</f>
        <v>0</v>
      </c>
      <c r="W77" s="765">
        <f>SUM(W68:W76)</f>
        <v>0</v>
      </c>
    </row>
    <row r="78" spans="1:23">
      <c r="R78" s="761" t="s">
        <v>402</v>
      </c>
      <c r="S78" s="797"/>
      <c r="T78" s="221">
        <v>1250</v>
      </c>
      <c r="U78" s="221">
        <v>18000</v>
      </c>
      <c r="V78" s="731">
        <f>ROUND(T78*U78,0)</f>
        <v>22500000</v>
      </c>
      <c r="W78" s="731"/>
    </row>
    <row r="79" spans="1:23">
      <c r="R79" s="761" t="s">
        <v>619</v>
      </c>
      <c r="S79" s="797"/>
      <c r="T79" s="221">
        <v>4500</v>
      </c>
      <c r="U79" s="221">
        <v>14000</v>
      </c>
      <c r="V79" s="731">
        <f>ROUND(T79*U79,0)</f>
        <v>63000000</v>
      </c>
      <c r="W79" s="747"/>
    </row>
    <row r="80" spans="1:23">
      <c r="R80" s="761"/>
      <c r="S80" s="734"/>
      <c r="T80" s="739"/>
      <c r="U80" s="739"/>
      <c r="V80" s="731">
        <f>ROUND(T80*U80,0)</f>
        <v>0</v>
      </c>
      <c r="W80" s="747"/>
    </row>
    <row r="81" spans="1:23">
      <c r="R81" s="761"/>
      <c r="S81" s="734"/>
      <c r="T81" s="739"/>
      <c r="U81" s="739"/>
      <c r="V81" s="731">
        <f>ROUND(T81*U81,0)</f>
        <v>0</v>
      </c>
      <c r="W81" s="747"/>
    </row>
    <row r="82" spans="1:23" ht="18" customHeight="1">
      <c r="A82" s="706" t="s">
        <v>532</v>
      </c>
      <c r="B82" s="706"/>
      <c r="C82" s="707"/>
      <c r="D82" s="708"/>
      <c r="E82" s="708"/>
      <c r="F82" s="708"/>
      <c r="G82" s="705"/>
      <c r="H82" s="705"/>
      <c r="I82" s="705"/>
      <c r="J82" s="705"/>
      <c r="K82" s="705"/>
      <c r="L82" s="709"/>
      <c r="M82" s="705"/>
      <c r="N82" s="705"/>
      <c r="O82" s="710"/>
      <c r="P82" s="705"/>
      <c r="Q82" s="711"/>
      <c r="R82" s="705"/>
      <c r="S82" s="712"/>
    </row>
    <row r="83" spans="1:23" ht="18.75" customHeight="1">
      <c r="A83" s="713" t="s">
        <v>553</v>
      </c>
      <c r="B83" s="713"/>
      <c r="C83" s="713"/>
      <c r="D83" s="713"/>
      <c r="E83" s="713"/>
      <c r="F83" s="713"/>
      <c r="G83" s="713"/>
      <c r="H83" s="713"/>
      <c r="I83" s="713"/>
      <c r="J83" s="713"/>
      <c r="K83" s="713"/>
      <c r="L83" s="713"/>
      <c r="M83" s="713"/>
      <c r="N83" s="713"/>
      <c r="O83" s="713"/>
      <c r="P83" s="713"/>
      <c r="Q83" s="711"/>
      <c r="R83" s="705"/>
      <c r="S83" s="712"/>
    </row>
    <row r="84" spans="1:23" ht="18.75" customHeight="1">
      <c r="A84" s="714"/>
      <c r="B84" s="714"/>
      <c r="C84" s="715"/>
      <c r="D84" s="714"/>
      <c r="E84" s="714"/>
      <c r="F84" s="714"/>
      <c r="G84" s="714"/>
      <c r="H84" s="714"/>
      <c r="I84" s="714"/>
      <c r="J84" s="714"/>
      <c r="K84" s="714"/>
      <c r="L84" s="713"/>
      <c r="M84" s="714"/>
      <c r="N84" s="714"/>
      <c r="O84" s="716"/>
      <c r="P84" s="714"/>
      <c r="Q84" s="711"/>
      <c r="R84" s="705"/>
      <c r="S84" s="712"/>
    </row>
    <row r="85" spans="1:23" ht="12.75" customHeight="1">
      <c r="A85" s="717"/>
      <c r="B85" s="717"/>
      <c r="C85" s="718"/>
      <c r="D85" s="717"/>
      <c r="E85" s="717"/>
      <c r="F85" s="717"/>
      <c r="G85" s="717"/>
      <c r="H85" s="717"/>
      <c r="I85" s="717"/>
      <c r="J85" s="717"/>
      <c r="K85" s="717"/>
      <c r="L85" s="717"/>
      <c r="M85" s="717"/>
      <c r="N85" s="717"/>
      <c r="O85" s="719"/>
      <c r="P85" s="717"/>
      <c r="Q85" s="711"/>
      <c r="R85" s="705"/>
      <c r="S85" s="712"/>
    </row>
    <row r="86" spans="1:23" s="728" customFormat="1" ht="30.75" customHeight="1">
      <c r="A86" s="722" t="s">
        <v>37</v>
      </c>
      <c r="B86" s="722" t="s">
        <v>534</v>
      </c>
      <c r="C86" s="723" t="s">
        <v>535</v>
      </c>
      <c r="D86" s="724" t="s">
        <v>536</v>
      </c>
      <c r="E86" s="724" t="s">
        <v>537</v>
      </c>
      <c r="F86" s="724" t="s">
        <v>538</v>
      </c>
      <c r="G86" s="724" t="s">
        <v>539</v>
      </c>
      <c r="H86" s="724" t="s">
        <v>540</v>
      </c>
      <c r="I86" s="724" t="s">
        <v>541</v>
      </c>
      <c r="J86" s="724" t="s">
        <v>542</v>
      </c>
      <c r="K86" s="725" t="s">
        <v>543</v>
      </c>
      <c r="L86" s="724" t="s">
        <v>544</v>
      </c>
      <c r="M86" s="725" t="s">
        <v>545</v>
      </c>
      <c r="N86" s="724" t="s">
        <v>546</v>
      </c>
      <c r="O86" s="726" t="s">
        <v>537</v>
      </c>
      <c r="P86" s="724" t="s">
        <v>547</v>
      </c>
      <c r="Q86" s="727"/>
      <c r="R86" s="722" t="s">
        <v>534</v>
      </c>
      <c r="S86" s="724" t="s">
        <v>501</v>
      </c>
      <c r="T86" s="724" t="s">
        <v>338</v>
      </c>
      <c r="U86" s="724" t="s">
        <v>538</v>
      </c>
      <c r="V86" s="724" t="s">
        <v>548</v>
      </c>
      <c r="W86" s="722" t="s">
        <v>548</v>
      </c>
    </row>
    <row r="87" spans="1:23">
      <c r="A87" s="729" t="str">
        <f>IF(B87&lt;&gt;"",ROW()-(ROW()-1),"")</f>
        <v/>
      </c>
      <c r="B87" s="482"/>
      <c r="C87" s="730">
        <f>IF(ISNA(VLOOKUP(B87,NXT!$Q$61:$S$81,2,0)),0,VLOOKUP(B87,NXT!$Q$61:$S$81,2,0))</f>
        <v>0</v>
      </c>
      <c r="D87" s="582">
        <f>ROUND(C87*O87,0)</f>
        <v>0</v>
      </c>
      <c r="E87" s="582"/>
      <c r="F87" s="582"/>
      <c r="G87" s="731">
        <f>(D87+E87)*F87</f>
        <v>0</v>
      </c>
      <c r="H87" s="582">
        <f>IF($D$90&lt;&gt;0,H$90/($D$90+$E$90/5)*($D87+$E87/5),0)</f>
        <v>0</v>
      </c>
      <c r="I87" s="582">
        <f t="shared" ref="I87:K88" si="11">IF($D$90&lt;&gt;0,I$90/$D$90*$D87,0)</f>
        <v>0</v>
      </c>
      <c r="J87" s="582">
        <f t="shared" si="11"/>
        <v>0</v>
      </c>
      <c r="K87" s="582">
        <f t="shared" si="11"/>
        <v>0</v>
      </c>
      <c r="L87" s="731"/>
      <c r="M87" s="582" t="e">
        <f>34560000/($O$68+#REF!+#REF!)*O87</f>
        <v>#REF!</v>
      </c>
      <c r="N87" s="731">
        <f>ROUND(SUM(G87:L87),0)</f>
        <v>0</v>
      </c>
      <c r="O87" s="582"/>
      <c r="P87" s="582">
        <f>IF(N87&lt;&gt;0,N87/O87,0)</f>
        <v>0</v>
      </c>
      <c r="Q87" s="750"/>
      <c r="R87" s="738"/>
      <c r="S87" s="797"/>
      <c r="T87" s="221"/>
      <c r="U87" s="739"/>
      <c r="V87" s="731">
        <f t="shared" ref="V87:V93" si="12">ROUND(T87*U87,0)</f>
        <v>0</v>
      </c>
      <c r="W87" s="747"/>
    </row>
    <row r="88" spans="1:23">
      <c r="A88" s="729" t="str">
        <f>IF(B88&lt;&gt;"",A87+1,"")</f>
        <v/>
      </c>
      <c r="B88" s="477"/>
      <c r="C88" s="730">
        <f>IF(ISNA(VLOOKUP(B88,NXT!$Q$61:$S$81,2,0)),0,VLOOKUP(B88,NXT!$Q$61:$S$81,2,0))</f>
        <v>0</v>
      </c>
      <c r="D88" s="582">
        <f>ROUND(C88*O88,0)</f>
        <v>0</v>
      </c>
      <c r="E88" s="582"/>
      <c r="F88" s="582"/>
      <c r="G88" s="731">
        <f>(D88+E88)*F88</f>
        <v>0</v>
      </c>
      <c r="H88" s="582">
        <f>IF($D$90&lt;&gt;0,H$90/($D$90+$E$90/5)*($D88+$E88/5),0)</f>
        <v>0</v>
      </c>
      <c r="I88" s="582">
        <f t="shared" si="11"/>
        <v>0</v>
      </c>
      <c r="J88" s="582">
        <f t="shared" si="11"/>
        <v>0</v>
      </c>
      <c r="K88" s="582">
        <f t="shared" si="11"/>
        <v>0</v>
      </c>
      <c r="L88" s="582"/>
      <c r="M88" s="582"/>
      <c r="N88" s="731">
        <f>ROUND(SUM(G88:L88),0)</f>
        <v>0</v>
      </c>
      <c r="O88" s="737"/>
      <c r="P88" s="582">
        <f>IF(N88&lt;&gt;0,N88/O88,0)</f>
        <v>0</v>
      </c>
      <c r="Q88" s="750"/>
      <c r="R88" s="738"/>
      <c r="S88" s="797"/>
      <c r="T88" s="221"/>
      <c r="U88" s="739"/>
      <c r="V88" s="731">
        <f t="shared" si="12"/>
        <v>0</v>
      </c>
      <c r="W88" s="747"/>
    </row>
    <row r="89" spans="1:23" s="751" customFormat="1">
      <c r="A89" s="729" t="str">
        <f>IF(B89&lt;&gt;"",#REF!+1,"")</f>
        <v/>
      </c>
      <c r="B89" s="742"/>
      <c r="C89" s="743"/>
      <c r="D89" s="745"/>
      <c r="E89" s="745"/>
      <c r="F89" s="745"/>
      <c r="G89" s="746"/>
      <c r="H89" s="791"/>
      <c r="I89" s="745"/>
      <c r="J89" s="747"/>
      <c r="K89" s="745"/>
      <c r="L89" s="748"/>
      <c r="M89" s="745"/>
      <c r="N89" s="779"/>
      <c r="O89" s="749"/>
      <c r="P89" s="745"/>
      <c r="Q89" s="750"/>
      <c r="R89" s="738"/>
      <c r="S89" s="797"/>
      <c r="T89" s="221"/>
      <c r="U89" s="739"/>
      <c r="V89" s="731">
        <f t="shared" si="12"/>
        <v>0</v>
      </c>
      <c r="W89" s="747"/>
    </row>
    <row r="90" spans="1:23" s="706" customFormat="1">
      <c r="A90" s="752"/>
      <c r="B90" s="753" t="s">
        <v>549</v>
      </c>
      <c r="C90" s="754"/>
      <c r="D90" s="755">
        <f>SUM(D87:D88)</f>
        <v>0</v>
      </c>
      <c r="E90" s="755">
        <f>SUM(E87:E88)</f>
        <v>0</v>
      </c>
      <c r="F90" s="755"/>
      <c r="G90" s="755">
        <f>SUM(G87:G88)</f>
        <v>0</v>
      </c>
      <c r="H90" s="756"/>
      <c r="I90" s="756">
        <f>V95</f>
        <v>0</v>
      </c>
      <c r="J90" s="756"/>
      <c r="K90" s="756">
        <v>57138842</v>
      </c>
      <c r="L90" s="755">
        <f>ROUND(SUM(L87:L89),0)</f>
        <v>0</v>
      </c>
      <c r="M90" s="755" t="e">
        <f>ROUND(SUM(M87:M89),0)</f>
        <v>#REF!</v>
      </c>
      <c r="N90" s="755">
        <f>ROUND(SUM(N87:N89),0)</f>
        <v>0</v>
      </c>
      <c r="O90" s="755">
        <f>ROUND(SUM(O87:O89),0)</f>
        <v>0</v>
      </c>
      <c r="P90" s="755"/>
      <c r="Q90" s="750"/>
      <c r="R90" s="738"/>
      <c r="S90" s="797"/>
      <c r="T90" s="761"/>
      <c r="U90" s="761"/>
      <c r="V90" s="731">
        <f t="shared" si="12"/>
        <v>0</v>
      </c>
      <c r="W90" s="747"/>
    </row>
    <row r="91" spans="1:23">
      <c r="Q91" s="750"/>
      <c r="R91" s="738"/>
      <c r="S91" s="799"/>
      <c r="T91" s="761"/>
      <c r="U91" s="739"/>
      <c r="V91" s="731">
        <f t="shared" si="12"/>
        <v>0</v>
      </c>
      <c r="W91" s="747"/>
    </row>
    <row r="92" spans="1:23">
      <c r="Q92" s="750"/>
      <c r="R92" s="800"/>
      <c r="S92" s="799"/>
      <c r="T92" s="761"/>
      <c r="U92" s="739"/>
      <c r="V92" s="731">
        <f t="shared" si="12"/>
        <v>0</v>
      </c>
      <c r="W92" s="747"/>
    </row>
    <row r="93" spans="1:23">
      <c r="Q93" s="750"/>
      <c r="R93" s="738"/>
      <c r="S93" s="799"/>
      <c r="T93" s="761"/>
      <c r="U93" s="739"/>
      <c r="V93" s="731">
        <f t="shared" si="12"/>
        <v>0</v>
      </c>
      <c r="W93" s="747"/>
    </row>
    <row r="94" spans="1:23">
      <c r="Q94" s="750"/>
      <c r="R94" s="801"/>
      <c r="S94" s="734"/>
      <c r="T94" s="221"/>
      <c r="U94" s="221"/>
      <c r="V94" s="747"/>
      <c r="W94" s="747"/>
    </row>
    <row r="95" spans="1:23">
      <c r="R95" s="784"/>
      <c r="S95" s="785"/>
      <c r="T95" s="786"/>
      <c r="U95" s="802"/>
      <c r="V95" s="755">
        <f>SUM(V87:V94)</f>
        <v>0</v>
      </c>
      <c r="W95" s="765">
        <f>SUM(W87:W94)</f>
        <v>0</v>
      </c>
    </row>
    <row r="96" spans="1:23">
      <c r="R96" s="787"/>
      <c r="S96" s="797"/>
      <c r="T96" s="221"/>
      <c r="U96" s="221"/>
      <c r="V96" s="731">
        <f>ROUND(T96*U96,0)</f>
        <v>0</v>
      </c>
      <c r="W96" s="731"/>
    </row>
    <row r="97" spans="1:23">
      <c r="R97" s="803"/>
      <c r="S97" s="797"/>
      <c r="T97" s="739"/>
      <c r="U97" s="739"/>
      <c r="V97" s="731">
        <f>ROUND(T97*U97,0)</f>
        <v>0</v>
      </c>
      <c r="W97" s="747"/>
    </row>
    <row r="98" spans="1:23">
      <c r="R98" s="738"/>
      <c r="S98" s="797"/>
      <c r="T98" s="739"/>
      <c r="U98" s="739"/>
      <c r="V98" s="731">
        <f>ROUND(T98*U98,0)</f>
        <v>0</v>
      </c>
      <c r="W98" s="747"/>
    </row>
    <row r="99" spans="1:23">
      <c r="R99" s="761"/>
      <c r="S99" s="734"/>
      <c r="T99" s="739"/>
      <c r="U99" s="739"/>
      <c r="V99" s="731">
        <f>ROUND(T99*U99,0)</f>
        <v>0</v>
      </c>
      <c r="W99" s="747"/>
    </row>
    <row r="100" spans="1:23">
      <c r="R100" s="761"/>
      <c r="S100" s="734"/>
      <c r="T100" s="739"/>
      <c r="U100" s="739"/>
      <c r="V100" s="731">
        <f>ROUND(T100*U100,0)</f>
        <v>0</v>
      </c>
      <c r="W100" s="747"/>
    </row>
    <row r="101" spans="1:23">
      <c r="R101" s="711"/>
      <c r="S101" s="788"/>
      <c r="T101" s="721"/>
      <c r="U101" s="721"/>
      <c r="V101" s="759"/>
      <c r="W101" s="789"/>
    </row>
    <row r="102" spans="1:23" ht="18" customHeight="1">
      <c r="A102" s="706" t="s">
        <v>532</v>
      </c>
      <c r="B102" s="706"/>
      <c r="C102" s="707"/>
      <c r="D102" s="708"/>
      <c r="E102" s="708"/>
      <c r="F102" s="708"/>
      <c r="G102" s="705"/>
      <c r="H102" s="705"/>
      <c r="I102" s="705"/>
      <c r="J102" s="705"/>
      <c r="K102" s="705"/>
      <c r="L102" s="709"/>
      <c r="M102" s="705"/>
      <c r="N102" s="705"/>
      <c r="O102" s="710"/>
      <c r="P102" s="705"/>
      <c r="Q102" s="711"/>
      <c r="R102" s="705"/>
      <c r="S102" s="712"/>
    </row>
    <row r="103" spans="1:23" ht="18.75" customHeight="1">
      <c r="A103" s="713" t="s">
        <v>554</v>
      </c>
      <c r="B103" s="713"/>
      <c r="C103" s="713"/>
      <c r="D103" s="713"/>
      <c r="E103" s="713"/>
      <c r="F103" s="713"/>
      <c r="G103" s="713"/>
      <c r="H103" s="713"/>
      <c r="I103" s="713"/>
      <c r="J103" s="713"/>
      <c r="K103" s="713"/>
      <c r="L103" s="713"/>
      <c r="M103" s="713"/>
      <c r="N103" s="713"/>
      <c r="O103" s="713"/>
      <c r="P103" s="713"/>
      <c r="Q103" s="711"/>
      <c r="R103" s="705"/>
      <c r="S103" s="712"/>
    </row>
    <row r="104" spans="1:23" ht="18.75" customHeight="1">
      <c r="A104" s="714"/>
      <c r="B104" s="714"/>
      <c r="C104" s="715"/>
      <c r="D104" s="714"/>
      <c r="E104" s="714"/>
      <c r="F104" s="714"/>
      <c r="G104" s="714"/>
      <c r="H104" s="714"/>
      <c r="I104" s="714"/>
      <c r="J104" s="714"/>
      <c r="K104" s="714"/>
      <c r="L104" s="713"/>
      <c r="M104" s="714"/>
      <c r="N104" s="714"/>
      <c r="O104" s="716"/>
      <c r="P104" s="714"/>
      <c r="Q104" s="711"/>
      <c r="R104" s="705"/>
      <c r="S104" s="712"/>
    </row>
    <row r="105" spans="1:23" ht="12.75" customHeight="1">
      <c r="A105" s="717"/>
      <c r="B105" s="717"/>
      <c r="C105" s="718"/>
      <c r="D105" s="717"/>
      <c r="E105" s="717"/>
      <c r="F105" s="717"/>
      <c r="G105" s="717"/>
      <c r="H105" s="717"/>
      <c r="I105" s="717"/>
      <c r="J105" s="717"/>
      <c r="K105" s="717"/>
      <c r="L105" s="717"/>
      <c r="M105" s="717"/>
      <c r="N105" s="717"/>
      <c r="O105" s="719"/>
      <c r="P105" s="717"/>
      <c r="Q105" s="711"/>
      <c r="R105" s="705"/>
      <c r="S105" s="712"/>
    </row>
    <row r="106" spans="1:23" s="728" customFormat="1" ht="30.75" customHeight="1">
      <c r="A106" s="722" t="s">
        <v>37</v>
      </c>
      <c r="B106" s="722" t="s">
        <v>534</v>
      </c>
      <c r="C106" s="723" t="s">
        <v>535</v>
      </c>
      <c r="D106" s="724" t="s">
        <v>536</v>
      </c>
      <c r="E106" s="724" t="s">
        <v>537</v>
      </c>
      <c r="F106" s="724" t="s">
        <v>538</v>
      </c>
      <c r="G106" s="724" t="s">
        <v>539</v>
      </c>
      <c r="H106" s="724" t="s">
        <v>540</v>
      </c>
      <c r="I106" s="724" t="s">
        <v>541</v>
      </c>
      <c r="J106" s="724" t="s">
        <v>542</v>
      </c>
      <c r="K106" s="725" t="s">
        <v>543</v>
      </c>
      <c r="L106" s="724" t="s">
        <v>544</v>
      </c>
      <c r="M106" s="725" t="s">
        <v>545</v>
      </c>
      <c r="N106" s="724" t="s">
        <v>546</v>
      </c>
      <c r="O106" s="726" t="s">
        <v>537</v>
      </c>
      <c r="P106" s="724" t="s">
        <v>547</v>
      </c>
      <c r="Q106" s="727"/>
      <c r="R106" s="722" t="s">
        <v>534</v>
      </c>
      <c r="S106" s="724" t="s">
        <v>501</v>
      </c>
      <c r="T106" s="724" t="s">
        <v>338</v>
      </c>
      <c r="U106" s="724" t="s">
        <v>538</v>
      </c>
      <c r="V106" s="724" t="s">
        <v>548</v>
      </c>
      <c r="W106" s="722" t="s">
        <v>548</v>
      </c>
    </row>
    <row r="107" spans="1:23">
      <c r="A107" s="729" t="str">
        <f>IF(B107&lt;&gt;"",ROW()-(ROW()-1),"")</f>
        <v/>
      </c>
      <c r="B107" s="804"/>
      <c r="C107" s="730">
        <f>IF(ISNA(VLOOKUP(B107,NXT!$Q$61:$S$81,2,0)),0,VLOOKUP(B107,NXT!$Q$61:$S$81,2,0))</f>
        <v>0</v>
      </c>
      <c r="D107" s="582">
        <f>ROUND(C107*O107,0)</f>
        <v>0</v>
      </c>
      <c r="E107" s="582"/>
      <c r="F107" s="582"/>
      <c r="G107" s="731">
        <f>D107*F107</f>
        <v>0</v>
      </c>
      <c r="H107" s="582">
        <f>IF($D$112&lt;&gt;0,H$112/($D$112+$E$112/5)*($D107+$E107/5),0)</f>
        <v>0</v>
      </c>
      <c r="I107" s="582">
        <f t="shared" ref="I107:K110" si="13">IF($D$112&lt;&gt;0,I$112/$D$112*$D107,0)</f>
        <v>0</v>
      </c>
      <c r="J107" s="582">
        <f t="shared" si="13"/>
        <v>0</v>
      </c>
      <c r="K107" s="582">
        <f t="shared" si="13"/>
        <v>0</v>
      </c>
      <c r="L107" s="731"/>
      <c r="M107" s="582" t="e">
        <f>34560000/($O$68+#REF!+#REF!)*O107</f>
        <v>#REF!</v>
      </c>
      <c r="N107" s="731">
        <f>ROUND(SUM(G107:L107),0)</f>
        <v>0</v>
      </c>
      <c r="O107" s="582"/>
      <c r="P107" s="582">
        <f>IF(N107&lt;&gt;0,N107/O107,0)</f>
        <v>0</v>
      </c>
      <c r="Q107" s="750"/>
      <c r="R107" s="733"/>
      <c r="S107" s="797"/>
      <c r="T107" s="221"/>
      <c r="U107" s="735"/>
      <c r="V107" s="731">
        <f t="shared" ref="V107:V119" si="14">ROUND(T107*U107,0)</f>
        <v>0</v>
      </c>
      <c r="W107" s="731"/>
    </row>
    <row r="108" spans="1:23">
      <c r="A108" s="729" t="str">
        <f>IF(B108&lt;&gt;"",A107+1,"")</f>
        <v/>
      </c>
      <c r="B108" s="741"/>
      <c r="C108" s="730">
        <f>IF(ISNA(VLOOKUP(B108,NXT!$Q$61:$S$81,2,0)),0,VLOOKUP(B108,NXT!$Q$61:$S$81,2,0))</f>
        <v>0</v>
      </c>
      <c r="D108" s="582">
        <f>ROUND(C108*O108,0)</f>
        <v>0</v>
      </c>
      <c r="E108" s="582"/>
      <c r="F108" s="582"/>
      <c r="G108" s="731">
        <f>D108*F108</f>
        <v>0</v>
      </c>
      <c r="H108" s="582">
        <f>IF($D$112&lt;&gt;0,H$112/($D$112+$E$112/5)*($D108+$E108/5),0)</f>
        <v>0</v>
      </c>
      <c r="I108" s="582">
        <f t="shared" si="13"/>
        <v>0</v>
      </c>
      <c r="J108" s="582">
        <f t="shared" si="13"/>
        <v>0</v>
      </c>
      <c r="K108" s="582">
        <f t="shared" si="13"/>
        <v>0</v>
      </c>
      <c r="L108" s="582"/>
      <c r="M108" s="582"/>
      <c r="N108" s="731">
        <f>ROUND(SUM(G108:L108),0)</f>
        <v>0</v>
      </c>
      <c r="O108" s="737"/>
      <c r="P108" s="582">
        <f>IF(N108&lt;&gt;0,N108/O108,0)</f>
        <v>0</v>
      </c>
      <c r="Q108" s="750"/>
      <c r="R108" s="738"/>
      <c r="S108" s="797"/>
      <c r="T108" s="221"/>
      <c r="U108" s="739"/>
      <c r="V108" s="731">
        <f t="shared" si="14"/>
        <v>0</v>
      </c>
      <c r="W108" s="747"/>
    </row>
    <row r="109" spans="1:23">
      <c r="A109" s="729" t="str">
        <f>IF(B109&lt;&gt;"",A108+1,"")</f>
        <v/>
      </c>
      <c r="B109" s="741"/>
      <c r="C109" s="730">
        <f>IF(ISNA(VLOOKUP(B109,NXT!$Q$61:$S$81,2,0)),0,VLOOKUP(B109,NXT!$Q$61:$S$81,2,0))</f>
        <v>0</v>
      </c>
      <c r="D109" s="582">
        <f>ROUND(C109*O109,0)</f>
        <v>0</v>
      </c>
      <c r="E109" s="582"/>
      <c r="F109" s="582"/>
      <c r="G109" s="731">
        <f>D109*F109</f>
        <v>0</v>
      </c>
      <c r="H109" s="582">
        <f>IF($D$112&lt;&gt;0,H$112/($D$112+$E$112/5)*($D109+$E109/5),0)</f>
        <v>0</v>
      </c>
      <c r="I109" s="582">
        <f t="shared" si="13"/>
        <v>0</v>
      </c>
      <c r="J109" s="582">
        <f t="shared" si="13"/>
        <v>0</v>
      </c>
      <c r="K109" s="582">
        <f t="shared" si="13"/>
        <v>0</v>
      </c>
      <c r="L109" s="582"/>
      <c r="M109" s="582">
        <v>25840000</v>
      </c>
      <c r="N109" s="731">
        <f>ROUND(SUM(G109:L109),0)</f>
        <v>0</v>
      </c>
      <c r="O109" s="737"/>
      <c r="P109" s="582">
        <f>IF(N109&lt;&gt;0,N109/O109,0)</f>
        <v>0</v>
      </c>
      <c r="Q109" s="750"/>
      <c r="R109" s="738"/>
      <c r="S109" s="797"/>
      <c r="T109" s="221"/>
      <c r="U109" s="739"/>
      <c r="V109" s="731">
        <f t="shared" si="14"/>
        <v>0</v>
      </c>
      <c r="W109" s="747"/>
    </row>
    <row r="110" spans="1:23">
      <c r="A110" s="729" t="str">
        <f>IF(B110&lt;&gt;"",A109+1,"")</f>
        <v/>
      </c>
      <c r="B110" s="477"/>
      <c r="C110" s="730">
        <f>IF(ISNA(VLOOKUP(B110,NXT!$Q$61:$S$81,2,0)),0,VLOOKUP(B110,NXT!$Q$61:$S$81,2,0))</f>
        <v>0</v>
      </c>
      <c r="D110" s="582">
        <f>ROUND(C110*O110,0)</f>
        <v>0</v>
      </c>
      <c r="E110" s="582"/>
      <c r="F110" s="582"/>
      <c r="G110" s="731">
        <f>D110*F110</f>
        <v>0</v>
      </c>
      <c r="H110" s="582">
        <f>IF($D$112&lt;&gt;0,H$112/($D$112+$E$112/5)*($D110+$E110/5),0)</f>
        <v>0</v>
      </c>
      <c r="I110" s="582">
        <f t="shared" si="13"/>
        <v>0</v>
      </c>
      <c r="J110" s="582">
        <f t="shared" si="13"/>
        <v>0</v>
      </c>
      <c r="K110" s="582">
        <f t="shared" si="13"/>
        <v>0</v>
      </c>
      <c r="L110" s="582"/>
      <c r="M110" s="582" t="e">
        <f>34560000/($O$68+#REF!+#REF!)*O110</f>
        <v>#REF!</v>
      </c>
      <c r="N110" s="731">
        <f>ROUND(SUM(G110:L110),0)</f>
        <v>0</v>
      </c>
      <c r="O110" s="737"/>
      <c r="P110" s="582">
        <f>IF(N110&lt;&gt;0,N110/O110,0)</f>
        <v>0</v>
      </c>
      <c r="Q110" s="750"/>
      <c r="R110" s="738"/>
      <c r="S110" s="797"/>
      <c r="T110" s="761"/>
      <c r="U110" s="739"/>
      <c r="V110" s="731">
        <f t="shared" si="14"/>
        <v>0</v>
      </c>
      <c r="W110" s="747"/>
    </row>
    <row r="111" spans="1:23">
      <c r="A111" s="729" t="str">
        <f>IF(B111&lt;&gt;"",#REF!+1,"")</f>
        <v/>
      </c>
      <c r="B111" s="742"/>
      <c r="C111" s="743"/>
      <c r="D111" s="745"/>
      <c r="E111" s="745"/>
      <c r="F111" s="745"/>
      <c r="G111" s="746"/>
      <c r="H111" s="791"/>
      <c r="I111" s="745"/>
      <c r="J111" s="747"/>
      <c r="K111" s="745"/>
      <c r="L111" s="748"/>
      <c r="M111" s="745"/>
      <c r="N111" s="731"/>
      <c r="O111" s="749"/>
      <c r="P111" s="745"/>
      <c r="Q111" s="750"/>
      <c r="R111" s="738"/>
      <c r="S111" s="797"/>
      <c r="T111" s="221"/>
      <c r="U111" s="739"/>
      <c r="V111" s="731">
        <f t="shared" si="14"/>
        <v>0</v>
      </c>
      <c r="W111" s="747"/>
    </row>
    <row r="112" spans="1:23">
      <c r="A112" s="752"/>
      <c r="B112" s="753" t="s">
        <v>549</v>
      </c>
      <c r="C112" s="754"/>
      <c r="D112" s="755">
        <f>SUM(D107:D110)</f>
        <v>0</v>
      </c>
      <c r="E112" s="755"/>
      <c r="F112" s="755"/>
      <c r="G112" s="755">
        <f>SUM(G107:G110)</f>
        <v>0</v>
      </c>
      <c r="H112" s="756"/>
      <c r="I112" s="756">
        <f>V121</f>
        <v>0</v>
      </c>
      <c r="J112" s="756"/>
      <c r="K112" s="756">
        <v>57138842</v>
      </c>
      <c r="L112" s="755">
        <f>ROUND(SUM(L107:L111),0)</f>
        <v>0</v>
      </c>
      <c r="M112" s="755" t="e">
        <f>ROUND(SUM(M107:M111),0)</f>
        <v>#REF!</v>
      </c>
      <c r="N112" s="755">
        <f>ROUND(SUM(N107:N111),0)</f>
        <v>0</v>
      </c>
      <c r="O112" s="755">
        <f>ROUND(SUM(O107:O111),0)</f>
        <v>0</v>
      </c>
      <c r="P112" s="755"/>
      <c r="Q112" s="750"/>
      <c r="R112" s="738"/>
      <c r="S112" s="797"/>
      <c r="T112" s="221"/>
      <c r="U112" s="739"/>
      <c r="V112" s="731">
        <f t="shared" si="14"/>
        <v>0</v>
      </c>
      <c r="W112" s="747"/>
    </row>
    <row r="113" spans="1:23" s="751" customFormat="1">
      <c r="A113" s="702"/>
      <c r="B113" s="702"/>
      <c r="C113" s="702"/>
      <c r="D113" s="702"/>
      <c r="E113" s="702"/>
      <c r="F113" s="702"/>
      <c r="G113" s="702"/>
      <c r="H113" s="702"/>
      <c r="I113" s="702"/>
      <c r="J113" s="702"/>
      <c r="K113" s="702"/>
      <c r="L113" s="702"/>
      <c r="M113" s="702"/>
      <c r="N113" s="702"/>
      <c r="O113" s="702"/>
      <c r="P113" s="702"/>
      <c r="Q113" s="750"/>
      <c r="R113" s="738"/>
      <c r="S113" s="797"/>
      <c r="T113" s="221"/>
      <c r="U113" s="739"/>
      <c r="V113" s="731">
        <f t="shared" si="14"/>
        <v>0</v>
      </c>
      <c r="W113" s="747"/>
    </row>
    <row r="114" spans="1:23" s="706" customFormat="1">
      <c r="A114" s="702"/>
      <c r="B114" s="702"/>
      <c r="C114" s="702"/>
      <c r="D114" s="702"/>
      <c r="E114" s="702"/>
      <c r="F114" s="702"/>
      <c r="G114" s="702"/>
      <c r="H114" s="702"/>
      <c r="I114" s="702"/>
      <c r="J114" s="702"/>
      <c r="K114" s="702"/>
      <c r="L114" s="702"/>
      <c r="M114" s="702"/>
      <c r="N114" s="702"/>
      <c r="O114" s="702"/>
      <c r="P114" s="702"/>
      <c r="Q114" s="750"/>
      <c r="R114" s="738"/>
      <c r="S114" s="797"/>
      <c r="T114" s="761"/>
      <c r="U114" s="761"/>
      <c r="V114" s="731">
        <f t="shared" si="14"/>
        <v>0</v>
      </c>
      <c r="W114" s="747"/>
    </row>
    <row r="115" spans="1:23">
      <c r="Q115" s="750"/>
      <c r="R115" s="738"/>
      <c r="S115" s="799"/>
      <c r="T115" s="761"/>
      <c r="U115" s="739"/>
      <c r="V115" s="731">
        <f t="shared" si="14"/>
        <v>0</v>
      </c>
      <c r="W115" s="747"/>
    </row>
    <row r="116" spans="1:23">
      <c r="Q116" s="750"/>
      <c r="R116" s="482"/>
      <c r="S116" s="799"/>
      <c r="T116" s="221"/>
      <c r="U116" s="221"/>
      <c r="V116" s="731">
        <f t="shared" si="14"/>
        <v>0</v>
      </c>
      <c r="W116" s="747"/>
    </row>
    <row r="117" spans="1:23">
      <c r="Q117" s="750"/>
      <c r="R117" s="738"/>
      <c r="S117" s="799"/>
      <c r="T117" s="221"/>
      <c r="U117" s="221"/>
      <c r="V117" s="731">
        <f t="shared" si="14"/>
        <v>0</v>
      </c>
      <c r="W117" s="747"/>
    </row>
    <row r="118" spans="1:23">
      <c r="Q118" s="750"/>
      <c r="R118" s="800"/>
      <c r="S118" s="799"/>
      <c r="T118" s="761"/>
      <c r="U118" s="739"/>
      <c r="V118" s="731">
        <f t="shared" si="14"/>
        <v>0</v>
      </c>
      <c r="W118" s="747"/>
    </row>
    <row r="119" spans="1:23">
      <c r="Q119" s="750"/>
      <c r="R119" s="738"/>
      <c r="S119" s="797"/>
      <c r="T119" s="761"/>
      <c r="U119" s="739"/>
      <c r="V119" s="731">
        <f t="shared" si="14"/>
        <v>0</v>
      </c>
      <c r="W119" s="747"/>
    </row>
    <row r="120" spans="1:23">
      <c r="Q120" s="750"/>
      <c r="R120" s="482"/>
      <c r="S120" s="734"/>
      <c r="T120" s="221"/>
      <c r="U120" s="221"/>
      <c r="V120" s="731"/>
      <c r="W120" s="747"/>
    </row>
    <row r="121" spans="1:23">
      <c r="R121" s="784"/>
      <c r="S121" s="785"/>
      <c r="T121" s="786"/>
      <c r="U121" s="802"/>
      <c r="V121" s="755">
        <f>SUM(V107:V120)</f>
        <v>0</v>
      </c>
      <c r="W121" s="765">
        <f>SUM(W107:W120)</f>
        <v>0</v>
      </c>
    </row>
    <row r="122" spans="1:23">
      <c r="R122" s="787"/>
      <c r="S122" s="797"/>
      <c r="T122" s="221"/>
      <c r="U122" s="221"/>
      <c r="V122" s="731">
        <f t="shared" ref="V122:V128" si="15">ROUND(T122*U122,0)</f>
        <v>0</v>
      </c>
      <c r="W122" s="731"/>
    </row>
    <row r="123" spans="1:23">
      <c r="R123" s="738"/>
      <c r="S123" s="797"/>
      <c r="T123" s="739"/>
      <c r="U123" s="739"/>
      <c r="V123" s="731">
        <f t="shared" si="15"/>
        <v>0</v>
      </c>
      <c r="W123" s="747"/>
    </row>
    <row r="124" spans="1:23">
      <c r="R124" s="738"/>
      <c r="S124" s="797"/>
      <c r="T124" s="739"/>
      <c r="U124" s="739"/>
      <c r="V124" s="731">
        <f t="shared" si="15"/>
        <v>0</v>
      </c>
      <c r="W124" s="747"/>
    </row>
    <row r="125" spans="1:23">
      <c r="R125" s="738"/>
      <c r="S125" s="797"/>
      <c r="T125" s="739"/>
      <c r="U125" s="739"/>
      <c r="V125" s="731">
        <f t="shared" si="15"/>
        <v>0</v>
      </c>
      <c r="W125" s="747"/>
    </row>
    <row r="126" spans="1:23">
      <c r="R126" s="787"/>
      <c r="S126" s="797"/>
      <c r="T126" s="221"/>
      <c r="U126" s="221"/>
      <c r="V126" s="731">
        <f t="shared" si="15"/>
        <v>0</v>
      </c>
      <c r="W126" s="747"/>
    </row>
    <row r="127" spans="1:23">
      <c r="R127" s="761"/>
      <c r="S127" s="734"/>
      <c r="T127" s="739"/>
      <c r="U127" s="739"/>
      <c r="V127" s="731">
        <f t="shared" si="15"/>
        <v>0</v>
      </c>
      <c r="W127" s="747"/>
    </row>
    <row r="128" spans="1:23">
      <c r="R128" s="761"/>
      <c r="S128" s="734"/>
      <c r="T128" s="739"/>
      <c r="U128" s="739"/>
      <c r="V128" s="731">
        <f t="shared" si="15"/>
        <v>0</v>
      </c>
      <c r="W128" s="747"/>
    </row>
    <row r="129" spans="1:23" ht="12.75" customHeight="1">
      <c r="A129" s="721"/>
      <c r="B129" s="721"/>
      <c r="C129" s="805"/>
      <c r="D129" s="721"/>
      <c r="E129" s="721"/>
      <c r="F129" s="721"/>
      <c r="G129" s="721"/>
      <c r="H129" s="721"/>
      <c r="I129" s="721"/>
      <c r="J129" s="721"/>
      <c r="K129" s="721"/>
      <c r="L129" s="721"/>
      <c r="M129" s="721"/>
      <c r="N129" s="721"/>
      <c r="O129" s="773"/>
      <c r="P129" s="721"/>
      <c r="Q129" s="711"/>
      <c r="R129" s="705"/>
      <c r="S129" s="712"/>
    </row>
    <row r="130" spans="1:23" ht="18" customHeight="1">
      <c r="A130" s="706" t="s">
        <v>532</v>
      </c>
      <c r="B130" s="706"/>
      <c r="C130" s="806"/>
      <c r="D130" s="708"/>
      <c r="E130" s="708"/>
      <c r="F130" s="708"/>
      <c r="G130" s="705"/>
      <c r="H130" s="705"/>
      <c r="I130" s="705"/>
      <c r="J130" s="705"/>
      <c r="K130" s="705"/>
      <c r="L130" s="709"/>
      <c r="M130" s="705"/>
      <c r="N130" s="705"/>
      <c r="O130" s="710"/>
      <c r="P130" s="705"/>
      <c r="Q130" s="711"/>
      <c r="R130" s="705"/>
      <c r="S130" s="712"/>
    </row>
    <row r="131" spans="1:23" ht="18.75" customHeight="1">
      <c r="A131" s="713" t="s">
        <v>555</v>
      </c>
      <c r="B131" s="713"/>
      <c r="C131" s="713"/>
      <c r="D131" s="713"/>
      <c r="E131" s="713"/>
      <c r="F131" s="713"/>
      <c r="G131" s="713"/>
      <c r="H131" s="713"/>
      <c r="I131" s="713"/>
      <c r="J131" s="713"/>
      <c r="K131" s="713"/>
      <c r="L131" s="713"/>
      <c r="M131" s="713"/>
      <c r="N131" s="713"/>
      <c r="O131" s="713"/>
      <c r="P131" s="713"/>
      <c r="Q131" s="711"/>
      <c r="R131" s="705"/>
      <c r="S131" s="712"/>
    </row>
    <row r="132" spans="1:23" ht="18.75" customHeight="1">
      <c r="A132" s="714"/>
      <c r="B132" s="714"/>
      <c r="C132" s="715"/>
      <c r="D132" s="714"/>
      <c r="E132" s="714"/>
      <c r="F132" s="714"/>
      <c r="G132" s="714"/>
      <c r="H132" s="714"/>
      <c r="I132" s="714"/>
      <c r="J132" s="714"/>
      <c r="K132" s="714"/>
      <c r="L132" s="713"/>
      <c r="M132" s="714"/>
      <c r="N132" s="714"/>
      <c r="O132" s="716"/>
      <c r="P132" s="714"/>
      <c r="Q132" s="711"/>
      <c r="R132" s="705"/>
      <c r="S132" s="712"/>
    </row>
    <row r="133" spans="1:23" ht="12.75" customHeight="1">
      <c r="A133" s="717"/>
      <c r="B133" s="717"/>
      <c r="C133" s="718"/>
      <c r="D133" s="717"/>
      <c r="E133" s="717"/>
      <c r="F133" s="717"/>
      <c r="G133" s="717"/>
      <c r="H133" s="717"/>
      <c r="I133" s="717"/>
      <c r="J133" s="717"/>
      <c r="K133" s="717"/>
      <c r="L133" s="717"/>
      <c r="M133" s="717"/>
      <c r="N133" s="717"/>
      <c r="O133" s="719"/>
      <c r="P133" s="717"/>
      <c r="Q133" s="711"/>
      <c r="R133" s="705"/>
      <c r="S133" s="712"/>
    </row>
    <row r="134" spans="1:23" s="728" customFormat="1" ht="30.75" customHeight="1">
      <c r="A134" s="722" t="s">
        <v>37</v>
      </c>
      <c r="B134" s="722" t="s">
        <v>534</v>
      </c>
      <c r="C134" s="723" t="s">
        <v>535</v>
      </c>
      <c r="D134" s="724" t="s">
        <v>536</v>
      </c>
      <c r="E134" s="724" t="s">
        <v>537</v>
      </c>
      <c r="F134" s="724" t="s">
        <v>538</v>
      </c>
      <c r="G134" s="724" t="s">
        <v>539</v>
      </c>
      <c r="H134" s="724" t="s">
        <v>540</v>
      </c>
      <c r="I134" s="724" t="s">
        <v>541</v>
      </c>
      <c r="J134" s="724" t="s">
        <v>542</v>
      </c>
      <c r="K134" s="725" t="s">
        <v>543</v>
      </c>
      <c r="L134" s="724" t="s">
        <v>544</v>
      </c>
      <c r="M134" s="725" t="s">
        <v>545</v>
      </c>
      <c r="N134" s="724" t="s">
        <v>546</v>
      </c>
      <c r="O134" s="726" t="s">
        <v>537</v>
      </c>
      <c r="P134" s="724" t="s">
        <v>547</v>
      </c>
      <c r="Q134" s="727"/>
      <c r="R134" s="722" t="s">
        <v>534</v>
      </c>
      <c r="S134" s="724" t="s">
        <v>501</v>
      </c>
      <c r="T134" s="724" t="s">
        <v>338</v>
      </c>
      <c r="U134" s="724" t="s">
        <v>538</v>
      </c>
      <c r="V134" s="724" t="s">
        <v>548</v>
      </c>
      <c r="W134" s="722" t="s">
        <v>548</v>
      </c>
    </row>
    <row r="135" spans="1:23">
      <c r="A135" s="729" t="str">
        <f>IF(B135&lt;&gt;"",ROW()-(ROW()-1),"")</f>
        <v/>
      </c>
      <c r="B135" s="741"/>
      <c r="C135" s="730">
        <f>IF(ISNA(VLOOKUP(B135,NXT!$Q$61:$S$81,2,0)),0,VLOOKUP(B135,NXT!$Q$61:$S$81,2,0))</f>
        <v>0</v>
      </c>
      <c r="D135" s="582">
        <f>ROUND(C135*O135,0)</f>
        <v>0</v>
      </c>
      <c r="E135" s="582"/>
      <c r="F135" s="582"/>
      <c r="G135" s="731">
        <f>D135*F135</f>
        <v>0</v>
      </c>
      <c r="H135" s="582">
        <f>IF($D$139&lt;&gt;0,H$139/($D$139+$E$139/5)*($D135+$E135/5),0)</f>
        <v>0</v>
      </c>
      <c r="I135" s="582">
        <f t="shared" ref="I135:K138" si="16">IF($D$139&lt;&gt;0,I$139/$D$139*$D135,0)</f>
        <v>0</v>
      </c>
      <c r="J135" s="582">
        <f t="shared" si="16"/>
        <v>0</v>
      </c>
      <c r="K135" s="582">
        <f t="shared" si="16"/>
        <v>0</v>
      </c>
      <c r="L135" s="731"/>
      <c r="M135" s="582" t="e">
        <f>34560000/($O$68+#REF!+#REF!)*O135</f>
        <v>#REF!</v>
      </c>
      <c r="N135" s="731">
        <f>ROUND(SUM(G135:L135),0)</f>
        <v>0</v>
      </c>
      <c r="O135" s="582"/>
      <c r="P135" s="582">
        <f>IF(N135&lt;&gt;0,N135/O135,0)</f>
        <v>0</v>
      </c>
      <c r="Q135" s="750"/>
      <c r="R135" s="733"/>
      <c r="S135" s="797"/>
      <c r="T135" s="221"/>
      <c r="U135" s="735"/>
      <c r="V135" s="731">
        <f t="shared" ref="V135:V144" si="17">ROUND(T135*U135,0)</f>
        <v>0</v>
      </c>
      <c r="W135" s="731"/>
    </row>
    <row r="136" spans="1:23">
      <c r="A136" s="729" t="str">
        <f>IF(B136&lt;&gt;"",A135+1,"")</f>
        <v/>
      </c>
      <c r="B136" s="482"/>
      <c r="C136" s="730">
        <f>IF(ISNA(VLOOKUP(B136,NXT!$Q$61:$S$81,2,0)),0,VLOOKUP(B136,NXT!$Q$61:$S$81,2,0))</f>
        <v>0</v>
      </c>
      <c r="D136" s="582">
        <f>ROUND(C136*O136,0)</f>
        <v>0</v>
      </c>
      <c r="E136" s="582"/>
      <c r="F136" s="582"/>
      <c r="G136" s="731">
        <f>D136*F136</f>
        <v>0</v>
      </c>
      <c r="H136" s="582">
        <f>IF($D$139&lt;&gt;0,H$139/($D$139+$E$139/5)*($D136+$E136/5),0)</f>
        <v>0</v>
      </c>
      <c r="I136" s="582">
        <f t="shared" si="16"/>
        <v>0</v>
      </c>
      <c r="J136" s="582">
        <f t="shared" si="16"/>
        <v>0</v>
      </c>
      <c r="K136" s="582">
        <f t="shared" si="16"/>
        <v>0</v>
      </c>
      <c r="L136" s="582"/>
      <c r="M136" s="582"/>
      <c r="N136" s="731">
        <f>ROUND(SUM(G136:L136),0)</f>
        <v>0</v>
      </c>
      <c r="O136" s="737"/>
      <c r="P136" s="582">
        <f>IF(N136&lt;&gt;0,N136/O136,0)</f>
        <v>0</v>
      </c>
      <c r="Q136" s="750"/>
      <c r="R136" s="738"/>
      <c r="S136" s="797"/>
      <c r="T136" s="221"/>
      <c r="U136" s="739"/>
      <c r="V136" s="731">
        <f t="shared" si="17"/>
        <v>0</v>
      </c>
      <c r="W136" s="747"/>
    </row>
    <row r="137" spans="1:23">
      <c r="A137" s="729" t="str">
        <f>IF(B137&lt;&gt;"",A136+1,"")</f>
        <v/>
      </c>
      <c r="B137" s="741"/>
      <c r="C137" s="730">
        <f>IF(ISNA(VLOOKUP(B137,NXT!$Q$61:$S$81,2,0)),0,VLOOKUP(B137,NXT!$Q$61:$S$81,2,0))</f>
        <v>0</v>
      </c>
      <c r="D137" s="582">
        <f>ROUND(C137*O137,0)</f>
        <v>0</v>
      </c>
      <c r="E137" s="582"/>
      <c r="F137" s="582"/>
      <c r="G137" s="731">
        <f>D137*F137</f>
        <v>0</v>
      </c>
      <c r="H137" s="582">
        <f>IF($D$139&lt;&gt;0,H$139/($D$139+$E$139/5)*($D137+$E137/5),0)</f>
        <v>0</v>
      </c>
      <c r="I137" s="582">
        <f t="shared" si="16"/>
        <v>0</v>
      </c>
      <c r="J137" s="582">
        <f t="shared" si="16"/>
        <v>0</v>
      </c>
      <c r="K137" s="582">
        <f t="shared" si="16"/>
        <v>0</v>
      </c>
      <c r="L137" s="582"/>
      <c r="M137" s="582">
        <v>25840000</v>
      </c>
      <c r="N137" s="731">
        <f>ROUND(SUM(G137:L137),0)</f>
        <v>0</v>
      </c>
      <c r="O137" s="737"/>
      <c r="P137" s="582">
        <f>IF(N137&lt;&gt;0,N137/O137,0)</f>
        <v>0</v>
      </c>
      <c r="Q137" s="750"/>
      <c r="R137" s="738"/>
      <c r="S137" s="797"/>
      <c r="T137" s="221"/>
      <c r="U137" s="739"/>
      <c r="V137" s="731">
        <f t="shared" si="17"/>
        <v>0</v>
      </c>
      <c r="W137" s="747"/>
    </row>
    <row r="138" spans="1:23">
      <c r="A138" s="729" t="str">
        <f>IF(B138&lt;&gt;"",#REF!+1,"")</f>
        <v/>
      </c>
      <c r="B138" s="741"/>
      <c r="C138" s="730"/>
      <c r="D138" s="582">
        <f>ROUND(C138*O138,0)</f>
        <v>0</v>
      </c>
      <c r="E138" s="582"/>
      <c r="F138" s="582"/>
      <c r="G138" s="731">
        <f>D138*F138</f>
        <v>0</v>
      </c>
      <c r="H138" s="582">
        <f>IF($D$139&lt;&gt;0,H$139/($D$139+$E$139/5)*($D138+$E138/5),0)</f>
        <v>0</v>
      </c>
      <c r="I138" s="582">
        <f t="shared" si="16"/>
        <v>0</v>
      </c>
      <c r="J138" s="582">
        <f t="shared" si="16"/>
        <v>0</v>
      </c>
      <c r="K138" s="582">
        <f t="shared" si="16"/>
        <v>0</v>
      </c>
      <c r="L138" s="582"/>
      <c r="M138" s="582" t="e">
        <f>34560000/($O$68+#REF!+#REF!)*O138</f>
        <v>#REF!</v>
      </c>
      <c r="N138" s="731">
        <f>ROUND(SUM(G138:L138),0)</f>
        <v>0</v>
      </c>
      <c r="O138" s="737"/>
      <c r="P138" s="582">
        <f>IF(N138&lt;&gt;0,N138/O138,0)</f>
        <v>0</v>
      </c>
      <c r="Q138" s="750"/>
      <c r="R138" s="738"/>
      <c r="S138" s="797"/>
      <c r="T138" s="761"/>
      <c r="U138" s="739"/>
      <c r="V138" s="731">
        <f t="shared" si="17"/>
        <v>0</v>
      </c>
      <c r="W138" s="747"/>
    </row>
    <row r="139" spans="1:23">
      <c r="A139" s="752"/>
      <c r="B139" s="753" t="s">
        <v>549</v>
      </c>
      <c r="C139" s="754"/>
      <c r="D139" s="755">
        <f>SUM(D135:D138)</f>
        <v>0</v>
      </c>
      <c r="E139" s="755"/>
      <c r="F139" s="755"/>
      <c r="G139" s="755">
        <f>SUM(G135:G138)</f>
        <v>0</v>
      </c>
      <c r="H139" s="756"/>
      <c r="I139" s="756">
        <f>V146</f>
        <v>0</v>
      </c>
      <c r="J139" s="756"/>
      <c r="K139" s="756">
        <v>57138842</v>
      </c>
      <c r="L139" s="755">
        <f>ROUND(SUM(L135:L138),0)</f>
        <v>0</v>
      </c>
      <c r="M139" s="755" t="e">
        <f>ROUND(SUM(M135:M138),0)</f>
        <v>#REF!</v>
      </c>
      <c r="N139" s="755">
        <f>ROUND(SUM(N135:N138),0)</f>
        <v>0</v>
      </c>
      <c r="O139" s="755">
        <f>ROUND(SUM(O135:O138),0)</f>
        <v>0</v>
      </c>
      <c r="P139" s="755"/>
      <c r="Q139" s="750"/>
      <c r="R139" s="738"/>
      <c r="S139" s="797"/>
      <c r="T139" s="221"/>
      <c r="U139" s="739"/>
      <c r="V139" s="731">
        <f t="shared" si="17"/>
        <v>0</v>
      </c>
      <c r="W139" s="747"/>
    </row>
    <row r="140" spans="1:23">
      <c r="Q140" s="750"/>
      <c r="R140" s="738"/>
      <c r="S140" s="797"/>
      <c r="T140" s="221"/>
      <c r="U140" s="739"/>
      <c r="V140" s="731">
        <f t="shared" si="17"/>
        <v>0</v>
      </c>
      <c r="W140" s="747"/>
    </row>
    <row r="141" spans="1:23" s="706" customFormat="1">
      <c r="A141" s="702"/>
      <c r="B141" s="702"/>
      <c r="C141" s="702"/>
      <c r="D141" s="702"/>
      <c r="E141" s="702"/>
      <c r="F141" s="702"/>
      <c r="G141" s="702"/>
      <c r="H141" s="702"/>
      <c r="I141" s="702"/>
      <c r="J141" s="702"/>
      <c r="K141" s="702"/>
      <c r="L141" s="702"/>
      <c r="M141" s="702"/>
      <c r="N141" s="702"/>
      <c r="O141" s="702"/>
      <c r="P141" s="702"/>
      <c r="Q141" s="750"/>
      <c r="R141" s="738"/>
      <c r="S141" s="797"/>
      <c r="T141" s="761"/>
      <c r="U141" s="761"/>
      <c r="V141" s="731">
        <f t="shared" si="17"/>
        <v>0</v>
      </c>
      <c r="W141" s="747"/>
    </row>
    <row r="142" spans="1:23">
      <c r="Q142" s="750"/>
      <c r="R142" s="738"/>
      <c r="S142" s="799"/>
      <c r="T142" s="761"/>
      <c r="U142" s="739"/>
      <c r="V142" s="731">
        <f t="shared" si="17"/>
        <v>0</v>
      </c>
      <c r="W142" s="747"/>
    </row>
    <row r="143" spans="1:23">
      <c r="Q143" s="750"/>
      <c r="R143" s="482"/>
      <c r="S143" s="797"/>
      <c r="T143" s="221"/>
      <c r="U143" s="221"/>
      <c r="V143" s="731">
        <f t="shared" si="17"/>
        <v>0</v>
      </c>
      <c r="W143" s="747"/>
    </row>
    <row r="144" spans="1:23">
      <c r="Q144" s="750"/>
      <c r="R144" s="800"/>
      <c r="S144" s="799"/>
      <c r="T144" s="761"/>
      <c r="U144" s="739"/>
      <c r="V144" s="731">
        <f t="shared" si="17"/>
        <v>0</v>
      </c>
      <c r="W144" s="747"/>
    </row>
    <row r="145" spans="1:23">
      <c r="Q145" s="750"/>
      <c r="R145" s="482"/>
      <c r="S145" s="734"/>
      <c r="T145" s="221"/>
      <c r="U145" s="221"/>
      <c r="V145" s="747"/>
      <c r="W145" s="747"/>
    </row>
    <row r="146" spans="1:23">
      <c r="R146" s="784"/>
      <c r="S146" s="785"/>
      <c r="T146" s="786"/>
      <c r="U146" s="802"/>
      <c r="V146" s="755">
        <f>SUM(V135:V145)</f>
        <v>0</v>
      </c>
      <c r="W146" s="765">
        <f>SUM(W135:W145)</f>
        <v>0</v>
      </c>
    </row>
    <row r="147" spans="1:23">
      <c r="R147" s="787"/>
      <c r="S147" s="797"/>
      <c r="T147" s="221"/>
      <c r="U147" s="221"/>
      <c r="V147" s="731">
        <f t="shared" ref="V147:V152" si="18">ROUND(T147*U147,0)</f>
        <v>0</v>
      </c>
      <c r="W147" s="731"/>
    </row>
    <row r="148" spans="1:23">
      <c r="R148" s="738"/>
      <c r="S148" s="797"/>
      <c r="T148" s="739"/>
      <c r="U148" s="739"/>
      <c r="V148" s="731">
        <f t="shared" si="18"/>
        <v>0</v>
      </c>
      <c r="W148" s="747"/>
    </row>
    <row r="149" spans="1:23">
      <c r="R149" s="738"/>
      <c r="S149" s="797"/>
      <c r="T149" s="739"/>
      <c r="U149" s="739"/>
      <c r="V149" s="731">
        <f t="shared" si="18"/>
        <v>0</v>
      </c>
      <c r="W149" s="747"/>
    </row>
    <row r="150" spans="1:23">
      <c r="R150" s="738"/>
      <c r="S150" s="797"/>
      <c r="T150" s="739"/>
      <c r="U150" s="739"/>
      <c r="V150" s="731">
        <f t="shared" si="18"/>
        <v>0</v>
      </c>
      <c r="W150" s="747"/>
    </row>
    <row r="151" spans="1:23">
      <c r="R151" s="738"/>
      <c r="S151" s="797"/>
      <c r="T151" s="739"/>
      <c r="U151" s="739"/>
      <c r="V151" s="731">
        <f t="shared" si="18"/>
        <v>0</v>
      </c>
      <c r="W151" s="747"/>
    </row>
    <row r="152" spans="1:23">
      <c r="R152" s="761"/>
      <c r="S152" s="734"/>
      <c r="T152" s="739"/>
      <c r="U152" s="739"/>
      <c r="V152" s="731">
        <f t="shared" si="18"/>
        <v>0</v>
      </c>
      <c r="W152" s="747"/>
    </row>
    <row r="153" spans="1:23" ht="16.5" customHeight="1">
      <c r="A153" s="706" t="s">
        <v>532</v>
      </c>
      <c r="B153" s="706"/>
      <c r="C153" s="707"/>
      <c r="D153" s="708"/>
      <c r="E153" s="708"/>
      <c r="F153" s="708"/>
      <c r="G153" s="705"/>
      <c r="H153" s="705"/>
      <c r="I153" s="705"/>
      <c r="J153" s="705"/>
      <c r="K153" s="705"/>
      <c r="L153" s="709"/>
      <c r="M153" s="705"/>
      <c r="N153" s="705"/>
      <c r="O153" s="710"/>
      <c r="P153" s="705"/>
      <c r="R153" s="705"/>
      <c r="S153" s="712"/>
    </row>
    <row r="154" spans="1:23" ht="16.5" customHeight="1">
      <c r="A154" s="713" t="s">
        <v>556</v>
      </c>
      <c r="B154" s="713"/>
      <c r="C154" s="713"/>
      <c r="D154" s="713"/>
      <c r="E154" s="713"/>
      <c r="F154" s="713"/>
      <c r="G154" s="713"/>
      <c r="H154" s="713"/>
      <c r="I154" s="713"/>
      <c r="J154" s="713"/>
      <c r="K154" s="713"/>
      <c r="L154" s="713"/>
      <c r="M154" s="713"/>
      <c r="N154" s="713"/>
      <c r="O154" s="713"/>
      <c r="P154" s="713"/>
      <c r="Q154" s="711"/>
      <c r="R154" s="705"/>
      <c r="S154" s="712"/>
    </row>
    <row r="155" spans="1:23" ht="11.25" customHeight="1">
      <c r="A155" s="714"/>
      <c r="B155" s="714"/>
      <c r="C155" s="715"/>
      <c r="D155" s="714"/>
      <c r="E155" s="714"/>
      <c r="F155" s="714"/>
      <c r="G155" s="714"/>
      <c r="H155" s="714"/>
      <c r="I155" s="714"/>
      <c r="J155" s="714"/>
      <c r="K155" s="714"/>
      <c r="L155" s="713"/>
      <c r="M155" s="714"/>
      <c r="N155" s="714"/>
      <c r="O155" s="716"/>
      <c r="P155" s="714"/>
      <c r="Q155" s="711"/>
      <c r="R155" s="705"/>
      <c r="S155" s="712"/>
    </row>
    <row r="156" spans="1:23" ht="11.25" customHeight="1">
      <c r="A156" s="717"/>
      <c r="B156" s="717"/>
      <c r="C156" s="718"/>
      <c r="D156" s="717"/>
      <c r="E156" s="717"/>
      <c r="F156" s="717"/>
      <c r="G156" s="717"/>
      <c r="H156" s="717"/>
      <c r="I156" s="717"/>
      <c r="J156" s="717"/>
      <c r="K156" s="717"/>
      <c r="L156" s="717"/>
      <c r="M156" s="717"/>
      <c r="N156" s="717"/>
      <c r="O156" s="719"/>
      <c r="P156" s="717"/>
      <c r="Q156" s="711"/>
      <c r="R156" s="705"/>
      <c r="S156" s="712"/>
    </row>
    <row r="157" spans="1:23" ht="28.5" customHeight="1">
      <c r="A157" s="722" t="s">
        <v>37</v>
      </c>
      <c r="B157" s="722" t="s">
        <v>534</v>
      </c>
      <c r="C157" s="723" t="s">
        <v>535</v>
      </c>
      <c r="D157" s="724" t="s">
        <v>536</v>
      </c>
      <c r="E157" s="724" t="s">
        <v>537</v>
      </c>
      <c r="F157" s="724" t="s">
        <v>538</v>
      </c>
      <c r="G157" s="724" t="s">
        <v>539</v>
      </c>
      <c r="H157" s="724" t="s">
        <v>540</v>
      </c>
      <c r="I157" s="724" t="s">
        <v>541</v>
      </c>
      <c r="J157" s="724" t="s">
        <v>542</v>
      </c>
      <c r="K157" s="725" t="s">
        <v>543</v>
      </c>
      <c r="L157" s="724" t="s">
        <v>544</v>
      </c>
      <c r="M157" s="725" t="s">
        <v>545</v>
      </c>
      <c r="N157" s="724" t="s">
        <v>546</v>
      </c>
      <c r="O157" s="726" t="s">
        <v>537</v>
      </c>
      <c r="P157" s="724" t="s">
        <v>547</v>
      </c>
      <c r="Q157" s="711"/>
      <c r="R157" s="722" t="s">
        <v>534</v>
      </c>
      <c r="S157" s="724" t="s">
        <v>501</v>
      </c>
      <c r="T157" s="724" t="s">
        <v>338</v>
      </c>
      <c r="U157" s="724" t="s">
        <v>538</v>
      </c>
      <c r="V157" s="724" t="s">
        <v>548</v>
      </c>
      <c r="W157" s="722" t="s">
        <v>548</v>
      </c>
    </row>
    <row r="158" spans="1:23" s="728" customFormat="1" ht="12" customHeight="1">
      <c r="A158" s="729" t="str">
        <f>IF(B158&lt;&gt;"",ROW()-(ROW()-1),"")</f>
        <v/>
      </c>
      <c r="B158" s="741"/>
      <c r="C158" s="730">
        <f>IF(ISNA(VLOOKUP(B158,NXT!$Q$61:$S$81,2,0)),0,VLOOKUP(B158,NXT!$Q$61:$S$81,2,0))</f>
        <v>0</v>
      </c>
      <c r="D158" s="582">
        <f>ROUND(C158*O158,0)</f>
        <v>0</v>
      </c>
      <c r="E158" s="582"/>
      <c r="F158" s="582"/>
      <c r="G158" s="731">
        <f>(D158+E158)*F158</f>
        <v>0</v>
      </c>
      <c r="H158" s="582">
        <f>IF($D$163&lt;&gt;0,H$163/($D$163+$E$163/5)*($D158+$E158/5),0)</f>
        <v>0</v>
      </c>
      <c r="I158" s="582">
        <f t="shared" ref="I158:K161" si="19">IF($D$163&lt;&gt;0,I$163/$D$163*$D158,0)</f>
        <v>0</v>
      </c>
      <c r="J158" s="582">
        <f t="shared" si="19"/>
        <v>0</v>
      </c>
      <c r="K158" s="582">
        <f t="shared" si="19"/>
        <v>0</v>
      </c>
      <c r="L158" s="731"/>
      <c r="M158" s="582" t="e">
        <f>34560000/($O$68+#REF!+#REF!)*O158</f>
        <v>#REF!</v>
      </c>
      <c r="N158" s="731">
        <f>ROUND(SUM(G158:L158),0)</f>
        <v>0</v>
      </c>
      <c r="O158" s="582"/>
      <c r="P158" s="582">
        <f>IF(N158&lt;&gt;0,N158/O158,0)</f>
        <v>0</v>
      </c>
      <c r="Q158" s="727"/>
      <c r="R158" s="733"/>
      <c r="S158" s="797"/>
      <c r="T158" s="221"/>
      <c r="U158" s="735"/>
      <c r="V158" s="731">
        <f t="shared" ref="V158:V168" si="20">ROUND(T158*U158,0)</f>
        <v>0</v>
      </c>
      <c r="W158" s="731"/>
    </row>
    <row r="159" spans="1:23" ht="12" customHeight="1">
      <c r="A159" s="729" t="str">
        <f>IF(B159&lt;&gt;"",A158+1,"")</f>
        <v/>
      </c>
      <c r="B159" s="741"/>
      <c r="C159" s="730">
        <f>IF(ISNA(VLOOKUP(B159,NXT!$Q$61:$S$81,2,0)),0,VLOOKUP(B159,NXT!$Q$61:$S$81,2,0))</f>
        <v>0</v>
      </c>
      <c r="D159" s="582">
        <f>ROUND(C159*O159,0)</f>
        <v>0</v>
      </c>
      <c r="E159" s="582"/>
      <c r="F159" s="582"/>
      <c r="G159" s="731">
        <f>(D159+E159)*F159</f>
        <v>0</v>
      </c>
      <c r="H159" s="582">
        <f>IF($D$163&lt;&gt;0,H$163/($D$163+$E$163/5)*($D159+$E159/5),0)</f>
        <v>0</v>
      </c>
      <c r="I159" s="582">
        <f t="shared" si="19"/>
        <v>0</v>
      </c>
      <c r="J159" s="582">
        <f t="shared" si="19"/>
        <v>0</v>
      </c>
      <c r="K159" s="582">
        <f t="shared" si="19"/>
        <v>0</v>
      </c>
      <c r="L159" s="582"/>
      <c r="M159" s="582">
        <v>25840000</v>
      </c>
      <c r="N159" s="731">
        <f>ROUND(SUM(G159:L159),0)</f>
        <v>0</v>
      </c>
      <c r="O159" s="737"/>
      <c r="P159" s="582">
        <f>IF(N159&lt;&gt;0,N159/O159,0)</f>
        <v>0</v>
      </c>
      <c r="Q159" s="750"/>
      <c r="R159" s="738"/>
      <c r="S159" s="797"/>
      <c r="T159" s="221"/>
      <c r="U159" s="739"/>
      <c r="V159" s="731">
        <f t="shared" si="20"/>
        <v>0</v>
      </c>
      <c r="W159" s="747"/>
    </row>
    <row r="160" spans="1:23" ht="12" customHeight="1">
      <c r="A160" s="729" t="str">
        <f>IF(B160&lt;&gt;"",A159+1,"")</f>
        <v/>
      </c>
      <c r="B160" s="741"/>
      <c r="C160" s="730">
        <f>IF(ISNA(VLOOKUP(B160,NXT!$Q$61:$S$81,2,0)),0,VLOOKUP(B160,NXT!$Q$61:$S$81,2,0))</f>
        <v>0</v>
      </c>
      <c r="D160" s="582">
        <f>ROUND(C160*O160,0)</f>
        <v>0</v>
      </c>
      <c r="E160" s="582"/>
      <c r="F160" s="582"/>
      <c r="G160" s="731">
        <f>(D160+E160)*F160</f>
        <v>0</v>
      </c>
      <c r="H160" s="582">
        <f>IF($D$163&lt;&gt;0,H$163/($D$163+$E$163/5)*($D160+$E160/5),0)</f>
        <v>0</v>
      </c>
      <c r="I160" s="582">
        <f t="shared" si="19"/>
        <v>0</v>
      </c>
      <c r="J160" s="582">
        <f t="shared" si="19"/>
        <v>0</v>
      </c>
      <c r="K160" s="582">
        <f t="shared" si="19"/>
        <v>0</v>
      </c>
      <c r="L160" s="582"/>
      <c r="M160" s="582" t="e">
        <f>34560000/($O$68+#REF!+#REF!)*O160</f>
        <v>#REF!</v>
      </c>
      <c r="N160" s="731">
        <f>ROUND(SUM(G160:L160),0)</f>
        <v>0</v>
      </c>
      <c r="O160" s="737"/>
      <c r="P160" s="582">
        <f>IF(N160&lt;&gt;0,N160/O160,0)</f>
        <v>0</v>
      </c>
      <c r="Q160" s="750"/>
      <c r="R160" s="738"/>
      <c r="S160" s="797"/>
      <c r="T160" s="221"/>
      <c r="U160" s="739"/>
      <c r="V160" s="731">
        <f t="shared" si="20"/>
        <v>0</v>
      </c>
      <c r="W160" s="747"/>
    </row>
    <row r="161" spans="1:23" ht="12" customHeight="1">
      <c r="A161" s="729" t="str">
        <f>IF(B161&lt;&gt;"",A160+1,"")</f>
        <v/>
      </c>
      <c r="B161" s="741"/>
      <c r="C161" s="730">
        <f>IF(ISNA(VLOOKUP(B161,NXT!$Q$61:$S$81,2,0)),0,VLOOKUP(B161,NXT!$Q$61:$S$81,2,0))</f>
        <v>0</v>
      </c>
      <c r="D161" s="582">
        <f>ROUND(C161*O161,0)</f>
        <v>0</v>
      </c>
      <c r="E161" s="582"/>
      <c r="F161" s="582"/>
      <c r="G161" s="731">
        <f>(D161+E161)*F161</f>
        <v>0</v>
      </c>
      <c r="H161" s="582">
        <f>IF($D$163&lt;&gt;0,H$163/($D$163+$E$163/5)*($D161+$E161/5),0)</f>
        <v>0</v>
      </c>
      <c r="I161" s="582">
        <f t="shared" si="19"/>
        <v>0</v>
      </c>
      <c r="J161" s="582">
        <f t="shared" si="19"/>
        <v>0</v>
      </c>
      <c r="K161" s="582">
        <f t="shared" si="19"/>
        <v>0</v>
      </c>
      <c r="L161" s="582"/>
      <c r="M161" s="582" t="e">
        <f>34560000/($O$68+#REF!+#REF!)*O161</f>
        <v>#REF!</v>
      </c>
      <c r="N161" s="731">
        <f>ROUND(SUM(G161:L161),0)</f>
        <v>0</v>
      </c>
      <c r="O161" s="737"/>
      <c r="P161" s="582">
        <f>IF(N161&lt;&gt;0,N161/O161,0)</f>
        <v>0</v>
      </c>
      <c r="Q161" s="750"/>
      <c r="R161" s="738"/>
      <c r="S161" s="797"/>
      <c r="T161" s="221"/>
      <c r="U161" s="739"/>
      <c r="V161" s="731">
        <f t="shared" si="20"/>
        <v>0</v>
      </c>
      <c r="W161" s="747"/>
    </row>
    <row r="162" spans="1:23" ht="12" customHeight="1">
      <c r="A162" s="729" t="str">
        <f>IF(B162&lt;&gt;"",#REF!+1,"")</f>
        <v/>
      </c>
      <c r="B162" s="742"/>
      <c r="C162" s="730">
        <f>IF(ISNA(VLOOKUP(B162,NXT!$Q$61:$S$81,2,0)),0,VLOOKUP(B162,NXT!$Q$61:$S$81,2,0))</f>
        <v>0</v>
      </c>
      <c r="D162" s="745"/>
      <c r="E162" s="745"/>
      <c r="F162" s="745"/>
      <c r="G162" s="746"/>
      <c r="H162" s="791"/>
      <c r="I162" s="745"/>
      <c r="J162" s="747"/>
      <c r="K162" s="745"/>
      <c r="L162" s="748"/>
      <c r="M162" s="745"/>
      <c r="N162" s="779"/>
      <c r="O162" s="749"/>
      <c r="P162" s="745"/>
      <c r="Q162" s="750"/>
      <c r="R162" s="738"/>
      <c r="S162" s="797"/>
      <c r="T162" s="221"/>
      <c r="U162" s="221"/>
      <c r="V162" s="731">
        <f t="shared" si="20"/>
        <v>0</v>
      </c>
      <c r="W162" s="747"/>
    </row>
    <row r="163" spans="1:23" ht="12" customHeight="1">
      <c r="A163" s="752"/>
      <c r="B163" s="753" t="s">
        <v>549</v>
      </c>
      <c r="C163" s="754"/>
      <c r="D163" s="755">
        <f>SUM(D158:D161)</f>
        <v>0</v>
      </c>
      <c r="E163" s="755">
        <f>SUM(E158:E161)</f>
        <v>0</v>
      </c>
      <c r="F163" s="755"/>
      <c r="G163" s="755">
        <f>SUM(G158:G161)</f>
        <v>0</v>
      </c>
      <c r="H163" s="756"/>
      <c r="I163" s="756">
        <f>V170</f>
        <v>0</v>
      </c>
      <c r="J163" s="756"/>
      <c r="K163" s="756">
        <v>57138842</v>
      </c>
      <c r="L163" s="755">
        <f>ROUND(SUM(L158:L162),0)</f>
        <v>0</v>
      </c>
      <c r="M163" s="755" t="e">
        <f>ROUND(SUM(M158:M162),0)</f>
        <v>#REF!</v>
      </c>
      <c r="N163" s="755">
        <f>ROUND(SUM(N158:N162),0)</f>
        <v>0</v>
      </c>
      <c r="O163" s="755">
        <f>ROUND(SUM(O158:O162),0)</f>
        <v>0</v>
      </c>
      <c r="P163" s="755"/>
      <c r="Q163" s="750"/>
      <c r="R163" s="738"/>
      <c r="S163" s="797"/>
      <c r="T163" s="221"/>
      <c r="U163" s="739"/>
      <c r="V163" s="731">
        <f t="shared" si="20"/>
        <v>0</v>
      </c>
      <c r="W163" s="747"/>
    </row>
    <row r="164" spans="1:23" ht="12" customHeight="1">
      <c r="Q164" s="750"/>
      <c r="R164" s="738"/>
      <c r="S164" s="797"/>
      <c r="T164" s="221"/>
      <c r="U164" s="761"/>
      <c r="V164" s="731">
        <f t="shared" si="20"/>
        <v>0</v>
      </c>
      <c r="W164" s="747"/>
    </row>
    <row r="165" spans="1:23" ht="12" customHeight="1">
      <c r="Q165" s="750"/>
      <c r="R165" s="738"/>
      <c r="S165" s="734"/>
      <c r="T165" s="761"/>
      <c r="U165" s="739"/>
      <c r="V165" s="731">
        <f t="shared" si="20"/>
        <v>0</v>
      </c>
      <c r="W165" s="747"/>
    </row>
    <row r="166" spans="1:23" ht="12" customHeight="1">
      <c r="Q166" s="750"/>
      <c r="R166" s="800"/>
      <c r="S166" s="734"/>
      <c r="T166" s="761"/>
      <c r="U166" s="739"/>
      <c r="V166" s="731">
        <f t="shared" si="20"/>
        <v>0</v>
      </c>
      <c r="W166" s="747"/>
    </row>
    <row r="167" spans="1:23" ht="12" customHeight="1">
      <c r="Q167" s="750"/>
      <c r="R167" s="738"/>
      <c r="S167" s="734"/>
      <c r="T167" s="221"/>
      <c r="U167" s="221"/>
      <c r="V167" s="731">
        <f t="shared" si="20"/>
        <v>0</v>
      </c>
      <c r="W167" s="747"/>
    </row>
    <row r="168" spans="1:23" ht="12" customHeight="1">
      <c r="Q168" s="750"/>
      <c r="R168" s="482"/>
      <c r="S168" s="734"/>
      <c r="T168" s="221"/>
      <c r="U168" s="221"/>
      <c r="V168" s="731">
        <f t="shared" si="20"/>
        <v>0</v>
      </c>
      <c r="W168" s="747"/>
    </row>
    <row r="169" spans="1:23" s="751" customFormat="1" ht="12" customHeight="1">
      <c r="A169" s="702"/>
      <c r="B169" s="702"/>
      <c r="C169" s="702"/>
      <c r="D169" s="702"/>
      <c r="E169" s="702"/>
      <c r="F169" s="702"/>
      <c r="G169" s="702"/>
      <c r="H169" s="702"/>
      <c r="I169" s="702"/>
      <c r="J169" s="702"/>
      <c r="K169" s="702"/>
      <c r="L169" s="702"/>
      <c r="M169" s="702"/>
      <c r="N169" s="702"/>
      <c r="O169" s="702"/>
      <c r="P169" s="702"/>
      <c r="Q169" s="750"/>
      <c r="R169" s="738"/>
      <c r="S169" s="734"/>
      <c r="T169" s="221"/>
      <c r="U169" s="221"/>
      <c r="V169" s="731"/>
      <c r="W169" s="747"/>
    </row>
    <row r="170" spans="1:23" s="706" customFormat="1" ht="12" customHeight="1">
      <c r="A170" s="702"/>
      <c r="B170" s="702"/>
      <c r="C170" s="702"/>
      <c r="D170" s="702"/>
      <c r="E170" s="702"/>
      <c r="F170" s="702"/>
      <c r="G170" s="702"/>
      <c r="H170" s="702"/>
      <c r="I170" s="702"/>
      <c r="J170" s="702"/>
      <c r="K170" s="702"/>
      <c r="L170" s="702"/>
      <c r="M170" s="702"/>
      <c r="N170" s="702"/>
      <c r="O170" s="702"/>
      <c r="P170" s="702"/>
      <c r="Q170" s="750"/>
      <c r="R170" s="784"/>
      <c r="S170" s="785"/>
      <c r="T170" s="786"/>
      <c r="U170" s="802"/>
      <c r="V170" s="765">
        <f>SUM(V158:V169)</f>
        <v>0</v>
      </c>
      <c r="W170" s="765">
        <f>SUM(W158:W169)</f>
        <v>0</v>
      </c>
    </row>
    <row r="171" spans="1:23" ht="12" customHeight="1">
      <c r="R171" s="738"/>
      <c r="S171" s="797"/>
      <c r="T171" s="739"/>
      <c r="U171" s="739"/>
      <c r="V171" s="731">
        <f t="shared" ref="V171:V178" si="21">ROUND(T171*U171,0)</f>
        <v>0</v>
      </c>
      <c r="W171" s="747"/>
    </row>
    <row r="172" spans="1:23" ht="12" customHeight="1">
      <c r="R172" s="787"/>
      <c r="S172" s="797"/>
      <c r="T172" s="221"/>
      <c r="U172" s="221"/>
      <c r="V172" s="731">
        <f t="shared" si="21"/>
        <v>0</v>
      </c>
      <c r="W172" s="731"/>
    </row>
    <row r="173" spans="1:23" ht="12" customHeight="1">
      <c r="R173" s="738"/>
      <c r="S173" s="734"/>
      <c r="T173" s="739"/>
      <c r="U173" s="739"/>
      <c r="V173" s="731">
        <f t="shared" si="21"/>
        <v>0</v>
      </c>
      <c r="W173" s="747"/>
    </row>
    <row r="174" spans="1:23" ht="12" customHeight="1">
      <c r="R174" s="738"/>
      <c r="S174" s="734"/>
      <c r="T174" s="739"/>
      <c r="U174" s="739"/>
      <c r="V174" s="731">
        <f t="shared" si="21"/>
        <v>0</v>
      </c>
      <c r="W174" s="747"/>
    </row>
    <row r="175" spans="1:23" ht="12" customHeight="1">
      <c r="R175" s="761"/>
      <c r="S175" s="734"/>
      <c r="T175" s="739"/>
      <c r="U175" s="739"/>
      <c r="V175" s="731">
        <f t="shared" si="21"/>
        <v>0</v>
      </c>
      <c r="W175" s="747"/>
    </row>
    <row r="176" spans="1:23" ht="12" customHeight="1">
      <c r="R176" s="761"/>
      <c r="S176" s="734"/>
      <c r="T176" s="739"/>
      <c r="U176" s="739"/>
      <c r="V176" s="731">
        <f t="shared" si="21"/>
        <v>0</v>
      </c>
      <c r="W176" s="747"/>
    </row>
    <row r="177" spans="1:23" ht="12" customHeight="1">
      <c r="R177" s="761"/>
      <c r="S177" s="734"/>
      <c r="T177" s="739"/>
      <c r="U177" s="739"/>
      <c r="V177" s="731">
        <f t="shared" si="21"/>
        <v>0</v>
      </c>
      <c r="W177" s="747"/>
    </row>
    <row r="178" spans="1:23" ht="12" customHeight="1">
      <c r="R178" s="761"/>
      <c r="S178" s="734"/>
      <c r="T178" s="739"/>
      <c r="U178" s="739"/>
      <c r="V178" s="731">
        <f t="shared" si="21"/>
        <v>0</v>
      </c>
      <c r="W178" s="747"/>
    </row>
    <row r="179" spans="1:23">
      <c r="R179" s="705"/>
      <c r="S179" s="712"/>
    </row>
    <row r="180" spans="1:23" ht="20.25" customHeight="1">
      <c r="A180" s="706" t="s">
        <v>532</v>
      </c>
      <c r="B180" s="706"/>
      <c r="C180" s="707"/>
      <c r="D180" s="708"/>
      <c r="E180" s="708"/>
      <c r="F180" s="708"/>
      <c r="G180" s="705"/>
      <c r="H180" s="705"/>
      <c r="I180" s="705"/>
      <c r="J180" s="705"/>
      <c r="K180" s="705"/>
      <c r="L180" s="709"/>
      <c r="M180" s="705"/>
      <c r="N180" s="705"/>
      <c r="O180" s="710"/>
      <c r="P180" s="705"/>
      <c r="R180" s="705"/>
      <c r="S180" s="712"/>
    </row>
    <row r="181" spans="1:23" ht="20.25" customHeight="1">
      <c r="A181" s="713" t="s">
        <v>557</v>
      </c>
      <c r="B181" s="713"/>
      <c r="C181" s="713"/>
      <c r="D181" s="713"/>
      <c r="E181" s="713"/>
      <c r="F181" s="713"/>
      <c r="G181" s="713"/>
      <c r="H181" s="713"/>
      <c r="I181" s="713"/>
      <c r="J181" s="713"/>
      <c r="K181" s="713"/>
      <c r="L181" s="713"/>
      <c r="M181" s="713"/>
      <c r="N181" s="713"/>
      <c r="O181" s="713"/>
      <c r="P181" s="713"/>
      <c r="Q181" s="711"/>
      <c r="R181" s="705"/>
      <c r="S181" s="712"/>
    </row>
    <row r="182" spans="1:23" ht="12" customHeight="1">
      <c r="A182" s="714"/>
      <c r="B182" s="714"/>
      <c r="C182" s="715"/>
      <c r="D182" s="714"/>
      <c r="E182" s="714"/>
      <c r="F182" s="714"/>
      <c r="G182" s="714"/>
      <c r="H182" s="714"/>
      <c r="I182" s="714"/>
      <c r="J182" s="714"/>
      <c r="K182" s="714"/>
      <c r="L182" s="713"/>
      <c r="M182" s="714"/>
      <c r="N182" s="714"/>
      <c r="O182" s="716"/>
      <c r="P182" s="714"/>
      <c r="Q182" s="711"/>
      <c r="R182" s="705"/>
      <c r="S182" s="712"/>
    </row>
    <row r="183" spans="1:23" ht="12" customHeight="1">
      <c r="A183" s="717"/>
      <c r="B183" s="717"/>
      <c r="C183" s="718"/>
      <c r="D183" s="717"/>
      <c r="E183" s="717"/>
      <c r="F183" s="717"/>
      <c r="G183" s="717"/>
      <c r="H183" s="717"/>
      <c r="I183" s="717"/>
      <c r="J183" s="717"/>
      <c r="K183" s="717"/>
      <c r="L183" s="717"/>
      <c r="M183" s="717"/>
      <c r="N183" s="717"/>
      <c r="O183" s="719"/>
      <c r="P183" s="717"/>
      <c r="Q183" s="711"/>
      <c r="R183" s="705"/>
      <c r="S183" s="712"/>
    </row>
    <row r="184" spans="1:23" ht="36.75" customHeight="1">
      <c r="A184" s="722" t="s">
        <v>37</v>
      </c>
      <c r="B184" s="722" t="s">
        <v>534</v>
      </c>
      <c r="C184" s="723" t="s">
        <v>535</v>
      </c>
      <c r="D184" s="724" t="s">
        <v>536</v>
      </c>
      <c r="E184" s="724" t="s">
        <v>537</v>
      </c>
      <c r="F184" s="724" t="s">
        <v>538</v>
      </c>
      <c r="G184" s="724" t="s">
        <v>539</v>
      </c>
      <c r="H184" s="724" t="s">
        <v>540</v>
      </c>
      <c r="I184" s="724" t="s">
        <v>541</v>
      </c>
      <c r="J184" s="724" t="s">
        <v>542</v>
      </c>
      <c r="K184" s="725" t="s">
        <v>543</v>
      </c>
      <c r="L184" s="724" t="s">
        <v>544</v>
      </c>
      <c r="M184" s="725" t="s">
        <v>545</v>
      </c>
      <c r="N184" s="724" t="s">
        <v>546</v>
      </c>
      <c r="O184" s="726" t="s">
        <v>537</v>
      </c>
      <c r="P184" s="724" t="s">
        <v>547</v>
      </c>
      <c r="Q184" s="711"/>
      <c r="R184" s="722" t="s">
        <v>534</v>
      </c>
      <c r="S184" s="724" t="s">
        <v>501</v>
      </c>
      <c r="T184" s="724" t="s">
        <v>338</v>
      </c>
      <c r="U184" s="724" t="s">
        <v>538</v>
      </c>
      <c r="V184" s="724" t="s">
        <v>548</v>
      </c>
      <c r="W184" s="722" t="s">
        <v>548</v>
      </c>
    </row>
    <row r="185" spans="1:23" s="728" customFormat="1" ht="13.5" customHeight="1">
      <c r="A185" s="729" t="str">
        <f>IF(B185&lt;&gt;"",ROW()-(ROW()-1),"")</f>
        <v/>
      </c>
      <c r="B185" s="741"/>
      <c r="C185" s="730">
        <f>IF(ISNA(VLOOKUP(B185,NXT!$Q$61:$S$81,2,0)),0,VLOOKUP(B185,NXT!$Q$61:$S$81,2,0))</f>
        <v>0</v>
      </c>
      <c r="D185" s="582">
        <f>ROUND(C185*O185,0)</f>
        <v>0</v>
      </c>
      <c r="E185" s="582"/>
      <c r="F185" s="582"/>
      <c r="G185" s="731">
        <f>(D185+E185)*F185</f>
        <v>0</v>
      </c>
      <c r="H185" s="582">
        <f>IF($E$191&lt;&gt;0,H$191/($D$191+$E$191/5)*($D185+$E185/5),0)</f>
        <v>0</v>
      </c>
      <c r="I185" s="582">
        <f t="shared" ref="I185:K189" si="22">IF($D$191&lt;&gt;0,I$191/$D$191*$D185,0)</f>
        <v>0</v>
      </c>
      <c r="J185" s="582">
        <f t="shared" si="22"/>
        <v>0</v>
      </c>
      <c r="K185" s="582">
        <f t="shared" si="22"/>
        <v>0</v>
      </c>
      <c r="L185" s="731"/>
      <c r="M185" s="582" t="e">
        <f>34560000/($O$68+#REF!+#REF!)*O185</f>
        <v>#REF!</v>
      </c>
      <c r="N185" s="731">
        <f>ROUND(SUM(G185:L185),0)</f>
        <v>0</v>
      </c>
      <c r="O185" s="582"/>
      <c r="P185" s="582">
        <f>IF(N185&lt;&gt;0,N185/O185,0)</f>
        <v>0</v>
      </c>
      <c r="Q185" s="727"/>
      <c r="R185" s="733"/>
      <c r="S185" s="797"/>
      <c r="T185" s="221"/>
      <c r="U185" s="221"/>
      <c r="V185" s="731">
        <f t="shared" ref="V185:V194" si="23">ROUND(T185*U185,0)</f>
        <v>0</v>
      </c>
      <c r="W185" s="731"/>
    </row>
    <row r="186" spans="1:23" ht="13.5" customHeight="1">
      <c r="A186" s="729" t="str">
        <f>IF(B186&lt;&gt;"",A185+1,"")</f>
        <v/>
      </c>
      <c r="B186" s="741"/>
      <c r="C186" s="730">
        <f>IF(ISNA(VLOOKUP(B186,NXT!$Q$61:$S$81,2,0)),0,VLOOKUP(B186,NXT!$Q$61:$S$81,2,0))</f>
        <v>0</v>
      </c>
      <c r="D186" s="582">
        <f>ROUND(C186*O186,0)</f>
        <v>0</v>
      </c>
      <c r="E186" s="582"/>
      <c r="F186" s="582"/>
      <c r="G186" s="731">
        <f>(D186+E186)*F186</f>
        <v>0</v>
      </c>
      <c r="H186" s="582">
        <f>IF($E$191&lt;&gt;0,H$191/($D$191+$E$191/5)*($D186+$E186/5),0)</f>
        <v>0</v>
      </c>
      <c r="I186" s="582">
        <f t="shared" si="22"/>
        <v>0</v>
      </c>
      <c r="J186" s="582">
        <f t="shared" si="22"/>
        <v>0</v>
      </c>
      <c r="K186" s="582">
        <f t="shared" si="22"/>
        <v>0</v>
      </c>
      <c r="L186" s="731"/>
      <c r="M186" s="582"/>
      <c r="N186" s="731">
        <f>ROUND(SUM(G186:L186),0)</f>
        <v>0</v>
      </c>
      <c r="O186" s="582"/>
      <c r="P186" s="582">
        <f>IF(N186&lt;&gt;0,N186/O186,0)</f>
        <v>0</v>
      </c>
      <c r="Q186" s="750"/>
      <c r="R186" s="738"/>
      <c r="S186" s="797"/>
      <c r="T186" s="221"/>
      <c r="U186" s="221"/>
      <c r="V186" s="731">
        <f t="shared" si="23"/>
        <v>0</v>
      </c>
      <c r="W186" s="747"/>
    </row>
    <row r="187" spans="1:23" ht="13.5" customHeight="1">
      <c r="A187" s="729" t="str">
        <f>IF(B187&lt;&gt;"",A186+1,"")</f>
        <v/>
      </c>
      <c r="B187" s="741"/>
      <c r="C187" s="730">
        <f>IF(ISNA(VLOOKUP(B187,NXT!$Q$61:$S$81,2,0)),0,VLOOKUP(B187,NXT!$Q$61:$S$81,2,0))</f>
        <v>0</v>
      </c>
      <c r="D187" s="582">
        <f>ROUND(C187*O187,0)</f>
        <v>0</v>
      </c>
      <c r="E187" s="582"/>
      <c r="F187" s="582"/>
      <c r="G187" s="731">
        <f>(D187+E187)*F187</f>
        <v>0</v>
      </c>
      <c r="H187" s="582">
        <f>IF($E$191&lt;&gt;0,H$191/($D$191+$E$191/5)*($D187+$E187/5),0)</f>
        <v>0</v>
      </c>
      <c r="I187" s="582">
        <f t="shared" si="22"/>
        <v>0</v>
      </c>
      <c r="J187" s="582">
        <f t="shared" si="22"/>
        <v>0</v>
      </c>
      <c r="K187" s="582">
        <f t="shared" si="22"/>
        <v>0</v>
      </c>
      <c r="L187" s="731"/>
      <c r="M187" s="582"/>
      <c r="N187" s="731">
        <f>ROUND(SUM(G187:L187),0)</f>
        <v>0</v>
      </c>
      <c r="O187" s="737"/>
      <c r="P187" s="582">
        <f>IF(N187&lt;&gt;0,N187/O187,0)</f>
        <v>0</v>
      </c>
      <c r="Q187" s="750"/>
      <c r="R187" s="738"/>
      <c r="S187" s="797"/>
      <c r="T187" s="221"/>
      <c r="U187" s="221"/>
      <c r="V187" s="731">
        <f t="shared" si="23"/>
        <v>0</v>
      </c>
      <c r="W187" s="747"/>
    </row>
    <row r="188" spans="1:23">
      <c r="A188" s="729" t="str">
        <f>IF(B188&lt;&gt;"",A187+1,"")</f>
        <v/>
      </c>
      <c r="B188" s="741"/>
      <c r="C188" s="730">
        <f>IF(ISNA(VLOOKUP(B188,NXT!$Q$61:$S$81,2,0)),0,VLOOKUP(B188,NXT!$Q$61:$S$81,2,0))</f>
        <v>0</v>
      </c>
      <c r="D188" s="582">
        <f>ROUND(C188*O188,0)</f>
        <v>0</v>
      </c>
      <c r="E188" s="582"/>
      <c r="F188" s="582"/>
      <c r="G188" s="731">
        <f>(D188+E188)*F188</f>
        <v>0</v>
      </c>
      <c r="H188" s="582">
        <f>IF($E$191&lt;&gt;0,H$191/($D$191+$E$191/5)*($D188+$E188/5),0)</f>
        <v>0</v>
      </c>
      <c r="I188" s="582">
        <f t="shared" si="22"/>
        <v>0</v>
      </c>
      <c r="J188" s="582">
        <f t="shared" si="22"/>
        <v>0</v>
      </c>
      <c r="K188" s="582">
        <f t="shared" si="22"/>
        <v>0</v>
      </c>
      <c r="L188" s="731"/>
      <c r="M188" s="582"/>
      <c r="N188" s="731">
        <f>ROUND(SUM(G188:L188),0)</f>
        <v>0</v>
      </c>
      <c r="O188" s="737"/>
      <c r="P188" s="582">
        <f>IF(N188&lt;&gt;0,N188/O188,0)</f>
        <v>0</v>
      </c>
      <c r="Q188" s="750"/>
      <c r="R188" s="738"/>
      <c r="S188" s="797"/>
      <c r="T188" s="221"/>
      <c r="U188" s="221"/>
      <c r="V188" s="731">
        <f t="shared" si="23"/>
        <v>0</v>
      </c>
      <c r="W188" s="747"/>
    </row>
    <row r="189" spans="1:23">
      <c r="A189" s="729" t="str">
        <f>IF(B189&lt;&gt;"",A188+1,"")</f>
        <v/>
      </c>
      <c r="B189" s="741"/>
      <c r="C189" s="730">
        <f>IF(ISNA(VLOOKUP(B189,NXT!$Q$61:$S$81,2,0)),0,VLOOKUP(B189,NXT!$Q$61:$S$81,2,0))</f>
        <v>0</v>
      </c>
      <c r="D189" s="582">
        <f>ROUND(C189*O189,0)</f>
        <v>0</v>
      </c>
      <c r="E189" s="582"/>
      <c r="F189" s="582"/>
      <c r="G189" s="731">
        <f>(D189+E189)*F189</f>
        <v>0</v>
      </c>
      <c r="H189" s="582">
        <f>IF($E$191&lt;&gt;0,H$191/($D$191+$E$191/5)*($D189+$E189/5),0)</f>
        <v>0</v>
      </c>
      <c r="I189" s="582">
        <f t="shared" si="22"/>
        <v>0</v>
      </c>
      <c r="J189" s="582">
        <f t="shared" si="22"/>
        <v>0</v>
      </c>
      <c r="K189" s="582">
        <f t="shared" si="22"/>
        <v>0</v>
      </c>
      <c r="L189" s="582"/>
      <c r="M189" s="582"/>
      <c r="N189" s="731">
        <f>ROUND(SUM(G189:L189),0)</f>
        <v>0</v>
      </c>
      <c r="O189" s="737"/>
      <c r="P189" s="582">
        <f>IF(N189&lt;&gt;0,N189/O189,0)</f>
        <v>0</v>
      </c>
      <c r="Q189" s="750"/>
      <c r="R189" s="738"/>
      <c r="S189" s="797"/>
      <c r="T189" s="221"/>
      <c r="U189" s="221"/>
      <c r="V189" s="731">
        <f t="shared" si="23"/>
        <v>0</v>
      </c>
      <c r="W189" s="747"/>
    </row>
    <row r="190" spans="1:23">
      <c r="A190" s="729" t="str">
        <f>IF(B190&lt;&gt;"",#REF!+1,"")</f>
        <v/>
      </c>
      <c r="B190" s="742"/>
      <c r="C190" s="743"/>
      <c r="D190" s="745"/>
      <c r="E190" s="745"/>
      <c r="F190" s="745"/>
      <c r="G190" s="746"/>
      <c r="H190" s="791"/>
      <c r="I190" s="745"/>
      <c r="J190" s="747"/>
      <c r="K190" s="745"/>
      <c r="L190" s="748"/>
      <c r="M190" s="745"/>
      <c r="N190" s="779"/>
      <c r="O190" s="749"/>
      <c r="P190" s="745"/>
      <c r="Q190" s="750"/>
      <c r="R190" s="738"/>
      <c r="S190" s="797"/>
      <c r="T190" s="221"/>
      <c r="U190" s="221"/>
      <c r="V190" s="731">
        <f t="shared" si="23"/>
        <v>0</v>
      </c>
      <c r="W190" s="747"/>
    </row>
    <row r="191" spans="1:23">
      <c r="A191" s="752"/>
      <c r="B191" s="753" t="s">
        <v>549</v>
      </c>
      <c r="C191" s="754"/>
      <c r="D191" s="755">
        <f>SUM(D185:D189)</f>
        <v>0</v>
      </c>
      <c r="E191" s="755">
        <f>SUM(E185:E189)</f>
        <v>0</v>
      </c>
      <c r="F191" s="755"/>
      <c r="G191" s="755">
        <f>SUM(G185:G189)</f>
        <v>0</v>
      </c>
      <c r="H191" s="756"/>
      <c r="I191" s="756">
        <f>V196</f>
        <v>0</v>
      </c>
      <c r="J191" s="756"/>
      <c r="K191" s="756">
        <v>57138842</v>
      </c>
      <c r="L191" s="755">
        <f>ROUND(SUM(L185:L190),0)</f>
        <v>0</v>
      </c>
      <c r="M191" s="755" t="e">
        <f>ROUND(SUM(M185:M190),0)</f>
        <v>#REF!</v>
      </c>
      <c r="N191" s="755">
        <f>ROUND(SUM(N185:N190),0)</f>
        <v>0</v>
      </c>
      <c r="O191" s="755">
        <f>ROUND(SUM(O185:O190),0)</f>
        <v>0</v>
      </c>
      <c r="P191" s="755"/>
      <c r="Q191" s="750"/>
      <c r="R191" s="738"/>
      <c r="S191" s="797"/>
      <c r="T191" s="221"/>
      <c r="U191" s="221"/>
      <c r="V191" s="731">
        <f t="shared" si="23"/>
        <v>0</v>
      </c>
      <c r="W191" s="747"/>
    </row>
    <row r="192" spans="1:23">
      <c r="Q192" s="750"/>
      <c r="R192" s="738"/>
      <c r="S192" s="797"/>
      <c r="T192" s="761"/>
      <c r="U192" s="739"/>
      <c r="V192" s="731">
        <f t="shared" si="23"/>
        <v>0</v>
      </c>
      <c r="W192" s="747"/>
    </row>
    <row r="193" spans="1:23">
      <c r="Q193" s="750"/>
      <c r="R193" s="800"/>
      <c r="S193" s="797"/>
      <c r="T193" s="761"/>
      <c r="U193" s="739"/>
      <c r="V193" s="731">
        <f t="shared" si="23"/>
        <v>0</v>
      </c>
      <c r="W193" s="747"/>
    </row>
    <row r="194" spans="1:23">
      <c r="Q194" s="750"/>
      <c r="R194" s="482"/>
      <c r="S194" s="797"/>
      <c r="T194" s="221"/>
      <c r="U194" s="221"/>
      <c r="V194" s="731">
        <f t="shared" si="23"/>
        <v>0</v>
      </c>
      <c r="W194" s="747"/>
    </row>
    <row r="195" spans="1:23" s="751" customFormat="1">
      <c r="A195" s="702"/>
      <c r="B195" s="702"/>
      <c r="C195" s="702"/>
      <c r="D195" s="702"/>
      <c r="E195" s="702"/>
      <c r="F195" s="702"/>
      <c r="G195" s="702"/>
      <c r="H195" s="702"/>
      <c r="I195" s="702"/>
      <c r="J195" s="702"/>
      <c r="K195" s="702"/>
      <c r="L195" s="702"/>
      <c r="M195" s="702"/>
      <c r="N195" s="702"/>
      <c r="O195" s="702"/>
      <c r="P195" s="702"/>
      <c r="Q195" s="750"/>
      <c r="R195" s="738"/>
      <c r="S195" s="734"/>
      <c r="T195" s="221"/>
      <c r="U195" s="221"/>
      <c r="V195" s="731"/>
      <c r="W195" s="747"/>
    </row>
    <row r="196" spans="1:23" s="706" customFormat="1">
      <c r="A196" s="702"/>
      <c r="B196" s="702"/>
      <c r="C196" s="702"/>
      <c r="D196" s="702"/>
      <c r="E196" s="702"/>
      <c r="F196" s="702"/>
      <c r="G196" s="702"/>
      <c r="H196" s="702"/>
      <c r="I196" s="702"/>
      <c r="J196" s="702"/>
      <c r="K196" s="702"/>
      <c r="L196" s="702"/>
      <c r="M196" s="702"/>
      <c r="N196" s="702"/>
      <c r="O196" s="702"/>
      <c r="P196" s="702"/>
      <c r="Q196" s="750"/>
      <c r="R196" s="784"/>
      <c r="S196" s="785"/>
      <c r="T196" s="786"/>
      <c r="U196" s="802"/>
      <c r="V196" s="765">
        <f>SUM(V185:V195)</f>
        <v>0</v>
      </c>
      <c r="W196" s="765">
        <f>SUM(W185:W195)</f>
        <v>0</v>
      </c>
    </row>
    <row r="197" spans="1:23">
      <c r="R197" s="787"/>
      <c r="S197" s="797"/>
      <c r="T197" s="221"/>
      <c r="U197" s="221"/>
      <c r="V197" s="731">
        <f t="shared" ref="V197:V204" si="24">ROUND(T197*U197,0)</f>
        <v>0</v>
      </c>
      <c r="W197" s="731"/>
    </row>
    <row r="198" spans="1:23">
      <c r="R198" s="787"/>
      <c r="S198" s="797"/>
      <c r="T198" s="739"/>
      <c r="U198" s="739"/>
      <c r="V198" s="731">
        <f t="shared" si="24"/>
        <v>0</v>
      </c>
      <c r="W198" s="747"/>
    </row>
    <row r="199" spans="1:23">
      <c r="R199" s="738"/>
      <c r="S199" s="797"/>
      <c r="T199" s="739"/>
      <c r="U199" s="739"/>
      <c r="V199" s="731">
        <f t="shared" si="24"/>
        <v>0</v>
      </c>
      <c r="W199" s="747"/>
    </row>
    <row r="200" spans="1:23">
      <c r="R200" s="761"/>
      <c r="S200" s="797"/>
      <c r="T200" s="739"/>
      <c r="U200" s="739"/>
      <c r="V200" s="731">
        <f t="shared" si="24"/>
        <v>0</v>
      </c>
      <c r="W200" s="747"/>
    </row>
    <row r="201" spans="1:23">
      <c r="R201" s="738"/>
      <c r="S201" s="734"/>
      <c r="T201" s="739"/>
      <c r="U201" s="739"/>
      <c r="V201" s="731">
        <f t="shared" si="24"/>
        <v>0</v>
      </c>
      <c r="W201" s="747"/>
    </row>
    <row r="202" spans="1:23">
      <c r="R202" s="738"/>
      <c r="S202" s="734"/>
      <c r="T202" s="739"/>
      <c r="U202" s="739"/>
      <c r="V202" s="731">
        <f t="shared" si="24"/>
        <v>0</v>
      </c>
      <c r="W202" s="747"/>
    </row>
    <row r="203" spans="1:23">
      <c r="R203" s="761"/>
      <c r="S203" s="734"/>
      <c r="T203" s="739"/>
      <c r="U203" s="739"/>
      <c r="V203" s="731">
        <f t="shared" si="24"/>
        <v>0</v>
      </c>
      <c r="W203" s="747"/>
    </row>
    <row r="204" spans="1:23">
      <c r="R204" s="761"/>
      <c r="S204" s="734"/>
      <c r="T204" s="739"/>
      <c r="U204" s="739"/>
      <c r="V204" s="731">
        <f t="shared" si="24"/>
        <v>0</v>
      </c>
      <c r="W204" s="747"/>
    </row>
    <row r="205" spans="1:23">
      <c r="A205" s="714"/>
      <c r="B205" s="714"/>
      <c r="C205" s="715"/>
      <c r="D205" s="714"/>
      <c r="E205" s="714"/>
      <c r="F205" s="714"/>
      <c r="G205" s="714"/>
      <c r="H205" s="714"/>
      <c r="I205" s="714"/>
      <c r="J205" s="714"/>
      <c r="K205" s="714"/>
      <c r="L205" s="713"/>
      <c r="M205" s="714"/>
      <c r="N205" s="714"/>
      <c r="O205" s="716"/>
      <c r="P205" s="714"/>
      <c r="R205" s="705"/>
      <c r="S205" s="712"/>
    </row>
    <row r="206" spans="1:23" ht="18.75" customHeight="1">
      <c r="A206" s="721"/>
      <c r="B206" s="721"/>
      <c r="C206" s="805"/>
      <c r="D206" s="721"/>
      <c r="E206" s="721"/>
      <c r="F206" s="721"/>
      <c r="G206" s="721"/>
      <c r="H206" s="721"/>
      <c r="I206" s="721"/>
      <c r="J206" s="721"/>
      <c r="K206" s="721"/>
      <c r="L206" s="721"/>
      <c r="M206" s="721"/>
      <c r="N206" s="721"/>
      <c r="O206" s="773"/>
      <c r="P206" s="721"/>
      <c r="Q206" s="711"/>
      <c r="R206" s="705"/>
      <c r="S206" s="712"/>
    </row>
    <row r="207" spans="1:23" ht="20.25" customHeight="1">
      <c r="A207" s="706" t="s">
        <v>532</v>
      </c>
      <c r="B207" s="706"/>
      <c r="C207" s="707"/>
      <c r="D207" s="708"/>
      <c r="E207" s="708"/>
      <c r="F207" s="708"/>
      <c r="G207" s="705"/>
      <c r="H207" s="705"/>
      <c r="I207" s="705"/>
      <c r="J207" s="705"/>
      <c r="K207" s="705"/>
      <c r="L207" s="709"/>
      <c r="M207" s="705"/>
      <c r="N207" s="705"/>
      <c r="O207" s="710"/>
      <c r="P207" s="705"/>
      <c r="Q207" s="711"/>
      <c r="R207" s="705"/>
      <c r="S207" s="712"/>
    </row>
    <row r="208" spans="1:23" ht="20.25" customHeight="1">
      <c r="A208" s="713" t="s">
        <v>558</v>
      </c>
      <c r="B208" s="713"/>
      <c r="C208" s="713"/>
      <c r="D208" s="713"/>
      <c r="E208" s="713"/>
      <c r="F208" s="713"/>
      <c r="G208" s="713"/>
      <c r="H208" s="713"/>
      <c r="I208" s="713"/>
      <c r="J208" s="713"/>
      <c r="K208" s="713"/>
      <c r="L208" s="713"/>
      <c r="M208" s="713"/>
      <c r="N208" s="713"/>
      <c r="O208" s="713"/>
      <c r="P208" s="713"/>
      <c r="Q208" s="711"/>
      <c r="R208" s="705"/>
      <c r="S208" s="712"/>
    </row>
    <row r="209" spans="1:23" ht="12" customHeight="1">
      <c r="A209" s="714"/>
      <c r="B209" s="714"/>
      <c r="C209" s="715"/>
      <c r="D209" s="714"/>
      <c r="E209" s="714"/>
      <c r="F209" s="714"/>
      <c r="G209" s="714"/>
      <c r="H209" s="714"/>
      <c r="I209" s="714"/>
      <c r="J209" s="714"/>
      <c r="K209" s="714"/>
      <c r="L209" s="713"/>
      <c r="M209" s="714"/>
      <c r="N209" s="714"/>
      <c r="O209" s="716"/>
      <c r="P209" s="714"/>
      <c r="Q209" s="711"/>
      <c r="R209" s="705"/>
      <c r="S209" s="712"/>
    </row>
    <row r="210" spans="1:23" ht="12" customHeight="1">
      <c r="A210" s="717"/>
      <c r="B210" s="717"/>
      <c r="C210" s="718"/>
      <c r="D210" s="717"/>
      <c r="E210" s="717"/>
      <c r="F210" s="717"/>
      <c r="G210" s="717"/>
      <c r="H210" s="717"/>
      <c r="I210" s="717"/>
      <c r="J210" s="717"/>
      <c r="K210" s="717"/>
      <c r="L210" s="717"/>
      <c r="M210" s="717"/>
      <c r="N210" s="717"/>
      <c r="O210" s="719"/>
      <c r="P210" s="717"/>
      <c r="Q210" s="711"/>
      <c r="R210" s="705"/>
      <c r="S210" s="712"/>
    </row>
    <row r="211" spans="1:23" ht="36.75" customHeight="1">
      <c r="A211" s="722" t="s">
        <v>37</v>
      </c>
      <c r="B211" s="722" t="s">
        <v>534</v>
      </c>
      <c r="C211" s="723" t="s">
        <v>535</v>
      </c>
      <c r="D211" s="724" t="s">
        <v>536</v>
      </c>
      <c r="E211" s="724" t="s">
        <v>537</v>
      </c>
      <c r="F211" s="724" t="s">
        <v>538</v>
      </c>
      <c r="G211" s="724" t="s">
        <v>539</v>
      </c>
      <c r="H211" s="724" t="s">
        <v>540</v>
      </c>
      <c r="I211" s="724" t="s">
        <v>541</v>
      </c>
      <c r="J211" s="724" t="s">
        <v>542</v>
      </c>
      <c r="K211" s="725" t="s">
        <v>543</v>
      </c>
      <c r="L211" s="724" t="s">
        <v>544</v>
      </c>
      <c r="M211" s="725" t="s">
        <v>545</v>
      </c>
      <c r="N211" s="724" t="s">
        <v>546</v>
      </c>
      <c r="O211" s="726" t="s">
        <v>537</v>
      </c>
      <c r="P211" s="724" t="s">
        <v>547</v>
      </c>
      <c r="Q211" s="711"/>
      <c r="R211" s="722" t="s">
        <v>534</v>
      </c>
      <c r="S211" s="724" t="s">
        <v>501</v>
      </c>
      <c r="T211" s="724" t="s">
        <v>338</v>
      </c>
      <c r="U211" s="724" t="s">
        <v>538</v>
      </c>
      <c r="V211" s="724" t="s">
        <v>548</v>
      </c>
      <c r="W211" s="722" t="s">
        <v>548</v>
      </c>
    </row>
    <row r="212" spans="1:23" s="728" customFormat="1" ht="13.5" customHeight="1">
      <c r="A212" s="729" t="str">
        <f>IF(B212&lt;&gt;"",ROW()-(ROW()-1),"")</f>
        <v/>
      </c>
      <c r="B212" s="741"/>
      <c r="C212" s="730">
        <f>IF(ISNA(VLOOKUP(B212,NXT!$Q$61:$S$81,2,0)),0,VLOOKUP(B212,NXT!$Q$61:$S$81,2,0))</f>
        <v>0</v>
      </c>
      <c r="D212" s="582">
        <f t="shared" ref="D212:D217" si="25">ROUND(C212*O212,0)</f>
        <v>0</v>
      </c>
      <c r="E212" s="582"/>
      <c r="F212" s="582"/>
      <c r="G212" s="731">
        <f t="shared" ref="G212:G217" si="26">(D212+E212)*F212</f>
        <v>0</v>
      </c>
      <c r="H212" s="582">
        <f t="shared" ref="H212:H217" si="27">IF($D$219&lt;&gt;0,H$219/($D$219+$E$219/4)*($D212+$E212/4),0)</f>
        <v>0</v>
      </c>
      <c r="I212" s="582">
        <f t="shared" ref="I212:K217" si="28">IF($D$219&lt;&gt;0,I$219/$D$219*$D212,0)</f>
        <v>0</v>
      </c>
      <c r="J212" s="582">
        <f t="shared" si="28"/>
        <v>0</v>
      </c>
      <c r="K212" s="582">
        <f t="shared" si="28"/>
        <v>0</v>
      </c>
      <c r="L212" s="582"/>
      <c r="M212" s="582"/>
      <c r="N212" s="731">
        <f t="shared" ref="N212:N217" si="29">ROUND(SUM(G212:L212),0)</f>
        <v>0</v>
      </c>
      <c r="O212" s="737"/>
      <c r="P212" s="582">
        <f t="shared" ref="P212:P217" si="30">IF(N212&lt;&gt;0,N212/O212,0)</f>
        <v>0</v>
      </c>
      <c r="Q212" s="727"/>
      <c r="R212" s="733"/>
      <c r="S212" s="797"/>
      <c r="T212" s="221"/>
      <c r="U212" s="221"/>
      <c r="V212" s="731">
        <f t="shared" ref="V212:V221" si="31">ROUND(T212*U212,0)</f>
        <v>0</v>
      </c>
      <c r="W212" s="731"/>
    </row>
    <row r="213" spans="1:23" ht="13.5" customHeight="1">
      <c r="A213" s="729" t="str">
        <f t="shared" ref="A213:A218" si="32">IF(B213&lt;&gt;"",A212+1,"")</f>
        <v/>
      </c>
      <c r="B213" s="741"/>
      <c r="C213" s="730">
        <f>IF(ISNA(VLOOKUP(B213,NXT!$Q$61:$S$81,2,0)),0,VLOOKUP(B213,NXT!$Q$61:$S$81,2,0))</f>
        <v>0</v>
      </c>
      <c r="D213" s="582">
        <f t="shared" si="25"/>
        <v>0</v>
      </c>
      <c r="E213" s="582"/>
      <c r="F213" s="582"/>
      <c r="G213" s="731">
        <f t="shared" si="26"/>
        <v>0</v>
      </c>
      <c r="H213" s="582">
        <f t="shared" si="27"/>
        <v>0</v>
      </c>
      <c r="I213" s="582">
        <f t="shared" si="28"/>
        <v>0</v>
      </c>
      <c r="J213" s="582">
        <f t="shared" si="28"/>
        <v>0</v>
      </c>
      <c r="K213" s="582">
        <f t="shared" si="28"/>
        <v>0</v>
      </c>
      <c r="L213" s="731"/>
      <c r="M213" s="582" t="e">
        <f>34560000/($O$68+#REF!+#REF!)*O213</f>
        <v>#REF!</v>
      </c>
      <c r="N213" s="731">
        <f t="shared" si="29"/>
        <v>0</v>
      </c>
      <c r="O213" s="582"/>
      <c r="P213" s="582">
        <f t="shared" si="30"/>
        <v>0</v>
      </c>
      <c r="Q213" s="750"/>
      <c r="R213" s="738"/>
      <c r="S213" s="797"/>
      <c r="T213" s="221"/>
      <c r="U213" s="221"/>
      <c r="V213" s="731">
        <f t="shared" si="31"/>
        <v>0</v>
      </c>
      <c r="W213" s="747"/>
    </row>
    <row r="214" spans="1:23" ht="13.5" customHeight="1">
      <c r="A214" s="729" t="str">
        <f t="shared" si="32"/>
        <v/>
      </c>
      <c r="B214" s="477"/>
      <c r="C214" s="730">
        <f>IF(ISNA(VLOOKUP(B214,NXT!$Q$61:$S$81,2,0)),0,VLOOKUP(B214,NXT!$Q$61:$S$81,2,0))</f>
        <v>0</v>
      </c>
      <c r="D214" s="582">
        <f t="shared" si="25"/>
        <v>0</v>
      </c>
      <c r="E214" s="582"/>
      <c r="F214" s="582"/>
      <c r="G214" s="731">
        <f t="shared" si="26"/>
        <v>0</v>
      </c>
      <c r="H214" s="582">
        <f t="shared" si="27"/>
        <v>0</v>
      </c>
      <c r="I214" s="582">
        <f t="shared" si="28"/>
        <v>0</v>
      </c>
      <c r="J214" s="582">
        <f t="shared" si="28"/>
        <v>0</v>
      </c>
      <c r="K214" s="582">
        <f t="shared" si="28"/>
        <v>0</v>
      </c>
      <c r="L214" s="582"/>
      <c r="M214" s="582"/>
      <c r="N214" s="731">
        <f t="shared" si="29"/>
        <v>0</v>
      </c>
      <c r="O214" s="737"/>
      <c r="P214" s="582">
        <f t="shared" si="30"/>
        <v>0</v>
      </c>
      <c r="Q214" s="750"/>
      <c r="R214" s="738"/>
      <c r="S214" s="797"/>
      <c r="T214" s="221"/>
      <c r="U214" s="221"/>
      <c r="V214" s="731">
        <f t="shared" si="31"/>
        <v>0</v>
      </c>
      <c r="W214" s="747"/>
    </row>
    <row r="215" spans="1:23" ht="13.5" customHeight="1">
      <c r="A215" s="729" t="str">
        <f t="shared" si="32"/>
        <v/>
      </c>
      <c r="B215" s="741"/>
      <c r="C215" s="730">
        <f>IF(ISNA(VLOOKUP(B215,NXT!$Q$61:$S$81,2,0)),0,VLOOKUP(B215,NXT!$Q$61:$S$81,2,0))</f>
        <v>0</v>
      </c>
      <c r="D215" s="582">
        <f t="shared" si="25"/>
        <v>0</v>
      </c>
      <c r="E215" s="582"/>
      <c r="F215" s="582"/>
      <c r="G215" s="731">
        <f t="shared" si="26"/>
        <v>0</v>
      </c>
      <c r="H215" s="582">
        <f t="shared" si="27"/>
        <v>0</v>
      </c>
      <c r="I215" s="582">
        <f t="shared" si="28"/>
        <v>0</v>
      </c>
      <c r="J215" s="582">
        <f t="shared" si="28"/>
        <v>0</v>
      </c>
      <c r="K215" s="582">
        <f t="shared" si="28"/>
        <v>0</v>
      </c>
      <c r="L215" s="582"/>
      <c r="M215" s="582"/>
      <c r="N215" s="731">
        <f t="shared" si="29"/>
        <v>0</v>
      </c>
      <c r="O215" s="737"/>
      <c r="P215" s="582">
        <f t="shared" si="30"/>
        <v>0</v>
      </c>
      <c r="Q215" s="750"/>
      <c r="R215" s="738"/>
      <c r="S215" s="797"/>
      <c r="T215" s="221"/>
      <c r="U215" s="221"/>
      <c r="V215" s="731">
        <f t="shared" si="31"/>
        <v>0</v>
      </c>
      <c r="W215" s="747"/>
    </row>
    <row r="216" spans="1:23" ht="13.5" customHeight="1">
      <c r="A216" s="729" t="str">
        <f t="shared" si="32"/>
        <v/>
      </c>
      <c r="B216" s="741"/>
      <c r="C216" s="730">
        <f>IF(ISNA(VLOOKUP(B216,NXT!$Q$61:$S$81,2,0)),0,VLOOKUP(B216,NXT!$Q$61:$S$81,2,0))</f>
        <v>0</v>
      </c>
      <c r="D216" s="582">
        <f t="shared" si="25"/>
        <v>0</v>
      </c>
      <c r="E216" s="582"/>
      <c r="F216" s="582"/>
      <c r="G216" s="731">
        <f t="shared" si="26"/>
        <v>0</v>
      </c>
      <c r="H216" s="582">
        <f t="shared" si="27"/>
        <v>0</v>
      </c>
      <c r="I216" s="582">
        <f t="shared" si="28"/>
        <v>0</v>
      </c>
      <c r="J216" s="582">
        <f t="shared" si="28"/>
        <v>0</v>
      </c>
      <c r="K216" s="582">
        <f t="shared" si="28"/>
        <v>0</v>
      </c>
      <c r="L216" s="582"/>
      <c r="M216" s="582"/>
      <c r="N216" s="731">
        <f t="shared" si="29"/>
        <v>0</v>
      </c>
      <c r="O216" s="737"/>
      <c r="P216" s="582">
        <f t="shared" si="30"/>
        <v>0</v>
      </c>
      <c r="Q216" s="750"/>
      <c r="R216" s="738"/>
      <c r="S216" s="797"/>
      <c r="T216" s="221"/>
      <c r="U216" s="221"/>
      <c r="V216" s="731">
        <f t="shared" si="31"/>
        <v>0</v>
      </c>
      <c r="W216" s="747"/>
    </row>
    <row r="217" spans="1:23">
      <c r="A217" s="729" t="str">
        <f t="shared" si="32"/>
        <v/>
      </c>
      <c r="B217" s="741"/>
      <c r="C217" s="730">
        <f>IF(ISNA(VLOOKUP(B217,NXT!$Q$61:$S$81,2,0)),0,VLOOKUP(B217,NXT!$Q$61:$S$81,2,0))</f>
        <v>0</v>
      </c>
      <c r="D217" s="582">
        <f t="shared" si="25"/>
        <v>0</v>
      </c>
      <c r="E217" s="582"/>
      <c r="F217" s="582"/>
      <c r="G217" s="731">
        <f t="shared" si="26"/>
        <v>0</v>
      </c>
      <c r="H217" s="582">
        <f t="shared" si="27"/>
        <v>0</v>
      </c>
      <c r="I217" s="582">
        <f t="shared" si="28"/>
        <v>0</v>
      </c>
      <c r="J217" s="582">
        <f t="shared" si="28"/>
        <v>0</v>
      </c>
      <c r="K217" s="582">
        <f t="shared" si="28"/>
        <v>0</v>
      </c>
      <c r="L217" s="582"/>
      <c r="M217" s="582"/>
      <c r="N217" s="731">
        <f t="shared" si="29"/>
        <v>0</v>
      </c>
      <c r="O217" s="737"/>
      <c r="P217" s="582">
        <f t="shared" si="30"/>
        <v>0</v>
      </c>
      <c r="Q217" s="750"/>
      <c r="R217" s="738"/>
      <c r="S217" s="797"/>
      <c r="T217" s="221"/>
      <c r="U217" s="739"/>
      <c r="V217" s="731">
        <f t="shared" si="31"/>
        <v>0</v>
      </c>
      <c r="W217" s="747"/>
    </row>
    <row r="218" spans="1:23">
      <c r="A218" s="729" t="str">
        <f t="shared" si="32"/>
        <v/>
      </c>
      <c r="B218" s="742"/>
      <c r="C218" s="743"/>
      <c r="D218" s="745"/>
      <c r="E218" s="745"/>
      <c r="F218" s="745"/>
      <c r="G218" s="746"/>
      <c r="H218" s="791"/>
      <c r="I218" s="745"/>
      <c r="J218" s="747"/>
      <c r="K218" s="745"/>
      <c r="L218" s="748"/>
      <c r="M218" s="745"/>
      <c r="N218" s="779"/>
      <c r="O218" s="749"/>
      <c r="P218" s="745"/>
      <c r="Q218" s="750"/>
      <c r="R218" s="738"/>
      <c r="S218" s="799"/>
      <c r="T218" s="221"/>
      <c r="U218" s="221"/>
      <c r="V218" s="731">
        <f t="shared" si="31"/>
        <v>0</v>
      </c>
      <c r="W218" s="747"/>
    </row>
    <row r="219" spans="1:23" s="751" customFormat="1">
      <c r="A219" s="752"/>
      <c r="B219" s="753" t="s">
        <v>549</v>
      </c>
      <c r="C219" s="754"/>
      <c r="D219" s="755">
        <f>SUM(D212:D217)</f>
        <v>0</v>
      </c>
      <c r="E219" s="755">
        <f>SUM(E212:E217)</f>
        <v>0</v>
      </c>
      <c r="F219" s="755"/>
      <c r="G219" s="755">
        <f>SUM(G212:G218)</f>
        <v>0</v>
      </c>
      <c r="H219" s="756"/>
      <c r="I219" s="756">
        <f>V223</f>
        <v>0</v>
      </c>
      <c r="J219" s="756"/>
      <c r="K219" s="756">
        <v>57138842</v>
      </c>
      <c r="L219" s="755">
        <f>ROUND(SUM(L212:L218),0)</f>
        <v>0</v>
      </c>
      <c r="M219" s="755" t="e">
        <f>ROUND(SUM(M212:M218),0)</f>
        <v>#REF!</v>
      </c>
      <c r="N219" s="755">
        <f>ROUND(SUM(N212:N218),0)</f>
        <v>0</v>
      </c>
      <c r="O219" s="755">
        <f>ROUND(SUM(O212:O218),0)</f>
        <v>0</v>
      </c>
      <c r="P219" s="755"/>
      <c r="Q219" s="750"/>
      <c r="R219" s="738"/>
      <c r="S219" s="799"/>
      <c r="T219" s="761"/>
      <c r="U219" s="739"/>
      <c r="V219" s="731">
        <f t="shared" si="31"/>
        <v>0</v>
      </c>
      <c r="W219" s="747"/>
    </row>
    <row r="220" spans="1:23" s="706" customFormat="1">
      <c r="A220" s="702"/>
      <c r="B220" s="702"/>
      <c r="C220" s="702"/>
      <c r="D220" s="702"/>
      <c r="E220" s="702"/>
      <c r="F220" s="702"/>
      <c r="G220" s="702"/>
      <c r="H220" s="702"/>
      <c r="I220" s="702"/>
      <c r="J220" s="702"/>
      <c r="K220" s="702"/>
      <c r="L220" s="702"/>
      <c r="M220" s="702"/>
      <c r="N220" s="702"/>
      <c r="O220" s="702"/>
      <c r="P220" s="702"/>
      <c r="Q220" s="750"/>
      <c r="R220" s="800"/>
      <c r="S220" s="799"/>
      <c r="T220" s="761"/>
      <c r="U220" s="739"/>
      <c r="V220" s="731">
        <f t="shared" si="31"/>
        <v>0</v>
      </c>
      <c r="W220" s="747"/>
    </row>
    <row r="221" spans="1:23">
      <c r="Q221" s="750"/>
      <c r="R221" s="482"/>
      <c r="S221" s="799"/>
      <c r="T221" s="221"/>
      <c r="U221" s="221"/>
      <c r="V221" s="731">
        <f t="shared" si="31"/>
        <v>0</v>
      </c>
      <c r="W221" s="747"/>
    </row>
    <row r="222" spans="1:23">
      <c r="Q222" s="750"/>
      <c r="R222" s="801"/>
      <c r="S222" s="734"/>
      <c r="T222" s="221"/>
      <c r="U222" s="221"/>
      <c r="V222" s="747"/>
      <c r="W222" s="747"/>
    </row>
    <row r="223" spans="1:23">
      <c r="Q223" s="750"/>
      <c r="R223" s="784"/>
      <c r="S223" s="785"/>
      <c r="T223" s="786"/>
      <c r="U223" s="802"/>
      <c r="V223" s="765">
        <f>SUM(V212:V222)</f>
        <v>0</v>
      </c>
      <c r="W223" s="765">
        <f>SUM(W212:W222)</f>
        <v>0</v>
      </c>
    </row>
    <row r="224" spans="1:23">
      <c r="R224" s="738"/>
      <c r="S224" s="797"/>
      <c r="T224" s="221"/>
      <c r="U224" s="739"/>
      <c r="V224" s="731">
        <f t="shared" ref="V224:V231" si="33">ROUND(T224*U224,0)</f>
        <v>0</v>
      </c>
      <c r="W224" s="731"/>
    </row>
    <row r="225" spans="1:23">
      <c r="R225" s="738"/>
      <c r="S225" s="797"/>
      <c r="T225" s="739"/>
      <c r="U225" s="739"/>
      <c r="V225" s="731">
        <f t="shared" si="33"/>
        <v>0</v>
      </c>
      <c r="W225" s="747"/>
    </row>
    <row r="226" spans="1:23">
      <c r="R226" s="489"/>
      <c r="S226" s="797"/>
      <c r="T226" s="739"/>
      <c r="U226" s="739"/>
      <c r="V226" s="731">
        <f t="shared" si="33"/>
        <v>0</v>
      </c>
      <c r="W226" s="747"/>
    </row>
    <row r="227" spans="1:23">
      <c r="R227" s="761"/>
      <c r="S227" s="797"/>
      <c r="T227" s="739"/>
      <c r="U227" s="739"/>
      <c r="V227" s="731">
        <f t="shared" si="33"/>
        <v>0</v>
      </c>
      <c r="W227" s="747"/>
    </row>
    <row r="228" spans="1:23">
      <c r="R228" s="738"/>
      <c r="S228" s="797"/>
      <c r="T228" s="739"/>
      <c r="U228" s="739"/>
      <c r="V228" s="731">
        <f t="shared" si="33"/>
        <v>0</v>
      </c>
      <c r="W228" s="747"/>
    </row>
    <row r="229" spans="1:23">
      <c r="R229" s="738"/>
      <c r="S229" s="734"/>
      <c r="T229" s="739"/>
      <c r="U229" s="739"/>
      <c r="V229" s="731">
        <f t="shared" si="33"/>
        <v>0</v>
      </c>
      <c r="W229" s="747"/>
    </row>
    <row r="230" spans="1:23">
      <c r="R230" s="761"/>
      <c r="S230" s="734"/>
      <c r="T230" s="739"/>
      <c r="U230" s="739"/>
      <c r="V230" s="731">
        <f t="shared" si="33"/>
        <v>0</v>
      </c>
      <c r="W230" s="747"/>
    </row>
    <row r="231" spans="1:23">
      <c r="R231" s="761"/>
      <c r="S231" s="734"/>
      <c r="T231" s="739"/>
      <c r="U231" s="739"/>
      <c r="V231" s="731">
        <f t="shared" si="33"/>
        <v>0</v>
      </c>
      <c r="W231" s="747"/>
    </row>
    <row r="232" spans="1:23">
      <c r="R232" s="711"/>
      <c r="S232" s="788"/>
      <c r="T232" s="721"/>
      <c r="U232" s="721"/>
      <c r="V232" s="759"/>
      <c r="W232" s="789"/>
    </row>
    <row r="233" spans="1:23" ht="20.25" customHeight="1">
      <c r="A233" s="706" t="s">
        <v>532</v>
      </c>
      <c r="B233" s="706"/>
      <c r="C233" s="707"/>
      <c r="D233" s="708"/>
      <c r="E233" s="708"/>
      <c r="F233" s="708"/>
      <c r="G233" s="705"/>
      <c r="H233" s="705"/>
      <c r="I233" s="705"/>
      <c r="J233" s="705"/>
      <c r="K233" s="705"/>
      <c r="L233" s="709"/>
      <c r="M233" s="705"/>
      <c r="N233" s="705"/>
      <c r="O233" s="710"/>
      <c r="P233" s="705"/>
      <c r="R233" s="705"/>
      <c r="S233" s="712"/>
    </row>
    <row r="234" spans="1:23" ht="20.25" customHeight="1">
      <c r="A234" s="713" t="s">
        <v>559</v>
      </c>
      <c r="B234" s="713"/>
      <c r="C234" s="713"/>
      <c r="D234" s="713"/>
      <c r="E234" s="713"/>
      <c r="F234" s="713"/>
      <c r="G234" s="713"/>
      <c r="H234" s="713"/>
      <c r="I234" s="713"/>
      <c r="J234" s="713"/>
      <c r="K234" s="713"/>
      <c r="L234" s="713"/>
      <c r="M234" s="713"/>
      <c r="N234" s="713"/>
      <c r="O234" s="713"/>
      <c r="P234" s="713"/>
      <c r="Q234" s="711"/>
      <c r="R234" s="705"/>
      <c r="S234" s="712"/>
    </row>
    <row r="235" spans="1:23" ht="12" customHeight="1">
      <c r="A235" s="714"/>
      <c r="B235" s="714"/>
      <c r="C235" s="715"/>
      <c r="D235" s="714"/>
      <c r="E235" s="714"/>
      <c r="F235" s="714"/>
      <c r="G235" s="714"/>
      <c r="H235" s="714"/>
      <c r="I235" s="714"/>
      <c r="J235" s="714"/>
      <c r="K235" s="714"/>
      <c r="L235" s="713"/>
      <c r="M235" s="714"/>
      <c r="N235" s="714"/>
      <c r="O235" s="716"/>
      <c r="P235" s="714"/>
      <c r="Q235" s="711"/>
      <c r="R235" s="705"/>
      <c r="S235" s="712"/>
    </row>
    <row r="236" spans="1:23" ht="12" customHeight="1">
      <c r="A236" s="717"/>
      <c r="B236" s="717"/>
      <c r="C236" s="718"/>
      <c r="D236" s="717"/>
      <c r="E236" s="717"/>
      <c r="F236" s="717"/>
      <c r="G236" s="717"/>
      <c r="H236" s="717"/>
      <c r="I236" s="717"/>
      <c r="J236" s="717"/>
      <c r="K236" s="717"/>
      <c r="L236" s="717"/>
      <c r="M236" s="717"/>
      <c r="N236" s="717"/>
      <c r="O236" s="719"/>
      <c r="P236" s="717"/>
      <c r="Q236" s="711"/>
      <c r="R236" s="705"/>
      <c r="S236" s="712"/>
    </row>
    <row r="237" spans="1:23" ht="36.75" customHeight="1">
      <c r="A237" s="722" t="s">
        <v>37</v>
      </c>
      <c r="B237" s="722" t="s">
        <v>534</v>
      </c>
      <c r="C237" s="723" t="s">
        <v>535</v>
      </c>
      <c r="D237" s="724" t="s">
        <v>536</v>
      </c>
      <c r="E237" s="724" t="s">
        <v>537</v>
      </c>
      <c r="F237" s="724" t="s">
        <v>538</v>
      </c>
      <c r="G237" s="724" t="s">
        <v>539</v>
      </c>
      <c r="H237" s="724" t="s">
        <v>540</v>
      </c>
      <c r="I237" s="724" t="s">
        <v>541</v>
      </c>
      <c r="J237" s="724" t="s">
        <v>542</v>
      </c>
      <c r="K237" s="725" t="s">
        <v>543</v>
      </c>
      <c r="L237" s="724" t="s">
        <v>544</v>
      </c>
      <c r="M237" s="725" t="s">
        <v>545</v>
      </c>
      <c r="N237" s="724" t="s">
        <v>546</v>
      </c>
      <c r="O237" s="726" t="s">
        <v>537</v>
      </c>
      <c r="P237" s="724" t="s">
        <v>547</v>
      </c>
      <c r="Q237" s="711"/>
      <c r="R237" s="722" t="s">
        <v>534</v>
      </c>
      <c r="S237" s="724" t="s">
        <v>501</v>
      </c>
      <c r="T237" s="724" t="s">
        <v>338</v>
      </c>
      <c r="U237" s="724" t="s">
        <v>538</v>
      </c>
      <c r="V237" s="724" t="s">
        <v>548</v>
      </c>
      <c r="W237" s="722" t="s">
        <v>548</v>
      </c>
    </row>
    <row r="238" spans="1:23" s="728" customFormat="1" ht="13.5" customHeight="1">
      <c r="A238" s="729" t="str">
        <f>IF(B238&lt;&gt;"",ROW()-(ROW()-1),"")</f>
        <v/>
      </c>
      <c r="B238" s="741"/>
      <c r="C238" s="730">
        <f>IF(ISNA(VLOOKUP(B238,NXT!$Q$61:$S$81,2,0)),0,VLOOKUP(B238,NXT!$Q$61:$S$81,2,0))</f>
        <v>0</v>
      </c>
      <c r="D238" s="582">
        <f t="shared" ref="D238:D243" si="34">ROUND(C238*O238,0)</f>
        <v>0</v>
      </c>
      <c r="E238" s="582"/>
      <c r="F238" s="582"/>
      <c r="G238" s="731">
        <f t="shared" ref="G238:G243" si="35">(D238+E238)*F238</f>
        <v>0</v>
      </c>
      <c r="H238" s="582">
        <f t="shared" ref="H238:H243" si="36">IF($D$245&lt;&gt;0,H$245/($D$245+$E$245/4)*($D238+$E238/4),0)</f>
        <v>0</v>
      </c>
      <c r="I238" s="582">
        <f t="shared" ref="I238:K243" si="37">IF($D$245&lt;&gt;0,I$245/$D$245*$D238,0)</f>
        <v>0</v>
      </c>
      <c r="J238" s="582">
        <f t="shared" si="37"/>
        <v>0</v>
      </c>
      <c r="K238" s="582">
        <f t="shared" si="37"/>
        <v>0</v>
      </c>
      <c r="L238" s="731">
        <f t="shared" ref="L238:L243" si="38">V250</f>
        <v>0</v>
      </c>
      <c r="M238" s="582" t="e">
        <f>34560000/($O$68+#REF!+#REF!)*O238</f>
        <v>#REF!</v>
      </c>
      <c r="N238" s="731"/>
      <c r="O238" s="737"/>
      <c r="P238" s="582">
        <f t="shared" ref="P238:P243" si="39">IF(N238&lt;&gt;0,N238/O238,0)</f>
        <v>0</v>
      </c>
      <c r="Q238" s="727"/>
      <c r="R238" s="733"/>
      <c r="S238" s="797"/>
      <c r="T238" s="221"/>
      <c r="U238" s="221"/>
      <c r="V238" s="731">
        <f t="shared" ref="V238:V247" si="40">ROUND(T238*U238,0)</f>
        <v>0</v>
      </c>
      <c r="W238" s="731"/>
    </row>
    <row r="239" spans="1:23" ht="13.5" customHeight="1">
      <c r="A239" s="729" t="str">
        <f t="shared" ref="A239:A244" si="41">IF(B239&lt;&gt;"",A238+1,"")</f>
        <v/>
      </c>
      <c r="B239" s="741"/>
      <c r="C239" s="730">
        <f>IF(ISNA(VLOOKUP(B239,NXT!$Q$61:$S$81,2,0)),0,VLOOKUP(B239,NXT!$Q$61:$S$81,2,0))</f>
        <v>0</v>
      </c>
      <c r="D239" s="582">
        <f t="shared" si="34"/>
        <v>0</v>
      </c>
      <c r="E239" s="582"/>
      <c r="F239" s="582"/>
      <c r="G239" s="731">
        <f t="shared" si="35"/>
        <v>0</v>
      </c>
      <c r="H239" s="582">
        <f t="shared" si="36"/>
        <v>0</v>
      </c>
      <c r="I239" s="582">
        <f t="shared" si="37"/>
        <v>0</v>
      </c>
      <c r="J239" s="582">
        <f t="shared" si="37"/>
        <v>0</v>
      </c>
      <c r="K239" s="582">
        <f t="shared" si="37"/>
        <v>0</v>
      </c>
      <c r="L239" s="582">
        <f t="shared" si="38"/>
        <v>0</v>
      </c>
      <c r="M239" s="582"/>
      <c r="N239" s="731"/>
      <c r="O239" s="737"/>
      <c r="P239" s="582">
        <f t="shared" si="39"/>
        <v>0</v>
      </c>
      <c r="Q239" s="750"/>
      <c r="R239" s="738"/>
      <c r="S239" s="797"/>
      <c r="T239" s="221"/>
      <c r="U239" s="221"/>
      <c r="V239" s="731">
        <f t="shared" si="40"/>
        <v>0</v>
      </c>
      <c r="W239" s="747"/>
    </row>
    <row r="240" spans="1:23" ht="13.5" customHeight="1">
      <c r="A240" s="729" t="str">
        <f t="shared" si="41"/>
        <v/>
      </c>
      <c r="B240" s="741"/>
      <c r="C240" s="730">
        <f>IF(ISNA(VLOOKUP(B240,NXT!$Q$61:$S$81,2,0)),0,VLOOKUP(B240,NXT!$Q$61:$S$81,2,0))</f>
        <v>0</v>
      </c>
      <c r="D240" s="582">
        <f t="shared" si="34"/>
        <v>0</v>
      </c>
      <c r="E240" s="582"/>
      <c r="F240" s="582"/>
      <c r="G240" s="731">
        <f t="shared" si="35"/>
        <v>0</v>
      </c>
      <c r="H240" s="582">
        <f t="shared" si="36"/>
        <v>0</v>
      </c>
      <c r="I240" s="582">
        <f t="shared" si="37"/>
        <v>0</v>
      </c>
      <c r="J240" s="582">
        <f t="shared" si="37"/>
        <v>0</v>
      </c>
      <c r="K240" s="582">
        <f t="shared" si="37"/>
        <v>0</v>
      </c>
      <c r="L240" s="582">
        <f t="shared" si="38"/>
        <v>0</v>
      </c>
      <c r="M240" s="582">
        <v>25840000</v>
      </c>
      <c r="N240" s="731"/>
      <c r="O240" s="737"/>
      <c r="P240" s="582">
        <f t="shared" si="39"/>
        <v>0</v>
      </c>
      <c r="Q240" s="750"/>
      <c r="R240" s="738"/>
      <c r="S240" s="797"/>
      <c r="T240" s="221"/>
      <c r="U240" s="221"/>
      <c r="V240" s="731">
        <f t="shared" si="40"/>
        <v>0</v>
      </c>
      <c r="W240" s="747"/>
    </row>
    <row r="241" spans="1:23" ht="13.5" customHeight="1">
      <c r="A241" s="729" t="str">
        <f t="shared" si="41"/>
        <v/>
      </c>
      <c r="B241" s="741"/>
      <c r="C241" s="730">
        <f>IF(ISNA(VLOOKUP(B241,NXT!$Q$61:$S$81,2,0)),0,VLOOKUP(B241,NXT!$Q$61:$S$81,2,0))</f>
        <v>0</v>
      </c>
      <c r="D241" s="582">
        <f t="shared" si="34"/>
        <v>0</v>
      </c>
      <c r="E241" s="582"/>
      <c r="F241" s="582"/>
      <c r="G241" s="731">
        <f t="shared" si="35"/>
        <v>0</v>
      </c>
      <c r="H241" s="582">
        <f t="shared" si="36"/>
        <v>0</v>
      </c>
      <c r="I241" s="582">
        <f t="shared" si="37"/>
        <v>0</v>
      </c>
      <c r="J241" s="582">
        <f t="shared" si="37"/>
        <v>0</v>
      </c>
      <c r="K241" s="582">
        <f t="shared" si="37"/>
        <v>0</v>
      </c>
      <c r="L241" s="582">
        <f t="shared" si="38"/>
        <v>0</v>
      </c>
      <c r="M241" s="582" t="e">
        <f>34560000/($O$68+#REF!+#REF!)*O241</f>
        <v>#REF!</v>
      </c>
      <c r="N241" s="731"/>
      <c r="O241" s="737"/>
      <c r="P241" s="582">
        <f t="shared" si="39"/>
        <v>0</v>
      </c>
      <c r="Q241" s="750"/>
      <c r="R241" s="738"/>
      <c r="S241" s="797"/>
      <c r="T241" s="221"/>
      <c r="U241" s="221"/>
      <c r="V241" s="731">
        <f t="shared" si="40"/>
        <v>0</v>
      </c>
      <c r="W241" s="747"/>
    </row>
    <row r="242" spans="1:23" ht="13.5" customHeight="1">
      <c r="A242" s="729" t="str">
        <f t="shared" si="41"/>
        <v/>
      </c>
      <c r="B242" s="741"/>
      <c r="C242" s="730">
        <f>IF(ISNA(VLOOKUP(B242,NXT!$Q$61:$S$81,2,0)),0,VLOOKUP(B242,NXT!$Q$61:$S$81,2,0))</f>
        <v>0</v>
      </c>
      <c r="D242" s="582">
        <f t="shared" si="34"/>
        <v>0</v>
      </c>
      <c r="E242" s="582"/>
      <c r="F242" s="582"/>
      <c r="G242" s="731">
        <f t="shared" si="35"/>
        <v>0</v>
      </c>
      <c r="H242" s="582">
        <f t="shared" si="36"/>
        <v>0</v>
      </c>
      <c r="I242" s="582">
        <f t="shared" si="37"/>
        <v>0</v>
      </c>
      <c r="J242" s="582">
        <f t="shared" si="37"/>
        <v>0</v>
      </c>
      <c r="K242" s="582">
        <f t="shared" si="37"/>
        <v>0</v>
      </c>
      <c r="L242" s="582">
        <f t="shared" si="38"/>
        <v>0</v>
      </c>
      <c r="M242" s="582"/>
      <c r="N242" s="731"/>
      <c r="O242" s="737"/>
      <c r="P242" s="582">
        <f t="shared" si="39"/>
        <v>0</v>
      </c>
      <c r="Q242" s="750"/>
      <c r="R242" s="738"/>
      <c r="S242" s="797"/>
      <c r="T242" s="221"/>
      <c r="U242" s="221"/>
      <c r="V242" s="731">
        <f t="shared" si="40"/>
        <v>0</v>
      </c>
      <c r="W242" s="747"/>
    </row>
    <row r="243" spans="1:23">
      <c r="A243" s="729" t="str">
        <f t="shared" si="41"/>
        <v/>
      </c>
      <c r="B243" s="741"/>
      <c r="C243" s="730"/>
      <c r="D243" s="582">
        <f t="shared" si="34"/>
        <v>0</v>
      </c>
      <c r="E243" s="582"/>
      <c r="F243" s="582"/>
      <c r="G243" s="731">
        <f t="shared" si="35"/>
        <v>0</v>
      </c>
      <c r="H243" s="582">
        <f t="shared" si="36"/>
        <v>0</v>
      </c>
      <c r="I243" s="582">
        <f t="shared" si="37"/>
        <v>0</v>
      </c>
      <c r="J243" s="582">
        <f t="shared" si="37"/>
        <v>0</v>
      </c>
      <c r="K243" s="582">
        <f t="shared" si="37"/>
        <v>0</v>
      </c>
      <c r="L243" s="582">
        <f t="shared" si="38"/>
        <v>0</v>
      </c>
      <c r="M243" s="582" t="e">
        <f>34560000/($O$68+#REF!+#REF!)*O243</f>
        <v>#REF!</v>
      </c>
      <c r="N243" s="731"/>
      <c r="O243" s="737"/>
      <c r="P243" s="582">
        <f t="shared" si="39"/>
        <v>0</v>
      </c>
      <c r="Q243" s="750"/>
      <c r="R243" s="738"/>
      <c r="S243" s="797"/>
      <c r="T243" s="221"/>
      <c r="U243" s="739"/>
      <c r="V243" s="731">
        <f t="shared" si="40"/>
        <v>0</v>
      </c>
      <c r="W243" s="747"/>
    </row>
    <row r="244" spans="1:23">
      <c r="A244" s="729" t="str">
        <f t="shared" si="41"/>
        <v/>
      </c>
      <c r="B244" s="742"/>
      <c r="C244" s="743"/>
      <c r="D244" s="745"/>
      <c r="E244" s="745"/>
      <c r="F244" s="745"/>
      <c r="G244" s="746"/>
      <c r="H244" s="791"/>
      <c r="I244" s="745"/>
      <c r="J244" s="747"/>
      <c r="K244" s="745"/>
      <c r="L244" s="748"/>
      <c r="M244" s="745"/>
      <c r="N244" s="779"/>
      <c r="O244" s="749"/>
      <c r="P244" s="745"/>
      <c r="Q244" s="750"/>
      <c r="R244" s="738"/>
      <c r="S244" s="799"/>
      <c r="T244" s="221"/>
      <c r="U244" s="221"/>
      <c r="V244" s="731">
        <f t="shared" si="40"/>
        <v>0</v>
      </c>
      <c r="W244" s="747"/>
    </row>
    <row r="245" spans="1:23" s="751" customFormat="1">
      <c r="A245" s="752"/>
      <c r="B245" s="753" t="s">
        <v>549</v>
      </c>
      <c r="C245" s="754"/>
      <c r="D245" s="755">
        <f>SUM(D238:D243)</f>
        <v>0</v>
      </c>
      <c r="E245" s="755">
        <f>SUM(E238:E243)</f>
        <v>0</v>
      </c>
      <c r="F245" s="755"/>
      <c r="G245" s="755">
        <f>SUM(G238:G243)</f>
        <v>0</v>
      </c>
      <c r="H245" s="756"/>
      <c r="I245" s="756">
        <f>V249</f>
        <v>0</v>
      </c>
      <c r="J245" s="756"/>
      <c r="K245" s="756">
        <v>57138842</v>
      </c>
      <c r="L245" s="755">
        <f>ROUND(SUM(L238:L244),0)</f>
        <v>0</v>
      </c>
      <c r="M245" s="755" t="e">
        <f>ROUND(SUM(M238:M244),0)</f>
        <v>#REF!</v>
      </c>
      <c r="N245" s="755">
        <f>ROUND(SUM(N238:N244),0)</f>
        <v>0</v>
      </c>
      <c r="O245" s="755">
        <f>ROUND(SUM(O238:O244),0)</f>
        <v>0</v>
      </c>
      <c r="P245" s="755"/>
      <c r="Q245" s="750"/>
      <c r="R245" s="738"/>
      <c r="S245" s="799"/>
      <c r="T245" s="761"/>
      <c r="U245" s="739"/>
      <c r="V245" s="731">
        <f t="shared" si="40"/>
        <v>0</v>
      </c>
      <c r="W245" s="747"/>
    </row>
    <row r="246" spans="1:23" s="706" customFormat="1">
      <c r="A246" s="702"/>
      <c r="B246" s="702"/>
      <c r="C246" s="702"/>
      <c r="D246" s="702"/>
      <c r="E246" s="702"/>
      <c r="F246" s="702"/>
      <c r="G246" s="702"/>
      <c r="H246" s="702"/>
      <c r="I246" s="702"/>
      <c r="J246" s="702"/>
      <c r="K246" s="702"/>
      <c r="L246" s="702"/>
      <c r="M246" s="702"/>
      <c r="N246" s="702"/>
      <c r="O246" s="702"/>
      <c r="P246" s="702"/>
      <c r="Q246" s="750"/>
      <c r="R246" s="800"/>
      <c r="S246" s="799"/>
      <c r="T246" s="761"/>
      <c r="U246" s="739"/>
      <c r="V246" s="731">
        <f t="shared" si="40"/>
        <v>0</v>
      </c>
      <c r="W246" s="747"/>
    </row>
    <row r="247" spans="1:23">
      <c r="Q247" s="750"/>
      <c r="R247" s="482"/>
      <c r="S247" s="799"/>
      <c r="T247" s="221"/>
      <c r="U247" s="221"/>
      <c r="V247" s="731">
        <f t="shared" si="40"/>
        <v>0</v>
      </c>
      <c r="W247" s="747"/>
    </row>
    <row r="248" spans="1:23">
      <c r="Q248" s="750"/>
      <c r="R248" s="801"/>
      <c r="S248" s="734"/>
      <c r="T248" s="221"/>
      <c r="U248" s="221"/>
      <c r="V248" s="747"/>
      <c r="W248" s="747"/>
    </row>
    <row r="249" spans="1:23">
      <c r="Q249" s="750"/>
      <c r="R249" s="784"/>
      <c r="S249" s="785"/>
      <c r="T249" s="786"/>
      <c r="U249" s="802"/>
      <c r="V249" s="765">
        <f>SUM(V238:V248)</f>
        <v>0</v>
      </c>
      <c r="W249" s="765">
        <f>SUM(W238:W248)</f>
        <v>0</v>
      </c>
    </row>
    <row r="250" spans="1:23">
      <c r="R250" s="761"/>
      <c r="S250" s="797"/>
      <c r="T250" s="221"/>
      <c r="U250" s="221"/>
      <c r="V250" s="731">
        <f t="shared" ref="V250:V255" si="42">ROUND(T250*U250,0)</f>
        <v>0</v>
      </c>
      <c r="W250" s="731"/>
    </row>
    <row r="251" spans="1:23">
      <c r="R251" s="738"/>
      <c r="S251" s="797"/>
      <c r="T251" s="739"/>
      <c r="U251" s="739"/>
      <c r="V251" s="731">
        <f t="shared" si="42"/>
        <v>0</v>
      </c>
      <c r="W251" s="747"/>
    </row>
    <row r="252" spans="1:23">
      <c r="R252" s="761"/>
      <c r="S252" s="797"/>
      <c r="T252" s="739"/>
      <c r="U252" s="739"/>
      <c r="V252" s="731">
        <f t="shared" si="42"/>
        <v>0</v>
      </c>
      <c r="W252" s="747"/>
    </row>
    <row r="253" spans="1:23">
      <c r="R253" s="738"/>
      <c r="S253" s="734"/>
      <c r="T253" s="739"/>
      <c r="U253" s="739"/>
      <c r="V253" s="731">
        <f t="shared" si="42"/>
        <v>0</v>
      </c>
      <c r="W253" s="747"/>
    </row>
    <row r="254" spans="1:23">
      <c r="R254" s="738"/>
      <c r="S254" s="734"/>
      <c r="T254" s="739"/>
      <c r="U254" s="739"/>
      <c r="V254" s="731">
        <f t="shared" si="42"/>
        <v>0</v>
      </c>
      <c r="W254" s="747"/>
    </row>
    <row r="255" spans="1:23">
      <c r="R255" s="761"/>
      <c r="S255" s="734"/>
      <c r="T255" s="739"/>
      <c r="U255" s="739"/>
      <c r="V255" s="731">
        <f t="shared" si="42"/>
        <v>0</v>
      </c>
      <c r="W255" s="747"/>
    </row>
    <row r="256" spans="1:23">
      <c r="R256" s="761"/>
      <c r="S256" s="734"/>
      <c r="T256" s="739"/>
      <c r="U256" s="739"/>
      <c r="V256" s="807">
        <f>SUM(V250:V255)</f>
        <v>0</v>
      </c>
      <c r="W256" s="747"/>
    </row>
    <row r="257" spans="1:23">
      <c r="A257" s="713"/>
      <c r="B257" s="713"/>
      <c r="C257" s="713"/>
      <c r="D257" s="713"/>
      <c r="E257" s="713"/>
      <c r="F257" s="713"/>
      <c r="G257" s="713"/>
      <c r="H257" s="713"/>
      <c r="I257" s="713"/>
      <c r="J257" s="713"/>
      <c r="K257" s="713"/>
      <c r="L257" s="713"/>
      <c r="M257" s="713"/>
      <c r="N257" s="713"/>
      <c r="O257" s="713"/>
      <c r="P257" s="713"/>
      <c r="R257" s="705"/>
      <c r="S257" s="712"/>
    </row>
    <row r="258" spans="1:23" ht="20.25" customHeight="1">
      <c r="A258" s="706" t="s">
        <v>532</v>
      </c>
      <c r="B258" s="706"/>
      <c r="C258" s="707"/>
      <c r="D258" s="708"/>
      <c r="E258" s="708"/>
      <c r="F258" s="708"/>
      <c r="G258" s="705"/>
      <c r="H258" s="705"/>
      <c r="I258" s="705"/>
      <c r="J258" s="705"/>
      <c r="K258" s="705"/>
      <c r="L258" s="709"/>
      <c r="M258" s="705"/>
      <c r="N258" s="705"/>
      <c r="O258" s="710"/>
      <c r="P258" s="705"/>
      <c r="Q258" s="711"/>
      <c r="R258" s="705"/>
      <c r="S258" s="712"/>
    </row>
    <row r="259" spans="1:23" ht="20.25" customHeight="1">
      <c r="A259" s="713" t="s">
        <v>560</v>
      </c>
      <c r="B259" s="713"/>
      <c r="C259" s="713"/>
      <c r="D259" s="713"/>
      <c r="E259" s="713"/>
      <c r="F259" s="713"/>
      <c r="G259" s="713"/>
      <c r="H259" s="713"/>
      <c r="I259" s="713"/>
      <c r="J259" s="713"/>
      <c r="K259" s="713"/>
      <c r="L259" s="713"/>
      <c r="M259" s="713"/>
      <c r="N259" s="713"/>
      <c r="O259" s="713"/>
      <c r="P259" s="713"/>
      <c r="Q259" s="711"/>
      <c r="R259" s="705"/>
      <c r="S259" s="712"/>
    </row>
    <row r="260" spans="1:23" ht="12" customHeight="1">
      <c r="A260" s="714"/>
      <c r="B260" s="714"/>
      <c r="C260" s="715"/>
      <c r="D260" s="714"/>
      <c r="E260" s="714"/>
      <c r="F260" s="714"/>
      <c r="G260" s="714"/>
      <c r="H260" s="714"/>
      <c r="I260" s="714"/>
      <c r="J260" s="714"/>
      <c r="K260" s="714"/>
      <c r="L260" s="713"/>
      <c r="M260" s="714"/>
      <c r="N260" s="714"/>
      <c r="O260" s="716"/>
      <c r="P260" s="714"/>
      <c r="Q260" s="711"/>
      <c r="R260" s="705"/>
      <c r="S260" s="712"/>
    </row>
    <row r="261" spans="1:23" ht="12" customHeight="1">
      <c r="A261" s="717"/>
      <c r="B261" s="717"/>
      <c r="C261" s="718"/>
      <c r="D261" s="717"/>
      <c r="E261" s="717"/>
      <c r="F261" s="717"/>
      <c r="G261" s="717"/>
      <c r="H261" s="717"/>
      <c r="I261" s="717"/>
      <c r="J261" s="717"/>
      <c r="K261" s="717"/>
      <c r="L261" s="717"/>
      <c r="M261" s="717"/>
      <c r="N261" s="717"/>
      <c r="O261" s="719"/>
      <c r="P261" s="717"/>
      <c r="Q261" s="711"/>
      <c r="R261" s="705"/>
      <c r="S261" s="712"/>
    </row>
    <row r="262" spans="1:23" ht="36.75" customHeight="1">
      <c r="A262" s="722" t="s">
        <v>37</v>
      </c>
      <c r="B262" s="722" t="s">
        <v>534</v>
      </c>
      <c r="C262" s="723" t="s">
        <v>535</v>
      </c>
      <c r="D262" s="724" t="s">
        <v>536</v>
      </c>
      <c r="E262" s="724" t="s">
        <v>537</v>
      </c>
      <c r="F262" s="724" t="s">
        <v>538</v>
      </c>
      <c r="G262" s="724" t="s">
        <v>539</v>
      </c>
      <c r="H262" s="724" t="s">
        <v>540</v>
      </c>
      <c r="I262" s="724" t="s">
        <v>541</v>
      </c>
      <c r="J262" s="724" t="s">
        <v>542</v>
      </c>
      <c r="K262" s="725" t="s">
        <v>543</v>
      </c>
      <c r="L262" s="724" t="s">
        <v>544</v>
      </c>
      <c r="M262" s="725" t="s">
        <v>545</v>
      </c>
      <c r="N262" s="724" t="s">
        <v>546</v>
      </c>
      <c r="O262" s="726" t="s">
        <v>537</v>
      </c>
      <c r="P262" s="724" t="s">
        <v>547</v>
      </c>
      <c r="Q262" s="711"/>
      <c r="R262" s="722" t="s">
        <v>534</v>
      </c>
      <c r="S262" s="724" t="s">
        <v>501</v>
      </c>
      <c r="T262" s="724" t="s">
        <v>338</v>
      </c>
      <c r="U262" s="724" t="s">
        <v>538</v>
      </c>
      <c r="V262" s="724" t="s">
        <v>548</v>
      </c>
      <c r="W262" s="722" t="s">
        <v>548</v>
      </c>
    </row>
    <row r="263" spans="1:23" s="728" customFormat="1" ht="13.5" customHeight="1">
      <c r="A263" s="729" t="str">
        <f>IF(B263&lt;&gt;"",ROW()-(ROW()-1),"")</f>
        <v/>
      </c>
      <c r="B263" s="804"/>
      <c r="C263" s="730">
        <f>IF(ISNA(VLOOKUP(B263,NXT!$Q$61:$S$81,2,0)),0,VLOOKUP(B263,NXT!$Q$61:$S$81,2,0))</f>
        <v>0</v>
      </c>
      <c r="D263" s="582">
        <f t="shared" ref="D263:D268" si="43">ROUND(C263*O263,0)</f>
        <v>0</v>
      </c>
      <c r="E263" s="582"/>
      <c r="F263" s="582"/>
      <c r="G263" s="731">
        <f t="shared" ref="G263:G268" si="44">(D263+E263)*F263</f>
        <v>0</v>
      </c>
      <c r="H263" s="582">
        <f t="shared" ref="H263:H268" si="45">IF($D$270&lt;&gt;0,H$270/($D$270+$E$270/4)*($D263+$E263/4),0)</f>
        <v>0</v>
      </c>
      <c r="I263" s="582">
        <f t="shared" ref="I263:K268" si="46">IF($D$270&lt;&gt;0,I$270/$D$270*$D263,0)</f>
        <v>0</v>
      </c>
      <c r="J263" s="582">
        <f t="shared" si="46"/>
        <v>0</v>
      </c>
      <c r="K263" s="582">
        <f t="shared" si="46"/>
        <v>0</v>
      </c>
      <c r="L263" s="808"/>
      <c r="M263" s="582" t="e">
        <f>34560000/($O$68+#REF!+#REF!)*O263</f>
        <v>#REF!</v>
      </c>
      <c r="N263" s="731">
        <f t="shared" ref="N263:N268" si="47">ROUND(SUM(G263:L263),0)</f>
        <v>0</v>
      </c>
      <c r="O263" s="582"/>
      <c r="P263" s="582">
        <f t="shared" ref="P263:P268" si="48">IF(N263&lt;&gt;0,N263/O263,0)</f>
        <v>0</v>
      </c>
      <c r="Q263" s="727"/>
      <c r="R263" s="733"/>
      <c r="S263" s="797"/>
      <c r="T263" s="221"/>
      <c r="U263" s="221"/>
      <c r="V263" s="731">
        <f t="shared" ref="V263:V272" si="49">ROUND(T263*U263,0)</f>
        <v>0</v>
      </c>
      <c r="W263" s="731"/>
    </row>
    <row r="264" spans="1:23" ht="13.5" customHeight="1">
      <c r="A264" s="729" t="str">
        <f t="shared" ref="A264:A269" si="50">IF(B264&lt;&gt;"",A263+1,"")</f>
        <v/>
      </c>
      <c r="B264" s="741"/>
      <c r="C264" s="730">
        <f>IF(ISNA(VLOOKUP(B264,NXT!$Q$61:$S$81,2,0)),0,VLOOKUP(B264,NXT!$Q$61:$S$81,2,0))</f>
        <v>0</v>
      </c>
      <c r="D264" s="582">
        <f t="shared" si="43"/>
        <v>0</v>
      </c>
      <c r="E264" s="582"/>
      <c r="F264" s="582"/>
      <c r="G264" s="731">
        <f t="shared" si="44"/>
        <v>0</v>
      </c>
      <c r="H264" s="582">
        <f t="shared" si="45"/>
        <v>0</v>
      </c>
      <c r="I264" s="582">
        <f t="shared" si="46"/>
        <v>0</v>
      </c>
      <c r="J264" s="582">
        <f t="shared" si="46"/>
        <v>0</v>
      </c>
      <c r="K264" s="582">
        <f t="shared" si="46"/>
        <v>0</v>
      </c>
      <c r="L264" s="808"/>
      <c r="M264" s="582"/>
      <c r="N264" s="731">
        <f t="shared" si="47"/>
        <v>0</v>
      </c>
      <c r="O264" s="737"/>
      <c r="P264" s="582">
        <f t="shared" si="48"/>
        <v>0</v>
      </c>
      <c r="Q264" s="750"/>
      <c r="R264" s="738"/>
      <c r="S264" s="797"/>
      <c r="T264" s="221"/>
      <c r="U264" s="221"/>
      <c r="V264" s="731">
        <f t="shared" si="49"/>
        <v>0</v>
      </c>
      <c r="W264" s="747"/>
    </row>
    <row r="265" spans="1:23" ht="13.5" customHeight="1">
      <c r="A265" s="729" t="str">
        <f t="shared" si="50"/>
        <v/>
      </c>
      <c r="B265" s="741"/>
      <c r="C265" s="730">
        <f>IF(ISNA(VLOOKUP(B265,NXT!$Q$61:$S$81,2,0)),0,VLOOKUP(B265,NXT!$Q$61:$S$81,2,0))</f>
        <v>0</v>
      </c>
      <c r="D265" s="582">
        <f t="shared" si="43"/>
        <v>0</v>
      </c>
      <c r="E265" s="582"/>
      <c r="F265" s="582"/>
      <c r="G265" s="731">
        <f t="shared" si="44"/>
        <v>0</v>
      </c>
      <c r="H265" s="582">
        <f t="shared" si="45"/>
        <v>0</v>
      </c>
      <c r="I265" s="582">
        <f t="shared" si="46"/>
        <v>0</v>
      </c>
      <c r="J265" s="582">
        <f t="shared" si="46"/>
        <v>0</v>
      </c>
      <c r="K265" s="582">
        <f t="shared" si="46"/>
        <v>0</v>
      </c>
      <c r="L265" s="808"/>
      <c r="M265" s="582">
        <v>25840000</v>
      </c>
      <c r="N265" s="731">
        <f t="shared" si="47"/>
        <v>0</v>
      </c>
      <c r="O265" s="737"/>
      <c r="P265" s="582">
        <f t="shared" si="48"/>
        <v>0</v>
      </c>
      <c r="Q265" s="750"/>
      <c r="R265" s="738"/>
      <c r="S265" s="797"/>
      <c r="T265" s="221"/>
      <c r="U265" s="221"/>
      <c r="V265" s="731">
        <f t="shared" si="49"/>
        <v>0</v>
      </c>
      <c r="W265" s="747"/>
    </row>
    <row r="266" spans="1:23" ht="13.5" customHeight="1">
      <c r="A266" s="729" t="str">
        <f t="shared" si="50"/>
        <v/>
      </c>
      <c r="B266" s="741"/>
      <c r="C266" s="730">
        <f>IF(ISNA(VLOOKUP(B266,NXT!$Q$61:$S$81,2,0)),0,VLOOKUP(B266,NXT!$Q$61:$S$81,2,0))</f>
        <v>0</v>
      </c>
      <c r="D266" s="582">
        <f t="shared" si="43"/>
        <v>0</v>
      </c>
      <c r="E266" s="582"/>
      <c r="F266" s="582"/>
      <c r="G266" s="731">
        <f t="shared" si="44"/>
        <v>0</v>
      </c>
      <c r="H266" s="582">
        <f t="shared" si="45"/>
        <v>0</v>
      </c>
      <c r="I266" s="582">
        <f t="shared" si="46"/>
        <v>0</v>
      </c>
      <c r="J266" s="582">
        <f t="shared" si="46"/>
        <v>0</v>
      </c>
      <c r="K266" s="582">
        <f t="shared" si="46"/>
        <v>0</v>
      </c>
      <c r="L266" s="582"/>
      <c r="M266" s="582" t="e">
        <f>34560000/($O$68+#REF!+#REF!)*O266</f>
        <v>#REF!</v>
      </c>
      <c r="N266" s="731">
        <f t="shared" si="47"/>
        <v>0</v>
      </c>
      <c r="O266" s="737"/>
      <c r="P266" s="582">
        <f t="shared" si="48"/>
        <v>0</v>
      </c>
      <c r="Q266" s="750"/>
      <c r="R266" s="738"/>
      <c r="S266" s="797"/>
      <c r="T266" s="221"/>
      <c r="U266" s="221"/>
      <c r="V266" s="731">
        <f t="shared" si="49"/>
        <v>0</v>
      </c>
      <c r="W266" s="747"/>
    </row>
    <row r="267" spans="1:23" ht="13.5" customHeight="1">
      <c r="A267" s="729" t="str">
        <f t="shared" si="50"/>
        <v/>
      </c>
      <c r="B267" s="741"/>
      <c r="C267" s="730">
        <f>IF(ISNA(VLOOKUP(B267,NXT!$Q$61:$S$81,2,0)),0,VLOOKUP(B267,NXT!$Q$61:$S$81,2,0))</f>
        <v>0</v>
      </c>
      <c r="D267" s="582">
        <f t="shared" si="43"/>
        <v>0</v>
      </c>
      <c r="E267" s="582"/>
      <c r="F267" s="582"/>
      <c r="G267" s="731">
        <f t="shared" si="44"/>
        <v>0</v>
      </c>
      <c r="H267" s="582">
        <f t="shared" si="45"/>
        <v>0</v>
      </c>
      <c r="I267" s="582">
        <f t="shared" si="46"/>
        <v>0</v>
      </c>
      <c r="J267" s="582">
        <f t="shared" si="46"/>
        <v>0</v>
      </c>
      <c r="K267" s="582">
        <f t="shared" si="46"/>
        <v>0</v>
      </c>
      <c r="L267" s="582"/>
      <c r="M267" s="582"/>
      <c r="N267" s="731">
        <f t="shared" si="47"/>
        <v>0</v>
      </c>
      <c r="O267" s="737"/>
      <c r="P267" s="582">
        <f t="shared" si="48"/>
        <v>0</v>
      </c>
      <c r="Q267" s="750"/>
      <c r="R267" s="738"/>
      <c r="S267" s="797"/>
      <c r="T267" s="221"/>
      <c r="U267" s="221"/>
      <c r="V267" s="731">
        <f t="shared" si="49"/>
        <v>0</v>
      </c>
      <c r="W267" s="747"/>
    </row>
    <row r="268" spans="1:23">
      <c r="A268" s="729" t="str">
        <f t="shared" si="50"/>
        <v/>
      </c>
      <c r="B268" s="741"/>
      <c r="C268" s="730">
        <f>IF(ISNA(VLOOKUP(B268,NXT!$Q$61:$S$81,2,0)),0,VLOOKUP(B268,NXT!$Q$61:$S$81,2,0))</f>
        <v>0</v>
      </c>
      <c r="D268" s="582">
        <f t="shared" si="43"/>
        <v>0</v>
      </c>
      <c r="E268" s="582"/>
      <c r="F268" s="582"/>
      <c r="G268" s="731">
        <f t="shared" si="44"/>
        <v>0</v>
      </c>
      <c r="H268" s="582">
        <f t="shared" si="45"/>
        <v>0</v>
      </c>
      <c r="I268" s="582">
        <f t="shared" si="46"/>
        <v>0</v>
      </c>
      <c r="J268" s="582">
        <f t="shared" si="46"/>
        <v>0</v>
      </c>
      <c r="K268" s="582">
        <f t="shared" si="46"/>
        <v>0</v>
      </c>
      <c r="L268" s="582"/>
      <c r="M268" s="582" t="e">
        <f>34560000/($O$68+#REF!+#REF!)*O268</f>
        <v>#REF!</v>
      </c>
      <c r="N268" s="731">
        <f t="shared" si="47"/>
        <v>0</v>
      </c>
      <c r="O268" s="737"/>
      <c r="P268" s="582">
        <f t="shared" si="48"/>
        <v>0</v>
      </c>
      <c r="Q268" s="750"/>
      <c r="R268" s="738"/>
      <c r="S268" s="797"/>
      <c r="T268" s="221"/>
      <c r="U268" s="739"/>
      <c r="V268" s="731">
        <f t="shared" si="49"/>
        <v>0</v>
      </c>
      <c r="W268" s="747"/>
    </row>
    <row r="269" spans="1:23">
      <c r="A269" s="729" t="str">
        <f t="shared" si="50"/>
        <v/>
      </c>
      <c r="B269" s="742"/>
      <c r="C269" s="743"/>
      <c r="D269" s="745"/>
      <c r="E269" s="745"/>
      <c r="F269" s="745"/>
      <c r="G269" s="746"/>
      <c r="H269" s="791"/>
      <c r="I269" s="745"/>
      <c r="J269" s="747"/>
      <c r="K269" s="745"/>
      <c r="L269" s="748"/>
      <c r="M269" s="745"/>
      <c r="N269" s="779"/>
      <c r="O269" s="749"/>
      <c r="P269" s="745"/>
      <c r="Q269" s="750"/>
      <c r="R269" s="738"/>
      <c r="S269" s="797"/>
      <c r="T269" s="221"/>
      <c r="U269" s="221"/>
      <c r="V269" s="731">
        <f t="shared" si="49"/>
        <v>0</v>
      </c>
      <c r="W269" s="747"/>
    </row>
    <row r="270" spans="1:23" s="751" customFormat="1">
      <c r="A270" s="752"/>
      <c r="B270" s="753" t="s">
        <v>549</v>
      </c>
      <c r="C270" s="754"/>
      <c r="D270" s="755">
        <f>SUM(D263:D268)</f>
        <v>0</v>
      </c>
      <c r="E270" s="755">
        <f>SUM(E263:E268)</f>
        <v>0</v>
      </c>
      <c r="F270" s="755"/>
      <c r="G270" s="755">
        <f>SUM(G263:G268)</f>
        <v>0</v>
      </c>
      <c r="H270" s="756"/>
      <c r="I270" s="756">
        <f>V274</f>
        <v>0</v>
      </c>
      <c r="J270" s="756"/>
      <c r="K270" s="756"/>
      <c r="L270" s="755">
        <f>ROUND(SUM(L263:L269),0)</f>
        <v>0</v>
      </c>
      <c r="M270" s="755" t="e">
        <f>ROUND(SUM(M263:M269),0)</f>
        <v>#REF!</v>
      </c>
      <c r="N270" s="755">
        <f>ROUND(SUM(N263:N269),0)</f>
        <v>0</v>
      </c>
      <c r="O270" s="755">
        <f>ROUND(SUM(O263:O269),0)</f>
        <v>0</v>
      </c>
      <c r="P270" s="755"/>
      <c r="Q270" s="750"/>
      <c r="R270" s="738"/>
      <c r="S270" s="734"/>
      <c r="T270" s="761"/>
      <c r="U270" s="739"/>
      <c r="V270" s="731">
        <f t="shared" si="49"/>
        <v>0</v>
      </c>
      <c r="W270" s="747"/>
    </row>
    <row r="271" spans="1:23" s="706" customFormat="1">
      <c r="A271" s="702"/>
      <c r="B271" s="702"/>
      <c r="C271" s="702"/>
      <c r="D271" s="702"/>
      <c r="E271" s="702"/>
      <c r="F271" s="702"/>
      <c r="G271" s="702"/>
      <c r="H271" s="702"/>
      <c r="I271" s="702"/>
      <c r="J271" s="702"/>
      <c r="K271" s="702"/>
      <c r="L271" s="702"/>
      <c r="M271" s="702"/>
      <c r="N271" s="702"/>
      <c r="O271" s="702"/>
      <c r="P271" s="702"/>
      <c r="Q271" s="750"/>
      <c r="R271" s="800"/>
      <c r="S271" s="734"/>
      <c r="T271" s="761"/>
      <c r="U271" s="739"/>
      <c r="V271" s="731">
        <f t="shared" si="49"/>
        <v>0</v>
      </c>
      <c r="W271" s="747"/>
    </row>
    <row r="272" spans="1:23">
      <c r="L272" s="710">
        <f>L270-V282</f>
        <v>0</v>
      </c>
      <c r="Q272" s="750"/>
      <c r="R272" s="482"/>
      <c r="S272" s="734"/>
      <c r="T272" s="221"/>
      <c r="U272" s="221"/>
      <c r="V272" s="731">
        <f t="shared" si="49"/>
        <v>0</v>
      </c>
      <c r="W272" s="747"/>
    </row>
    <row r="273" spans="7:23">
      <c r="Q273" s="750"/>
      <c r="R273" s="801"/>
      <c r="S273" s="734"/>
      <c r="T273" s="221"/>
      <c r="U273" s="221"/>
      <c r="V273" s="747"/>
      <c r="W273" s="747"/>
    </row>
    <row r="274" spans="7:23">
      <c r="Q274" s="750"/>
      <c r="R274" s="784"/>
      <c r="S274" s="785"/>
      <c r="T274" s="786"/>
      <c r="U274" s="802"/>
      <c r="V274" s="765">
        <f>SUM(V263:V273)</f>
        <v>0</v>
      </c>
      <c r="W274" s="765">
        <f>SUM(W263:W273)</f>
        <v>0</v>
      </c>
    </row>
    <row r="275" spans="7:23">
      <c r="R275" s="787"/>
      <c r="S275" s="797"/>
      <c r="T275" s="221"/>
      <c r="U275" s="221"/>
      <c r="V275" s="731">
        <f t="shared" ref="V275:V281" si="51">ROUND(T275*U275,0)</f>
        <v>0</v>
      </c>
      <c r="W275" s="731"/>
    </row>
    <row r="276" spans="7:23">
      <c r="R276" s="738"/>
      <c r="S276" s="797"/>
      <c r="T276" s="739"/>
      <c r="U276" s="221"/>
      <c r="V276" s="731">
        <f t="shared" si="51"/>
        <v>0</v>
      </c>
      <c r="W276" s="747"/>
    </row>
    <row r="277" spans="7:23">
      <c r="R277" s="738"/>
      <c r="S277" s="797"/>
      <c r="T277" s="739"/>
      <c r="U277" s="221"/>
      <c r="V277" s="731">
        <f t="shared" si="51"/>
        <v>0</v>
      </c>
      <c r="W277" s="747"/>
    </row>
    <row r="278" spans="7:23">
      <c r="R278" s="738"/>
      <c r="S278" s="797"/>
      <c r="T278" s="739"/>
      <c r="U278" s="739"/>
      <c r="V278" s="731">
        <f t="shared" si="51"/>
        <v>0</v>
      </c>
      <c r="W278" s="747"/>
    </row>
    <row r="279" spans="7:23">
      <c r="R279" s="738"/>
      <c r="S279" s="734"/>
      <c r="T279" s="739"/>
      <c r="U279" s="739"/>
      <c r="V279" s="731">
        <f t="shared" si="51"/>
        <v>0</v>
      </c>
      <c r="W279" s="747"/>
    </row>
    <row r="280" spans="7:23">
      <c r="R280" s="738"/>
      <c r="S280" s="734"/>
      <c r="T280" s="739"/>
      <c r="U280" s="739"/>
      <c r="V280" s="731">
        <f t="shared" si="51"/>
        <v>0</v>
      </c>
      <c r="W280" s="747"/>
    </row>
    <row r="281" spans="7:23">
      <c r="R281" s="761"/>
      <c r="S281" s="734"/>
      <c r="T281" s="739"/>
      <c r="U281" s="739"/>
      <c r="V281" s="731">
        <f t="shared" si="51"/>
        <v>0</v>
      </c>
      <c r="W281" s="747"/>
    </row>
    <row r="282" spans="7:23">
      <c r="R282" s="761"/>
      <c r="S282" s="734"/>
      <c r="T282" s="739"/>
      <c r="U282" s="739"/>
      <c r="V282" s="807">
        <f>SUM(V275:V281)</f>
        <v>0</v>
      </c>
      <c r="W282" s="747"/>
    </row>
    <row r="284" spans="7:23">
      <c r="G284" s="705"/>
      <c r="N284" s="705"/>
    </row>
    <row r="285" spans="7:23">
      <c r="G285" s="705"/>
      <c r="H285" s="705"/>
      <c r="I285" s="705"/>
      <c r="J285" s="705"/>
      <c r="K285" s="705"/>
      <c r="L285" s="705"/>
      <c r="M285" s="705"/>
      <c r="N285" s="705"/>
    </row>
    <row r="286" spans="7:23">
      <c r="G286" s="767"/>
      <c r="N286" s="767"/>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049" customWidth="1"/>
    <col min="2" max="2" width="15.7109375" style="1049" customWidth="1"/>
    <col min="3" max="3" width="16.85546875" style="1049" customWidth="1"/>
    <col min="4" max="8" width="15.28515625" style="1049" customWidth="1"/>
    <col min="9" max="9" width="10.140625" style="1049" customWidth="1"/>
    <col min="10" max="10" width="5.85546875" style="1049" customWidth="1"/>
    <col min="11" max="16384" width="10.28515625" style="1049"/>
  </cols>
  <sheetData>
    <row r="1" spans="1:10" s="809" customFormat="1" ht="15" customHeight="1">
      <c r="A1" s="1036" t="s">
        <v>317</v>
      </c>
      <c r="B1" s="1036"/>
      <c r="D1" s="810"/>
      <c r="E1" s="810"/>
      <c r="F1" s="1301" t="s">
        <v>561</v>
      </c>
      <c r="G1" s="1301"/>
      <c r="H1" s="1301"/>
      <c r="I1" s="811"/>
      <c r="J1" s="812"/>
    </row>
    <row r="2" spans="1:10" s="809" customFormat="1" ht="29.25" customHeight="1">
      <c r="A2" s="1036" t="s">
        <v>562</v>
      </c>
      <c r="B2" s="1036"/>
      <c r="D2" s="813"/>
      <c r="E2" s="813"/>
      <c r="F2" s="1302" t="s">
        <v>144</v>
      </c>
      <c r="G2" s="1302"/>
      <c r="H2" s="1302"/>
      <c r="I2" s="811"/>
      <c r="J2" s="672">
        <v>1</v>
      </c>
    </row>
    <row r="3" spans="1:10" s="809" customFormat="1" ht="15">
      <c r="A3" s="1037"/>
      <c r="B3" s="1038"/>
      <c r="C3" s="813"/>
      <c r="D3" s="813"/>
      <c r="E3" s="813"/>
      <c r="F3" s="1302"/>
      <c r="G3" s="1302"/>
      <c r="H3" s="1302"/>
      <c r="I3" s="811"/>
    </row>
    <row r="4" spans="1:10" s="1040" customFormat="1" ht="17.25" customHeight="1">
      <c r="A4" s="1303" t="s">
        <v>563</v>
      </c>
      <c r="B4" s="1303"/>
      <c r="C4" s="1303"/>
      <c r="D4" s="1303"/>
      <c r="E4" s="1303"/>
      <c r="F4" s="1303"/>
      <c r="G4" s="1303"/>
      <c r="H4" s="1303"/>
      <c r="I4" s="1039"/>
    </row>
    <row r="5" spans="1:10" s="1041" customFormat="1" ht="17.25" customHeight="1">
      <c r="B5" s="1042"/>
      <c r="C5" s="1043" t="s">
        <v>468</v>
      </c>
      <c r="D5" s="1042" t="str">
        <f>IF($J$2&lt;10,"0"&amp;$J$2&amp;"  năm 2016",$J$2&amp;"  năm 2016")</f>
        <v>01  năm 2016</v>
      </c>
      <c r="E5" s="1042"/>
      <c r="F5" s="1042"/>
      <c r="G5" s="1042"/>
      <c r="H5" s="1042"/>
      <c r="I5" s="1042"/>
    </row>
    <row r="6" spans="1:10" s="1041" customFormat="1" ht="17.25" customHeight="1">
      <c r="B6" s="1044"/>
      <c r="C6" s="1304" t="s">
        <v>564</v>
      </c>
      <c r="D6" s="1304"/>
      <c r="E6" s="1305" t="s">
        <v>453</v>
      </c>
      <c r="F6" s="1305"/>
      <c r="H6" s="1044"/>
      <c r="I6" s="1042"/>
    </row>
    <row r="7" spans="1:10" s="1046" customFormat="1" ht="9.75" customHeight="1">
      <c r="A7" s="1045"/>
      <c r="B7" s="1045"/>
      <c r="C7" s="1045"/>
      <c r="D7" s="1045"/>
      <c r="E7" s="1045"/>
      <c r="F7" s="1045"/>
      <c r="G7" s="1045"/>
      <c r="H7" s="1045"/>
      <c r="I7" s="1044"/>
    </row>
    <row r="8" spans="1:10" s="815" customFormat="1" ht="17.25" customHeight="1">
      <c r="A8" s="1306" t="s">
        <v>565</v>
      </c>
      <c r="B8" s="1307" t="s">
        <v>566</v>
      </c>
      <c r="C8" s="1307" t="s">
        <v>567</v>
      </c>
      <c r="D8" s="1307"/>
      <c r="E8" s="1307"/>
      <c r="F8" s="1307"/>
      <c r="G8" s="1307"/>
      <c r="H8" s="1307"/>
      <c r="I8" s="814"/>
    </row>
    <row r="9" spans="1:10" s="818" customFormat="1" ht="28.5">
      <c r="A9" s="1306"/>
      <c r="B9" s="1307"/>
      <c r="C9" s="816" t="s">
        <v>568</v>
      </c>
      <c r="D9" s="816" t="s">
        <v>569</v>
      </c>
      <c r="E9" s="816" t="s">
        <v>570</v>
      </c>
      <c r="F9" s="816" t="s">
        <v>571</v>
      </c>
      <c r="G9" s="816" t="s">
        <v>572</v>
      </c>
      <c r="H9" s="816" t="s">
        <v>573</v>
      </c>
      <c r="I9" s="817"/>
    </row>
    <row r="10" spans="1:10" s="821" customFormat="1" ht="15">
      <c r="A10" s="819" t="s">
        <v>2</v>
      </c>
      <c r="B10" s="820">
        <v>1</v>
      </c>
      <c r="C10" s="820">
        <v>2</v>
      </c>
      <c r="D10" s="820">
        <v>3</v>
      </c>
      <c r="E10" s="820">
        <v>4</v>
      </c>
      <c r="F10" s="820">
        <v>5</v>
      </c>
      <c r="G10" s="820">
        <v>6</v>
      </c>
      <c r="H10" s="820">
        <v>7</v>
      </c>
      <c r="I10" s="811"/>
    </row>
    <row r="11" spans="1:10" s="1041" customFormat="1" ht="24.75" customHeight="1">
      <c r="A11" s="1047" t="s">
        <v>574</v>
      </c>
      <c r="B11" s="1048">
        <f>ROUND(SUM(C11:H11),0)</f>
        <v>0</v>
      </c>
      <c r="C11" s="1048">
        <v>0</v>
      </c>
      <c r="D11" s="1048">
        <v>0</v>
      </c>
      <c r="E11" s="1048">
        <v>0</v>
      </c>
      <c r="F11" s="1048">
        <v>0</v>
      </c>
      <c r="G11" s="1048">
        <v>0</v>
      </c>
      <c r="H11" s="1048">
        <v>0</v>
      </c>
      <c r="I11" s="1042"/>
    </row>
    <row r="12" spans="1:10" s="1041" customFormat="1" ht="24.75" customHeight="1">
      <c r="A12" s="1047" t="s">
        <v>575</v>
      </c>
      <c r="B12" s="1048">
        <f ca="1">ROUND(SUM(C12:H12),0)</f>
        <v>2108273740</v>
      </c>
      <c r="C12" s="1048">
        <f ca="1">IF(ISNA(VLOOKUP($E6,INDIRECT("DSSP"&amp;$J$2),6,0)),0,VLOOKUP($E6,INDIRECT("DSSP"&amp;$J$2),6,0))</f>
        <v>1914000000</v>
      </c>
      <c r="D12" s="1048">
        <f ca="1">IF(ISNA(VLOOKUP($E6,INDIRECT("DSSP"&amp;$J$2),7,0)),0,VLOOKUP($E6,INDIRECT("DSSP"&amp;$J$2),7,0))</f>
        <v>76689004.104627773</v>
      </c>
      <c r="E12" s="1048">
        <f ca="1">IF(ISNA(VLOOKUP($E6,INDIRECT("DSSP"&amp;$J$2),8,0)),0,VLOOKUP($E6,INDIRECT("DSSP"&amp;$J$2),8,0))</f>
        <v>27934714.334004026</v>
      </c>
      <c r="F12" s="1048">
        <f ca="1">IF(ISNA(VLOOKUP($E6,INDIRECT("DSSP"&amp;$J$2),9,0)),0,VLOOKUP($E6,INDIRECT("DSSP"&amp;$J$2),9,0))</f>
        <v>44073604.828973837</v>
      </c>
      <c r="G12" s="1048">
        <f ca="1">IF(ISNA(VLOOKUP($E6,INDIRECT("DSSP"&amp;$J$2),10,0)),0,VLOOKUP($E6,INDIRECT("DSSP"&amp;$J$2),10,0))</f>
        <v>30351417.078470826</v>
      </c>
      <c r="H12" s="1048">
        <f ca="1">IF(ISNA(VLOOKUP($E6,INDIRECT("DSSP"&amp;$J$2),11,0)),0,VLOOKUP($E6,INDIRECT("DSSP"&amp;$J$2),11,0))</f>
        <v>15225000</v>
      </c>
      <c r="I12" s="1042"/>
    </row>
    <row r="13" spans="1:10" s="1041" customFormat="1" ht="24.75" customHeight="1">
      <c r="A13" s="1047" t="s">
        <v>576</v>
      </c>
      <c r="B13" s="1048">
        <f ca="1">ROUND(IF(ISNA(VLOOKUP($E6,INDIRECT("DSSP"&amp;$J$2),13,0)),0,VLOOKUP($E6,INDIRECT("DSSP"&amp;$J$2),13,0)),0)</f>
        <v>2108273740</v>
      </c>
      <c r="C13" s="1048">
        <f t="shared" ref="C13:H13" ca="1" si="0">C12</f>
        <v>1914000000</v>
      </c>
      <c r="D13" s="1048">
        <f t="shared" ca="1" si="0"/>
        <v>76689004.104627773</v>
      </c>
      <c r="E13" s="1048">
        <f t="shared" ca="1" si="0"/>
        <v>27934714.334004026</v>
      </c>
      <c r="F13" s="1048">
        <f t="shared" ca="1" si="0"/>
        <v>44073604.828973837</v>
      </c>
      <c r="G13" s="1048">
        <f t="shared" ca="1" si="0"/>
        <v>30351417.078470826</v>
      </c>
      <c r="H13" s="1048">
        <f t="shared" ca="1" si="0"/>
        <v>15225000</v>
      </c>
      <c r="I13" s="1042"/>
    </row>
    <row r="14" spans="1:10" s="1041" customFormat="1" ht="24.75" customHeight="1">
      <c r="A14" s="1047" t="s">
        <v>577</v>
      </c>
      <c r="B14" s="1048">
        <f ca="1">B12-B13</f>
        <v>0</v>
      </c>
      <c r="C14" s="1048">
        <f t="shared" ref="C14:H14" ca="1" si="1">C12-C13</f>
        <v>0</v>
      </c>
      <c r="D14" s="1048">
        <f t="shared" ca="1" si="1"/>
        <v>0</v>
      </c>
      <c r="E14" s="1048">
        <f t="shared" ca="1" si="1"/>
        <v>0</v>
      </c>
      <c r="F14" s="1048">
        <f t="shared" ca="1" si="1"/>
        <v>0</v>
      </c>
      <c r="G14" s="1048">
        <f t="shared" ca="1" si="1"/>
        <v>0</v>
      </c>
      <c r="H14" s="1048">
        <f t="shared" ca="1" si="1"/>
        <v>0</v>
      </c>
      <c r="I14" s="1042"/>
    </row>
    <row r="15" spans="1:10" s="1041" customFormat="1" ht="15">
      <c r="B15" s="1042"/>
      <c r="C15" s="1042"/>
      <c r="D15" s="1042"/>
      <c r="E15" s="1042"/>
      <c r="F15" s="1042"/>
      <c r="G15" s="1042"/>
      <c r="H15" s="1042"/>
      <c r="I15" s="1042"/>
    </row>
    <row r="16" spans="1:10" s="1041" customFormat="1" ht="15">
      <c r="B16" s="1042"/>
      <c r="C16" s="1042"/>
      <c r="D16" s="1042"/>
      <c r="E16" s="1300" t="str">
        <f xml:space="preserve"> IF(OR($J$2=1,$J$2=4,$J$2=6,$J$2=9,$J$2=11),"Ngày  30  tháng  "&amp;$J$2&amp;"  năm 2016",IF(OR($J$2=3,$J$2=5,$J$2=7,$J$2=8,$J$2=10,$J$2=12),"Ngày  31  tháng  "&amp;$J$2&amp;"  năm 2016","Ngày  29  tháng  "&amp;$J$2&amp;"  năm 2016"))</f>
        <v>Ngày  30  tháng  1  năm 2016</v>
      </c>
      <c r="F16" s="1300"/>
      <c r="G16" s="1300"/>
      <c r="H16" s="1300"/>
      <c r="I16" s="1042"/>
    </row>
    <row r="17" spans="2:9" s="1041" customFormat="1" ht="15">
      <c r="B17" s="821" t="s">
        <v>578</v>
      </c>
      <c r="C17" s="1042"/>
      <c r="D17" s="1042"/>
      <c r="E17" s="1300" t="s">
        <v>12</v>
      </c>
      <c r="F17" s="1300"/>
      <c r="G17" s="1300"/>
      <c r="H17" s="1300"/>
      <c r="I17" s="1042"/>
    </row>
    <row r="19" spans="2:9" ht="15">
      <c r="E19" s="1050"/>
    </row>
    <row r="26" spans="2:9">
      <c r="B26" s="1020"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76" activePane="bottomLeft" state="frozen"/>
      <selection activeCell="A10" sqref="A10"/>
      <selection pane="bottomLeft" activeCell="A9" sqref="A1:XFD1048576"/>
    </sheetView>
  </sheetViews>
  <sheetFormatPr defaultRowHeight="12.75"/>
  <cols>
    <col min="1" max="1" width="4.140625" style="940" customWidth="1"/>
    <col min="2" max="2" width="9.140625" style="940" customWidth="1"/>
    <col min="3" max="3" width="9" style="941" customWidth="1"/>
    <col min="4" max="4" width="28.140625" style="940" customWidth="1"/>
    <col min="5" max="5" width="9.140625" style="940" customWidth="1"/>
    <col min="6" max="6" width="9.28515625" style="941" customWidth="1"/>
    <col min="7" max="7" width="9" style="940" customWidth="1"/>
    <col min="8" max="8" width="14.5703125" style="940" customWidth="1"/>
    <col min="9" max="9" width="6" style="940" customWidth="1"/>
    <col min="10" max="10" width="14.140625" style="940" customWidth="1"/>
    <col min="11" max="11" width="14.85546875" style="942" customWidth="1"/>
    <col min="12" max="12" width="14.42578125" style="940" customWidth="1"/>
    <col min="13" max="13" width="5.85546875" style="940" customWidth="1"/>
    <col min="14" max="14" width="7.42578125" style="940" customWidth="1"/>
    <col min="15" max="15" width="11.7109375" style="940" customWidth="1"/>
    <col min="16" max="16" width="4.5703125" style="1021" customWidth="1"/>
    <col min="17" max="17" width="12.85546875" style="940" bestFit="1" customWidth="1"/>
    <col min="18" max="16384" width="9.140625" style="940"/>
  </cols>
  <sheetData>
    <row r="1" spans="1:17" ht="15" customHeight="1">
      <c r="A1" s="939" t="s">
        <v>706</v>
      </c>
      <c r="M1" s="943"/>
      <c r="N1" s="944" t="s">
        <v>707</v>
      </c>
      <c r="O1" s="943"/>
    </row>
    <row r="2" spans="1:17" ht="15" customHeight="1">
      <c r="A2" s="939" t="s">
        <v>708</v>
      </c>
      <c r="L2" s="942"/>
      <c r="M2" s="942"/>
      <c r="N2" s="945" t="s">
        <v>320</v>
      </c>
      <c r="O2" s="942"/>
    </row>
    <row r="3" spans="1:17" ht="15" customHeight="1">
      <c r="L3" s="942"/>
      <c r="M3" s="942"/>
      <c r="N3" s="945" t="s">
        <v>238</v>
      </c>
      <c r="O3" s="942"/>
    </row>
    <row r="5" spans="1:17" s="946" customFormat="1" ht="24" customHeight="1">
      <c r="A5" s="1308" t="s">
        <v>709</v>
      </c>
      <c r="B5" s="1308"/>
      <c r="C5" s="1308"/>
      <c r="D5" s="1308"/>
      <c r="E5" s="1308"/>
      <c r="F5" s="1308"/>
      <c r="G5" s="1308"/>
      <c r="H5" s="1308"/>
      <c r="I5" s="1308"/>
      <c r="J5" s="1308"/>
      <c r="K5" s="1308"/>
      <c r="L5" s="1308"/>
      <c r="M5" s="1308"/>
      <c r="N5" s="1308"/>
      <c r="O5" s="1308"/>
      <c r="P5" s="1022"/>
    </row>
    <row r="6" spans="1:17" s="946" customFormat="1" ht="21" customHeight="1">
      <c r="A6" s="1309" t="s">
        <v>766</v>
      </c>
      <c r="B6" s="1309"/>
      <c r="C6" s="1309"/>
      <c r="D6" s="1309"/>
      <c r="E6" s="1309"/>
      <c r="F6" s="1309"/>
      <c r="G6" s="1309"/>
      <c r="H6" s="1309"/>
      <c r="I6" s="1309"/>
      <c r="J6" s="1309"/>
      <c r="K6" s="1309"/>
      <c r="L6" s="1309"/>
      <c r="M6" s="1309"/>
      <c r="N6" s="1309"/>
      <c r="O6" s="1309"/>
      <c r="P6" s="1022"/>
    </row>
    <row r="7" spans="1:17" s="946" customFormat="1" ht="21" customHeight="1">
      <c r="A7" s="1310" t="s">
        <v>774</v>
      </c>
      <c r="B7" s="1310"/>
      <c r="C7" s="1310"/>
      <c r="D7" s="1310"/>
      <c r="E7" s="1310"/>
      <c r="F7" s="1310"/>
      <c r="G7" s="1310"/>
      <c r="H7" s="1310"/>
      <c r="I7" s="1310"/>
      <c r="J7" s="1310"/>
      <c r="K7" s="1310"/>
      <c r="L7" s="1310"/>
      <c r="M7" s="1310"/>
      <c r="N7" s="1310"/>
      <c r="O7" s="1310"/>
      <c r="P7" s="1022"/>
    </row>
    <row r="8" spans="1:17">
      <c r="D8" s="941"/>
    </row>
    <row r="9" spans="1:17" s="947" customFormat="1" ht="24" customHeight="1">
      <c r="A9" s="1311" t="s">
        <v>500</v>
      </c>
      <c r="B9" s="1314" t="s">
        <v>710</v>
      </c>
      <c r="C9" s="1315"/>
      <c r="D9" s="1315"/>
      <c r="E9" s="1315"/>
      <c r="F9" s="1315"/>
      <c r="G9" s="1315"/>
      <c r="H9" s="1316"/>
      <c r="I9" s="1314" t="s">
        <v>711</v>
      </c>
      <c r="J9" s="1315"/>
      <c r="K9" s="1315"/>
      <c r="L9" s="1316"/>
      <c r="M9" s="1317" t="s">
        <v>712</v>
      </c>
      <c r="N9" s="1317"/>
      <c r="O9" s="1317"/>
      <c r="P9" s="1023"/>
    </row>
    <row r="10" spans="1:17" s="947" customFormat="1" ht="24" customHeight="1">
      <c r="A10" s="1312"/>
      <c r="B10" s="1314" t="s">
        <v>713</v>
      </c>
      <c r="C10" s="1316"/>
      <c r="D10" s="1311" t="s">
        <v>714</v>
      </c>
      <c r="E10" s="1311" t="s">
        <v>715</v>
      </c>
      <c r="F10" s="1311" t="s">
        <v>716</v>
      </c>
      <c r="G10" s="1311" t="s">
        <v>717</v>
      </c>
      <c r="H10" s="1311" t="s">
        <v>718</v>
      </c>
      <c r="I10" s="1314" t="s">
        <v>719</v>
      </c>
      <c r="J10" s="1316"/>
      <c r="K10" s="1318" t="s">
        <v>720</v>
      </c>
      <c r="L10" s="1311" t="s">
        <v>721</v>
      </c>
      <c r="M10" s="1317" t="s">
        <v>713</v>
      </c>
      <c r="N10" s="1317"/>
      <c r="O10" s="1317" t="s">
        <v>722</v>
      </c>
      <c r="P10" s="1023"/>
    </row>
    <row r="11" spans="1:17" s="947" customFormat="1" ht="55.5" customHeight="1">
      <c r="A11" s="1313"/>
      <c r="B11" s="948" t="s">
        <v>723</v>
      </c>
      <c r="C11" s="948" t="s">
        <v>501</v>
      </c>
      <c r="D11" s="1313"/>
      <c r="E11" s="1313"/>
      <c r="F11" s="1313"/>
      <c r="G11" s="1313"/>
      <c r="H11" s="1313"/>
      <c r="I11" s="948" t="s">
        <v>724</v>
      </c>
      <c r="J11" s="948" t="s">
        <v>725</v>
      </c>
      <c r="K11" s="1319"/>
      <c r="L11" s="1313"/>
      <c r="M11" s="948" t="s">
        <v>17</v>
      </c>
      <c r="N11" s="948" t="s">
        <v>501</v>
      </c>
      <c r="O11" s="1317"/>
      <c r="P11" s="1023"/>
    </row>
    <row r="12" spans="1:17" s="951" customFormat="1" ht="13.5">
      <c r="A12" s="949" t="s">
        <v>2</v>
      </c>
      <c r="B12" s="949" t="s">
        <v>3</v>
      </c>
      <c r="C12" s="949" t="s">
        <v>4</v>
      </c>
      <c r="D12" s="949" t="s">
        <v>5</v>
      </c>
      <c r="E12" s="949" t="s">
        <v>6</v>
      </c>
      <c r="F12" s="949" t="s">
        <v>156</v>
      </c>
      <c r="G12" s="949" t="s">
        <v>726</v>
      </c>
      <c r="H12" s="949">
        <v>1</v>
      </c>
      <c r="I12" s="949">
        <v>2</v>
      </c>
      <c r="J12" s="949">
        <v>3</v>
      </c>
      <c r="K12" s="950"/>
      <c r="L12" s="949">
        <v>4</v>
      </c>
      <c r="M12" s="949" t="s">
        <v>727</v>
      </c>
      <c r="N12" s="949" t="s">
        <v>728</v>
      </c>
      <c r="O12" s="949" t="s">
        <v>729</v>
      </c>
      <c r="P12" s="1024"/>
    </row>
    <row r="13" spans="1:17" s="951" customFormat="1" ht="21.75" customHeight="1">
      <c r="A13" s="979" t="s">
        <v>727</v>
      </c>
      <c r="B13" s="980" t="s">
        <v>769</v>
      </c>
      <c r="C13" s="979"/>
      <c r="D13" s="979"/>
      <c r="E13" s="979"/>
      <c r="F13" s="979"/>
      <c r="G13" s="979"/>
      <c r="H13" s="986"/>
      <c r="I13" s="986"/>
      <c r="J13" s="986"/>
      <c r="K13" s="986"/>
      <c r="L13" s="986"/>
      <c r="M13" s="979"/>
      <c r="N13" s="979"/>
      <c r="O13" s="979"/>
      <c r="P13" s="1024" t="s">
        <v>816</v>
      </c>
    </row>
    <row r="14" spans="1:17" ht="21.75" customHeight="1">
      <c r="A14" s="978">
        <v>1</v>
      </c>
      <c r="B14" s="991" t="s">
        <v>776</v>
      </c>
      <c r="C14" s="953">
        <v>40543</v>
      </c>
      <c r="D14" s="330" t="s">
        <v>730</v>
      </c>
      <c r="E14" s="738" t="s">
        <v>731</v>
      </c>
      <c r="F14" s="993" t="s">
        <v>797</v>
      </c>
      <c r="G14" s="1026" t="s">
        <v>817</v>
      </c>
      <c r="H14" s="415">
        <v>1101349856</v>
      </c>
      <c r="I14" s="415">
        <v>25</v>
      </c>
      <c r="J14" s="8">
        <v>44054004</v>
      </c>
      <c r="K14" s="8">
        <v>220269960</v>
      </c>
      <c r="L14" s="8">
        <v>264323964</v>
      </c>
      <c r="M14" s="738"/>
      <c r="N14" s="738"/>
      <c r="O14" s="219"/>
      <c r="P14" s="1024" t="s">
        <v>816</v>
      </c>
      <c r="Q14" s="1016"/>
    </row>
    <row r="15" spans="1:17" ht="21.75" customHeight="1">
      <c r="A15" s="978">
        <v>2</v>
      </c>
      <c r="B15" s="991" t="s">
        <v>777</v>
      </c>
      <c r="C15" s="953">
        <v>40543</v>
      </c>
      <c r="D15" s="330" t="s">
        <v>732</v>
      </c>
      <c r="E15" s="738" t="s">
        <v>731</v>
      </c>
      <c r="F15" s="993" t="s">
        <v>797</v>
      </c>
      <c r="G15" s="1026" t="s">
        <v>818</v>
      </c>
      <c r="H15" s="415">
        <v>1712810212</v>
      </c>
      <c r="I15" s="415">
        <v>5</v>
      </c>
      <c r="J15" s="8"/>
      <c r="K15" s="8">
        <v>1712810212</v>
      </c>
      <c r="L15" s="8">
        <v>1712810212</v>
      </c>
      <c r="M15" s="974"/>
      <c r="N15" s="738"/>
      <c r="O15" s="219"/>
      <c r="P15" s="1024" t="s">
        <v>816</v>
      </c>
      <c r="Q15" s="1016"/>
    </row>
    <row r="16" spans="1:17" ht="21.75" customHeight="1">
      <c r="A16" s="978">
        <v>3</v>
      </c>
      <c r="B16" s="991" t="s">
        <v>778</v>
      </c>
      <c r="C16" s="953">
        <v>40543</v>
      </c>
      <c r="D16" s="330" t="s">
        <v>733</v>
      </c>
      <c r="E16" s="738" t="s">
        <v>731</v>
      </c>
      <c r="F16" s="993" t="s">
        <v>797</v>
      </c>
      <c r="G16" s="1026" t="s">
        <v>819</v>
      </c>
      <c r="H16" s="415">
        <v>4567613580</v>
      </c>
      <c r="I16" s="415">
        <v>25</v>
      </c>
      <c r="J16" s="8">
        <v>182704518</v>
      </c>
      <c r="K16" s="8">
        <v>913522740</v>
      </c>
      <c r="L16" s="8">
        <v>1096227258</v>
      </c>
      <c r="M16" s="738"/>
      <c r="N16" s="738"/>
      <c r="O16" s="219"/>
      <c r="P16" s="1024" t="s">
        <v>816</v>
      </c>
      <c r="Q16" s="1016"/>
    </row>
    <row r="17" spans="1:17" ht="21.75" customHeight="1">
      <c r="A17" s="978">
        <v>4</v>
      </c>
      <c r="B17" s="992" t="s">
        <v>779</v>
      </c>
      <c r="C17" s="953">
        <v>41425</v>
      </c>
      <c r="D17" s="330" t="s">
        <v>734</v>
      </c>
      <c r="E17" s="738" t="s">
        <v>731</v>
      </c>
      <c r="F17" s="993" t="s">
        <v>794</v>
      </c>
      <c r="G17" s="1026" t="s">
        <v>820</v>
      </c>
      <c r="H17" s="415">
        <v>108970000</v>
      </c>
      <c r="I17" s="987">
        <v>5</v>
      </c>
      <c r="J17" s="8">
        <v>21793990</v>
      </c>
      <c r="K17" s="8">
        <v>56301177</v>
      </c>
      <c r="L17" s="8">
        <v>78095167</v>
      </c>
      <c r="M17" s="738"/>
      <c r="N17" s="738"/>
      <c r="O17" s="219"/>
      <c r="P17" s="1024" t="s">
        <v>816</v>
      </c>
      <c r="Q17" s="1016"/>
    </row>
    <row r="18" spans="1:17" s="951" customFormat="1" ht="21.75" customHeight="1">
      <c r="A18" s="977" t="s">
        <v>770</v>
      </c>
      <c r="B18" s="981" t="s">
        <v>771</v>
      </c>
      <c r="C18" s="977"/>
      <c r="D18" s="977"/>
      <c r="E18" s="977"/>
      <c r="F18" s="977"/>
      <c r="G18" s="1026"/>
      <c r="H18" s="988"/>
      <c r="I18" s="988"/>
      <c r="J18" s="988"/>
      <c r="K18" s="988"/>
      <c r="L18" s="8"/>
      <c r="M18" s="977"/>
      <c r="N18" s="977"/>
      <c r="O18" s="219"/>
      <c r="P18" s="1024" t="s">
        <v>816</v>
      </c>
      <c r="Q18" s="1016"/>
    </row>
    <row r="19" spans="1:17" ht="21.75" customHeight="1">
      <c r="A19" s="978">
        <v>1</v>
      </c>
      <c r="B19" s="993" t="s">
        <v>783</v>
      </c>
      <c r="C19" s="953">
        <v>40543</v>
      </c>
      <c r="D19" s="330" t="s">
        <v>738</v>
      </c>
      <c r="E19" s="738"/>
      <c r="F19" s="993" t="s">
        <v>797</v>
      </c>
      <c r="G19" s="1026" t="s">
        <v>821</v>
      </c>
      <c r="H19" s="415">
        <v>210000000</v>
      </c>
      <c r="I19" s="415">
        <v>5</v>
      </c>
      <c r="J19" s="8"/>
      <c r="K19" s="8">
        <v>210000000</v>
      </c>
      <c r="L19" s="8">
        <v>210000000</v>
      </c>
      <c r="M19" s="974"/>
      <c r="N19" s="738"/>
      <c r="O19" s="219"/>
      <c r="P19" s="1024" t="s">
        <v>816</v>
      </c>
      <c r="Q19" s="1016"/>
    </row>
    <row r="20" spans="1:17" ht="21.75" customHeight="1">
      <c r="A20" s="978">
        <v>2</v>
      </c>
      <c r="B20" s="991" t="s">
        <v>784</v>
      </c>
      <c r="C20" s="953">
        <v>40543</v>
      </c>
      <c r="D20" s="330" t="s">
        <v>739</v>
      </c>
      <c r="E20" s="738" t="s">
        <v>731</v>
      </c>
      <c r="F20" s="993" t="s">
        <v>797</v>
      </c>
      <c r="G20" s="1026" t="s">
        <v>822</v>
      </c>
      <c r="H20" s="415">
        <v>2787898863</v>
      </c>
      <c r="I20" s="415">
        <v>5</v>
      </c>
      <c r="J20" s="8"/>
      <c r="K20" s="8">
        <v>2787898863</v>
      </c>
      <c r="L20" s="8">
        <v>2787898863</v>
      </c>
      <c r="M20" s="974"/>
      <c r="N20" s="738"/>
      <c r="O20" s="219"/>
      <c r="P20" s="1024" t="s">
        <v>816</v>
      </c>
      <c r="Q20" s="1016"/>
    </row>
    <row r="21" spans="1:17" ht="21.75" customHeight="1">
      <c r="A21" s="978">
        <v>3</v>
      </c>
      <c r="B21" s="991" t="s">
        <v>785</v>
      </c>
      <c r="C21" s="953">
        <v>41883</v>
      </c>
      <c r="D21" s="330" t="s">
        <v>740</v>
      </c>
      <c r="E21" s="738"/>
      <c r="F21" s="993" t="s">
        <v>795</v>
      </c>
      <c r="G21" s="1026" t="s">
        <v>823</v>
      </c>
      <c r="H21" s="415">
        <v>150000000</v>
      </c>
      <c r="I21" s="987">
        <v>3</v>
      </c>
      <c r="J21" s="8">
        <v>49999995</v>
      </c>
      <c r="K21" s="8">
        <v>62500005</v>
      </c>
      <c r="L21" s="8">
        <v>112500000</v>
      </c>
      <c r="M21" s="974"/>
      <c r="N21" s="219"/>
      <c r="O21" s="219"/>
      <c r="P21" s="1024" t="s">
        <v>816</v>
      </c>
      <c r="Q21" s="1016"/>
    </row>
    <row r="22" spans="1:17" ht="21.75" customHeight="1">
      <c r="A22" s="978">
        <v>4</v>
      </c>
      <c r="B22" s="991" t="s">
        <v>786</v>
      </c>
      <c r="C22" s="953">
        <v>41883</v>
      </c>
      <c r="D22" s="330" t="s">
        <v>741</v>
      </c>
      <c r="E22" s="738"/>
      <c r="F22" s="993" t="s">
        <v>795</v>
      </c>
      <c r="G22" s="1026" t="s">
        <v>824</v>
      </c>
      <c r="H22" s="415">
        <v>80000000</v>
      </c>
      <c r="I22" s="987">
        <v>3</v>
      </c>
      <c r="J22" s="8">
        <v>26666671</v>
      </c>
      <c r="K22" s="8">
        <v>33333330</v>
      </c>
      <c r="L22" s="8">
        <v>60000001</v>
      </c>
      <c r="M22" s="974"/>
      <c r="N22" s="738"/>
      <c r="O22" s="219"/>
      <c r="P22" s="1024" t="s">
        <v>816</v>
      </c>
      <c r="Q22" s="1016"/>
    </row>
    <row r="23" spans="1:17" ht="21.75" customHeight="1">
      <c r="A23" s="978">
        <v>5</v>
      </c>
      <c r="B23" s="991" t="s">
        <v>787</v>
      </c>
      <c r="C23" s="953">
        <v>41890</v>
      </c>
      <c r="D23" s="330" t="s">
        <v>742</v>
      </c>
      <c r="E23" s="738"/>
      <c r="F23" s="993" t="s">
        <v>795</v>
      </c>
      <c r="G23" s="1026" t="s">
        <v>825</v>
      </c>
      <c r="H23" s="415">
        <v>50000000</v>
      </c>
      <c r="I23" s="987">
        <v>3</v>
      </c>
      <c r="J23" s="8">
        <v>16666666</v>
      </c>
      <c r="K23" s="8">
        <v>20833335</v>
      </c>
      <c r="L23" s="8">
        <v>37500001</v>
      </c>
      <c r="M23" s="974"/>
      <c r="N23" s="738"/>
      <c r="O23" s="219"/>
      <c r="P23" s="1024" t="s">
        <v>816</v>
      </c>
      <c r="Q23" s="1016"/>
    </row>
    <row r="24" spans="1:17" ht="21.75" customHeight="1">
      <c r="A24" s="978">
        <v>6</v>
      </c>
      <c r="B24" s="991" t="s">
        <v>788</v>
      </c>
      <c r="C24" s="953">
        <v>41890</v>
      </c>
      <c r="D24" s="330" t="s">
        <v>743</v>
      </c>
      <c r="E24" s="738"/>
      <c r="F24" s="993" t="s">
        <v>795</v>
      </c>
      <c r="G24" s="1026" t="s">
        <v>826</v>
      </c>
      <c r="H24" s="415">
        <v>100000000</v>
      </c>
      <c r="I24" s="987">
        <v>5</v>
      </c>
      <c r="J24" s="8">
        <v>19999995</v>
      </c>
      <c r="K24" s="8">
        <v>25000005</v>
      </c>
      <c r="L24" s="8">
        <v>45000000</v>
      </c>
      <c r="M24" s="974"/>
      <c r="N24" s="738"/>
      <c r="O24" s="219"/>
      <c r="P24" s="1024" t="s">
        <v>816</v>
      </c>
      <c r="Q24" s="1016"/>
    </row>
    <row r="25" spans="1:17" ht="21.75" customHeight="1">
      <c r="A25" s="978">
        <v>7</v>
      </c>
      <c r="B25" s="991" t="s">
        <v>789</v>
      </c>
      <c r="C25" s="953">
        <v>41890</v>
      </c>
      <c r="D25" s="330" t="s">
        <v>744</v>
      </c>
      <c r="E25" s="738"/>
      <c r="F25" s="993" t="s">
        <v>795</v>
      </c>
      <c r="G25" s="1026" t="s">
        <v>827</v>
      </c>
      <c r="H25" s="415">
        <v>100000000</v>
      </c>
      <c r="I25" s="987">
        <v>5</v>
      </c>
      <c r="J25" s="8">
        <v>19999995</v>
      </c>
      <c r="K25" s="8">
        <v>25000005</v>
      </c>
      <c r="L25" s="8">
        <v>45000000</v>
      </c>
      <c r="M25" s="974"/>
      <c r="N25" s="738"/>
      <c r="O25" s="219"/>
      <c r="P25" s="1024" t="s">
        <v>21</v>
      </c>
      <c r="Q25" s="1016"/>
    </row>
    <row r="26" spans="1:17" ht="21.75" customHeight="1">
      <c r="A26" s="978">
        <v>8</v>
      </c>
      <c r="B26" s="991" t="s">
        <v>790</v>
      </c>
      <c r="C26" s="953">
        <v>41890</v>
      </c>
      <c r="D26" s="330" t="s">
        <v>745</v>
      </c>
      <c r="E26" s="738"/>
      <c r="F26" s="993" t="s">
        <v>795</v>
      </c>
      <c r="G26" s="1026" t="s">
        <v>828</v>
      </c>
      <c r="H26" s="415">
        <v>110000000</v>
      </c>
      <c r="I26" s="987">
        <v>5</v>
      </c>
      <c r="J26" s="8">
        <v>22000005</v>
      </c>
      <c r="K26" s="8">
        <v>27499995</v>
      </c>
      <c r="L26" s="8">
        <v>49500000</v>
      </c>
      <c r="M26" s="974"/>
      <c r="N26" s="738"/>
      <c r="O26" s="219"/>
      <c r="P26" s="1024" t="s">
        <v>816</v>
      </c>
      <c r="Q26" s="1016"/>
    </row>
    <row r="27" spans="1:17" ht="21.75" customHeight="1">
      <c r="A27" s="978">
        <v>8</v>
      </c>
      <c r="B27" s="991" t="s">
        <v>790</v>
      </c>
      <c r="C27" s="953">
        <v>41890</v>
      </c>
      <c r="D27" s="330" t="s">
        <v>745</v>
      </c>
      <c r="E27" s="738"/>
      <c r="F27" s="993" t="s">
        <v>795</v>
      </c>
      <c r="G27" s="1026" t="s">
        <v>828</v>
      </c>
      <c r="H27" s="415">
        <v>110000000</v>
      </c>
      <c r="I27" s="987">
        <v>5</v>
      </c>
      <c r="J27" s="8">
        <v>22000005</v>
      </c>
      <c r="K27" s="8">
        <v>27499995</v>
      </c>
      <c r="L27" s="8">
        <v>49500000</v>
      </c>
      <c r="M27" s="974"/>
      <c r="N27" s="738"/>
      <c r="O27" s="219"/>
      <c r="P27" s="1024" t="s">
        <v>816</v>
      </c>
      <c r="Q27" s="1016"/>
    </row>
    <row r="28" spans="1:17" ht="21.75" customHeight="1">
      <c r="A28" s="978">
        <v>8</v>
      </c>
      <c r="B28" s="991" t="s">
        <v>790</v>
      </c>
      <c r="C28" s="953">
        <v>41890</v>
      </c>
      <c r="D28" s="330" t="s">
        <v>745</v>
      </c>
      <c r="E28" s="738"/>
      <c r="F28" s="993" t="s">
        <v>795</v>
      </c>
      <c r="G28" s="1026" t="s">
        <v>828</v>
      </c>
      <c r="H28" s="415">
        <v>110000000</v>
      </c>
      <c r="I28" s="987">
        <v>5</v>
      </c>
      <c r="J28" s="8">
        <v>22000005</v>
      </c>
      <c r="K28" s="8">
        <v>27499995</v>
      </c>
      <c r="L28" s="8">
        <v>49500000</v>
      </c>
      <c r="M28" s="974"/>
      <c r="N28" s="738"/>
      <c r="O28" s="219"/>
      <c r="P28" s="1024" t="s">
        <v>816</v>
      </c>
      <c r="Q28" s="1016"/>
    </row>
    <row r="29" spans="1:17" s="951" customFormat="1" ht="21.75" customHeight="1">
      <c r="A29" s="977" t="s">
        <v>772</v>
      </c>
      <c r="B29" s="981" t="s">
        <v>773</v>
      </c>
      <c r="C29" s="977"/>
      <c r="D29" s="977"/>
      <c r="E29" s="977"/>
      <c r="F29" s="977"/>
      <c r="G29" s="1026"/>
      <c r="H29" s="988"/>
      <c r="I29" s="988"/>
      <c r="J29" s="8"/>
      <c r="K29" s="988"/>
      <c r="L29" s="8"/>
      <c r="M29" s="977"/>
      <c r="N29" s="977"/>
      <c r="O29" s="219"/>
      <c r="P29" s="1024" t="s">
        <v>816</v>
      </c>
      <c r="Q29" s="1016"/>
    </row>
    <row r="30" spans="1:17" ht="21.75" customHeight="1">
      <c r="A30" s="978">
        <v>1</v>
      </c>
      <c r="B30" s="993" t="s">
        <v>780</v>
      </c>
      <c r="C30" s="953">
        <v>40543</v>
      </c>
      <c r="D30" s="330" t="s">
        <v>746</v>
      </c>
      <c r="E30" s="738" t="s">
        <v>731</v>
      </c>
      <c r="F30" s="993" t="s">
        <v>797</v>
      </c>
      <c r="G30" s="1026" t="s">
        <v>829</v>
      </c>
      <c r="H30" s="415">
        <v>2173860839</v>
      </c>
      <c r="I30" s="415">
        <v>5</v>
      </c>
      <c r="J30" s="8"/>
      <c r="K30" s="8">
        <v>2173860839</v>
      </c>
      <c r="L30" s="8">
        <v>2173860839</v>
      </c>
      <c r="M30" s="738"/>
      <c r="N30" s="738"/>
      <c r="O30" s="219"/>
      <c r="P30" s="1024" t="s">
        <v>816</v>
      </c>
      <c r="Q30" s="1016"/>
    </row>
    <row r="31" spans="1:17" ht="21.75" customHeight="1">
      <c r="A31" s="978">
        <v>2</v>
      </c>
      <c r="B31" s="993" t="s">
        <v>781</v>
      </c>
      <c r="C31" s="953">
        <v>40543</v>
      </c>
      <c r="D31" s="330" t="s">
        <v>747</v>
      </c>
      <c r="E31" s="738" t="s">
        <v>731</v>
      </c>
      <c r="F31" s="993" t="s">
        <v>797</v>
      </c>
      <c r="G31" s="1026" t="s">
        <v>830</v>
      </c>
      <c r="H31" s="415">
        <v>1303180703</v>
      </c>
      <c r="I31" s="415">
        <v>10</v>
      </c>
      <c r="J31" s="8">
        <v>130318080</v>
      </c>
      <c r="K31" s="8">
        <v>651590340</v>
      </c>
      <c r="L31" s="8">
        <v>781908420</v>
      </c>
      <c r="M31" s="738"/>
      <c r="N31" s="738"/>
      <c r="O31" s="219"/>
      <c r="P31" s="1024" t="s">
        <v>816</v>
      </c>
      <c r="Q31" s="1016"/>
    </row>
    <row r="32" spans="1:17" ht="21.75" customHeight="1">
      <c r="A32" s="978">
        <v>3</v>
      </c>
      <c r="B32" s="993" t="s">
        <v>782</v>
      </c>
      <c r="C32" s="953">
        <v>40543</v>
      </c>
      <c r="D32" s="330" t="s">
        <v>748</v>
      </c>
      <c r="E32" s="738" t="s">
        <v>731</v>
      </c>
      <c r="F32" s="993" t="s">
        <v>797</v>
      </c>
      <c r="G32" s="1026" t="s">
        <v>831</v>
      </c>
      <c r="H32" s="415">
        <v>313876943</v>
      </c>
      <c r="I32" s="415">
        <v>10</v>
      </c>
      <c r="J32" s="8">
        <v>31387704</v>
      </c>
      <c r="K32" s="8">
        <v>156938460</v>
      </c>
      <c r="L32" s="8">
        <v>188326164</v>
      </c>
      <c r="M32" s="738"/>
      <c r="N32" s="738"/>
      <c r="O32" s="219"/>
      <c r="P32" s="1024" t="s">
        <v>816</v>
      </c>
      <c r="Q32" s="1016"/>
    </row>
    <row r="33" spans="1:16" ht="21.75" customHeight="1">
      <c r="A33" s="956"/>
      <c r="B33" s="982"/>
      <c r="C33" s="983"/>
      <c r="D33" s="984"/>
      <c r="E33" s="957"/>
      <c r="F33" s="983"/>
      <c r="G33" s="982"/>
      <c r="H33" s="989"/>
      <c r="I33" s="989"/>
      <c r="J33" s="495"/>
      <c r="K33" s="495"/>
      <c r="L33" s="495"/>
      <c r="M33" s="957"/>
      <c r="N33" s="957"/>
      <c r="O33" s="957"/>
      <c r="P33" s="1024" t="s">
        <v>816</v>
      </c>
    </row>
    <row r="34" spans="1:16" s="963" customFormat="1" ht="21.75" customHeight="1">
      <c r="A34" s="960"/>
      <c r="B34" s="961"/>
      <c r="C34" s="960"/>
      <c r="D34" s="960" t="s">
        <v>735</v>
      </c>
      <c r="E34" s="960" t="s">
        <v>21</v>
      </c>
      <c r="F34" s="960" t="s">
        <v>21</v>
      </c>
      <c r="G34" s="960" t="s">
        <v>21</v>
      </c>
      <c r="H34" s="990">
        <v>15089560996</v>
      </c>
      <c r="I34" s="990"/>
      <c r="J34" s="990">
        <v>609591633</v>
      </c>
      <c r="K34" s="990">
        <v>9132359256</v>
      </c>
      <c r="L34" s="990">
        <v>9741950889</v>
      </c>
      <c r="M34" s="960" t="s">
        <v>21</v>
      </c>
      <c r="N34" s="960" t="s">
        <v>21</v>
      </c>
      <c r="O34" s="960" t="s">
        <v>21</v>
      </c>
      <c r="P34" s="1024" t="s">
        <v>816</v>
      </c>
    </row>
    <row r="35" spans="1:16" ht="6.75" customHeight="1">
      <c r="A35" s="772"/>
      <c r="B35" s="772"/>
      <c r="C35" s="964"/>
      <c r="D35" s="772"/>
      <c r="E35" s="964"/>
      <c r="F35" s="964"/>
      <c r="G35" s="964"/>
      <c r="H35" s="772"/>
      <c r="I35" s="772"/>
      <c r="J35" s="772"/>
      <c r="K35" s="965"/>
      <c r="L35" s="772"/>
      <c r="M35" s="772"/>
      <c r="N35" s="772"/>
      <c r="O35" s="772"/>
      <c r="P35" s="1024" t="s">
        <v>816</v>
      </c>
    </row>
    <row r="36" spans="1:16" ht="13.5" customHeight="1">
      <c r="A36" s="772"/>
      <c r="B36" s="772"/>
      <c r="C36" s="964"/>
      <c r="D36" s="772" t="s">
        <v>736</v>
      </c>
      <c r="E36" s="772"/>
      <c r="F36" s="964"/>
      <c r="G36" s="772"/>
      <c r="H36" s="942"/>
      <c r="I36" s="942"/>
      <c r="J36" s="1033"/>
      <c r="L36" s="942"/>
      <c r="M36" s="772"/>
      <c r="N36" s="772"/>
      <c r="O36" s="772"/>
      <c r="P36" s="1024" t="s">
        <v>816</v>
      </c>
    </row>
    <row r="37" spans="1:16" ht="13.5" customHeight="1">
      <c r="A37" s="772"/>
      <c r="B37" s="772"/>
      <c r="C37" s="964"/>
      <c r="D37" s="772" t="s">
        <v>767</v>
      </c>
      <c r="E37" s="772"/>
      <c r="F37" s="964"/>
      <c r="G37" s="772"/>
      <c r="H37" s="975"/>
      <c r="I37" s="772"/>
      <c r="J37" s="985"/>
      <c r="K37" s="965"/>
      <c r="L37" s="772"/>
      <c r="M37" s="772"/>
      <c r="N37" s="772"/>
      <c r="O37" s="772"/>
      <c r="P37" s="1024" t="s">
        <v>816</v>
      </c>
    </row>
    <row r="38" spans="1:16" ht="13.5" customHeight="1">
      <c r="K38" s="966"/>
      <c r="L38" s="945" t="s">
        <v>768</v>
      </c>
      <c r="P38" s="1024" t="s">
        <v>816</v>
      </c>
    </row>
    <row r="39" spans="1:16" ht="13.5" customHeight="1">
      <c r="B39" s="941"/>
      <c r="D39" s="941" t="s">
        <v>11</v>
      </c>
      <c r="F39" s="941" t="s">
        <v>737</v>
      </c>
      <c r="I39" s="967"/>
      <c r="K39" s="964"/>
      <c r="L39" s="964" t="s">
        <v>131</v>
      </c>
      <c r="P39" s="1024" t="s">
        <v>816</v>
      </c>
    </row>
    <row r="40" spans="1:16" ht="13.5" customHeight="1">
      <c r="B40" s="941"/>
      <c r="D40" s="941"/>
      <c r="P40" s="1024" t="s">
        <v>816</v>
      </c>
    </row>
    <row r="41" spans="1:16" ht="13.5" customHeight="1">
      <c r="H41" s="968"/>
      <c r="J41" s="968"/>
      <c r="L41" s="968"/>
      <c r="P41" s="1024" t="s">
        <v>816</v>
      </c>
    </row>
    <row r="42" spans="1:16" ht="13.5" customHeight="1">
      <c r="H42" s="969"/>
      <c r="P42" s="1024" t="s">
        <v>816</v>
      </c>
    </row>
    <row r="43" spans="1:16" ht="13.5" customHeight="1">
      <c r="H43" s="969"/>
      <c r="J43" s="968"/>
      <c r="P43" s="1024" t="s">
        <v>816</v>
      </c>
    </row>
    <row r="44" spans="1:16" ht="13.5" customHeight="1">
      <c r="H44" s="969"/>
      <c r="P44" s="1024" t="s">
        <v>816</v>
      </c>
    </row>
    <row r="45" spans="1:16" ht="13.5" customHeight="1">
      <c r="H45" s="969"/>
      <c r="P45" s="1024" t="s">
        <v>816</v>
      </c>
    </row>
    <row r="46" spans="1:16" s="970" customFormat="1" ht="13.5" customHeight="1">
      <c r="C46" s="971"/>
      <c r="D46" s="971" t="s">
        <v>230</v>
      </c>
      <c r="F46" s="971"/>
      <c r="H46" s="972"/>
      <c r="K46" s="973"/>
      <c r="L46" s="970" t="s">
        <v>125</v>
      </c>
      <c r="P46" s="1024" t="s">
        <v>816</v>
      </c>
    </row>
    <row r="47" spans="1:16" ht="13.5">
      <c r="P47" s="1024" t="s">
        <v>816</v>
      </c>
    </row>
    <row r="48" spans="1:16" ht="13.5" customHeight="1">
      <c r="H48" s="969"/>
      <c r="P48" s="1024" t="s">
        <v>816</v>
      </c>
    </row>
    <row r="49" spans="1:17" ht="13.5">
      <c r="P49" s="1024" t="s">
        <v>816</v>
      </c>
    </row>
    <row r="50" spans="1:17" ht="13.5">
      <c r="P50" s="1024" t="s">
        <v>816</v>
      </c>
    </row>
    <row r="51" spans="1:17" ht="13.5">
      <c r="P51" s="1024" t="s">
        <v>816</v>
      </c>
    </row>
    <row r="52" spans="1:17" ht="13.5">
      <c r="A52" s="939" t="s">
        <v>706</v>
      </c>
      <c r="L52" s="943"/>
      <c r="M52" s="943"/>
      <c r="N52" s="944" t="s">
        <v>707</v>
      </c>
      <c r="O52" s="943"/>
      <c r="P52" s="1024" t="s">
        <v>816</v>
      </c>
    </row>
    <row r="53" spans="1:17" ht="13.5">
      <c r="A53" s="939" t="s">
        <v>708</v>
      </c>
      <c r="L53" s="942"/>
      <c r="M53" s="942"/>
      <c r="N53" s="945" t="s">
        <v>320</v>
      </c>
      <c r="O53" s="942"/>
      <c r="P53" s="1024" t="s">
        <v>816</v>
      </c>
    </row>
    <row r="54" spans="1:17" ht="13.5">
      <c r="L54" s="942"/>
      <c r="M54" s="942"/>
      <c r="N54" s="945" t="s">
        <v>238</v>
      </c>
      <c r="O54" s="942"/>
      <c r="P54" s="1024" t="s">
        <v>816</v>
      </c>
    </row>
    <row r="55" spans="1:17" ht="13.5">
      <c r="P55" s="1024" t="s">
        <v>816</v>
      </c>
    </row>
    <row r="56" spans="1:17" s="1035" customFormat="1" ht="28.5" customHeight="1">
      <c r="A56" s="1308" t="s">
        <v>709</v>
      </c>
      <c r="B56" s="1308"/>
      <c r="C56" s="1308"/>
      <c r="D56" s="1308"/>
      <c r="E56" s="1308"/>
      <c r="F56" s="1308"/>
      <c r="G56" s="1308"/>
      <c r="H56" s="1308"/>
      <c r="I56" s="1308"/>
      <c r="J56" s="1308"/>
      <c r="K56" s="1308"/>
      <c r="L56" s="1308"/>
      <c r="M56" s="1308"/>
      <c r="N56" s="1308"/>
      <c r="O56" s="1308"/>
      <c r="P56" s="1034" t="s">
        <v>816</v>
      </c>
    </row>
    <row r="57" spans="1:17" s="946" customFormat="1" ht="19.5" customHeight="1">
      <c r="A57" s="1309" t="s">
        <v>766</v>
      </c>
      <c r="B57" s="1309"/>
      <c r="C57" s="1309"/>
      <c r="D57" s="1309"/>
      <c r="E57" s="1309"/>
      <c r="F57" s="1309"/>
      <c r="G57" s="1309"/>
      <c r="H57" s="1309"/>
      <c r="I57" s="1309"/>
      <c r="J57" s="1309"/>
      <c r="K57" s="1309"/>
      <c r="L57" s="1309"/>
      <c r="M57" s="1309"/>
      <c r="N57" s="1309"/>
      <c r="O57" s="1309"/>
      <c r="P57" s="1024" t="s">
        <v>816</v>
      </c>
    </row>
    <row r="58" spans="1:17" s="946" customFormat="1" ht="19.5" customHeight="1">
      <c r="A58" s="1310" t="s">
        <v>775</v>
      </c>
      <c r="B58" s="1310"/>
      <c r="C58" s="1310"/>
      <c r="D58" s="1310"/>
      <c r="E58" s="1310"/>
      <c r="F58" s="1310"/>
      <c r="G58" s="1310"/>
      <c r="H58" s="1310"/>
      <c r="I58" s="1310"/>
      <c r="J58" s="1310"/>
      <c r="K58" s="1310"/>
      <c r="L58" s="1310"/>
      <c r="M58" s="1310"/>
      <c r="N58" s="1310"/>
      <c r="O58" s="1310"/>
      <c r="P58" s="1024" t="s">
        <v>816</v>
      </c>
    </row>
    <row r="59" spans="1:17" ht="13.5">
      <c r="D59" s="941"/>
      <c r="P59" s="1024" t="s">
        <v>816</v>
      </c>
    </row>
    <row r="60" spans="1:17" s="947" customFormat="1" ht="17.25" customHeight="1">
      <c r="A60" s="1311" t="s">
        <v>500</v>
      </c>
      <c r="B60" s="1314" t="s">
        <v>710</v>
      </c>
      <c r="C60" s="1315"/>
      <c r="D60" s="1315"/>
      <c r="E60" s="1315"/>
      <c r="F60" s="1315"/>
      <c r="G60" s="1315"/>
      <c r="H60" s="1316"/>
      <c r="I60" s="1314" t="s">
        <v>711</v>
      </c>
      <c r="J60" s="1315"/>
      <c r="K60" s="1315"/>
      <c r="L60" s="1316"/>
      <c r="M60" s="1317" t="s">
        <v>712</v>
      </c>
      <c r="N60" s="1317"/>
      <c r="O60" s="1317"/>
      <c r="P60" s="1024" t="s">
        <v>816</v>
      </c>
    </row>
    <row r="61" spans="1:17" s="947" customFormat="1" ht="17.25" customHeight="1">
      <c r="A61" s="1312"/>
      <c r="B61" s="1314" t="s">
        <v>713</v>
      </c>
      <c r="C61" s="1316"/>
      <c r="D61" s="1311" t="s">
        <v>714</v>
      </c>
      <c r="E61" s="1311" t="s">
        <v>715</v>
      </c>
      <c r="F61" s="1311" t="s">
        <v>716</v>
      </c>
      <c r="G61" s="1311" t="s">
        <v>717</v>
      </c>
      <c r="H61" s="1311" t="s">
        <v>718</v>
      </c>
      <c r="I61" s="1314" t="s">
        <v>719</v>
      </c>
      <c r="J61" s="1316"/>
      <c r="K61" s="1318" t="s">
        <v>720</v>
      </c>
      <c r="L61" s="1311" t="s">
        <v>721</v>
      </c>
      <c r="M61" s="1317" t="s">
        <v>713</v>
      </c>
      <c r="N61" s="1317"/>
      <c r="O61" s="1317" t="s">
        <v>722</v>
      </c>
      <c r="P61" s="1024" t="s">
        <v>816</v>
      </c>
    </row>
    <row r="62" spans="1:17" s="947" customFormat="1" ht="55.5" customHeight="1">
      <c r="A62" s="1313"/>
      <c r="B62" s="948" t="s">
        <v>723</v>
      </c>
      <c r="C62" s="948" t="s">
        <v>501</v>
      </c>
      <c r="D62" s="1313"/>
      <c r="E62" s="1313"/>
      <c r="F62" s="1313"/>
      <c r="G62" s="1313"/>
      <c r="H62" s="1313"/>
      <c r="I62" s="948" t="s">
        <v>724</v>
      </c>
      <c r="J62" s="948" t="s">
        <v>725</v>
      </c>
      <c r="K62" s="1319"/>
      <c r="L62" s="1313"/>
      <c r="M62" s="948" t="s">
        <v>17</v>
      </c>
      <c r="N62" s="948" t="s">
        <v>501</v>
      </c>
      <c r="O62" s="1317"/>
      <c r="P62" s="1024" t="s">
        <v>816</v>
      </c>
    </row>
    <row r="63" spans="1:17" s="951" customFormat="1" ht="13.5">
      <c r="A63" s="949" t="s">
        <v>2</v>
      </c>
      <c r="B63" s="949" t="s">
        <v>3</v>
      </c>
      <c r="C63" s="949" t="s">
        <v>4</v>
      </c>
      <c r="D63" s="949" t="s">
        <v>5</v>
      </c>
      <c r="E63" s="949" t="s">
        <v>6</v>
      </c>
      <c r="F63" s="949" t="s">
        <v>156</v>
      </c>
      <c r="G63" s="949" t="s">
        <v>726</v>
      </c>
      <c r="H63" s="949">
        <v>1</v>
      </c>
      <c r="I63" s="949">
        <v>2</v>
      </c>
      <c r="J63" s="949">
        <v>3</v>
      </c>
      <c r="K63" s="950"/>
      <c r="L63" s="949">
        <v>4</v>
      </c>
      <c r="M63" s="949" t="s">
        <v>727</v>
      </c>
      <c r="N63" s="949" t="s">
        <v>728</v>
      </c>
      <c r="O63" s="949" t="s">
        <v>729</v>
      </c>
      <c r="P63" s="1024" t="s">
        <v>816</v>
      </c>
    </row>
    <row r="64" spans="1:17" ht="15.75" customHeight="1">
      <c r="A64" s="952">
        <v>1</v>
      </c>
      <c r="B64" s="991" t="s">
        <v>796</v>
      </c>
      <c r="C64" s="953">
        <v>40543</v>
      </c>
      <c r="D64" s="330" t="s">
        <v>749</v>
      </c>
      <c r="E64" s="733"/>
      <c r="F64" s="993" t="s">
        <v>797</v>
      </c>
      <c r="G64" s="1026" t="s">
        <v>832</v>
      </c>
      <c r="H64" s="330">
        <v>5405781300</v>
      </c>
      <c r="I64" s="955">
        <v>45</v>
      </c>
      <c r="J64" s="8">
        <v>120128478</v>
      </c>
      <c r="K64" s="954">
        <v>600642360</v>
      </c>
      <c r="L64" s="954">
        <v>720770838</v>
      </c>
      <c r="M64" s="733"/>
      <c r="N64" s="733"/>
      <c r="O64" s="219"/>
      <c r="P64" s="1024" t="s">
        <v>816</v>
      </c>
      <c r="Q64" s="1016"/>
    </row>
    <row r="65" spans="1:16" ht="15.75" customHeight="1">
      <c r="A65" s="956"/>
      <c r="B65" s="957"/>
      <c r="C65" s="956"/>
      <c r="D65" s="957"/>
      <c r="E65" s="957"/>
      <c r="F65" s="956"/>
      <c r="G65" s="957"/>
      <c r="H65" s="957"/>
      <c r="I65" s="958"/>
      <c r="J65" s="957"/>
      <c r="K65" s="959"/>
      <c r="L65" s="957"/>
      <c r="M65" s="957"/>
      <c r="N65" s="957"/>
      <c r="O65" s="957"/>
      <c r="P65" s="1024" t="s">
        <v>816</v>
      </c>
    </row>
    <row r="66" spans="1:16" s="963" customFormat="1" ht="15.75" customHeight="1">
      <c r="A66" s="960"/>
      <c r="B66" s="961"/>
      <c r="C66" s="960"/>
      <c r="D66" s="960" t="s">
        <v>735</v>
      </c>
      <c r="E66" s="961"/>
      <c r="F66" s="960"/>
      <c r="G66" s="961"/>
      <c r="H66" s="962">
        <v>5405781300</v>
      </c>
      <c r="I66" s="962"/>
      <c r="J66" s="962">
        <v>120128478</v>
      </c>
      <c r="K66" s="962">
        <v>600642360</v>
      </c>
      <c r="L66" s="962">
        <v>720770838</v>
      </c>
      <c r="M66" s="961"/>
      <c r="N66" s="961"/>
      <c r="O66" s="961"/>
      <c r="P66" s="1024" t="s">
        <v>816</v>
      </c>
    </row>
    <row r="67" spans="1:16" ht="6.75" customHeight="1">
      <c r="A67" s="772"/>
      <c r="B67" s="772"/>
      <c r="C67" s="964"/>
      <c r="D67" s="772"/>
      <c r="E67" s="772"/>
      <c r="F67" s="964"/>
      <c r="G67" s="772"/>
      <c r="H67" s="772"/>
      <c r="I67" s="772"/>
      <c r="J67" s="772"/>
      <c r="K67" s="965"/>
      <c r="L67" s="772"/>
      <c r="M67" s="772"/>
      <c r="N67" s="772"/>
      <c r="O67" s="772"/>
    </row>
    <row r="68" spans="1:16">
      <c r="A68" s="772"/>
      <c r="B68" s="772"/>
      <c r="C68" s="964"/>
      <c r="D68" s="772" t="s">
        <v>736</v>
      </c>
      <c r="E68" s="772"/>
      <c r="F68" s="964"/>
      <c r="G68" s="772"/>
      <c r="H68" s="772"/>
      <c r="I68" s="772"/>
      <c r="J68" s="772"/>
      <c r="K68" s="965"/>
      <c r="L68" s="772"/>
      <c r="M68" s="772"/>
      <c r="N68" s="772"/>
      <c r="O68" s="772"/>
    </row>
    <row r="69" spans="1:16">
      <c r="A69" s="772"/>
      <c r="B69" s="772"/>
      <c r="C69" s="964"/>
      <c r="D69" s="772" t="s">
        <v>767</v>
      </c>
      <c r="E69" s="772"/>
      <c r="F69" s="964"/>
      <c r="G69" s="772"/>
      <c r="I69" s="772"/>
      <c r="J69" s="772"/>
      <c r="K69" s="965"/>
      <c r="L69" s="772"/>
      <c r="M69" s="772"/>
      <c r="N69" s="772"/>
      <c r="O69" s="772"/>
    </row>
    <row r="70" spans="1:16">
      <c r="K70" s="945"/>
      <c r="L70" s="945" t="s">
        <v>768</v>
      </c>
    </row>
    <row r="71" spans="1:16" ht="16.5" customHeight="1">
      <c r="B71" s="941"/>
      <c r="D71" s="941" t="s">
        <v>11</v>
      </c>
      <c r="F71" s="941" t="s">
        <v>737</v>
      </c>
      <c r="I71" s="967"/>
      <c r="K71" s="964"/>
      <c r="L71" s="964" t="s">
        <v>131</v>
      </c>
    </row>
    <row r="74" spans="1:16">
      <c r="L74" s="968"/>
    </row>
    <row r="75" spans="1:16">
      <c r="D75" s="968"/>
    </row>
    <row r="76" spans="1:16">
      <c r="D76" s="942"/>
      <c r="L76" s="968"/>
    </row>
    <row r="77" spans="1:16">
      <c r="D77" s="975"/>
      <c r="L77" s="968"/>
    </row>
    <row r="78" spans="1:16" s="970" customFormat="1" ht="13.5" customHeight="1">
      <c r="C78" s="971"/>
      <c r="D78" s="971" t="s">
        <v>230</v>
      </c>
      <c r="F78" s="971"/>
      <c r="H78" s="972"/>
      <c r="K78" s="973"/>
      <c r="L78" s="970" t="s">
        <v>125</v>
      </c>
      <c r="P78" s="1025"/>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995" customWidth="1"/>
    <col min="2" max="2" width="10.140625" style="995" customWidth="1"/>
    <col min="3" max="3" width="11.5703125" style="995" customWidth="1"/>
    <col min="4" max="4" width="28.7109375" style="995" customWidth="1"/>
    <col min="5" max="5" width="13.28515625" style="995" customWidth="1"/>
    <col min="6" max="6" width="9.140625" style="995"/>
    <col min="7" max="7" width="14" style="995" customWidth="1"/>
    <col min="8" max="8" width="14.7109375" style="995" customWidth="1"/>
    <col min="9" max="10" width="9.140625" style="995"/>
    <col min="11" max="11" width="13.85546875" style="995" customWidth="1"/>
    <col min="12" max="16384" width="9.140625" style="995"/>
  </cols>
  <sheetData>
    <row r="2" spans="1:11">
      <c r="A2" s="1012" t="s">
        <v>706</v>
      </c>
      <c r="B2" s="994"/>
      <c r="C2" s="994"/>
      <c r="D2" s="994"/>
      <c r="E2" s="944"/>
      <c r="F2" s="944"/>
      <c r="G2" s="944" t="s">
        <v>750</v>
      </c>
      <c r="H2" s="944"/>
    </row>
    <row r="3" spans="1:11">
      <c r="A3" s="1012" t="s">
        <v>708</v>
      </c>
      <c r="B3" s="994"/>
      <c r="C3" s="994"/>
      <c r="D3" s="994"/>
      <c r="E3" s="945"/>
      <c r="F3" s="945"/>
      <c r="G3" s="945" t="s">
        <v>320</v>
      </c>
      <c r="H3" s="945"/>
    </row>
    <row r="4" spans="1:11">
      <c r="A4" s="941"/>
      <c r="B4" s="941"/>
      <c r="C4" s="945"/>
      <c r="D4" s="945"/>
      <c r="E4" s="945"/>
      <c r="F4" s="945"/>
      <c r="G4" s="945" t="s">
        <v>238</v>
      </c>
      <c r="H4" s="945"/>
    </row>
    <row r="5" spans="1:11">
      <c r="A5" s="941"/>
      <c r="B5" s="941"/>
      <c r="C5" s="945"/>
      <c r="D5" s="945"/>
      <c r="E5" s="945"/>
      <c r="F5" s="945"/>
      <c r="G5" s="945"/>
      <c r="H5" s="945"/>
    </row>
    <row r="6" spans="1:11" ht="23.25" customHeight="1" thickBot="1">
      <c r="A6" s="1331" t="s">
        <v>751</v>
      </c>
      <c r="B6" s="1331"/>
      <c r="C6" s="1331"/>
      <c r="D6" s="1331"/>
      <c r="E6" s="1331"/>
      <c r="F6" s="1331"/>
      <c r="G6" s="1331"/>
      <c r="H6" s="1331"/>
    </row>
    <row r="7" spans="1:11" ht="17.25" customHeight="1" thickBot="1">
      <c r="A7" s="1332" t="str">
        <f ca="1" xml:space="preserve"> IF(ROWS($1:1)&gt;COUNT(Dong3),"","Số: "&amp;OFFSET('SO-TS'!$B$1,SMALL(Dong3,ROWS($1:1)),))</f>
        <v>Số: SX 16/14</v>
      </c>
      <c r="B7" s="1332"/>
      <c r="C7" s="1332"/>
      <c r="D7" s="1332"/>
      <c r="E7" s="1332"/>
      <c r="F7" s="1332"/>
      <c r="G7" s="1332"/>
      <c r="H7" s="1332"/>
      <c r="J7" s="1013" t="s">
        <v>791</v>
      </c>
      <c r="K7" s="1014" t="s">
        <v>802</v>
      </c>
    </row>
    <row r="8" spans="1:11" ht="17.25" customHeight="1">
      <c r="A8" s="1333" t="str">
        <f ca="1" xml:space="preserve"> IF(ROWS($1:1)&gt;COUNT(Dong3),"","Ngày   "&amp;DAY(OFFSET('SO-TS'!$C$1,SMALL(Dong3,ROWS($1:1)),))&amp;"   tháng   "&amp;MONTH(OFFSET('SO-TS'!$C$1,SMALL(Dong3,ROWS($1:1)),))&amp;"  năm   "&amp;YEAR(OFFSET('SO-TS'!$C$1,SMALL(Dong3,ROWS($1:1)),)))</f>
        <v>Ngày   8   tháng   9  năm   2014</v>
      </c>
      <c r="B8" s="1333"/>
      <c r="C8" s="1333"/>
      <c r="D8" s="1333"/>
      <c r="E8" s="1333"/>
      <c r="F8" s="1333"/>
      <c r="G8" s="1333"/>
      <c r="H8" s="1333"/>
    </row>
    <row r="9" spans="1:11" ht="12" customHeight="1">
      <c r="A9" s="941"/>
      <c r="B9" s="941"/>
      <c r="C9" s="941"/>
      <c r="D9" s="941"/>
      <c r="E9" s="941"/>
      <c r="F9" s="941"/>
      <c r="G9" s="945"/>
      <c r="H9" s="945"/>
    </row>
    <row r="10" spans="1:11" ht="15" customHeight="1">
      <c r="A10" s="940" t="str">
        <f ca="1">"Căn cứ vào biên bản giao nhận TSCĐ "&amp;"  "&amp;A7&amp;"  "&amp;A8</f>
        <v>Căn cứ vào biên bản giao nhận TSCĐ   Số: SX 16/14  Ngày   8   tháng   9  năm   2014</v>
      </c>
      <c r="B10" s="940"/>
      <c r="C10" s="940"/>
      <c r="D10" s="940"/>
      <c r="E10" s="940"/>
      <c r="F10" s="940"/>
      <c r="G10" s="940"/>
      <c r="H10" s="940"/>
    </row>
    <row r="11" spans="1:11" ht="15" customHeight="1">
      <c r="A11" s="940" t="s">
        <v>792</v>
      </c>
      <c r="B11" s="940"/>
      <c r="C11" s="940"/>
      <c r="D11" s="940" t="s">
        <v>744</v>
      </c>
      <c r="E11" s="940" t="str">
        <f ca="1" xml:space="preserve"> IF(ROWS($1:1)&gt;COUNT(Dong3),"","Số hiệu TSCĐ:   "&amp;OFFSET('SO-TS'!$G$1,SMALL(Dong3,ROWS($1:1)),))</f>
        <v>Số hiệu TSCĐ:   16/14</v>
      </c>
      <c r="F11" s="940"/>
      <c r="H11" s="940"/>
    </row>
    <row r="12" spans="1:11" ht="15" customHeight="1">
      <c r="A12" s="940" t="str">
        <f ca="1" xml:space="preserve"> IF(ROWS($1:1)&gt;COUNT(Dong3),"","Nước sản xuất:   "&amp;OFFSET('SO-TS'!$E$1,SMALL(Dong3,ROWS($1:1)),))</f>
        <v xml:space="preserve">Nước sản xuất:   </v>
      </c>
      <c r="B12" s="940"/>
      <c r="C12" s="940"/>
      <c r="D12" s="940"/>
      <c r="E12" s="940" t="s">
        <v>793</v>
      </c>
      <c r="F12" s="940"/>
      <c r="G12" s="940"/>
      <c r="H12" s="940"/>
    </row>
    <row r="13" spans="1:11" ht="15" customHeight="1">
      <c r="A13" s="940" t="str">
        <f ca="1" xml:space="preserve"> IF(ROWS($1:1)&gt;COUNT(Dong3),"","Bộ phận quản lý sử dụng:  "&amp;IF(LEFT(OFFSET('SO-TS'!$B$1,SMALL(Dong3,ROWS($1:1)),),2)="VP","Văn Phòng","Sản Xuất"))</f>
        <v>Bộ phận quản lý sử dụng:  Sản Xuất</v>
      </c>
      <c r="B13" s="940"/>
      <c r="C13" s="940"/>
      <c r="D13" s="940"/>
      <c r="E13" s="940" t="str">
        <f ca="1" xml:space="preserve"> IF(ROWS($1:1)&gt;COUNT(Dong3),"","Tháng, năm đưa vào sử dụng:    "&amp;OFFSET('SO-TS'!$F$1,SMALL(Dong3,ROWS($1:1)),))</f>
        <v>Tháng, năm đưa vào sử dụng:    10/2014</v>
      </c>
      <c r="F13" s="940"/>
      <c r="G13" s="940"/>
      <c r="H13" s="940"/>
    </row>
    <row r="14" spans="1:11" ht="15" customHeight="1">
      <c r="A14" s="940" t="s">
        <v>752</v>
      </c>
      <c r="B14" s="940"/>
      <c r="C14" s="940"/>
      <c r="D14" s="940"/>
      <c r="E14" s="940"/>
      <c r="F14" s="940"/>
      <c r="G14" s="940"/>
      <c r="H14" s="940"/>
    </row>
    <row r="15" spans="1:11" ht="15" customHeight="1">
      <c r="A15" s="940" t="s">
        <v>799</v>
      </c>
      <c r="B15" s="940"/>
      <c r="C15" s="940"/>
      <c r="D15" s="940"/>
      <c r="E15" s="940"/>
      <c r="F15" s="940"/>
      <c r="G15" s="940"/>
      <c r="H15" s="940"/>
    </row>
    <row r="16" spans="1:11" ht="15" customHeight="1">
      <c r="A16" s="1015" t="s">
        <v>798</v>
      </c>
      <c r="B16" s="1015"/>
      <c r="C16" s="1015"/>
      <c r="D16" s="1015"/>
      <c r="E16" s="1015"/>
      <c r="F16" s="1015"/>
      <c r="G16" s="1015"/>
      <c r="H16" s="1015"/>
    </row>
    <row r="17" spans="1:8" s="1009" customFormat="1" ht="18" customHeight="1">
      <c r="A17" s="1321" t="s">
        <v>150</v>
      </c>
      <c r="B17" s="1322"/>
      <c r="C17" s="1325" t="s">
        <v>753</v>
      </c>
      <c r="D17" s="1326"/>
      <c r="E17" s="1327"/>
      <c r="F17" s="1328" t="s">
        <v>754</v>
      </c>
      <c r="G17" s="1329"/>
      <c r="H17" s="1330"/>
    </row>
    <row r="18" spans="1:8" s="1009" customFormat="1" ht="28.5" customHeight="1">
      <c r="A18" s="1323"/>
      <c r="B18" s="1324"/>
      <c r="C18" s="976" t="s">
        <v>755</v>
      </c>
      <c r="D18" s="976" t="s">
        <v>0</v>
      </c>
      <c r="E18" s="976" t="s">
        <v>756</v>
      </c>
      <c r="F18" s="976" t="s">
        <v>757</v>
      </c>
      <c r="G18" s="976" t="s">
        <v>758</v>
      </c>
      <c r="H18" s="976" t="s">
        <v>759</v>
      </c>
    </row>
    <row r="19" spans="1:8" s="1011" customFormat="1">
      <c r="A19" s="1334" t="s">
        <v>2</v>
      </c>
      <c r="B19" s="1335"/>
      <c r="C19" s="1010" t="s">
        <v>3</v>
      </c>
      <c r="D19" s="1010" t="s">
        <v>4</v>
      </c>
      <c r="E19" s="1010">
        <v>1</v>
      </c>
      <c r="F19" s="1010">
        <v>2</v>
      </c>
      <c r="G19" s="1010">
        <v>3</v>
      </c>
      <c r="H19" s="1010">
        <v>4</v>
      </c>
    </row>
    <row r="20" spans="1:8" ht="17.25" customHeight="1">
      <c r="A20" s="837">
        <f ca="1">IF(B20&lt;&gt;"",ROW()-19,"")</f>
        <v>1</v>
      </c>
      <c r="B20" s="996" t="str">
        <f ca="1" xml:space="preserve"> IF(ROWS($1:1)&gt;COUNT(Dong3),"",OFFSET('SO-TS'!B$1,SMALL(Dong3,ROWS($1:1)),))</f>
        <v>SX 16/14</v>
      </c>
      <c r="C20" s="996" t="str">
        <f ca="1" xml:space="preserve"> IF(ROWS($1:1)&gt;COUNT(Dong3),"",OFFSET('SO-TS'!F$1,SMALL(Dong3,ROWS($1:1)),))</f>
        <v>10/2014</v>
      </c>
      <c r="D20" s="1027" t="str">
        <f ca="1" xml:space="preserve"> IF(ROWS($1:1)&gt;COUNT(Dong3),"",OFFSET('SO-TS'!D$1,SMALL(Dong3,ROWS($1:1)),))</f>
        <v>Máy cuốn mực</v>
      </c>
      <c r="E20" s="1028">
        <f ca="1" xml:space="preserve"> IF(ROWS($1:1)&gt;COUNT(Dong3),"",OFFSET('SO-TS'!H$1,SMALL(Dong3,ROWS($1:1)),))</f>
        <v>100000000</v>
      </c>
      <c r="F20" s="1029" t="str">
        <f ca="1" xml:space="preserve"> IF(ROWS($1:1)&gt;COUNT(Dong3),"",RIGHT(OFFSET('SO-TS'!F$1,SMALL(Dong3,ROWS($1:1)),),4))</f>
        <v>2014</v>
      </c>
      <c r="G20" s="85">
        <f ca="1">IF(F20="",0,ROUND(IF(OR(ROWS($1:$1)&gt;COUNT(Dong3),(ROW()-19)&gt;OFFSET('SO-TS'!I$1,SMALL(Dong3,ROWS($1:$1)),)),0,IF(VALUE(LEFT(C20,2))&gt;0,$E$30/(OFFSET('SO-TS'!I$1,SMALL(Dong3,ROWS($1:$1)),))/12*(13-VALUE(LEFT(C20,2))),$E$30/(OFFSET('SO-TS'!I$1,SMALL(Dong3,ROWS($1:$1)),)))),0))</f>
        <v>5000000</v>
      </c>
      <c r="H20" s="85">
        <f ca="1">G20</f>
        <v>5000000</v>
      </c>
    </row>
    <row r="21" spans="1:8" ht="17.25" customHeight="1">
      <c r="A21" s="837" t="str">
        <f t="shared" ref="A21:A29" ca="1" si="0">IF(B21&lt;&gt;"",ROW()-19,"")</f>
        <v/>
      </c>
      <c r="B21" s="996" t="str">
        <f ca="1" xml:space="preserve"> IF(ROWS($1:2)&gt;COUNT(Dong3),"",OFFSET('SO-TS'!B$1,SMALL(Dong3,ROWS($1:2)),))</f>
        <v/>
      </c>
      <c r="C21" s="996" t="str">
        <f ca="1" xml:space="preserve"> IF(ROWS($1:2)&gt;COUNT(Dong3),"",OFFSET('SO-TS'!F$1,SMALL(Dong3,ROWS($1:2)),))</f>
        <v/>
      </c>
      <c r="D21" s="1027" t="str">
        <f ca="1" xml:space="preserve"> IF(ROWS($1:2)&gt;COUNT(Dong3),"",OFFSET('SO-TS'!D$1,SMALL(Dong3,ROWS($1:2)),))</f>
        <v/>
      </c>
      <c r="E21" s="1028" t="str">
        <f ca="1" xml:space="preserve"> IF(ROWS($1:2)&gt;COUNT(Dong3),"",OFFSET('SO-TS'!H$1,SMALL(Dong3,ROWS($1:2)),))</f>
        <v/>
      </c>
      <c r="F21" s="1029">
        <f ca="1">IF(OR(F20="",(ROW()-19)&gt;OFFSET('SO-TS'!I$1,SMALL(Dong3,ROWS($1:$1)),)),"",IF(VALUE(F20)&gt;=VALUE(YEAR(NOW())),"",F20+1))</f>
        <v>2015</v>
      </c>
      <c r="G21" s="85">
        <f ca="1">IF(F21="",0,ROUND(IF(OR(ROWS($1:$1)&gt;COUNT(Dong3),(ROW()-19)&gt;OFFSET('SO-TS'!I$1,SMALL(Dong3,ROWS($1:$1)),)),0,IF($E$30-H20&lt;($E$30/(OFFSET('SO-TS'!I$1,SMALL(Dong3,ROWS($1:$1)),))+12),$E$30-H20,$E$30/(OFFSET('SO-TS'!I$1,SMALL(Dong3,ROWS($1:$1)),)))),0))</f>
        <v>20000000</v>
      </c>
      <c r="H21" s="1031">
        <f ca="1">IF(G21&lt;&gt;0,H20+G21,0)</f>
        <v>25000000</v>
      </c>
    </row>
    <row r="22" spans="1:8" ht="17.25" customHeight="1">
      <c r="A22" s="837" t="str">
        <f t="shared" ca="1" si="0"/>
        <v/>
      </c>
      <c r="B22" s="996" t="str">
        <f ca="1" xml:space="preserve"> IF(ROWS($1:3)&gt;COUNT(Dong3),"",OFFSET('SO-TS'!B$1,SMALL(Dong3,ROWS($1:3)),))</f>
        <v/>
      </c>
      <c r="C22" s="996" t="str">
        <f ca="1" xml:space="preserve"> IF(ROWS($1:3)&gt;COUNT(Dong3),"",OFFSET('SO-TS'!F$1,SMALL(Dong3,ROWS($1:3)),))</f>
        <v/>
      </c>
      <c r="D22" s="1027" t="str">
        <f ca="1" xml:space="preserve"> IF(ROWS($1:3)&gt;COUNT(Dong3),"",OFFSET('SO-TS'!D$1,SMALL(Dong3,ROWS($1:3)),))</f>
        <v/>
      </c>
      <c r="E22" s="1028" t="str">
        <f ca="1" xml:space="preserve"> IF(ROWS($1:3)&gt;COUNT(Dong3),"",OFFSET('SO-TS'!H$1,SMALL(Dong3,ROWS($1:3)),))</f>
        <v/>
      </c>
      <c r="F22" s="1029">
        <f ca="1">IF(OR(F21="",(ROW()-19)&gt;OFFSET('SO-TS'!I$1,SMALL(Dong3,ROWS($1:$1)),)),"",IF(VALUE(F21)&gt;=VALUE(YEAR(NOW())),"",F21+1))</f>
        <v>2016</v>
      </c>
      <c r="G22" s="85">
        <f ca="1">IF(F22="",0,ROUND(IF(OR(ROWS($1:$1)&gt;COUNT(Dong3),(ROW()-19)&gt;OFFSET('SO-TS'!I$1,SMALL(Dong3,ROWS($1:$1)),)),0,IF($E$30-H21&lt;($E$30/(OFFSET('SO-TS'!I$1,SMALL(Dong3,ROWS($1:$1)),))+12),$E$30-H21,$E$30/(OFFSET('SO-TS'!I$1,SMALL(Dong3,ROWS($1:$1)),)))),0))</f>
        <v>20000000</v>
      </c>
      <c r="H22" s="1031">
        <f t="shared" ref="H22:H28" ca="1" si="1">IF(G22&lt;&gt;0,H21+G22,0)</f>
        <v>45000000</v>
      </c>
    </row>
    <row r="23" spans="1:8" ht="17.25" customHeight="1">
      <c r="A23" s="837" t="str">
        <f t="shared" ca="1" si="0"/>
        <v/>
      </c>
      <c r="B23" s="996" t="str">
        <f ca="1" xml:space="preserve"> IF(ROWS($1:4)&gt;COUNT(Dong3),"",OFFSET('SO-TS'!B$1,SMALL(Dong3,ROWS($1:4)),))</f>
        <v/>
      </c>
      <c r="C23" s="996" t="str">
        <f ca="1" xml:space="preserve"> IF(ROWS($1:4)&gt;COUNT(Dong3),"",OFFSET('SO-TS'!F$1,SMALL(Dong3,ROWS($1:4)),))</f>
        <v/>
      </c>
      <c r="D23" s="1027" t="str">
        <f ca="1" xml:space="preserve"> IF(ROWS($1:4)&gt;COUNT(Dong3),"",OFFSET('SO-TS'!D$1,SMALL(Dong3,ROWS($1:4)),))</f>
        <v/>
      </c>
      <c r="E23" s="1028" t="str">
        <f ca="1" xml:space="preserve"> IF(ROWS($1:4)&gt;COUNT(Dong3),"",OFFSET('SO-TS'!H$1,SMALL(Dong3,ROWS($1:4)),))</f>
        <v/>
      </c>
      <c r="F23" s="1029" t="str">
        <f ca="1">IF(OR(F22="",(ROW()-19)&gt;OFFSET('SO-TS'!I$1,SMALL(Dong3,ROWS($1:$1)),)),"",IF(VALUE(F22)&gt;=VALUE(YEAR(NOW())),"",F22+1))</f>
        <v/>
      </c>
      <c r="G23" s="85">
        <f ca="1">IF(F23="",0,ROUND(IF(OR(ROWS($1:$1)&gt;COUNT(Dong3),(ROW()-19)&gt;OFFSET('SO-TS'!I$1,SMALL(Dong3,ROWS($1:$1)),)),0,IF($E$30-H22&lt;($E$30/(OFFSET('SO-TS'!I$1,SMALL(Dong3,ROWS($1:$1)),))+12),$E$30-H22,$E$30/(OFFSET('SO-TS'!I$1,SMALL(Dong3,ROWS($1:$1)),)))),0))</f>
        <v>0</v>
      </c>
      <c r="H23" s="1031">
        <f t="shared" ca="1" si="1"/>
        <v>0</v>
      </c>
    </row>
    <row r="24" spans="1:8" ht="17.25" customHeight="1">
      <c r="A24" s="837" t="str">
        <f t="shared" ca="1" si="0"/>
        <v/>
      </c>
      <c r="B24" s="996" t="str">
        <f ca="1" xml:space="preserve"> IF(ROWS($1:5)&gt;COUNT(Dong3),"",OFFSET('SO-TS'!B$1,SMALL(Dong3,ROWS($1:5)),))</f>
        <v/>
      </c>
      <c r="C24" s="996" t="str">
        <f ca="1" xml:space="preserve"> IF(ROWS($1:5)&gt;COUNT(Dong3),"",OFFSET('SO-TS'!F$1,SMALL(Dong3,ROWS($1:5)),))</f>
        <v/>
      </c>
      <c r="D24" s="1027" t="str">
        <f ca="1" xml:space="preserve"> IF(ROWS($1:5)&gt;COUNT(Dong3),"",OFFSET('SO-TS'!D$1,SMALL(Dong3,ROWS($1:5)),))</f>
        <v/>
      </c>
      <c r="E24" s="1028" t="str">
        <f ca="1" xml:space="preserve"> IF(ROWS($1:5)&gt;COUNT(Dong3),"",OFFSET('SO-TS'!H$1,SMALL(Dong3,ROWS($1:5)),))</f>
        <v/>
      </c>
      <c r="F24" s="1029" t="str">
        <f ca="1">IF(OR(F23="",(ROW()-19)&gt;OFFSET('SO-TS'!I$1,SMALL(Dong3,ROWS($1:$1)),)),"",IF(VALUE(F23)&gt;=VALUE(YEAR(NOW())),"",F23+1))</f>
        <v/>
      </c>
      <c r="G24" s="85">
        <f ca="1">IF(F24="",0,ROUND(IF(OR(ROWS($1:$1)&gt;COUNT(Dong3),(ROW()-19)&gt;OFFSET('SO-TS'!I$1,SMALL(Dong3,ROWS($1:$1)),)),0,IF($E$30-H23&lt;($E$30/(OFFSET('SO-TS'!I$1,SMALL(Dong3,ROWS($1:$1)),))+12),$E$30-H23,$E$30/(OFFSET('SO-TS'!I$1,SMALL(Dong3,ROWS($1:$1)),)))),0))</f>
        <v>0</v>
      </c>
      <c r="H24" s="1031">
        <f t="shared" ca="1" si="1"/>
        <v>0</v>
      </c>
    </row>
    <row r="25" spans="1:8" ht="17.25" customHeight="1">
      <c r="A25" s="837" t="str">
        <f t="shared" ca="1" si="0"/>
        <v/>
      </c>
      <c r="B25" s="996" t="str">
        <f ca="1" xml:space="preserve"> IF(ROWS($1:6)&gt;COUNT(Dong3),"",OFFSET('SO-TS'!B$1,SMALL(Dong3,ROWS($1:6)),))</f>
        <v/>
      </c>
      <c r="C25" s="996" t="str">
        <f ca="1" xml:space="preserve"> IF(ROWS($1:6)&gt;COUNT(Dong3),"",OFFSET('SO-TS'!F$1,SMALL(Dong3,ROWS($1:6)),))</f>
        <v/>
      </c>
      <c r="D25" s="1027" t="str">
        <f ca="1" xml:space="preserve"> IF(ROWS($1:6)&gt;COUNT(Dong3),"",OFFSET('SO-TS'!D$1,SMALL(Dong3,ROWS($1:6)),))</f>
        <v/>
      </c>
      <c r="E25" s="1028" t="str">
        <f ca="1" xml:space="preserve"> IF(ROWS($1:6)&gt;COUNT(Dong3),"",OFFSET('SO-TS'!H$1,SMALL(Dong3,ROWS($1:6)),))</f>
        <v/>
      </c>
      <c r="F25" s="1029" t="str">
        <f ca="1">IF(OR(F24="",(ROW()-19)&gt;OFFSET('SO-TS'!I$1,SMALL(Dong3,ROWS($1:$1)),)),"",IF(VALUE(F24)&gt;=VALUE(YEAR(NOW())),"",F24+1))</f>
        <v/>
      </c>
      <c r="G25" s="85">
        <f ca="1">IF(F25="",0,ROUND(IF(OR(ROWS($1:$1)&gt;COUNT(Dong3),(ROW()-19)&gt;OFFSET('SO-TS'!I$1,SMALL(Dong3,ROWS($1:$1)),)),0,IF($E$30-H24&lt;($E$30/(OFFSET('SO-TS'!I$1,SMALL(Dong3,ROWS($1:$1)),))+12),$E$30-H24,$E$30/(OFFSET('SO-TS'!I$1,SMALL(Dong3,ROWS($1:$1)),)))),0))</f>
        <v>0</v>
      </c>
      <c r="H25" s="1031">
        <f t="shared" ca="1" si="1"/>
        <v>0</v>
      </c>
    </row>
    <row r="26" spans="1:8" ht="17.25" customHeight="1">
      <c r="A26" s="837" t="str">
        <f t="shared" ca="1" si="0"/>
        <v/>
      </c>
      <c r="B26" s="996" t="str">
        <f ca="1" xml:space="preserve"> IF(ROWS($1:7)&gt;COUNT(Dong3),"",OFFSET('SO-TS'!B$1,SMALL(Dong3,ROWS($1:7)),))</f>
        <v/>
      </c>
      <c r="C26" s="996" t="str">
        <f ca="1" xml:space="preserve"> IF(ROWS($1:7)&gt;COUNT(Dong3),"",OFFSET('SO-TS'!F$1,SMALL(Dong3,ROWS($1:7)),))</f>
        <v/>
      </c>
      <c r="D26" s="1027" t="str">
        <f ca="1" xml:space="preserve"> IF(ROWS($1:7)&gt;COUNT(Dong3),"",OFFSET('SO-TS'!D$1,SMALL(Dong3,ROWS($1:7)),))</f>
        <v/>
      </c>
      <c r="E26" s="1028" t="str">
        <f ca="1" xml:space="preserve"> IF(ROWS($1:7)&gt;COUNT(Dong3),"",OFFSET('SO-TS'!H$1,SMALL(Dong3,ROWS($1:7)),))</f>
        <v/>
      </c>
      <c r="F26" s="1029" t="str">
        <f ca="1">IF(OR(F25="",(ROW()-19)&gt;OFFSET('SO-TS'!I$1,SMALL(Dong3,ROWS($1:$1)),)),"",IF(VALUE(F25)&gt;=VALUE(YEAR(NOW())),"",F25+1))</f>
        <v/>
      </c>
      <c r="G26" s="85">
        <f ca="1">IF(F26="",0,ROUND(IF(OR(ROWS($1:$1)&gt;COUNT(Dong3),(ROW()-19)&gt;OFFSET('SO-TS'!I$1,SMALL(Dong3,ROWS($1:$1)),)),0,IF($E$30-H25&lt;($E$30/(OFFSET('SO-TS'!I$1,SMALL(Dong3,ROWS($1:$1)),))+12),$E$30-H25,$E$30/(OFFSET('SO-TS'!I$1,SMALL(Dong3,ROWS($1:$1)),)))),0))</f>
        <v>0</v>
      </c>
      <c r="H26" s="1031">
        <f t="shared" ca="1" si="1"/>
        <v>0</v>
      </c>
    </row>
    <row r="27" spans="1:8" ht="17.25" customHeight="1">
      <c r="A27" s="837" t="str">
        <f t="shared" ca="1" si="0"/>
        <v/>
      </c>
      <c r="B27" s="996" t="str">
        <f ca="1" xml:space="preserve"> IF(ROWS($1:8)&gt;COUNT(Dong3),"",OFFSET('SO-TS'!B$1,SMALL(Dong3,ROWS($1:8)),))</f>
        <v/>
      </c>
      <c r="C27" s="996" t="str">
        <f ca="1" xml:space="preserve"> IF(ROWS($1:8)&gt;COUNT(Dong3),"",OFFSET('SO-TS'!F$1,SMALL(Dong3,ROWS($1:8)),))</f>
        <v/>
      </c>
      <c r="D27" s="1027" t="str">
        <f ca="1" xml:space="preserve"> IF(ROWS($1:8)&gt;COUNT(Dong3),"",OFFSET('SO-TS'!D$1,SMALL(Dong3,ROWS($1:8)),))</f>
        <v/>
      </c>
      <c r="E27" s="1028" t="str">
        <f ca="1" xml:space="preserve"> IF(ROWS($1:8)&gt;COUNT(Dong3),"",OFFSET('SO-TS'!H$1,SMALL(Dong3,ROWS($1:8)),))</f>
        <v/>
      </c>
      <c r="F27" s="1029" t="str">
        <f ca="1">IF(OR(F26="",(ROW()-19)&gt;OFFSET('SO-TS'!I$1,SMALL(Dong3,ROWS($1:$1)),)),"",IF(VALUE(F26)&gt;=VALUE(YEAR(NOW())),"",F26+1))</f>
        <v/>
      </c>
      <c r="G27" s="85">
        <f ca="1">IF(F27="",0,ROUND(IF(OR(ROWS($1:$1)&gt;COUNT(Dong3),(ROW()-19)&gt;OFFSET('SO-TS'!I$1,SMALL(Dong3,ROWS($1:$1)),)),0,IF($E$30-H26&lt;($E$30/(OFFSET('SO-TS'!I$1,SMALL(Dong3,ROWS($1:$1)),))+12),$E$30-H26,$E$30/(OFFSET('SO-TS'!I$1,SMALL(Dong3,ROWS($1:$1)),)))),0))</f>
        <v>0</v>
      </c>
      <c r="H27" s="1031">
        <f t="shared" ca="1" si="1"/>
        <v>0</v>
      </c>
    </row>
    <row r="28" spans="1:8" ht="17.25" customHeight="1">
      <c r="A28" s="837" t="str">
        <f t="shared" ca="1" si="0"/>
        <v/>
      </c>
      <c r="B28" s="996" t="str">
        <f ca="1" xml:space="preserve"> IF(ROWS($1:9)&gt;COUNT(Dong3),"",OFFSET('SO-TS'!B$1,SMALL(Dong3,ROWS($1:9)),))</f>
        <v/>
      </c>
      <c r="C28" s="996" t="str">
        <f ca="1" xml:space="preserve"> IF(ROWS($1:9)&gt;COUNT(Dong3),"",OFFSET('SO-TS'!F$1,SMALL(Dong3,ROWS($1:9)),))</f>
        <v/>
      </c>
      <c r="D28" s="1027" t="str">
        <f ca="1" xml:space="preserve"> IF(ROWS($1:9)&gt;COUNT(Dong3),"",OFFSET('SO-TS'!D$1,SMALL(Dong3,ROWS($1:9)),))</f>
        <v/>
      </c>
      <c r="E28" s="1028" t="str">
        <f ca="1" xml:space="preserve"> IF(ROWS($1:9)&gt;COUNT(Dong3),"",OFFSET('SO-TS'!H$1,SMALL(Dong3,ROWS($1:9)),))</f>
        <v/>
      </c>
      <c r="F28" s="1029" t="str">
        <f ca="1">IF(OR(F27="",(ROW()-19)&gt;OFFSET('SO-TS'!I$1,SMALL(Dong3,ROWS($1:$1)),)),"",IF(VALUE(F27)&gt;=VALUE(YEAR(NOW())),"",F27+1))</f>
        <v/>
      </c>
      <c r="G28" s="85">
        <f ca="1">IF(F28="",0,ROUND(IF(OR(ROWS($1:$1)&gt;COUNT(Dong3),(ROW()-19)&gt;OFFSET('SO-TS'!I$1,SMALL(Dong3,ROWS($1:$1)),)),0,IF($E$30-H27&lt;($E$30/(OFFSET('SO-TS'!I$1,SMALL(Dong3,ROWS($1:$1)),))+12),$E$30-H27,$E$30/(OFFSET('SO-TS'!I$1,SMALL(Dong3,ROWS($1:$1)),)))),0))</f>
        <v>0</v>
      </c>
      <c r="H28" s="1031">
        <f t="shared" ca="1" si="1"/>
        <v>0</v>
      </c>
    </row>
    <row r="29" spans="1:8" ht="17.25" customHeight="1">
      <c r="A29" s="837" t="str">
        <f t="shared" si="0"/>
        <v/>
      </c>
      <c r="B29" s="956"/>
      <c r="C29" s="997"/>
      <c r="D29" s="997"/>
      <c r="E29" s="1030"/>
      <c r="F29" s="998"/>
      <c r="G29" s="1030"/>
      <c r="H29" s="1030"/>
    </row>
    <row r="30" spans="1:8" ht="17.25" customHeight="1">
      <c r="A30" s="960"/>
      <c r="B30" s="960" t="s">
        <v>760</v>
      </c>
      <c r="C30" s="999"/>
      <c r="D30" s="999"/>
      <c r="E30" s="1032">
        <f ca="1">SUM(E20:E29)</f>
        <v>100000000</v>
      </c>
      <c r="F30" s="999"/>
      <c r="G30" s="1032">
        <f ca="1">SUM(G20:G29)</f>
        <v>45000000</v>
      </c>
      <c r="H30" s="1032"/>
    </row>
    <row r="31" spans="1:8" ht="17.25" customHeight="1">
      <c r="A31" s="1000"/>
      <c r="B31" s="1000"/>
      <c r="C31" s="1001"/>
      <c r="D31" s="1001"/>
      <c r="E31" s="1001"/>
      <c r="F31" s="1001"/>
      <c r="G31" s="1002"/>
      <c r="H31" s="1002"/>
    </row>
    <row r="32" spans="1:8" ht="17.25" customHeight="1">
      <c r="A32" s="1000"/>
      <c r="B32" s="1000"/>
      <c r="C32" s="1001"/>
      <c r="D32" s="1001"/>
      <c r="E32" s="1001"/>
      <c r="F32" s="1001"/>
      <c r="G32" s="1002"/>
      <c r="H32" s="1002"/>
    </row>
    <row r="33" spans="1:8" ht="17.25" customHeight="1">
      <c r="A33" s="1336" t="s">
        <v>761</v>
      </c>
      <c r="B33" s="1336"/>
      <c r="C33" s="1336"/>
      <c r="D33" s="1336"/>
      <c r="E33" s="1336"/>
      <c r="F33" s="1336"/>
      <c r="G33" s="1336"/>
      <c r="H33" s="1336"/>
    </row>
    <row r="34" spans="1:8" ht="27" customHeight="1">
      <c r="A34" s="960" t="s">
        <v>37</v>
      </c>
      <c r="B34" s="1314" t="s">
        <v>762</v>
      </c>
      <c r="C34" s="1316"/>
      <c r="D34" s="999" t="s">
        <v>327</v>
      </c>
      <c r="E34" s="999" t="s">
        <v>763</v>
      </c>
      <c r="F34" s="999" t="s">
        <v>764</v>
      </c>
      <c r="G34" s="1002"/>
      <c r="H34" s="1002"/>
    </row>
    <row r="35" spans="1:8" ht="17.25" customHeight="1">
      <c r="A35" s="960" t="s">
        <v>2</v>
      </c>
      <c r="B35" s="960" t="s">
        <v>3</v>
      </c>
      <c r="C35" s="999"/>
      <c r="D35" s="999" t="s">
        <v>4</v>
      </c>
      <c r="E35" s="999">
        <v>1</v>
      </c>
      <c r="F35" s="999">
        <v>2</v>
      </c>
      <c r="G35" s="1002"/>
      <c r="H35" s="1002"/>
    </row>
    <row r="36" spans="1:8" ht="17.25" customHeight="1">
      <c r="A36" s="1003"/>
      <c r="B36" s="1003"/>
      <c r="C36" s="1004"/>
      <c r="D36" s="1004"/>
      <c r="E36" s="1004"/>
      <c r="F36" s="1004"/>
      <c r="G36" s="1002"/>
      <c r="H36" s="1002"/>
    </row>
    <row r="37" spans="1:8" ht="17.25" customHeight="1">
      <c r="A37" s="1005"/>
      <c r="B37" s="1005"/>
      <c r="C37" s="1006"/>
      <c r="D37" s="1006"/>
      <c r="E37" s="1006"/>
      <c r="F37" s="1006"/>
      <c r="G37" s="1002"/>
      <c r="H37" s="1002"/>
    </row>
    <row r="38" spans="1:8" ht="17.25" customHeight="1">
      <c r="A38" s="1005"/>
      <c r="B38" s="1005"/>
      <c r="C38" s="1006"/>
      <c r="D38" s="1006"/>
      <c r="E38" s="1006"/>
      <c r="F38" s="1006"/>
      <c r="G38" s="1002"/>
      <c r="H38" s="1002"/>
    </row>
    <row r="39" spans="1:8" ht="17.25" customHeight="1">
      <c r="A39" s="1005"/>
      <c r="B39" s="1005"/>
      <c r="C39" s="1006"/>
      <c r="D39" s="1006"/>
      <c r="E39" s="1006"/>
      <c r="F39" s="1006"/>
      <c r="G39" s="1002"/>
      <c r="H39" s="1002"/>
    </row>
    <row r="40" spans="1:8" ht="17.25" customHeight="1">
      <c r="A40" s="1007"/>
      <c r="B40" s="1007"/>
      <c r="C40" s="1008"/>
      <c r="D40" s="1008"/>
      <c r="E40" s="1008"/>
      <c r="F40" s="1008"/>
      <c r="G40" s="1002"/>
      <c r="H40" s="1002"/>
    </row>
    <row r="41" spans="1:8">
      <c r="A41" s="1000"/>
      <c r="B41" s="1000"/>
      <c r="C41" s="1001"/>
      <c r="D41" s="1001"/>
      <c r="E41" s="1001"/>
      <c r="F41" s="1001"/>
      <c r="G41" s="1002"/>
      <c r="H41" s="1002"/>
    </row>
    <row r="42" spans="1:8">
      <c r="A42" s="1337" t="str">
        <f ca="1" xml:space="preserve"> IF(ROWS($1:1)&gt;COUNT(Dong3),"","Ghi giảm TSCĐ chứng từ số:  "&amp;OFFSET('SO-TS'!$M$1,SMALL(Dong3,ROWS($1:1)),))</f>
        <v xml:space="preserve">Ghi giảm TSCĐ chứng từ số:  </v>
      </c>
      <c r="B42" s="1337"/>
      <c r="C42" s="1337"/>
      <c r="D42" s="1337"/>
      <c r="E42" s="1337"/>
      <c r="F42" s="1337"/>
      <c r="G42" s="1337"/>
      <c r="H42" s="1337"/>
    </row>
    <row r="43" spans="1:8">
      <c r="A43" s="1337" t="str">
        <f ca="1" xml:space="preserve"> IF(ROWS($1:1)&gt;COUNT(Dong3),"","Lý do giảm:   "&amp;OFFSET('SO-TS'!$O$1,SMALL(Dong3,ROWS($1:1)),))</f>
        <v xml:space="preserve">Lý do giảm:   </v>
      </c>
      <c r="B43" s="1337"/>
      <c r="C43" s="1337"/>
      <c r="D43" s="1337"/>
      <c r="E43" s="1337"/>
      <c r="F43" s="1337"/>
      <c r="G43" s="1337"/>
      <c r="H43" s="1337"/>
    </row>
    <row r="44" spans="1:8">
      <c r="A44" s="971"/>
      <c r="B44" s="971"/>
      <c r="C44" s="966"/>
      <c r="D44" s="966"/>
      <c r="E44" s="1320" t="s">
        <v>800</v>
      </c>
      <c r="F44" s="1320"/>
      <c r="G44" s="1320"/>
      <c r="H44" s="1320"/>
    </row>
    <row r="45" spans="1:8">
      <c r="A45" s="1332" t="s">
        <v>765</v>
      </c>
      <c r="B45" s="1332"/>
      <c r="C45" s="1332" t="s">
        <v>12</v>
      </c>
      <c r="D45" s="1332"/>
      <c r="E45" s="1338" t="s">
        <v>131</v>
      </c>
      <c r="F45" s="1338"/>
      <c r="G45" s="1338"/>
      <c r="H45" s="1338"/>
    </row>
    <row r="46" spans="1:8">
      <c r="A46" s="941"/>
      <c r="B46" s="941"/>
      <c r="C46" s="945"/>
      <c r="D46" s="945"/>
      <c r="E46" s="945"/>
      <c r="F46" s="945"/>
      <c r="G46" s="945"/>
      <c r="H46" s="945"/>
    </row>
    <row r="47" spans="1:8">
      <c r="A47" s="941"/>
      <c r="B47" s="941"/>
      <c r="C47" s="945"/>
      <c r="D47" s="945"/>
      <c r="E47" s="945"/>
      <c r="F47" s="945"/>
      <c r="G47" s="945"/>
      <c r="H47" s="945"/>
    </row>
    <row r="48" spans="1:8">
      <c r="A48" s="941"/>
      <c r="B48" s="941"/>
      <c r="C48" s="945"/>
      <c r="D48" s="945"/>
      <c r="E48" s="945"/>
      <c r="F48" s="945"/>
      <c r="G48" s="945"/>
      <c r="H48" s="945"/>
    </row>
    <row r="49" spans="1:8">
      <c r="A49" s="941"/>
      <c r="B49" s="941"/>
      <c r="C49" s="945"/>
      <c r="D49" s="945"/>
      <c r="E49" s="945"/>
      <c r="F49" s="945"/>
      <c r="G49" s="945"/>
      <c r="H49" s="945"/>
    </row>
    <row r="50" spans="1:8">
      <c r="A50" s="941"/>
      <c r="B50" s="941"/>
      <c r="C50" s="945"/>
      <c r="D50" s="945"/>
      <c r="E50" s="945"/>
      <c r="F50" s="945"/>
      <c r="G50" s="945"/>
      <c r="H50" s="945"/>
    </row>
    <row r="51" spans="1:8">
      <c r="A51" s="941"/>
      <c r="B51" s="941"/>
      <c r="C51" s="945"/>
      <c r="D51" s="945"/>
      <c r="E51" s="945"/>
      <c r="F51" s="945"/>
      <c r="G51" s="945"/>
      <c r="H51" s="945"/>
    </row>
    <row r="52" spans="1:8">
      <c r="A52" s="941"/>
      <c r="B52" s="941"/>
      <c r="C52" s="945"/>
      <c r="D52" s="945"/>
      <c r="E52" s="945"/>
      <c r="F52" s="945"/>
      <c r="G52" s="945"/>
      <c r="H52" s="945"/>
    </row>
    <row r="53" spans="1:8">
      <c r="A53" s="1339" t="s">
        <v>230</v>
      </c>
      <c r="B53" s="1339"/>
      <c r="C53" s="966"/>
      <c r="D53" s="966"/>
      <c r="E53" s="1320" t="s">
        <v>125</v>
      </c>
      <c r="F53" s="1320"/>
      <c r="G53" s="1320"/>
      <c r="H53" s="1320"/>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00" customWidth="1"/>
    <col min="2" max="2" width="11" style="400" customWidth="1"/>
    <col min="3" max="3" width="22.140625" style="400" customWidth="1"/>
    <col min="4" max="4" width="6.7109375" style="400" customWidth="1"/>
    <col min="5" max="5" width="6.42578125" style="400" customWidth="1"/>
    <col min="6" max="6" width="8.85546875" style="400" customWidth="1"/>
    <col min="7" max="7" width="20.7109375" style="400" customWidth="1"/>
    <col min="8" max="11" width="9.140625" style="400"/>
    <col min="12" max="12" width="10.85546875" style="400" customWidth="1"/>
    <col min="13" max="16384" width="9.140625" style="400"/>
  </cols>
  <sheetData>
    <row r="1" spans="1:12">
      <c r="A1" s="121" t="s">
        <v>138</v>
      </c>
      <c r="D1" s="1342"/>
      <c r="E1" s="1342"/>
      <c r="F1" s="1342"/>
      <c r="G1" s="1342"/>
      <c r="I1" s="1342" t="s">
        <v>255</v>
      </c>
      <c r="J1" s="1342"/>
      <c r="K1" s="1342"/>
      <c r="L1" s="1342"/>
    </row>
    <row r="2" spans="1:12">
      <c r="A2" s="360" t="s">
        <v>139</v>
      </c>
      <c r="D2" s="1342"/>
      <c r="E2" s="1342"/>
      <c r="F2" s="1342"/>
      <c r="G2" s="1342"/>
      <c r="I2" s="1342" t="s">
        <v>237</v>
      </c>
      <c r="J2" s="1342"/>
      <c r="K2" s="1342"/>
      <c r="L2" s="1342"/>
    </row>
    <row r="3" spans="1:12">
      <c r="D3" s="1342"/>
      <c r="E3" s="1342"/>
      <c r="F3" s="1342"/>
      <c r="G3" s="1342"/>
      <c r="I3" s="1342" t="s">
        <v>256</v>
      </c>
      <c r="J3" s="1342"/>
      <c r="K3" s="1342"/>
      <c r="L3" s="1342"/>
    </row>
    <row r="8" spans="1:12" ht="40.5" customHeight="1">
      <c r="H8" s="401"/>
      <c r="I8" s="401"/>
      <c r="J8" s="401"/>
    </row>
    <row r="10" spans="1:12" ht="29.25" customHeight="1">
      <c r="A10" s="1340" t="s">
        <v>112</v>
      </c>
      <c r="B10" s="1340"/>
      <c r="C10" s="1340"/>
      <c r="D10" s="1340"/>
      <c r="E10" s="1340"/>
      <c r="F10" s="1340"/>
      <c r="G10" s="1340"/>
    </row>
    <row r="11" spans="1:12" ht="6" customHeight="1">
      <c r="H11" s="402"/>
      <c r="I11" s="402"/>
    </row>
    <row r="12" spans="1:12" ht="20.25">
      <c r="A12" s="1341" t="s">
        <v>257</v>
      </c>
      <c r="B12" s="1341"/>
      <c r="C12" s="1341"/>
      <c r="D12" s="1341"/>
      <c r="E12" s="1341"/>
      <c r="F12" s="1341"/>
      <c r="G12" s="1341"/>
    </row>
    <row r="13" spans="1:12" ht="64.5" customHeight="1"/>
    <row r="16" spans="1:12" ht="22.5" customHeight="1">
      <c r="B16" s="403" t="s">
        <v>258</v>
      </c>
    </row>
    <row r="17" spans="2:2" ht="22.5" customHeight="1">
      <c r="B17" s="403" t="s">
        <v>259</v>
      </c>
    </row>
    <row r="18" spans="2:2" ht="22.5" customHeight="1">
      <c r="B18" s="403"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71</vt:i4>
      </vt:variant>
    </vt:vector>
  </HeadingPairs>
  <TitlesOfParts>
    <vt:vector size="98"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CDPS!Print_Area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2016-12-21T04:10:03Z</cp:lastPrinted>
  <dcterms:created xsi:type="dcterms:W3CDTF">1996-10-14T23:33:28Z</dcterms:created>
  <dcterms:modified xsi:type="dcterms:W3CDTF">2016-12-21T04:10:10Z</dcterms:modified>
</cp:coreProperties>
</file>