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2995" windowHeight="9915"/>
  </bookViews>
  <sheets>
    <sheet name="TH" sheetId="5" r:id="rId1"/>
    <sheet name="UNC - PV" sheetId="2" r:id="rId2"/>
    <sheet name="LC - PV" sheetId="4" r:id="rId3"/>
    <sheet name="UNC - EIB" sheetId="6" r:id="rId4"/>
    <sheet name="LC - EIB" sheetId="7" r:id="rId5"/>
  </sheets>
  <externalReferences>
    <externalReference r:id="rId6"/>
  </externalReferences>
  <definedNames>
    <definedName name="_xlnm._FilterDatabase" localSheetId="0" hidden="1">TH!$B$3:$X$3</definedName>
    <definedName name="Dong">IF(Loai="p1",ROW(Loai)-1,"")</definedName>
    <definedName name="DS">TH!$A$4:$Q$59</definedName>
    <definedName name="Loai">OFFSET(TH!$R$4,,,COUNTA(TH!$R$4:$R$39630))</definedName>
    <definedName name="N_1">TH!$R$4:$R$59</definedName>
    <definedName name="_xlnm.Print_Area" localSheetId="4">'LC - EIB'!$A$1:$Q$33</definedName>
    <definedName name="_xlnm.Print_Area" localSheetId="2">'LC - PV'!$A$1:$N$18</definedName>
    <definedName name="_xlnm.Print_Area" localSheetId="3">'UNC - EIB'!$A$1:$P$32</definedName>
    <definedName name="_xlnm.Print_Area" localSheetId="1">'UNC - PV'!$A$1:$M$18</definedName>
  </definedNames>
  <calcPr calcId="145621"/>
</workbook>
</file>

<file path=xl/calcChain.xml><?xml version="1.0" encoding="utf-8"?>
<calcChain xmlns="http://schemas.openxmlformats.org/spreadsheetml/2006/main">
  <c r="O23" i="7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4" i="5"/>
  <c r="C24" i="7" s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R4" i="5"/>
  <c r="C21" i="7"/>
  <c r="C13" i="7" l="1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8" i="6" l="1"/>
  <c r="H10" i="6"/>
  <c r="C6" i="6"/>
  <c r="C18" i="6"/>
  <c r="E17" i="2"/>
  <c r="F11" i="2"/>
  <c r="G13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4" i="5"/>
  <c r="A1" i="2"/>
  <c r="K8" i="2"/>
  <c r="L8" i="2"/>
  <c r="E7" i="2"/>
  <c r="F9" i="2"/>
  <c r="F9" i="4"/>
</calcChain>
</file>

<file path=xl/sharedStrings.xml><?xml version="1.0" encoding="utf-8"?>
<sst xmlns="http://schemas.openxmlformats.org/spreadsheetml/2006/main" count="208" uniqueCount="129">
  <si>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</si>
  <si>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</si>
  <si>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</si>
  <si>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</si>
  <si>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</si>
  <si>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</si>
  <si>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</si>
  <si>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</si>
  <si>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</si>
  <si>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</si>
  <si>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</si>
  <si>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</si>
  <si>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</si>
  <si>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</si>
  <si>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</si>
  <si>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</si>
  <si>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</si>
  <si>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</si>
  <si>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</si>
  <si>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</si>
  <si>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</si>
  <si>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</si>
  <si>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</si>
  <si>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</si>
  <si>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</si>
  <si>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</si>
  <si>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</si>
  <si>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</si>
  <si>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LC02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</si>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</sst>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59"/>
  <sheetViews>
    <sheetView tabSelected="1" workbookViewId="0">
      <pane ySplit="3" topLeftCell="A4" activePane="bottomLeft" state="frozen"/>
      <selection pane="bottomLeft" activeCell="F8" sqref="F8"/>
    </sheetView>
  </sheetViews>
  <sheetFormatPr defaultRowHeight="18.75" customHeight="1" x14ac:dyDescent="0.25"/>
  <cols>
    <col min="1" max="1" width="2.140625" style="55" customWidth="1"/>
    <col min="2" max="2" width="4.5703125" style="56" customWidth="1"/>
    <col min="3" max="3" width="7.85546875" style="56" customWidth="1"/>
    <col min="4" max="4" width="8.85546875" style="56" customWidth="1"/>
    <col min="5" max="5" width="9.7109375" style="56" customWidth="1"/>
    <col min="6" max="6" width="27.5703125" style="58" customWidth="1"/>
    <col min="7" max="7" width="18.42578125" style="58" customWidth="1"/>
    <col min="8" max="8" width="26.5703125" style="58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8" customWidth="1"/>
    <col min="15" max="15" width="10.42578125" style="58" customWidth="1"/>
    <col min="16" max="16" width="14" style="58" customWidth="1"/>
    <col min="17" max="17" width="9.140625" style="58"/>
    <col min="18" max="18" width="4.42578125" style="57" customWidth="1"/>
    <col min="19" max="16384" width="9.140625" style="58"/>
  </cols>
  <sheetData>
    <row r="1" spans="1:18" ht="10.5" customHeight="1" x14ac:dyDescent="0.25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56">
        <v>17</v>
      </c>
    </row>
    <row r="2" spans="1:18" s="60" customFormat="1" ht="24" customHeight="1" x14ac:dyDescent="0.25">
      <c r="A2" s="59"/>
      <c r="B2" s="97" t="s">
        <v>1</v>
      </c>
      <c r="C2" s="94" t="s">
        <v>12</v>
      </c>
      <c r="D2" s="95"/>
      <c r="E2" s="96"/>
      <c r="F2" s="94" t="s">
        <v>20</v>
      </c>
      <c r="G2" s="95"/>
      <c r="H2" s="95"/>
      <c r="I2" s="95"/>
      <c r="J2" s="95"/>
      <c r="K2" s="95"/>
      <c r="L2" s="95"/>
      <c r="M2" s="96"/>
      <c r="N2" s="90" t="s">
        <v>0</v>
      </c>
      <c r="O2" s="93" t="s">
        <v>21</v>
      </c>
      <c r="P2" s="93"/>
      <c r="Q2" s="92" t="s">
        <v>22</v>
      </c>
      <c r="R2" s="59"/>
    </row>
    <row r="3" spans="1:18" s="60" customFormat="1" ht="36.75" customHeight="1" x14ac:dyDescent="0.25">
      <c r="A3" s="59"/>
      <c r="B3" s="91"/>
      <c r="C3" s="61" t="s">
        <v>14</v>
      </c>
      <c r="D3" s="61" t="s">
        <v>12</v>
      </c>
      <c r="E3" s="61" t="s">
        <v>13</v>
      </c>
      <c r="F3" s="61" t="s">
        <v>15</v>
      </c>
      <c r="G3" s="61" t="s">
        <v>31</v>
      </c>
      <c r="H3" s="61" t="s">
        <v>32</v>
      </c>
      <c r="I3" s="61" t="s">
        <v>35</v>
      </c>
      <c r="J3" s="61" t="s">
        <v>16</v>
      </c>
      <c r="K3" s="61" t="s">
        <v>17</v>
      </c>
      <c r="L3" s="61" t="s">
        <v>18</v>
      </c>
      <c r="M3" s="61" t="s">
        <v>19</v>
      </c>
      <c r="N3" s="91"/>
      <c r="O3" s="62" t="s">
        <v>29</v>
      </c>
      <c r="P3" s="62" t="s">
        <v>30</v>
      </c>
      <c r="Q3" s="91"/>
      <c r="R3" s="59"/>
    </row>
    <row r="4" spans="1:18" ht="18.75" customHeight="1" x14ac:dyDescent="0.25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>x1</v>
      </c>
      <c r="B4" s="63">
        <f>IF(C4&lt;&gt;"",ROW()-3,"")</f>
        <v>1</v>
      </c>
      <c r="C4" s="63" t="s">
        <v>83</v>
      </c>
      <c r="D4" s="64">
        <v>42556</v>
      </c>
      <c r="E4" s="63" t="s">
        <v>23</v>
      </c>
      <c r="F4" s="65" t="s">
        <v>37</v>
      </c>
      <c r="G4" s="65" t="s">
        <v>33</v>
      </c>
      <c r="H4" s="65" t="s">
        <v>34</v>
      </c>
      <c r="I4" s="66" t="s">
        <v>36</v>
      </c>
      <c r="J4" s="67"/>
      <c r="K4" s="68"/>
      <c r="L4" s="66"/>
      <c r="M4" s="66"/>
      <c r="N4" s="65" t="s">
        <v>87</v>
      </c>
      <c r="O4" s="69"/>
      <c r="P4" s="70">
        <v>57018720</v>
      </c>
      <c r="Q4" s="71"/>
      <c r="R4" s="57" t="str">
        <f>IF(AND(C4="pv",D4='UNC - PV'!$Q$2,LEFT(E4,1)="u",'UNC - PV'!$O$2="vnđ",TH!P4&lt;&gt;""),"p",IF(AND(C4="pv",D4='UNC - PV'!$Q$2,LEFT(E4,1)="u",'UNC - PV'!$O$2="usd",TH!O4&lt;&gt;""),"p1",IF(AND(C4="pv",D4='UNC - PV'!$Q$2,LEFT(E4,1)="l"),"p2",IF(AND(LEFT(C4,3)="EIB",D4='UNC - EIB'!$T$2,LEFT(E4,1)="u",'UNC - EIB'!$R$2="vnđ",TH!P4&lt;&gt;""),"e",IF(AND(LEFT(C4,3)="EIB",D4='UNC - EIB'!$T$2,LEFT(E4,1)="U",'UNC - EIB'!$R$2="usd",TH!O4&lt;&gt;""),"e1",IF(AND(LEFT(C4,3)="EIB",D4='UNC - EIB'!$T$2,LEFT(E4,1)="l"),"e2",""))))))</f>
        <v>e</v>
      </c>
    </row>
    <row r="5" spans="1:18" ht="18.75" customHeight="1" x14ac:dyDescent="0.25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3">
        <f t="shared" ref="B5:B59" si="0">IF(C5&lt;&gt;"",ROW()-3,"")</f>
        <v>2</v>
      </c>
      <c r="C5" s="63" t="s">
        <v>83</v>
      </c>
      <c r="D5" s="64">
        <v>42556</v>
      </c>
      <c r="E5" s="63" t="s">
        <v>24</v>
      </c>
      <c r="F5" s="65" t="s">
        <v>88</v>
      </c>
      <c r="G5" s="72" t="s">
        <v>89</v>
      </c>
      <c r="H5" s="65" t="s">
        <v>90</v>
      </c>
      <c r="I5" s="63" t="s">
        <v>10</v>
      </c>
      <c r="J5" s="67"/>
      <c r="K5" s="68"/>
      <c r="L5" s="66"/>
      <c r="M5" s="66"/>
      <c r="N5" s="65" t="s">
        <v>91</v>
      </c>
      <c r="O5" s="69"/>
      <c r="P5" s="70">
        <v>32574576</v>
      </c>
      <c r="Q5" s="65"/>
      <c r="R5" s="57" t="str">
        <f>IF(AND(C5="pv",D5='UNC - PV'!$Q$2,LEFT(E5,1)="u",'UNC - PV'!$O$2="vnđ",TH!P5&lt;&gt;""),"p",IF(AND(C5="pv",D5='UNC - PV'!$Q$2,LEFT(E5,1)="u",'UNC - PV'!$O$2="usd",TH!O5&lt;&gt;""),"p1",IF(AND(C5="pv",D5='UNC - PV'!$Q$2,LEFT(E5,1)="l"),"p2",IF(AND(LEFT(C5,3)="EIB",D5='UNC - EIB'!$T$2,LEFT(E5,1)="u",'UNC - EIB'!$R$2="vnđ",TH!P5&lt;&gt;""),"e",IF(AND(LEFT(C5,3)="EIB",D5='UNC - EIB'!$T$2,LEFT(E5,1)="U",'UNC - EIB'!$R$2="usd",TH!O5&lt;&gt;""),"e1",IF(AND(LEFT(C5,3)="EIB",D5='UNC - EIB'!$T$2,LEFT(E5,1)="l"),"e2",""))))))</f>
        <v>e</v>
      </c>
    </row>
    <row r="6" spans="1:18" ht="18.75" customHeight="1" x14ac:dyDescent="0.25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3">
        <f t="shared" si="0"/>
        <v>3</v>
      </c>
      <c r="C6" s="63" t="s">
        <v>83</v>
      </c>
      <c r="D6" s="64">
        <v>42556</v>
      </c>
      <c r="E6" s="63" t="s">
        <v>25</v>
      </c>
      <c r="F6" s="65" t="s">
        <v>92</v>
      </c>
      <c r="G6" s="65" t="s">
        <v>93</v>
      </c>
      <c r="H6" s="65" t="s">
        <v>94</v>
      </c>
      <c r="I6" s="66" t="s">
        <v>36</v>
      </c>
      <c r="J6" s="67"/>
      <c r="K6" s="68"/>
      <c r="L6" s="66"/>
      <c r="M6" s="66"/>
      <c r="N6" s="65" t="s">
        <v>95</v>
      </c>
      <c r="O6" s="69"/>
      <c r="P6" s="70">
        <v>80000000</v>
      </c>
      <c r="Q6" s="65"/>
      <c r="R6" s="57" t="str">
        <f>IF(AND(C6="pv",D6='UNC - PV'!$Q$2,LEFT(E6,1)="u",'UNC - PV'!$O$2="vnđ",TH!P6&lt;&gt;""),"p",IF(AND(C6="pv",D6='UNC - PV'!$Q$2,LEFT(E6,1)="u",'UNC - PV'!$O$2="usd",TH!O6&lt;&gt;""),"p1",IF(AND(C6="pv",D6='UNC - PV'!$Q$2,LEFT(E6,1)="l"),"p2",IF(AND(LEFT(C6,3)="EIB",D6='UNC - EIB'!$T$2,LEFT(E6,1)="u",'UNC - EIB'!$R$2="vnđ",TH!P6&lt;&gt;""),"e",IF(AND(LEFT(C6,3)="EIB",D6='UNC - EIB'!$T$2,LEFT(E6,1)="U",'UNC - EIB'!$R$2="usd",TH!O6&lt;&gt;""),"e1",IF(AND(LEFT(C6,3)="EIB",D6='UNC - EIB'!$T$2,LEFT(E6,1)="l"),"e2",""))))))</f>
        <v>e</v>
      </c>
    </row>
    <row r="7" spans="1:18" ht="18.75" customHeight="1" x14ac:dyDescent="0.25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3">
        <f t="shared" si="0"/>
        <v>4</v>
      </c>
      <c r="C7" s="63" t="s">
        <v>83</v>
      </c>
      <c r="D7" s="64">
        <v>42556</v>
      </c>
      <c r="E7" s="63" t="s">
        <v>26</v>
      </c>
      <c r="F7" s="65" t="s">
        <v>96</v>
      </c>
      <c r="G7" s="72" t="s">
        <v>99</v>
      </c>
      <c r="H7" s="65" t="s">
        <v>97</v>
      </c>
      <c r="I7" s="63" t="s">
        <v>10</v>
      </c>
      <c r="J7" s="67"/>
      <c r="K7" s="68"/>
      <c r="L7" s="66"/>
      <c r="M7" s="66"/>
      <c r="N7" s="65" t="s">
        <v>98</v>
      </c>
      <c r="O7" s="69"/>
      <c r="P7" s="70">
        <v>50000000</v>
      </c>
      <c r="Q7" s="65"/>
      <c r="R7" s="57" t="str">
        <f>IF(AND(C7="pv",D7='UNC - PV'!$Q$2,LEFT(E7,1)="u",'UNC - PV'!$O$2="vnđ",TH!P7&lt;&gt;""),"p",IF(AND(C7="pv",D7='UNC - PV'!$Q$2,LEFT(E7,1)="u",'UNC - PV'!$O$2="usd",TH!O7&lt;&gt;""),"p1",IF(AND(C7="pv",D7='UNC - PV'!$Q$2,LEFT(E7,1)="l"),"p2",IF(AND(LEFT(C7,3)="EIB",D7='UNC - EIB'!$T$2,LEFT(E7,1)="u",'UNC - EIB'!$R$2="vnđ",TH!P7&lt;&gt;""),"e",IF(AND(LEFT(C7,3)="EIB",D7='UNC - EIB'!$T$2,LEFT(E7,1)="U",'UNC - EIB'!$R$2="usd",TH!O7&lt;&gt;""),"e1",IF(AND(LEFT(C7,3)="EIB",D7='UNC - EIB'!$T$2,LEFT(E7,1)="l"),"e2",""))))))</f>
        <v>e</v>
      </c>
    </row>
    <row r="8" spans="1:18" ht="18.75" customHeight="1" x14ac:dyDescent="0.25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3">
        <f t="shared" si="0"/>
        <v>5</v>
      </c>
      <c r="C8" s="63" t="s">
        <v>83</v>
      </c>
      <c r="D8" s="64">
        <v>42556</v>
      </c>
      <c r="E8" s="63" t="s">
        <v>85</v>
      </c>
      <c r="F8" s="65" t="s">
        <v>100</v>
      </c>
      <c r="G8" s="65" t="s">
        <v>101</v>
      </c>
      <c r="H8" s="65" t="s">
        <v>102</v>
      </c>
      <c r="I8" s="63" t="s">
        <v>10</v>
      </c>
      <c r="J8" s="67"/>
      <c r="K8" s="68"/>
      <c r="L8" s="66"/>
      <c r="M8" s="66"/>
      <c r="N8" s="65" t="s">
        <v>103</v>
      </c>
      <c r="O8" s="69"/>
      <c r="P8" s="70">
        <v>50000000</v>
      </c>
      <c r="Q8" s="65"/>
      <c r="R8" s="57" t="str">
        <f>IF(AND(C8="pv",D8='UNC - PV'!$Q$2,LEFT(E8,1)="u",'UNC - PV'!$O$2="vnđ",TH!P8&lt;&gt;""),"p",IF(AND(C8="pv",D8='UNC - PV'!$Q$2,LEFT(E8,1)="u",'UNC - PV'!$O$2="usd",TH!O8&lt;&gt;""),"p1",IF(AND(C8="pv",D8='UNC - PV'!$Q$2,LEFT(E8,1)="l"),"p2",IF(AND(LEFT(C8,3)="EIB",D8='UNC - EIB'!$T$2,LEFT(E8,1)="u",'UNC - EIB'!$R$2="vnđ",TH!P8&lt;&gt;""),"e",IF(AND(LEFT(C8,3)="EIB",D8='UNC - EIB'!$T$2,LEFT(E8,1)="U",'UNC - EIB'!$R$2="usd",TH!O8&lt;&gt;""),"e1",IF(AND(LEFT(C8,3)="EIB",D8='UNC - EIB'!$T$2,LEFT(E8,1)="l"),"e2",""))))))</f>
        <v>e</v>
      </c>
    </row>
    <row r="9" spans="1:18" ht="18.75" customHeight="1" x14ac:dyDescent="0.25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3">
        <f t="shared" si="0"/>
        <v>6</v>
      </c>
      <c r="C9" s="63" t="s">
        <v>83</v>
      </c>
      <c r="D9" s="64">
        <v>42556</v>
      </c>
      <c r="E9" s="63" t="s">
        <v>86</v>
      </c>
      <c r="F9" s="71" t="s">
        <v>4</v>
      </c>
      <c r="G9" s="71" t="s">
        <v>5</v>
      </c>
      <c r="H9" s="71" t="s">
        <v>6</v>
      </c>
      <c r="I9" s="63" t="s">
        <v>10</v>
      </c>
      <c r="J9" s="73"/>
      <c r="K9" s="64"/>
      <c r="L9" s="63"/>
      <c r="M9" s="63"/>
      <c r="N9" s="71" t="s">
        <v>84</v>
      </c>
      <c r="O9" s="74"/>
      <c r="P9" s="75">
        <v>28078550</v>
      </c>
      <c r="Q9" s="65"/>
      <c r="R9" s="57" t="str">
        <f>IF(AND(C9="pv",D9='UNC - PV'!$Q$2,LEFT(E9,1)="u",'UNC - PV'!$O$2="vnđ",TH!P9&lt;&gt;""),"p",IF(AND(C9="pv",D9='UNC - PV'!$Q$2,LEFT(E9,1)="u",'UNC - PV'!$O$2="usd",TH!O9&lt;&gt;""),"p1",IF(AND(C9="pv",D9='UNC - PV'!$Q$2,LEFT(E9,1)="l"),"p2",IF(AND(LEFT(C9,3)="EIB",D9='UNC - EIB'!$T$2,LEFT(E9,1)="u",'UNC - EIB'!$R$2="vnđ",TH!P9&lt;&gt;""),"e",IF(AND(LEFT(C9,3)="EIB",D9='UNC - EIB'!$T$2,LEFT(E9,1)="U",'UNC - EIB'!$R$2="usd",TH!O9&lt;&gt;""),"e1",IF(AND(LEFT(C9,3)="EIB",D9='UNC - EIB'!$T$2,LEFT(E9,1)="l"),"e2",""))))))</f>
        <v>e</v>
      </c>
    </row>
    <row r="10" spans="1:18" ht="18.75" customHeight="1" x14ac:dyDescent="0.25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x3</v>
      </c>
      <c r="B10" s="63">
        <f t="shared" si="0"/>
        <v>7</v>
      </c>
      <c r="C10" s="63" t="s">
        <v>105</v>
      </c>
      <c r="D10" s="64">
        <v>42556</v>
      </c>
      <c r="E10" s="63" t="s">
        <v>27</v>
      </c>
      <c r="F10" s="65" t="s">
        <v>9</v>
      </c>
      <c r="G10" s="65"/>
      <c r="H10" s="65"/>
      <c r="I10" s="66"/>
      <c r="J10" s="67" t="s">
        <v>11</v>
      </c>
      <c r="K10" s="68">
        <v>41051</v>
      </c>
      <c r="L10" s="66" t="s">
        <v>10</v>
      </c>
      <c r="M10" s="66" t="s">
        <v>106</v>
      </c>
      <c r="N10" s="65" t="s">
        <v>128</v>
      </c>
      <c r="O10" s="69"/>
      <c r="P10" s="70">
        <v>1100000000</v>
      </c>
      <c r="Q10" s="65"/>
      <c r="R10" s="57" t="str">
        <f>IF(AND(C10="pv",D10='UNC - PV'!$Q$2,LEFT(E10,1)="u",'UNC - PV'!$O$2="vnđ",TH!P10&lt;&gt;""),"p",IF(AND(C10="pv",D10='UNC - PV'!$Q$2,LEFT(E10,1)="u",'UNC - PV'!$O$2="usd",TH!O10&lt;&gt;""),"p1",IF(AND(C10="pv",D10='UNC - PV'!$Q$2,LEFT(E10,1)="l"),"p2",IF(AND(LEFT(C10,3)="EIB",D10='UNC - EIB'!$T$2,LEFT(E10,1)="u",'UNC - EIB'!$R$2="vnđ",TH!P10&lt;&gt;""),"e",IF(AND(LEFT(C10,3)="EIB",D10='UNC - EIB'!$T$2,LEFT(E10,1)="U",'UNC - EIB'!$R$2="usd",TH!O10&lt;&gt;""),"e1",IF(AND(LEFT(C10,3)="EIB",D10='UNC - EIB'!$T$2,LEFT(E10,1)="l"),"e2",""))))))</f>
        <v>e2</v>
      </c>
    </row>
    <row r="11" spans="1:18" ht="18.75" customHeight="1" x14ac:dyDescent="0.25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63">
        <f t="shared" si="0"/>
        <v>8</v>
      </c>
      <c r="C11" s="63" t="s">
        <v>83</v>
      </c>
      <c r="D11" s="64">
        <v>42556</v>
      </c>
      <c r="E11" s="63" t="s">
        <v>28</v>
      </c>
      <c r="F11" s="65" t="s">
        <v>9</v>
      </c>
      <c r="G11" s="65"/>
      <c r="H11" s="65"/>
      <c r="I11" s="66"/>
      <c r="J11" s="67" t="s">
        <v>11</v>
      </c>
      <c r="K11" s="68">
        <v>41051</v>
      </c>
      <c r="L11" s="66" t="s">
        <v>10</v>
      </c>
      <c r="M11" s="66" t="s">
        <v>106</v>
      </c>
      <c r="N11" s="65" t="s">
        <v>128</v>
      </c>
      <c r="O11" s="69"/>
      <c r="P11" s="70">
        <v>200000000</v>
      </c>
      <c r="Q11" s="65"/>
      <c r="R11" s="57" t="str">
        <f>IF(AND(C11="pv",D11='UNC - PV'!$Q$2,LEFT(E11,1)="u",'UNC - PV'!$O$2="vnđ",TH!P11&lt;&gt;""),"p",IF(AND(C11="pv",D11='UNC - PV'!$Q$2,LEFT(E11,1)="u",'UNC - PV'!$O$2="usd",TH!O11&lt;&gt;""),"p1",IF(AND(C11="pv",D11='UNC - PV'!$Q$2,LEFT(E11,1)="l"),"p2",IF(AND(LEFT(C11,3)="EIB",D11='UNC - EIB'!$T$2,LEFT(E11,1)="u",'UNC - EIB'!$R$2="vnđ",TH!P11&lt;&gt;""),"e",IF(AND(LEFT(C11,3)="EIB",D11='UNC - EIB'!$T$2,LEFT(E11,1)="U",'UNC - EIB'!$R$2="usd",TH!O11&lt;&gt;""),"e1",IF(AND(LEFT(C11,3)="EIB",D11='UNC - EIB'!$T$2,LEFT(E11,1)="l"),"e2",""))))))</f>
        <v>e2</v>
      </c>
    </row>
    <row r="12" spans="1:18" ht="18.75" customHeight="1" x14ac:dyDescent="0.25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63">
        <f t="shared" si="0"/>
        <v>9</v>
      </c>
      <c r="C12" s="63" t="s">
        <v>83</v>
      </c>
      <c r="D12" s="64">
        <v>42556</v>
      </c>
      <c r="E12" s="63" t="s">
        <v>79</v>
      </c>
      <c r="F12" s="65" t="s">
        <v>9</v>
      </c>
      <c r="G12" s="65"/>
      <c r="H12" s="65"/>
      <c r="I12" s="66"/>
      <c r="J12" s="67" t="s">
        <v>11</v>
      </c>
      <c r="K12" s="68">
        <v>41051</v>
      </c>
      <c r="L12" s="66" t="s">
        <v>10</v>
      </c>
      <c r="M12" s="66" t="s">
        <v>106</v>
      </c>
      <c r="N12" s="65" t="s">
        <v>128</v>
      </c>
      <c r="O12" s="69"/>
      <c r="P12" s="70">
        <v>300000000</v>
      </c>
      <c r="Q12" s="65"/>
      <c r="R12" s="57" t="str">
        <f>IF(AND(C12="pv",D12='UNC - PV'!$Q$2,LEFT(E12,1)="u",'UNC - PV'!$O$2="vnđ",TH!P12&lt;&gt;""),"p",IF(AND(C12="pv",D12='UNC - PV'!$Q$2,LEFT(E12,1)="u",'UNC - PV'!$O$2="usd",TH!O12&lt;&gt;""),"p1",IF(AND(C12="pv",D12='UNC - PV'!$Q$2,LEFT(E12,1)="l"),"p2",IF(AND(LEFT(C12,3)="EIB",D12='UNC - EIB'!$T$2,LEFT(E12,1)="u",'UNC - EIB'!$R$2="vnđ",TH!P12&lt;&gt;""),"e",IF(AND(LEFT(C12,3)="EIB",D12='UNC - EIB'!$T$2,LEFT(E12,1)="U",'UNC - EIB'!$R$2="usd",TH!O12&lt;&gt;""),"e1",IF(AND(LEFT(C12,3)="EIB",D12='UNC - EIB'!$T$2,LEFT(E12,1)="l"),"e2",""))))))</f>
        <v>e2</v>
      </c>
    </row>
    <row r="13" spans="1:18" ht="18.75" customHeight="1" x14ac:dyDescent="0.25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63" t="str">
        <f t="shared" si="0"/>
        <v/>
      </c>
      <c r="C13" s="63"/>
      <c r="D13" s="64"/>
      <c r="E13" s="63"/>
      <c r="F13" s="65"/>
      <c r="G13" s="65"/>
      <c r="H13" s="65"/>
      <c r="I13" s="66"/>
      <c r="J13" s="67"/>
      <c r="K13" s="68"/>
      <c r="L13" s="66"/>
      <c r="M13" s="66"/>
      <c r="N13" s="65"/>
      <c r="O13" s="69"/>
      <c r="P13" s="70"/>
      <c r="Q13" s="65"/>
      <c r="R13" s="57" t="str">
        <f>IF(AND(C13="pv",D13='UNC - PV'!$Q$2,LEFT(E13,1)="u",'UNC - PV'!$O$2="vnđ",TH!P13&lt;&gt;""),"p",IF(AND(C13="pv",D13='UNC - PV'!$Q$2,LEFT(E13,1)="u",'UNC - PV'!$O$2="usd",TH!O13&lt;&gt;""),"p1",IF(AND(C13="pv",D13='UNC - PV'!$Q$2,LEFT(E13,1)="l"),"p2",IF(AND(LEFT(C13,3)="EIB",D13='UNC - EIB'!$T$2,LEFT(E13,1)="u",'UNC - EIB'!$R$2="vnđ",TH!P13&lt;&gt;""),"e",IF(AND(LEFT(C13,3)="EIB",D13='UNC - EIB'!$T$2,LEFT(E13,1)="U",'UNC - EIB'!$R$2="usd",TH!O13&lt;&gt;""),"e1",IF(AND(LEFT(C13,3)="EIB",D13='UNC - EIB'!$T$2,LEFT(E13,1)="l"),"e2",""))))))</f>
        <v/>
      </c>
    </row>
    <row r="14" spans="1:18" ht="18.75" customHeight="1" x14ac:dyDescent="0.25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63" t="str">
        <f t="shared" si="0"/>
        <v/>
      </c>
      <c r="C14" s="63"/>
      <c r="D14" s="64"/>
      <c r="E14" s="63"/>
      <c r="F14" s="65"/>
      <c r="G14" s="65"/>
      <c r="H14" s="65"/>
      <c r="I14" s="66"/>
      <c r="J14" s="67"/>
      <c r="K14" s="68"/>
      <c r="L14" s="66"/>
      <c r="M14" s="66"/>
      <c r="N14" s="65"/>
      <c r="O14" s="69"/>
      <c r="P14" s="70"/>
      <c r="Q14" s="65"/>
      <c r="R14" s="57" t="str">
        <f>IF(AND(C14="pv",D14='UNC - PV'!$Q$2,LEFT(E14,1)="u",'UNC - PV'!$O$2="vnđ",TH!P14&lt;&gt;""),"p",IF(AND(C14="pv",D14='UNC - PV'!$Q$2,LEFT(E14,1)="u",'UNC - PV'!$O$2="usd",TH!O14&lt;&gt;""),"p1",IF(AND(C14="pv",D14='UNC - PV'!$Q$2,LEFT(E14,1)="l"),"p2",IF(AND(LEFT(C14,3)="EIB",D14='UNC - EIB'!$T$2,LEFT(E14,1)="u",'UNC - EIB'!$R$2="vnđ",TH!P14&lt;&gt;""),"e",IF(AND(LEFT(C14,3)="EIB",D14='UNC - EIB'!$T$2,LEFT(E14,1)="U",'UNC - EIB'!$R$2="usd",TH!O14&lt;&gt;""),"e1",IF(AND(LEFT(C14,3)="EIB",D14='UNC - EIB'!$T$2,LEFT(E14,1)="l"),"e2",""))))))</f>
        <v/>
      </c>
    </row>
    <row r="15" spans="1:18" ht="18.75" customHeight="1" x14ac:dyDescent="0.25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63" t="str">
        <f t="shared" si="0"/>
        <v/>
      </c>
      <c r="C15" s="63"/>
      <c r="D15" s="64"/>
      <c r="E15" s="63"/>
      <c r="F15" s="65"/>
      <c r="G15" s="65"/>
      <c r="H15" s="65"/>
      <c r="I15" s="66"/>
      <c r="J15" s="67"/>
      <c r="K15" s="68"/>
      <c r="L15" s="66"/>
      <c r="M15" s="66"/>
      <c r="N15" s="65"/>
      <c r="O15" s="69"/>
      <c r="P15" s="70"/>
      <c r="Q15" s="65"/>
      <c r="R15" s="57" t="str">
        <f>IF(AND(C15="pv",D15='UNC - PV'!$Q$2,LEFT(E15,1)="u",'UNC - PV'!$O$2="vnđ",TH!P15&lt;&gt;""),"p",IF(AND(C15="pv",D15='UNC - PV'!$Q$2,LEFT(E15,1)="u",'UNC - PV'!$O$2="usd",TH!O15&lt;&gt;""),"p1",IF(AND(C15="pv",D15='UNC - PV'!$Q$2,LEFT(E15,1)="l"),"p2",IF(AND(LEFT(C15,3)="EIB",D15='UNC - EIB'!$T$2,LEFT(E15,1)="u",'UNC - EIB'!$R$2="vnđ",TH!P15&lt;&gt;""),"e",IF(AND(LEFT(C15,3)="EIB",D15='UNC - EIB'!$T$2,LEFT(E15,1)="U",'UNC - EIB'!$R$2="usd",TH!O15&lt;&gt;""),"e1",IF(AND(LEFT(C15,3)="EIB",D15='UNC - EIB'!$T$2,LEFT(E15,1)="l"),"e2",""))))))</f>
        <v/>
      </c>
    </row>
    <row r="16" spans="1:18" ht="18.75" customHeight="1" x14ac:dyDescent="0.25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63" t="str">
        <f t="shared" si="0"/>
        <v/>
      </c>
      <c r="C16" s="63"/>
      <c r="D16" s="64"/>
      <c r="E16" s="63"/>
      <c r="F16" s="65"/>
      <c r="G16" s="65"/>
      <c r="H16" s="65"/>
      <c r="I16" s="66"/>
      <c r="J16" s="67"/>
      <c r="K16" s="68"/>
      <c r="L16" s="66"/>
      <c r="M16" s="66"/>
      <c r="N16" s="65"/>
      <c r="O16" s="69"/>
      <c r="P16" s="70"/>
      <c r="Q16" s="65"/>
      <c r="R16" s="57" t="str">
        <f>IF(AND(C16="pv",D16='UNC - PV'!$Q$2,LEFT(E16,1)="u",'UNC - PV'!$O$2="vnđ",TH!P16&lt;&gt;""),"p",IF(AND(C16="pv",D16='UNC - PV'!$Q$2,LEFT(E16,1)="u",'UNC - PV'!$O$2="usd",TH!O16&lt;&gt;""),"p1",IF(AND(C16="pv",D16='UNC - PV'!$Q$2,LEFT(E16,1)="l"),"p2",IF(AND(LEFT(C16,3)="EIB",D16='UNC - EIB'!$T$2,LEFT(E16,1)="u",'UNC - EIB'!$R$2="vnđ",TH!P16&lt;&gt;""),"e",IF(AND(LEFT(C16,3)="EIB",D16='UNC - EIB'!$T$2,LEFT(E16,1)="U",'UNC - EIB'!$R$2="usd",TH!O16&lt;&gt;""),"e1",IF(AND(LEFT(C16,3)="EIB",D16='UNC - EIB'!$T$2,LEFT(E16,1)="l"),"e2",""))))))</f>
        <v/>
      </c>
    </row>
    <row r="17" spans="1:18" ht="18.75" customHeight="1" x14ac:dyDescent="0.25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63" t="str">
        <f t="shared" si="0"/>
        <v/>
      </c>
      <c r="C17" s="63"/>
      <c r="D17" s="64"/>
      <c r="E17" s="63"/>
      <c r="F17" s="65"/>
      <c r="G17" s="65"/>
      <c r="H17" s="65"/>
      <c r="I17" s="66"/>
      <c r="J17" s="67"/>
      <c r="K17" s="68"/>
      <c r="L17" s="66"/>
      <c r="M17" s="66"/>
      <c r="N17" s="65"/>
      <c r="O17" s="69"/>
      <c r="P17" s="70"/>
      <c r="Q17" s="65"/>
      <c r="R17" s="57" t="str">
        <f>IF(AND(C17="pv",D17='UNC - PV'!$Q$2,LEFT(E17,1)="u",'UNC - PV'!$O$2="vnđ",TH!P17&lt;&gt;""),"p",IF(AND(C17="pv",D17='UNC - PV'!$Q$2,LEFT(E17,1)="u",'UNC - PV'!$O$2="usd",TH!O17&lt;&gt;""),"p1",IF(AND(C17="pv",D17='UNC - PV'!$Q$2,LEFT(E17,1)="l"),"p2",IF(AND(LEFT(C17,3)="EIB",D17='UNC - EIB'!$T$2,LEFT(E17,1)="u",'UNC - EIB'!$R$2="vnđ",TH!P17&lt;&gt;""),"e",IF(AND(LEFT(C17,3)="EIB",D17='UNC - EIB'!$T$2,LEFT(E17,1)="U",'UNC - EIB'!$R$2="usd",TH!O17&lt;&gt;""),"e1",IF(AND(LEFT(C17,3)="EIB",D17='UNC - EIB'!$T$2,LEFT(E17,1)="l"),"e2",""))))))</f>
        <v/>
      </c>
    </row>
    <row r="18" spans="1:18" ht="18.75" customHeight="1" x14ac:dyDescent="0.25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3" t="str">
        <f t="shared" si="0"/>
        <v/>
      </c>
      <c r="C18" s="63"/>
      <c r="D18" s="64"/>
      <c r="E18" s="63"/>
      <c r="F18" s="65"/>
      <c r="G18" s="65"/>
      <c r="H18" s="65"/>
      <c r="I18" s="66"/>
      <c r="J18" s="67"/>
      <c r="K18" s="68"/>
      <c r="L18" s="66"/>
      <c r="M18" s="66"/>
      <c r="N18" s="65"/>
      <c r="O18" s="69"/>
      <c r="P18" s="70"/>
      <c r="Q18" s="65"/>
      <c r="R18" s="57" t="str">
        <f>IF(AND(C18="pv",D18='UNC - PV'!$Q$2,LEFT(E18,1)="u",'UNC - PV'!$O$2="vnđ",TH!P18&lt;&gt;""),"p",IF(AND(C18="pv",D18='UNC - PV'!$Q$2,LEFT(E18,1)="u",'UNC - PV'!$O$2="usd",TH!O18&lt;&gt;""),"p1",IF(AND(C18="pv",D18='UNC - PV'!$Q$2,LEFT(E18,1)="l"),"p2",IF(AND(LEFT(C18,3)="EIB",D18='UNC - EIB'!$T$2,LEFT(E18,1)="u",'UNC - EIB'!$R$2="vnđ",TH!P18&lt;&gt;""),"e",IF(AND(LEFT(C18,3)="EIB",D18='UNC - EIB'!$T$2,LEFT(E18,1)="U",'UNC - EIB'!$R$2="usd",TH!O18&lt;&gt;""),"e1",IF(AND(LEFT(C18,3)="EIB",D18='UNC - EIB'!$T$2,LEFT(E18,1)="l"),"e2",""))))))</f>
        <v/>
      </c>
    </row>
    <row r="19" spans="1:18" ht="18.75" customHeight="1" x14ac:dyDescent="0.25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3" t="str">
        <f t="shared" si="0"/>
        <v/>
      </c>
      <c r="C19" s="63"/>
      <c r="D19" s="68"/>
      <c r="E19" s="66"/>
      <c r="F19" s="65"/>
      <c r="G19" s="65"/>
      <c r="H19" s="65"/>
      <c r="I19" s="66"/>
      <c r="J19" s="67"/>
      <c r="K19" s="68"/>
      <c r="L19" s="66"/>
      <c r="M19" s="66"/>
      <c r="N19" s="65"/>
      <c r="O19" s="69"/>
      <c r="P19" s="70"/>
      <c r="Q19" s="65"/>
      <c r="R19" s="57" t="str">
        <f>IF(AND(C19="pv",D19='UNC - PV'!$Q$2,LEFT(E19,1)="u",'UNC - PV'!$O$2="vnđ",TH!P19&lt;&gt;""),"p",IF(AND(C19="pv",D19='UNC - PV'!$Q$2,LEFT(E19,1)="u",'UNC - PV'!$O$2="usd",TH!O19&lt;&gt;""),"p1",IF(AND(C19="pv",D19='UNC - PV'!$Q$2,LEFT(E19,1)="l"),"p2",IF(AND(LEFT(C19,3)="EIB",D19='UNC - EIB'!$T$2,LEFT(E19,1)="u",'UNC - EIB'!$R$2="vnđ",TH!P19&lt;&gt;""),"e",IF(AND(LEFT(C19,3)="EIB",D19='UNC - EIB'!$T$2,LEFT(E19,1)="U",'UNC - EIB'!$R$2="usd",TH!O19&lt;&gt;""),"e1",IF(AND(LEFT(C19,3)="EIB",D19='UNC - EIB'!$T$2,LEFT(E19,1)="l"),"e2",""))))))</f>
        <v/>
      </c>
    </row>
    <row r="20" spans="1:18" ht="18.75" customHeight="1" x14ac:dyDescent="0.25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3" t="str">
        <f t="shared" si="0"/>
        <v/>
      </c>
      <c r="C20" s="63"/>
      <c r="D20" s="68"/>
      <c r="E20" s="66"/>
      <c r="F20" s="65"/>
      <c r="G20" s="65"/>
      <c r="H20" s="65"/>
      <c r="I20" s="66"/>
      <c r="J20" s="67"/>
      <c r="K20" s="68"/>
      <c r="L20" s="66"/>
      <c r="M20" s="66"/>
      <c r="N20" s="65"/>
      <c r="O20" s="69"/>
      <c r="P20" s="70"/>
      <c r="Q20" s="65"/>
      <c r="R20" s="57" t="str">
        <f>IF(AND(C20="pv",D20='UNC - PV'!$Q$2,LEFT(E20,1)="u",'UNC - PV'!$O$2="vnđ",TH!P20&lt;&gt;""),"p",IF(AND(C20="pv",D20='UNC - PV'!$Q$2,LEFT(E20,1)="u",'UNC - PV'!$O$2="usd",TH!O20&lt;&gt;""),"p1",IF(AND(C20="pv",D20='UNC - PV'!$Q$2,LEFT(E20,1)="l"),"p2",IF(AND(LEFT(C20,3)="EIB",D20='UNC - EIB'!$T$2,LEFT(E20,1)="u",'UNC - EIB'!$R$2="vnđ",TH!P20&lt;&gt;""),"e",IF(AND(LEFT(C20,3)="EIB",D20='UNC - EIB'!$T$2,LEFT(E20,1)="U",'UNC - EIB'!$R$2="usd",TH!O20&lt;&gt;""),"e1",IF(AND(LEFT(C20,3)="EIB",D20='UNC - EIB'!$T$2,LEFT(E20,1)="l"),"e2",""))))))</f>
        <v/>
      </c>
    </row>
    <row r="21" spans="1:18" ht="18.75" customHeight="1" x14ac:dyDescent="0.25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3" t="str">
        <f t="shared" si="0"/>
        <v/>
      </c>
      <c r="C21" s="63"/>
      <c r="D21" s="68"/>
      <c r="E21" s="66"/>
      <c r="F21" s="65"/>
      <c r="G21" s="65"/>
      <c r="H21" s="65"/>
      <c r="I21" s="66"/>
      <c r="J21" s="67"/>
      <c r="K21" s="68"/>
      <c r="L21" s="66"/>
      <c r="M21" s="66"/>
      <c r="N21" s="65"/>
      <c r="O21" s="69"/>
      <c r="P21" s="70"/>
      <c r="Q21" s="65"/>
      <c r="R21" s="57" t="str">
        <f>IF(AND(C21="pv",D21='UNC - PV'!$Q$2,LEFT(E21,1)="u",'UNC - PV'!$O$2="vnđ",TH!P21&lt;&gt;""),"p",IF(AND(C21="pv",D21='UNC - PV'!$Q$2,LEFT(E21,1)="u",'UNC - PV'!$O$2="usd",TH!O21&lt;&gt;""),"p1",IF(AND(C21="pv",D21='UNC - PV'!$Q$2,LEFT(E21,1)="l"),"p2",IF(AND(LEFT(C21,3)="EIB",D21='UNC - EIB'!$T$2,LEFT(E21,1)="u",'UNC - EIB'!$R$2="vnđ",TH!P21&lt;&gt;""),"e",IF(AND(LEFT(C21,3)="EIB",D21='UNC - EIB'!$T$2,LEFT(E21,1)="U",'UNC - EIB'!$R$2="usd",TH!O21&lt;&gt;""),"e1",IF(AND(LEFT(C21,3)="EIB",D21='UNC - EIB'!$T$2,LEFT(E21,1)="l"),"e2",""))))))</f>
        <v/>
      </c>
    </row>
    <row r="22" spans="1:18" ht="18.75" customHeight="1" x14ac:dyDescent="0.25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3" t="str">
        <f t="shared" si="0"/>
        <v/>
      </c>
      <c r="C22" s="63"/>
      <c r="D22" s="68"/>
      <c r="E22" s="66"/>
      <c r="F22" s="65"/>
      <c r="G22" s="65"/>
      <c r="H22" s="65"/>
      <c r="I22" s="66"/>
      <c r="J22" s="67"/>
      <c r="K22" s="68"/>
      <c r="L22" s="66"/>
      <c r="M22" s="66"/>
      <c r="N22" s="65"/>
      <c r="O22" s="69"/>
      <c r="P22" s="70"/>
      <c r="Q22" s="65"/>
      <c r="R22" s="57" t="str">
        <f>IF(AND(C22="pv",D22='UNC - PV'!$Q$2,LEFT(E22,1)="u",'UNC - PV'!$O$2="vnđ",TH!P22&lt;&gt;""),"p",IF(AND(C22="pv",D22='UNC - PV'!$Q$2,LEFT(E22,1)="u",'UNC - PV'!$O$2="usd",TH!O22&lt;&gt;""),"p1",IF(AND(C22="pv",D22='UNC - PV'!$Q$2,LEFT(E22,1)="l"),"p2",IF(AND(LEFT(C22,3)="EIB",D22='UNC - EIB'!$T$2,LEFT(E22,1)="u",'UNC - EIB'!$R$2="vnđ",TH!P22&lt;&gt;""),"e",IF(AND(LEFT(C22,3)="EIB",D22='UNC - EIB'!$T$2,LEFT(E22,1)="U",'UNC - EIB'!$R$2="usd",TH!O22&lt;&gt;""),"e1",IF(AND(LEFT(C22,3)="EIB",D22='UNC - EIB'!$T$2,LEFT(E22,1)="l"),"e2",""))))))</f>
        <v/>
      </c>
    </row>
    <row r="23" spans="1:18" ht="18.75" customHeight="1" x14ac:dyDescent="0.25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3" t="str">
        <f t="shared" si="0"/>
        <v/>
      </c>
      <c r="C23" s="63"/>
      <c r="D23" s="68"/>
      <c r="E23" s="66"/>
      <c r="F23" s="65"/>
      <c r="G23" s="65"/>
      <c r="H23" s="65"/>
      <c r="I23" s="66"/>
      <c r="J23" s="67"/>
      <c r="K23" s="68"/>
      <c r="L23" s="66"/>
      <c r="M23" s="66"/>
      <c r="N23" s="65"/>
      <c r="O23" s="69"/>
      <c r="P23" s="70"/>
      <c r="Q23" s="65"/>
      <c r="R23" s="57" t="str">
        <f>IF(AND(C23="pv",D23='UNC - PV'!$Q$2,LEFT(E23,1)="u",'UNC - PV'!$O$2="vnđ",TH!P23&lt;&gt;""),"p",IF(AND(C23="pv",D23='UNC - PV'!$Q$2,LEFT(E23,1)="u",'UNC - PV'!$O$2="usd",TH!O23&lt;&gt;""),"p1",IF(AND(C23="pv",D23='UNC - PV'!$Q$2,LEFT(E23,1)="l"),"p2",IF(AND(LEFT(C23,3)="EIB",D23='UNC - EIB'!$T$2,LEFT(E23,1)="u",'UNC - EIB'!$R$2="vnđ",TH!P23&lt;&gt;""),"e",IF(AND(LEFT(C23,3)="EIB",D23='UNC - EIB'!$T$2,LEFT(E23,1)="U",'UNC - EIB'!$R$2="usd",TH!O23&lt;&gt;""),"e1",IF(AND(LEFT(C23,3)="EIB",D23='UNC - EIB'!$T$2,LEFT(E23,1)="l"),"e2",""))))))</f>
        <v/>
      </c>
    </row>
    <row r="24" spans="1:18" ht="18.75" customHeight="1" x14ac:dyDescent="0.25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3" t="str">
        <f t="shared" si="0"/>
        <v/>
      </c>
      <c r="C24" s="63"/>
      <c r="D24" s="68"/>
      <c r="E24" s="66"/>
      <c r="F24" s="65"/>
      <c r="G24" s="65"/>
      <c r="H24" s="65"/>
      <c r="I24" s="66"/>
      <c r="J24" s="67"/>
      <c r="K24" s="68"/>
      <c r="L24" s="66"/>
      <c r="M24" s="66"/>
      <c r="N24" s="65"/>
      <c r="O24" s="69"/>
      <c r="P24" s="70"/>
      <c r="Q24" s="65"/>
      <c r="R24" s="57" t="str">
        <f>IF(AND(C24="pv",D24='UNC - PV'!$Q$2,LEFT(E24,1)="u",'UNC - PV'!$O$2="vnđ",TH!P24&lt;&gt;""),"p",IF(AND(C24="pv",D24='UNC - PV'!$Q$2,LEFT(E24,1)="u",'UNC - PV'!$O$2="usd",TH!O24&lt;&gt;""),"p1",IF(AND(C24="pv",D24='UNC - PV'!$Q$2,LEFT(E24,1)="l"),"p2",IF(AND(LEFT(C24,3)="EIB",D24='UNC - EIB'!$T$2,LEFT(E24,1)="u",'UNC - EIB'!$R$2="vnđ",TH!P24&lt;&gt;""),"e",IF(AND(LEFT(C24,3)="EIB",D24='UNC - EIB'!$T$2,LEFT(E24,1)="U",'UNC - EIB'!$R$2="usd",TH!O24&lt;&gt;""),"e1",IF(AND(LEFT(C24,3)="EIB",D24='UNC - EIB'!$T$2,LEFT(E24,1)="l"),"e2",""))))))</f>
        <v/>
      </c>
    </row>
    <row r="25" spans="1:18" ht="18.75" customHeight="1" x14ac:dyDescent="0.25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3" t="str">
        <f t="shared" si="0"/>
        <v/>
      </c>
      <c r="C25" s="63"/>
      <c r="D25" s="68"/>
      <c r="E25" s="66"/>
      <c r="F25" s="65"/>
      <c r="G25" s="65"/>
      <c r="H25" s="65"/>
      <c r="I25" s="66"/>
      <c r="J25" s="67"/>
      <c r="K25" s="68"/>
      <c r="L25" s="66"/>
      <c r="M25" s="66"/>
      <c r="N25" s="65"/>
      <c r="O25" s="69"/>
      <c r="P25" s="70"/>
      <c r="Q25" s="65"/>
      <c r="R25" s="57" t="str">
        <f>IF(AND(C25="pv",D25='UNC - PV'!$Q$2,LEFT(E25,1)="u",'UNC - PV'!$O$2="vnđ",TH!P25&lt;&gt;""),"p",IF(AND(C25="pv",D25='UNC - PV'!$Q$2,LEFT(E25,1)="u",'UNC - PV'!$O$2="usd",TH!O25&lt;&gt;""),"p1",IF(AND(C25="pv",D25='UNC - PV'!$Q$2,LEFT(E25,1)="l"),"p2",IF(AND(LEFT(C25,3)="EIB",D25='UNC - EIB'!$T$2,LEFT(E25,1)="u",'UNC - EIB'!$R$2="vnđ",TH!P25&lt;&gt;""),"e",IF(AND(LEFT(C25,3)="EIB",D25='UNC - EIB'!$T$2,LEFT(E25,1)="U",'UNC - EIB'!$R$2="usd",TH!O25&lt;&gt;""),"e1",IF(AND(LEFT(C25,3)="EIB",D25='UNC - EIB'!$T$2,LEFT(E25,1)="l"),"e2",""))))))</f>
        <v/>
      </c>
    </row>
    <row r="26" spans="1:18" ht="18.75" customHeight="1" x14ac:dyDescent="0.25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3" t="str">
        <f t="shared" si="0"/>
        <v/>
      </c>
      <c r="C26" s="63"/>
      <c r="D26" s="68"/>
      <c r="E26" s="66"/>
      <c r="F26" s="65"/>
      <c r="G26" s="65"/>
      <c r="H26" s="65"/>
      <c r="I26" s="66"/>
      <c r="J26" s="67"/>
      <c r="K26" s="68"/>
      <c r="L26" s="66"/>
      <c r="M26" s="66"/>
      <c r="N26" s="65"/>
      <c r="O26" s="69"/>
      <c r="P26" s="70"/>
      <c r="Q26" s="65"/>
      <c r="R26" s="57" t="str">
        <f>IF(AND(C26="pv",D26='UNC - PV'!$Q$2,LEFT(E26,1)="u",'UNC - PV'!$O$2="vnđ",TH!P26&lt;&gt;""),"p",IF(AND(C26="pv",D26='UNC - PV'!$Q$2,LEFT(E26,1)="u",'UNC - PV'!$O$2="usd",TH!O26&lt;&gt;""),"p1",IF(AND(C26="pv",D26='UNC - PV'!$Q$2,LEFT(E26,1)="l"),"p2",IF(AND(LEFT(C26,3)="EIB",D26='UNC - EIB'!$T$2,LEFT(E26,1)="u",'UNC - EIB'!$R$2="vnđ",TH!P26&lt;&gt;""),"e",IF(AND(LEFT(C26,3)="EIB",D26='UNC - EIB'!$T$2,LEFT(E26,1)="U",'UNC - EIB'!$R$2="usd",TH!O26&lt;&gt;""),"e1",IF(AND(LEFT(C26,3)="EIB",D26='UNC - EIB'!$T$2,LEFT(E26,1)="l"),"e2",""))))))</f>
        <v/>
      </c>
    </row>
    <row r="27" spans="1:18" ht="18.75" customHeight="1" x14ac:dyDescent="0.25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3" t="str">
        <f t="shared" si="0"/>
        <v/>
      </c>
      <c r="C27" s="63"/>
      <c r="D27" s="68"/>
      <c r="E27" s="66"/>
      <c r="F27" s="65"/>
      <c r="G27" s="65"/>
      <c r="H27" s="65"/>
      <c r="I27" s="66"/>
      <c r="J27" s="67"/>
      <c r="K27" s="68"/>
      <c r="L27" s="66"/>
      <c r="M27" s="66"/>
      <c r="N27" s="65"/>
      <c r="O27" s="69"/>
      <c r="P27" s="70"/>
      <c r="Q27" s="65"/>
      <c r="R27" s="57" t="str">
        <f>IF(AND(C27="pv",D27='UNC - PV'!$Q$2,LEFT(E27,1)="u",'UNC - PV'!$O$2="vnđ",TH!P27&lt;&gt;""),"p",IF(AND(C27="pv",D27='UNC - PV'!$Q$2,LEFT(E27,1)="u",'UNC - PV'!$O$2="usd",TH!O27&lt;&gt;""),"p1",IF(AND(C27="pv",D27='UNC - PV'!$Q$2,LEFT(E27,1)="l"),"p2",IF(AND(LEFT(C27,3)="EIB",D27='UNC - EIB'!$T$2,LEFT(E27,1)="u",'UNC - EIB'!$R$2="vnđ",TH!P27&lt;&gt;""),"e",IF(AND(LEFT(C27,3)="EIB",D27='UNC - EIB'!$T$2,LEFT(E27,1)="U",'UNC - EIB'!$R$2="usd",TH!O27&lt;&gt;""),"e1",IF(AND(LEFT(C27,3)="EIB",D27='UNC - EIB'!$T$2,LEFT(E27,1)="l"),"e2",""))))))</f>
        <v/>
      </c>
    </row>
    <row r="28" spans="1:18" ht="18.75" customHeight="1" x14ac:dyDescent="0.25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3" t="str">
        <f t="shared" si="0"/>
        <v/>
      </c>
      <c r="C28" s="63"/>
      <c r="D28" s="68"/>
      <c r="E28" s="66"/>
      <c r="F28" s="65"/>
      <c r="G28" s="65"/>
      <c r="H28" s="65"/>
      <c r="I28" s="66"/>
      <c r="J28" s="67"/>
      <c r="K28" s="68"/>
      <c r="L28" s="66"/>
      <c r="M28" s="66"/>
      <c r="N28" s="65"/>
      <c r="O28" s="69"/>
      <c r="P28" s="70"/>
      <c r="Q28" s="65"/>
      <c r="R28" s="57" t="str">
        <f>IF(AND(C28="pv",D28='UNC - PV'!$Q$2,LEFT(E28,1)="u",'UNC - PV'!$O$2="vnđ",TH!P28&lt;&gt;""),"p",IF(AND(C28="pv",D28='UNC - PV'!$Q$2,LEFT(E28,1)="u",'UNC - PV'!$O$2="usd",TH!O28&lt;&gt;""),"p1",IF(AND(C28="pv",D28='UNC - PV'!$Q$2,LEFT(E28,1)="l"),"p2",IF(AND(LEFT(C28,3)="EIB",D28='UNC - EIB'!$T$2,LEFT(E28,1)="u",'UNC - EIB'!$R$2="vnđ",TH!P28&lt;&gt;""),"e",IF(AND(LEFT(C28,3)="EIB",D28='UNC - EIB'!$T$2,LEFT(E28,1)="U",'UNC - EIB'!$R$2="usd",TH!O28&lt;&gt;""),"e1",IF(AND(LEFT(C28,3)="EIB",D28='UNC - EIB'!$T$2,LEFT(E28,1)="l"),"e2",""))))))</f>
        <v/>
      </c>
    </row>
    <row r="29" spans="1:18" ht="18.75" customHeight="1" x14ac:dyDescent="0.25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3" t="str">
        <f t="shared" ref="B29:B43" si="1">IF(C29&lt;&gt;"",ROW()-3,"")</f>
        <v/>
      </c>
      <c r="C29" s="63"/>
      <c r="D29" s="64"/>
      <c r="E29" s="63"/>
      <c r="F29" s="65"/>
      <c r="G29" s="65"/>
      <c r="H29" s="65"/>
      <c r="I29" s="66"/>
      <c r="J29" s="67"/>
      <c r="K29" s="68"/>
      <c r="L29" s="66"/>
      <c r="M29" s="66"/>
      <c r="N29" s="65"/>
      <c r="O29" s="69"/>
      <c r="P29" s="70"/>
      <c r="Q29" s="65"/>
      <c r="R29" s="57" t="str">
        <f>IF(AND(C29="pv",D29='UNC - PV'!$Q$2,LEFT(E29,1)="u",'UNC - PV'!$O$2="vnđ",TH!P29&lt;&gt;""),"p",IF(AND(C29="pv",D29='UNC - PV'!$Q$2,LEFT(E29,1)="u",'UNC - PV'!$O$2="usd",TH!O29&lt;&gt;""),"p1",IF(AND(C29="pv",D29='UNC - PV'!$Q$2,LEFT(E29,1)="l"),"p2",IF(AND(LEFT(C29,3)="EIB",D29='UNC - EIB'!$T$2,LEFT(E29,1)="u",'UNC - EIB'!$R$2="vnđ",TH!P29&lt;&gt;""),"e",IF(AND(LEFT(C29,3)="EIB",D29='UNC - EIB'!$T$2,LEFT(E29,1)="U",'UNC - EIB'!$R$2="usd",TH!O29&lt;&gt;""),"e1",IF(AND(LEFT(C29,3)="EIB",D29='UNC - EIB'!$T$2,LEFT(E29,1)="l"),"e2",""))))))</f>
        <v/>
      </c>
    </row>
    <row r="30" spans="1:18" ht="18.75" customHeight="1" x14ac:dyDescent="0.25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3" t="str">
        <f t="shared" si="1"/>
        <v/>
      </c>
      <c r="C30" s="63"/>
      <c r="D30" s="64"/>
      <c r="E30" s="63"/>
      <c r="F30" s="65"/>
      <c r="G30" s="65"/>
      <c r="H30" s="65"/>
      <c r="I30" s="66"/>
      <c r="J30" s="67"/>
      <c r="K30" s="68"/>
      <c r="L30" s="66"/>
      <c r="M30" s="66"/>
      <c r="N30" s="65"/>
      <c r="O30" s="69"/>
      <c r="P30" s="70"/>
      <c r="Q30" s="65"/>
      <c r="R30" s="57" t="str">
        <f>IF(AND(C30="pv",D30='UNC - PV'!$Q$2,LEFT(E30,1)="u",'UNC - PV'!$O$2="vnđ",TH!P30&lt;&gt;""),"p",IF(AND(C30="pv",D30='UNC - PV'!$Q$2,LEFT(E30,1)="u",'UNC - PV'!$O$2="usd",TH!O30&lt;&gt;""),"p1",IF(AND(C30="pv",D30='UNC - PV'!$Q$2,LEFT(E30,1)="l"),"p2",IF(AND(LEFT(C30,3)="EIB",D30='UNC - EIB'!$T$2,LEFT(E30,1)="u",'UNC - EIB'!$R$2="vnđ",TH!P30&lt;&gt;""),"e",IF(AND(LEFT(C30,3)="EIB",D30='UNC - EIB'!$T$2,LEFT(E30,1)="U",'UNC - EIB'!$R$2="usd",TH!O30&lt;&gt;""),"e1",IF(AND(LEFT(C30,3)="EIB",D30='UNC - EIB'!$T$2,LEFT(E30,1)="l"),"e2",""))))))</f>
        <v/>
      </c>
    </row>
    <row r="31" spans="1:18" ht="18.75" customHeight="1" x14ac:dyDescent="0.25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3" t="str">
        <f t="shared" si="1"/>
        <v/>
      </c>
      <c r="C31" s="63"/>
      <c r="D31" s="64"/>
      <c r="E31" s="63"/>
      <c r="F31" s="65"/>
      <c r="G31" s="65"/>
      <c r="H31" s="65"/>
      <c r="I31" s="66"/>
      <c r="J31" s="67"/>
      <c r="K31" s="68"/>
      <c r="L31" s="66"/>
      <c r="M31" s="66"/>
      <c r="N31" s="65"/>
      <c r="O31" s="69"/>
      <c r="P31" s="70"/>
      <c r="Q31" s="65"/>
      <c r="R31" s="57" t="str">
        <f>IF(AND(C31="pv",D31='UNC - PV'!$Q$2,LEFT(E31,1)="u",'UNC - PV'!$O$2="vnđ",TH!P31&lt;&gt;""),"p",IF(AND(C31="pv",D31='UNC - PV'!$Q$2,LEFT(E31,1)="u",'UNC - PV'!$O$2="usd",TH!O31&lt;&gt;""),"p1",IF(AND(C31="pv",D31='UNC - PV'!$Q$2,LEFT(E31,1)="l"),"p2",IF(AND(LEFT(C31,3)="EIB",D31='UNC - EIB'!$T$2,LEFT(E31,1)="u",'UNC - EIB'!$R$2="vnđ",TH!P31&lt;&gt;""),"e",IF(AND(LEFT(C31,3)="EIB",D31='UNC - EIB'!$T$2,LEFT(E31,1)="U",'UNC - EIB'!$R$2="usd",TH!O31&lt;&gt;""),"e1",IF(AND(LEFT(C31,3)="EIB",D31='UNC - EIB'!$T$2,LEFT(E31,1)="l"),"e2",""))))))</f>
        <v/>
      </c>
    </row>
    <row r="32" spans="1:18" ht="18.75" customHeight="1" x14ac:dyDescent="0.25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3" t="str">
        <f t="shared" si="1"/>
        <v/>
      </c>
      <c r="C32" s="63"/>
      <c r="D32" s="64"/>
      <c r="E32" s="63"/>
      <c r="F32" s="65"/>
      <c r="G32" s="65"/>
      <c r="H32" s="65"/>
      <c r="I32" s="66"/>
      <c r="J32" s="67"/>
      <c r="K32" s="68"/>
      <c r="L32" s="66"/>
      <c r="M32" s="66"/>
      <c r="N32" s="65"/>
      <c r="O32" s="69"/>
      <c r="P32" s="70"/>
      <c r="Q32" s="65"/>
      <c r="R32" s="57" t="str">
        <f>IF(AND(C32="pv",D32='UNC - PV'!$Q$2,LEFT(E32,1)="u",'UNC - PV'!$O$2="vnđ",TH!P32&lt;&gt;""),"p",IF(AND(C32="pv",D32='UNC - PV'!$Q$2,LEFT(E32,1)="u",'UNC - PV'!$O$2="usd",TH!O32&lt;&gt;""),"p1",IF(AND(C32="pv",D32='UNC - PV'!$Q$2,LEFT(E32,1)="l"),"p2",IF(AND(LEFT(C32,3)="EIB",D32='UNC - EIB'!$T$2,LEFT(E32,1)="u",'UNC - EIB'!$R$2="vnđ",TH!P32&lt;&gt;""),"e",IF(AND(LEFT(C32,3)="EIB",D32='UNC - EIB'!$T$2,LEFT(E32,1)="U",'UNC - EIB'!$R$2="usd",TH!O32&lt;&gt;""),"e1",IF(AND(LEFT(C32,3)="EIB",D32='UNC - EIB'!$T$2,LEFT(E32,1)="l"),"e2",""))))))</f>
        <v/>
      </c>
    </row>
    <row r="33" spans="1:18" ht="18.75" customHeight="1" x14ac:dyDescent="0.25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3" t="str">
        <f t="shared" si="1"/>
        <v/>
      </c>
      <c r="C33" s="63"/>
      <c r="D33" s="64"/>
      <c r="E33" s="63"/>
      <c r="F33" s="65"/>
      <c r="G33" s="65"/>
      <c r="H33" s="65"/>
      <c r="I33" s="66"/>
      <c r="J33" s="67"/>
      <c r="K33" s="68"/>
      <c r="L33" s="66"/>
      <c r="M33" s="66"/>
      <c r="N33" s="65"/>
      <c r="O33" s="69"/>
      <c r="P33" s="70"/>
      <c r="Q33" s="65"/>
      <c r="R33" s="57" t="str">
        <f>IF(AND(C33="pv",D33='UNC - PV'!$Q$2,LEFT(E33,1)="u",'UNC - PV'!$O$2="vnđ",TH!P33&lt;&gt;""),"p",IF(AND(C33="pv",D33='UNC - PV'!$Q$2,LEFT(E33,1)="u",'UNC - PV'!$O$2="usd",TH!O33&lt;&gt;""),"p1",IF(AND(C33="pv",D33='UNC - PV'!$Q$2,LEFT(E33,1)="l"),"p2",IF(AND(LEFT(C33,3)="EIB",D33='UNC - EIB'!$T$2,LEFT(E33,1)="u",'UNC - EIB'!$R$2="vnđ",TH!P33&lt;&gt;""),"e",IF(AND(LEFT(C33,3)="EIB",D33='UNC - EIB'!$T$2,LEFT(E33,1)="U",'UNC - EIB'!$R$2="usd",TH!O33&lt;&gt;""),"e1",IF(AND(LEFT(C33,3)="EIB",D33='UNC - EIB'!$T$2,LEFT(E33,1)="l"),"e2",""))))))</f>
        <v/>
      </c>
    </row>
    <row r="34" spans="1:18" ht="18.75" customHeight="1" x14ac:dyDescent="0.25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3" t="str">
        <f t="shared" si="1"/>
        <v/>
      </c>
      <c r="C34" s="63"/>
      <c r="D34" s="68"/>
      <c r="E34" s="66"/>
      <c r="F34" s="65"/>
      <c r="G34" s="65"/>
      <c r="H34" s="65"/>
      <c r="I34" s="66"/>
      <c r="J34" s="67"/>
      <c r="K34" s="68"/>
      <c r="L34" s="66"/>
      <c r="M34" s="66"/>
      <c r="N34" s="65"/>
      <c r="O34" s="69"/>
      <c r="P34" s="70"/>
      <c r="Q34" s="65"/>
      <c r="R34" s="57" t="str">
        <f>IF(AND(C34="pv",D34='UNC - PV'!$Q$2,LEFT(E34,1)="u",'UNC - PV'!$O$2="vnđ",TH!P34&lt;&gt;""),"p",IF(AND(C34="pv",D34='UNC - PV'!$Q$2,LEFT(E34,1)="u",'UNC - PV'!$O$2="usd",TH!O34&lt;&gt;""),"p1",IF(AND(C34="pv",D34='UNC - PV'!$Q$2,LEFT(E34,1)="l"),"p2",IF(AND(LEFT(C34,3)="EIB",D34='UNC - EIB'!$T$2,LEFT(E34,1)="u",'UNC - EIB'!$R$2="vnđ",TH!P34&lt;&gt;""),"e",IF(AND(LEFT(C34,3)="EIB",D34='UNC - EIB'!$T$2,LEFT(E34,1)="U",'UNC - EIB'!$R$2="usd",TH!O34&lt;&gt;""),"e1",IF(AND(LEFT(C34,3)="EIB",D34='UNC - EIB'!$T$2,LEFT(E34,1)="l"),"e2",""))))))</f>
        <v/>
      </c>
    </row>
    <row r="35" spans="1:18" ht="18.75" customHeight="1" x14ac:dyDescent="0.25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3" t="str">
        <f t="shared" si="1"/>
        <v/>
      </c>
      <c r="C35" s="63"/>
      <c r="D35" s="68"/>
      <c r="E35" s="66"/>
      <c r="F35" s="65"/>
      <c r="G35" s="65"/>
      <c r="H35" s="65"/>
      <c r="I35" s="66"/>
      <c r="J35" s="67"/>
      <c r="K35" s="68"/>
      <c r="L35" s="66"/>
      <c r="M35" s="66"/>
      <c r="N35" s="65"/>
      <c r="O35" s="69"/>
      <c r="P35" s="70"/>
      <c r="Q35" s="65"/>
      <c r="R35" s="57" t="str">
        <f>IF(AND(C35="pv",D35='UNC - PV'!$Q$2,LEFT(E35,1)="u",'UNC - PV'!$O$2="vnđ",TH!P35&lt;&gt;""),"p",IF(AND(C35="pv",D35='UNC - PV'!$Q$2,LEFT(E35,1)="u",'UNC - PV'!$O$2="usd",TH!O35&lt;&gt;""),"p1",IF(AND(C35="pv",D35='UNC - PV'!$Q$2,LEFT(E35,1)="l"),"p2",IF(AND(LEFT(C35,3)="EIB",D35='UNC - EIB'!$T$2,LEFT(E35,1)="u",'UNC - EIB'!$R$2="vnđ",TH!P35&lt;&gt;""),"e",IF(AND(LEFT(C35,3)="EIB",D35='UNC - EIB'!$T$2,LEFT(E35,1)="U",'UNC - EIB'!$R$2="usd",TH!O35&lt;&gt;""),"e1",IF(AND(LEFT(C35,3)="EIB",D35='UNC - EIB'!$T$2,LEFT(E35,1)="l"),"e2",""))))))</f>
        <v/>
      </c>
    </row>
    <row r="36" spans="1:18" ht="18.75" customHeight="1" x14ac:dyDescent="0.25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3" t="str">
        <f t="shared" si="1"/>
        <v/>
      </c>
      <c r="C36" s="63"/>
      <c r="D36" s="68"/>
      <c r="E36" s="66"/>
      <c r="F36" s="65"/>
      <c r="G36" s="65"/>
      <c r="H36" s="65"/>
      <c r="I36" s="66"/>
      <c r="J36" s="67"/>
      <c r="K36" s="68"/>
      <c r="L36" s="66"/>
      <c r="M36" s="66"/>
      <c r="N36" s="65"/>
      <c r="O36" s="69"/>
      <c r="P36" s="70"/>
      <c r="Q36" s="65"/>
      <c r="R36" s="57" t="str">
        <f>IF(AND(C36="pv",D36='UNC - PV'!$Q$2,LEFT(E36,1)="u",'UNC - PV'!$O$2="vnđ",TH!P36&lt;&gt;""),"p",IF(AND(C36="pv",D36='UNC - PV'!$Q$2,LEFT(E36,1)="u",'UNC - PV'!$O$2="usd",TH!O36&lt;&gt;""),"p1",IF(AND(C36="pv",D36='UNC - PV'!$Q$2,LEFT(E36,1)="l"),"p2",IF(AND(LEFT(C36,3)="EIB",D36='UNC - EIB'!$T$2,LEFT(E36,1)="u",'UNC - EIB'!$R$2="vnđ",TH!P36&lt;&gt;""),"e",IF(AND(LEFT(C36,3)="EIB",D36='UNC - EIB'!$T$2,LEFT(E36,1)="U",'UNC - EIB'!$R$2="usd",TH!O36&lt;&gt;""),"e1",IF(AND(LEFT(C36,3)="EIB",D36='UNC - EIB'!$T$2,LEFT(E36,1)="l"),"e2",""))))))</f>
        <v/>
      </c>
    </row>
    <row r="37" spans="1:18" ht="18.75" customHeight="1" x14ac:dyDescent="0.25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3" t="str">
        <f t="shared" si="1"/>
        <v/>
      </c>
      <c r="C37" s="63"/>
      <c r="D37" s="68"/>
      <c r="E37" s="66"/>
      <c r="F37" s="65"/>
      <c r="G37" s="65"/>
      <c r="H37" s="65"/>
      <c r="I37" s="66"/>
      <c r="J37" s="67"/>
      <c r="K37" s="68"/>
      <c r="L37" s="66"/>
      <c r="M37" s="66"/>
      <c r="N37" s="65"/>
      <c r="O37" s="69"/>
      <c r="P37" s="70"/>
      <c r="Q37" s="65"/>
      <c r="R37" s="57" t="str">
        <f>IF(AND(C37="pv",D37='UNC - PV'!$Q$2,LEFT(E37,1)="u",'UNC - PV'!$O$2="vnđ",TH!P37&lt;&gt;""),"p",IF(AND(C37="pv",D37='UNC - PV'!$Q$2,LEFT(E37,1)="u",'UNC - PV'!$O$2="usd",TH!O37&lt;&gt;""),"p1",IF(AND(C37="pv",D37='UNC - PV'!$Q$2,LEFT(E37,1)="l"),"p2",IF(AND(LEFT(C37,3)="EIB",D37='UNC - EIB'!$T$2,LEFT(E37,1)="u",'UNC - EIB'!$R$2="vnđ",TH!P37&lt;&gt;""),"e",IF(AND(LEFT(C37,3)="EIB",D37='UNC - EIB'!$T$2,LEFT(E37,1)="U",'UNC - EIB'!$R$2="usd",TH!O37&lt;&gt;""),"e1",IF(AND(LEFT(C37,3)="EIB",D37='UNC - EIB'!$T$2,LEFT(E37,1)="l"),"e2",""))))))</f>
        <v/>
      </c>
    </row>
    <row r="38" spans="1:18" ht="18.75" customHeight="1" x14ac:dyDescent="0.25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3" t="str">
        <f t="shared" si="1"/>
        <v/>
      </c>
      <c r="C38" s="63"/>
      <c r="D38" s="68"/>
      <c r="E38" s="66"/>
      <c r="F38" s="65"/>
      <c r="G38" s="65"/>
      <c r="H38" s="65"/>
      <c r="I38" s="66"/>
      <c r="J38" s="67"/>
      <c r="K38" s="68"/>
      <c r="L38" s="66"/>
      <c r="M38" s="66"/>
      <c r="N38" s="65"/>
      <c r="O38" s="69"/>
      <c r="P38" s="70"/>
      <c r="Q38" s="65"/>
      <c r="R38" s="57" t="str">
        <f>IF(AND(C38="pv",D38='UNC - PV'!$Q$2,LEFT(E38,1)="u",'UNC - PV'!$O$2="vnđ",TH!P38&lt;&gt;""),"p",IF(AND(C38="pv",D38='UNC - PV'!$Q$2,LEFT(E38,1)="u",'UNC - PV'!$O$2="usd",TH!O38&lt;&gt;""),"p1",IF(AND(C38="pv",D38='UNC - PV'!$Q$2,LEFT(E38,1)="l"),"p2",IF(AND(LEFT(C38,3)="EIB",D38='UNC - EIB'!$T$2,LEFT(E38,1)="u",'UNC - EIB'!$R$2="vnđ",TH!P38&lt;&gt;""),"e",IF(AND(LEFT(C38,3)="EIB",D38='UNC - EIB'!$T$2,LEFT(E38,1)="U",'UNC - EIB'!$R$2="usd",TH!O38&lt;&gt;""),"e1",IF(AND(LEFT(C38,3)="EIB",D38='UNC - EIB'!$T$2,LEFT(E38,1)="l"),"e2",""))))))</f>
        <v/>
      </c>
    </row>
    <row r="39" spans="1:18" ht="18.75" customHeight="1" x14ac:dyDescent="0.25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3" t="str">
        <f t="shared" si="1"/>
        <v/>
      </c>
      <c r="C39" s="63"/>
      <c r="D39" s="68"/>
      <c r="E39" s="66"/>
      <c r="F39" s="65"/>
      <c r="G39" s="65"/>
      <c r="H39" s="65"/>
      <c r="I39" s="66"/>
      <c r="J39" s="67"/>
      <c r="K39" s="68"/>
      <c r="L39" s="66"/>
      <c r="M39" s="66"/>
      <c r="N39" s="65"/>
      <c r="O39" s="69"/>
      <c r="P39" s="70"/>
      <c r="Q39" s="65"/>
      <c r="R39" s="57" t="str">
        <f>IF(AND(C39="pv",D39='UNC - PV'!$Q$2,LEFT(E39,1)="u",'UNC - PV'!$O$2="vnđ",TH!P39&lt;&gt;""),"p",IF(AND(C39="pv",D39='UNC - PV'!$Q$2,LEFT(E39,1)="u",'UNC - PV'!$O$2="usd",TH!O39&lt;&gt;""),"p1",IF(AND(C39="pv",D39='UNC - PV'!$Q$2,LEFT(E39,1)="l"),"p2",IF(AND(LEFT(C39,3)="EIB",D39='UNC - EIB'!$T$2,LEFT(E39,1)="u",'UNC - EIB'!$R$2="vnđ",TH!P39&lt;&gt;""),"e",IF(AND(LEFT(C39,3)="EIB",D39='UNC - EIB'!$T$2,LEFT(E39,1)="U",'UNC - EIB'!$R$2="usd",TH!O39&lt;&gt;""),"e1",IF(AND(LEFT(C39,3)="EIB",D39='UNC - EIB'!$T$2,LEFT(E39,1)="l"),"e2",""))))))</f>
        <v/>
      </c>
    </row>
    <row r="40" spans="1:18" ht="18.75" customHeight="1" x14ac:dyDescent="0.25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3" t="str">
        <f t="shared" si="1"/>
        <v/>
      </c>
      <c r="C40" s="63"/>
      <c r="D40" s="68"/>
      <c r="E40" s="66"/>
      <c r="F40" s="65"/>
      <c r="G40" s="65"/>
      <c r="H40" s="65"/>
      <c r="I40" s="66"/>
      <c r="J40" s="67"/>
      <c r="K40" s="68"/>
      <c r="L40" s="66"/>
      <c r="M40" s="66"/>
      <c r="N40" s="65"/>
      <c r="O40" s="69"/>
      <c r="P40" s="70"/>
      <c r="Q40" s="65"/>
      <c r="R40" s="57" t="str">
        <f>IF(AND(C40="pv",D40='UNC - PV'!$Q$2,LEFT(E40,1)="u",'UNC - PV'!$O$2="vnđ",TH!P40&lt;&gt;""),"p",IF(AND(C40="pv",D40='UNC - PV'!$Q$2,LEFT(E40,1)="u",'UNC - PV'!$O$2="usd",TH!O40&lt;&gt;""),"p1",IF(AND(C40="pv",D40='UNC - PV'!$Q$2,LEFT(E40,1)="l"),"p2",IF(AND(LEFT(C40,3)="EIB",D40='UNC - EIB'!$T$2,LEFT(E40,1)="u",'UNC - EIB'!$R$2="vnđ",TH!P40&lt;&gt;""),"e",IF(AND(LEFT(C40,3)="EIB",D40='UNC - EIB'!$T$2,LEFT(E40,1)="U",'UNC - EIB'!$R$2="usd",TH!O40&lt;&gt;""),"e1",IF(AND(LEFT(C40,3)="EIB",D40='UNC - EIB'!$T$2,LEFT(E40,1)="l"),"e2",""))))))</f>
        <v/>
      </c>
    </row>
    <row r="41" spans="1:18" ht="18.75" customHeight="1" x14ac:dyDescent="0.25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3" t="str">
        <f t="shared" si="1"/>
        <v/>
      </c>
      <c r="C41" s="63"/>
      <c r="D41" s="68"/>
      <c r="E41" s="66"/>
      <c r="F41" s="65"/>
      <c r="G41" s="65"/>
      <c r="H41" s="65"/>
      <c r="I41" s="66"/>
      <c r="J41" s="67"/>
      <c r="K41" s="68"/>
      <c r="L41" s="66"/>
      <c r="M41" s="66"/>
      <c r="N41" s="65"/>
      <c r="O41" s="69"/>
      <c r="P41" s="70"/>
      <c r="Q41" s="65"/>
      <c r="R41" s="57" t="str">
        <f>IF(AND(C41="pv",D41='UNC - PV'!$Q$2,LEFT(E41,1)="u",'UNC - PV'!$O$2="vnđ",TH!P41&lt;&gt;""),"p",IF(AND(C41="pv",D41='UNC - PV'!$Q$2,LEFT(E41,1)="u",'UNC - PV'!$O$2="usd",TH!O41&lt;&gt;""),"p1",IF(AND(C41="pv",D41='UNC - PV'!$Q$2,LEFT(E41,1)="l"),"p2",IF(AND(LEFT(C41,3)="EIB",D41='UNC - EIB'!$T$2,LEFT(E41,1)="u",'UNC - EIB'!$R$2="vnđ",TH!P41&lt;&gt;""),"e",IF(AND(LEFT(C41,3)="EIB",D41='UNC - EIB'!$T$2,LEFT(E41,1)="U",'UNC - EIB'!$R$2="usd",TH!O41&lt;&gt;""),"e1",IF(AND(LEFT(C41,3)="EIB",D41='UNC - EIB'!$T$2,LEFT(E41,1)="l"),"e2",""))))))</f>
        <v/>
      </c>
    </row>
    <row r="42" spans="1:18" ht="18.75" customHeight="1" x14ac:dyDescent="0.25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3" t="str">
        <f t="shared" si="1"/>
        <v/>
      </c>
      <c r="C42" s="63"/>
      <c r="D42" s="68"/>
      <c r="E42" s="66"/>
      <c r="F42" s="65"/>
      <c r="G42" s="65"/>
      <c r="H42" s="65"/>
      <c r="I42" s="66"/>
      <c r="J42" s="67"/>
      <c r="K42" s="68"/>
      <c r="L42" s="66"/>
      <c r="M42" s="66"/>
      <c r="N42" s="65"/>
      <c r="O42" s="69"/>
      <c r="P42" s="70"/>
      <c r="Q42" s="65"/>
      <c r="R42" s="57" t="str">
        <f>IF(AND(C42="pv",D42='UNC - PV'!$Q$2,LEFT(E42,1)="u",'UNC - PV'!$O$2="vnđ",TH!P42&lt;&gt;""),"p",IF(AND(C42="pv",D42='UNC - PV'!$Q$2,LEFT(E42,1)="u",'UNC - PV'!$O$2="usd",TH!O42&lt;&gt;""),"p1",IF(AND(C42="pv",D42='UNC - PV'!$Q$2,LEFT(E42,1)="l"),"p2",IF(AND(LEFT(C42,3)="EIB",D42='UNC - EIB'!$T$2,LEFT(E42,1)="u",'UNC - EIB'!$R$2="vnđ",TH!P42&lt;&gt;""),"e",IF(AND(LEFT(C42,3)="EIB",D42='UNC - EIB'!$T$2,LEFT(E42,1)="U",'UNC - EIB'!$R$2="usd",TH!O42&lt;&gt;""),"e1",IF(AND(LEFT(C42,3)="EIB",D42='UNC - EIB'!$T$2,LEFT(E42,1)="l"),"e2",""))))))</f>
        <v/>
      </c>
    </row>
    <row r="43" spans="1:18" ht="18.75" customHeight="1" x14ac:dyDescent="0.25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3" t="str">
        <f t="shared" si="1"/>
        <v/>
      </c>
      <c r="C43" s="63"/>
      <c r="D43" s="68"/>
      <c r="E43" s="66"/>
      <c r="F43" s="65"/>
      <c r="G43" s="65"/>
      <c r="H43" s="65"/>
      <c r="I43" s="66"/>
      <c r="J43" s="67"/>
      <c r="K43" s="68"/>
      <c r="L43" s="66"/>
      <c r="M43" s="66"/>
      <c r="N43" s="65"/>
      <c r="O43" s="69"/>
      <c r="P43" s="70"/>
      <c r="Q43" s="65"/>
      <c r="R43" s="57" t="str">
        <f>IF(AND(C43="pv",D43='UNC - PV'!$Q$2,LEFT(E43,1)="u",'UNC - PV'!$O$2="vnđ",TH!P43&lt;&gt;""),"p",IF(AND(C43="pv",D43='UNC - PV'!$Q$2,LEFT(E43,1)="u",'UNC - PV'!$O$2="usd",TH!O43&lt;&gt;""),"p1",IF(AND(C43="pv",D43='UNC - PV'!$Q$2,LEFT(E43,1)="l"),"p2",IF(AND(LEFT(C43,3)="EIB",D43='UNC - EIB'!$T$2,LEFT(E43,1)="u",'UNC - EIB'!$R$2="vnđ",TH!P43&lt;&gt;""),"e",IF(AND(LEFT(C43,3)="EIB",D43='UNC - EIB'!$T$2,LEFT(E43,1)="U",'UNC - EIB'!$R$2="usd",TH!O43&lt;&gt;""),"e1",IF(AND(LEFT(C43,3)="EIB",D43='UNC - EIB'!$T$2,LEFT(E43,1)="l"),"e2",""))))))</f>
        <v/>
      </c>
    </row>
    <row r="44" spans="1:18" ht="18.75" customHeight="1" x14ac:dyDescent="0.25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3" t="str">
        <f t="shared" si="0"/>
        <v/>
      </c>
      <c r="C44" s="63"/>
      <c r="D44" s="64"/>
      <c r="E44" s="63"/>
      <c r="F44" s="65"/>
      <c r="G44" s="65"/>
      <c r="H44" s="65"/>
      <c r="I44" s="66"/>
      <c r="J44" s="67"/>
      <c r="K44" s="68"/>
      <c r="L44" s="66"/>
      <c r="M44" s="66"/>
      <c r="N44" s="65"/>
      <c r="O44" s="69"/>
      <c r="P44" s="70"/>
      <c r="Q44" s="65"/>
      <c r="R44" s="57" t="str">
        <f>IF(AND(C44="pv",D44='UNC - PV'!$Q$2,LEFT(E44,1)="u",'UNC - PV'!$O$2="vnđ",TH!P44&lt;&gt;""),"p",IF(AND(C44="pv",D44='UNC - PV'!$Q$2,LEFT(E44,1)="u",'UNC - PV'!$O$2="usd",TH!O44&lt;&gt;""),"p1",IF(AND(C44="pv",D44='UNC - PV'!$Q$2,LEFT(E44,1)="l"),"p2",IF(AND(LEFT(C44,3)="EIB",D44='UNC - EIB'!$T$2,LEFT(E44,1)="u",'UNC - EIB'!$R$2="vnđ",TH!P44&lt;&gt;""),"e",IF(AND(LEFT(C44,3)="EIB",D44='UNC - EIB'!$T$2,LEFT(E44,1)="U",'UNC - EIB'!$R$2="usd",TH!O44&lt;&gt;""),"e1",IF(AND(LEFT(C44,3)="EIB",D44='UNC - EIB'!$T$2,LEFT(E44,1)="l"),"e2",""))))))</f>
        <v/>
      </c>
    </row>
    <row r="45" spans="1:18" ht="18.75" customHeight="1" x14ac:dyDescent="0.25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3" t="str">
        <f t="shared" si="0"/>
        <v/>
      </c>
      <c r="C45" s="63"/>
      <c r="D45" s="64"/>
      <c r="E45" s="63"/>
      <c r="F45" s="65"/>
      <c r="G45" s="65"/>
      <c r="H45" s="65"/>
      <c r="I45" s="66"/>
      <c r="J45" s="67"/>
      <c r="K45" s="68"/>
      <c r="L45" s="66"/>
      <c r="M45" s="66"/>
      <c r="N45" s="65"/>
      <c r="O45" s="69"/>
      <c r="P45" s="70"/>
      <c r="Q45" s="65"/>
      <c r="R45" s="57" t="str">
        <f>IF(AND(C45="pv",D45='UNC - PV'!$Q$2,LEFT(E45,1)="u",'UNC - PV'!$O$2="vnđ",TH!P45&lt;&gt;""),"p",IF(AND(C45="pv",D45='UNC - PV'!$Q$2,LEFT(E45,1)="u",'UNC - PV'!$O$2="usd",TH!O45&lt;&gt;""),"p1",IF(AND(C45="pv",D45='UNC - PV'!$Q$2,LEFT(E45,1)="l"),"p2",IF(AND(LEFT(C45,3)="EIB",D45='UNC - EIB'!$T$2,LEFT(E45,1)="u",'UNC - EIB'!$R$2="vnđ",TH!P45&lt;&gt;""),"e",IF(AND(LEFT(C45,3)="EIB",D45='UNC - EIB'!$T$2,LEFT(E45,1)="U",'UNC - EIB'!$R$2="usd",TH!O45&lt;&gt;""),"e1",IF(AND(LEFT(C45,3)="EIB",D45='UNC - EIB'!$T$2,LEFT(E45,1)="l"),"e2",""))))))</f>
        <v/>
      </c>
    </row>
    <row r="46" spans="1:18" ht="18.75" customHeight="1" x14ac:dyDescent="0.25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3" t="str">
        <f t="shared" si="0"/>
        <v/>
      </c>
      <c r="C46" s="63"/>
      <c r="D46" s="64"/>
      <c r="E46" s="63"/>
      <c r="F46" s="65"/>
      <c r="G46" s="65"/>
      <c r="H46" s="65"/>
      <c r="I46" s="66"/>
      <c r="J46" s="67"/>
      <c r="K46" s="68"/>
      <c r="L46" s="66"/>
      <c r="M46" s="66"/>
      <c r="N46" s="65"/>
      <c r="O46" s="69"/>
      <c r="P46" s="70"/>
      <c r="Q46" s="65"/>
      <c r="R46" s="57" t="str">
        <f>IF(AND(C46="pv",D46='UNC - PV'!$Q$2,LEFT(E46,1)="u",'UNC - PV'!$O$2="vnđ",TH!P46&lt;&gt;""),"p",IF(AND(C46="pv",D46='UNC - PV'!$Q$2,LEFT(E46,1)="u",'UNC - PV'!$O$2="usd",TH!O46&lt;&gt;""),"p1",IF(AND(C46="pv",D46='UNC - PV'!$Q$2,LEFT(E46,1)="l"),"p2",IF(AND(LEFT(C46,3)="EIB",D46='UNC - EIB'!$T$2,LEFT(E46,1)="u",'UNC - EIB'!$R$2="vnđ",TH!P46&lt;&gt;""),"e",IF(AND(LEFT(C46,3)="EIB",D46='UNC - EIB'!$T$2,LEFT(E46,1)="U",'UNC - EIB'!$R$2="usd",TH!O46&lt;&gt;""),"e1",IF(AND(LEFT(C46,3)="EIB",D46='UNC - EIB'!$T$2,LEFT(E46,1)="l"),"e2",""))))))</f>
        <v/>
      </c>
    </row>
    <row r="47" spans="1:18" ht="18.75" customHeight="1" x14ac:dyDescent="0.25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3" t="str">
        <f t="shared" si="0"/>
        <v/>
      </c>
      <c r="C47" s="63"/>
      <c r="D47" s="64"/>
      <c r="E47" s="63"/>
      <c r="F47" s="65"/>
      <c r="G47" s="65"/>
      <c r="H47" s="65"/>
      <c r="I47" s="66"/>
      <c r="J47" s="67"/>
      <c r="K47" s="68"/>
      <c r="L47" s="66"/>
      <c r="M47" s="66"/>
      <c r="N47" s="65"/>
      <c r="O47" s="69"/>
      <c r="P47" s="70"/>
      <c r="Q47" s="65"/>
      <c r="R47" s="57" t="str">
        <f>IF(AND(C47="pv",D47='UNC - PV'!$Q$2,LEFT(E47,1)="u",'UNC - PV'!$O$2="vnđ",TH!P47&lt;&gt;""),"p",IF(AND(C47="pv",D47='UNC - PV'!$Q$2,LEFT(E47,1)="u",'UNC - PV'!$O$2="usd",TH!O47&lt;&gt;""),"p1",IF(AND(C47="pv",D47='UNC - PV'!$Q$2,LEFT(E47,1)="l"),"p2",IF(AND(LEFT(C47,3)="EIB",D47='UNC - EIB'!$T$2,LEFT(E47,1)="u",'UNC - EIB'!$R$2="vnđ",TH!P47&lt;&gt;""),"e",IF(AND(LEFT(C47,3)="EIB",D47='UNC - EIB'!$T$2,LEFT(E47,1)="U",'UNC - EIB'!$R$2="usd",TH!O47&lt;&gt;""),"e1",IF(AND(LEFT(C47,3)="EIB",D47='UNC - EIB'!$T$2,LEFT(E47,1)="l"),"e2",""))))))</f>
        <v/>
      </c>
    </row>
    <row r="48" spans="1:18" ht="18.75" customHeight="1" x14ac:dyDescent="0.25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3" t="str">
        <f t="shared" si="0"/>
        <v/>
      </c>
      <c r="C48" s="63"/>
      <c r="D48" s="64"/>
      <c r="E48" s="63"/>
      <c r="F48" s="65"/>
      <c r="G48" s="65"/>
      <c r="H48" s="65"/>
      <c r="I48" s="66"/>
      <c r="J48" s="67"/>
      <c r="K48" s="68"/>
      <c r="L48" s="66"/>
      <c r="M48" s="66"/>
      <c r="N48" s="65"/>
      <c r="O48" s="69"/>
      <c r="P48" s="70"/>
      <c r="Q48" s="65"/>
      <c r="R48" s="57" t="str">
        <f>IF(AND(C48="pv",D48='UNC - PV'!$Q$2,LEFT(E48,1)="u",'UNC - PV'!$O$2="vnđ",TH!P48&lt;&gt;""),"p",IF(AND(C48="pv",D48='UNC - PV'!$Q$2,LEFT(E48,1)="u",'UNC - PV'!$O$2="usd",TH!O48&lt;&gt;""),"p1",IF(AND(C48="pv",D48='UNC - PV'!$Q$2,LEFT(E48,1)="l"),"p2",IF(AND(LEFT(C48,3)="EIB",D48='UNC - EIB'!$T$2,LEFT(E48,1)="u",'UNC - EIB'!$R$2="vnđ",TH!P48&lt;&gt;""),"e",IF(AND(LEFT(C48,3)="EIB",D48='UNC - EIB'!$T$2,LEFT(E48,1)="U",'UNC - EIB'!$R$2="usd",TH!O48&lt;&gt;""),"e1",IF(AND(LEFT(C48,3)="EIB",D48='UNC - EIB'!$T$2,LEFT(E48,1)="l"),"e2",""))))))</f>
        <v/>
      </c>
    </row>
    <row r="49" spans="1:18" ht="18.75" customHeight="1" x14ac:dyDescent="0.25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3" t="str">
        <f t="shared" si="0"/>
        <v/>
      </c>
      <c r="C49" s="63"/>
      <c r="D49" s="68"/>
      <c r="E49" s="66"/>
      <c r="F49" s="65"/>
      <c r="G49" s="65"/>
      <c r="H49" s="65"/>
      <c r="I49" s="66"/>
      <c r="J49" s="67"/>
      <c r="K49" s="68"/>
      <c r="L49" s="66"/>
      <c r="M49" s="66"/>
      <c r="N49" s="65"/>
      <c r="O49" s="69"/>
      <c r="P49" s="70"/>
      <c r="Q49" s="65"/>
      <c r="R49" s="57" t="str">
        <f>IF(AND(C49="pv",D49='UNC - PV'!$Q$2,LEFT(E49,1)="u",'UNC - PV'!$O$2="vnđ",TH!P49&lt;&gt;""),"p",IF(AND(C49="pv",D49='UNC - PV'!$Q$2,LEFT(E49,1)="u",'UNC - PV'!$O$2="usd",TH!O49&lt;&gt;""),"p1",IF(AND(C49="pv",D49='UNC - PV'!$Q$2,LEFT(E49,1)="l"),"p2",IF(AND(LEFT(C49,3)="EIB",D49='UNC - EIB'!$T$2,LEFT(E49,1)="u",'UNC - EIB'!$R$2="vnđ",TH!P49&lt;&gt;""),"e",IF(AND(LEFT(C49,3)="EIB",D49='UNC - EIB'!$T$2,LEFT(E49,1)="U",'UNC - EIB'!$R$2="usd",TH!O49&lt;&gt;""),"e1",IF(AND(LEFT(C49,3)="EIB",D49='UNC - EIB'!$T$2,LEFT(E49,1)="l"),"e2",""))))))</f>
        <v/>
      </c>
    </row>
    <row r="50" spans="1:18" ht="18.75" customHeight="1" x14ac:dyDescent="0.25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3" t="str">
        <f t="shared" si="0"/>
        <v/>
      </c>
      <c r="C50" s="63"/>
      <c r="D50" s="68"/>
      <c r="E50" s="66"/>
      <c r="F50" s="65"/>
      <c r="G50" s="65"/>
      <c r="H50" s="65"/>
      <c r="I50" s="66"/>
      <c r="J50" s="67"/>
      <c r="K50" s="68"/>
      <c r="L50" s="66"/>
      <c r="M50" s="66"/>
      <c r="N50" s="65"/>
      <c r="O50" s="69"/>
      <c r="P50" s="70"/>
      <c r="Q50" s="65"/>
      <c r="R50" s="57" t="str">
        <f>IF(AND(C50="pv",D50='UNC - PV'!$Q$2,LEFT(E50,1)="u",'UNC - PV'!$O$2="vnđ",TH!P50&lt;&gt;""),"p",IF(AND(C50="pv",D50='UNC - PV'!$Q$2,LEFT(E50,1)="u",'UNC - PV'!$O$2="usd",TH!O50&lt;&gt;""),"p1",IF(AND(C50="pv",D50='UNC - PV'!$Q$2,LEFT(E50,1)="l"),"p2",IF(AND(LEFT(C50,3)="EIB",D50='UNC - EIB'!$T$2,LEFT(E50,1)="u",'UNC - EIB'!$R$2="vnđ",TH!P50&lt;&gt;""),"e",IF(AND(LEFT(C50,3)="EIB",D50='UNC - EIB'!$T$2,LEFT(E50,1)="U",'UNC - EIB'!$R$2="usd",TH!O50&lt;&gt;""),"e1",IF(AND(LEFT(C50,3)="EIB",D50='UNC - EIB'!$T$2,LEFT(E50,1)="l"),"e2",""))))))</f>
        <v/>
      </c>
    </row>
    <row r="51" spans="1:18" ht="18.75" customHeight="1" x14ac:dyDescent="0.25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3" t="str">
        <f t="shared" si="0"/>
        <v/>
      </c>
      <c r="C51" s="63"/>
      <c r="D51" s="68"/>
      <c r="E51" s="66"/>
      <c r="F51" s="65"/>
      <c r="G51" s="65"/>
      <c r="H51" s="65"/>
      <c r="I51" s="66"/>
      <c r="J51" s="67"/>
      <c r="K51" s="68"/>
      <c r="L51" s="66"/>
      <c r="M51" s="66"/>
      <c r="N51" s="65"/>
      <c r="O51" s="69"/>
      <c r="P51" s="70"/>
      <c r="Q51" s="65"/>
      <c r="R51" s="57" t="str">
        <f>IF(AND(C51="pv",D51='UNC - PV'!$Q$2,LEFT(E51,1)="u",'UNC - PV'!$O$2="vnđ",TH!P51&lt;&gt;""),"p",IF(AND(C51="pv",D51='UNC - PV'!$Q$2,LEFT(E51,1)="u",'UNC - PV'!$O$2="usd",TH!O51&lt;&gt;""),"p1",IF(AND(C51="pv",D51='UNC - PV'!$Q$2,LEFT(E51,1)="l"),"p2",IF(AND(LEFT(C51,3)="EIB",D51='UNC - EIB'!$T$2,LEFT(E51,1)="u",'UNC - EIB'!$R$2="vnđ",TH!P51&lt;&gt;""),"e",IF(AND(LEFT(C51,3)="EIB",D51='UNC - EIB'!$T$2,LEFT(E51,1)="U",'UNC - EIB'!$R$2="usd",TH!O51&lt;&gt;""),"e1",IF(AND(LEFT(C51,3)="EIB",D51='UNC - EIB'!$T$2,LEFT(E51,1)="l"),"e2",""))))))</f>
        <v/>
      </c>
    </row>
    <row r="52" spans="1:18" ht="18.75" customHeight="1" x14ac:dyDescent="0.25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3" t="str">
        <f t="shared" si="0"/>
        <v/>
      </c>
      <c r="C52" s="63"/>
      <c r="D52" s="68"/>
      <c r="E52" s="66"/>
      <c r="F52" s="65"/>
      <c r="G52" s="65"/>
      <c r="H52" s="65"/>
      <c r="I52" s="66"/>
      <c r="J52" s="67"/>
      <c r="K52" s="68"/>
      <c r="L52" s="66"/>
      <c r="M52" s="66"/>
      <c r="N52" s="65"/>
      <c r="O52" s="69"/>
      <c r="P52" s="70"/>
      <c r="Q52" s="65"/>
      <c r="R52" s="57" t="str">
        <f>IF(AND(C52="pv",D52='UNC - PV'!$Q$2,LEFT(E52,1)="u",'UNC - PV'!$O$2="vnđ",TH!P52&lt;&gt;""),"p",IF(AND(C52="pv",D52='UNC - PV'!$Q$2,LEFT(E52,1)="u",'UNC - PV'!$O$2="usd",TH!O52&lt;&gt;""),"p1",IF(AND(C52="pv",D52='UNC - PV'!$Q$2,LEFT(E52,1)="l"),"p2",IF(AND(LEFT(C52,3)="EIB",D52='UNC - EIB'!$T$2,LEFT(E52,1)="u",'UNC - EIB'!$R$2="vnđ",TH!P52&lt;&gt;""),"e",IF(AND(LEFT(C52,3)="EIB",D52='UNC - EIB'!$T$2,LEFT(E52,1)="U",'UNC - EIB'!$R$2="usd",TH!O52&lt;&gt;""),"e1",IF(AND(LEFT(C52,3)="EIB",D52='UNC - EIB'!$T$2,LEFT(E52,1)="l"),"e2",""))))))</f>
        <v/>
      </c>
    </row>
    <row r="53" spans="1:18" ht="18.75" customHeight="1" x14ac:dyDescent="0.25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3" t="str">
        <f t="shared" si="0"/>
        <v/>
      </c>
      <c r="C53" s="63"/>
      <c r="D53" s="68"/>
      <c r="E53" s="66"/>
      <c r="F53" s="65"/>
      <c r="G53" s="65"/>
      <c r="H53" s="65"/>
      <c r="I53" s="66"/>
      <c r="J53" s="67"/>
      <c r="K53" s="68"/>
      <c r="L53" s="66"/>
      <c r="M53" s="66"/>
      <c r="N53" s="65"/>
      <c r="O53" s="69"/>
      <c r="P53" s="70"/>
      <c r="Q53" s="65"/>
      <c r="R53" s="57" t="str">
        <f>IF(AND(C53="pv",D53='UNC - PV'!$Q$2,LEFT(E53,1)="u",'UNC - PV'!$O$2="vnđ",TH!P53&lt;&gt;""),"p",IF(AND(C53="pv",D53='UNC - PV'!$Q$2,LEFT(E53,1)="u",'UNC - PV'!$O$2="usd",TH!O53&lt;&gt;""),"p1",IF(AND(C53="pv",D53='UNC - PV'!$Q$2,LEFT(E53,1)="l"),"p2",IF(AND(LEFT(C53,3)="EIB",D53='UNC - EIB'!$T$2,LEFT(E53,1)="u",'UNC - EIB'!$R$2="vnđ",TH!P53&lt;&gt;""),"e",IF(AND(LEFT(C53,3)="EIB",D53='UNC - EIB'!$T$2,LEFT(E53,1)="U",'UNC - EIB'!$R$2="usd",TH!O53&lt;&gt;""),"e1",IF(AND(LEFT(C53,3)="EIB",D53='UNC - EIB'!$T$2,LEFT(E53,1)="l"),"e2",""))))))</f>
        <v/>
      </c>
    </row>
    <row r="54" spans="1:18" ht="18.75" customHeight="1" x14ac:dyDescent="0.25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3" t="str">
        <f t="shared" si="0"/>
        <v/>
      </c>
      <c r="C54" s="63"/>
      <c r="D54" s="68"/>
      <c r="E54" s="66"/>
      <c r="F54" s="65"/>
      <c r="G54" s="65"/>
      <c r="H54" s="65"/>
      <c r="I54" s="66"/>
      <c r="J54" s="67"/>
      <c r="K54" s="68"/>
      <c r="L54" s="66"/>
      <c r="M54" s="66"/>
      <c r="N54" s="65"/>
      <c r="O54" s="69"/>
      <c r="P54" s="70"/>
      <c r="Q54" s="65"/>
      <c r="R54" s="57" t="str">
        <f>IF(AND(C54="pv",D54='UNC - PV'!$Q$2,LEFT(E54,1)="u",'UNC - PV'!$O$2="vnđ",TH!P54&lt;&gt;""),"p",IF(AND(C54="pv",D54='UNC - PV'!$Q$2,LEFT(E54,1)="u",'UNC - PV'!$O$2="usd",TH!O54&lt;&gt;""),"p1",IF(AND(C54="pv",D54='UNC - PV'!$Q$2,LEFT(E54,1)="l"),"p2",IF(AND(LEFT(C54,3)="EIB",D54='UNC - EIB'!$T$2,LEFT(E54,1)="u",'UNC - EIB'!$R$2="vnđ",TH!P54&lt;&gt;""),"e",IF(AND(LEFT(C54,3)="EIB",D54='UNC - EIB'!$T$2,LEFT(E54,1)="U",'UNC - EIB'!$R$2="usd",TH!O54&lt;&gt;""),"e1",IF(AND(LEFT(C54,3)="EIB",D54='UNC - EIB'!$T$2,LEFT(E54,1)="l"),"e2",""))))))</f>
        <v/>
      </c>
    </row>
    <row r="55" spans="1:18" ht="18.75" customHeight="1" x14ac:dyDescent="0.25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3" t="str">
        <f t="shared" si="0"/>
        <v/>
      </c>
      <c r="C55" s="63"/>
      <c r="D55" s="68"/>
      <c r="E55" s="66"/>
      <c r="F55" s="65"/>
      <c r="G55" s="65"/>
      <c r="H55" s="65"/>
      <c r="I55" s="66"/>
      <c r="J55" s="67"/>
      <c r="K55" s="68"/>
      <c r="L55" s="66"/>
      <c r="M55" s="66"/>
      <c r="N55" s="65"/>
      <c r="O55" s="69"/>
      <c r="P55" s="70"/>
      <c r="Q55" s="65"/>
      <c r="R55" s="57" t="str">
        <f>IF(AND(C55="pv",D55='UNC - PV'!$Q$2,LEFT(E55,1)="u",'UNC - PV'!$O$2="vnđ",TH!P55&lt;&gt;""),"p",IF(AND(C55="pv",D55='UNC - PV'!$Q$2,LEFT(E55,1)="u",'UNC - PV'!$O$2="usd",TH!O55&lt;&gt;""),"p1",IF(AND(C55="pv",D55='UNC - PV'!$Q$2,LEFT(E55,1)="l"),"p2",IF(AND(LEFT(C55,3)="EIB",D55='UNC - EIB'!$T$2,LEFT(E55,1)="u",'UNC - EIB'!$R$2="vnđ",TH!P55&lt;&gt;""),"e",IF(AND(LEFT(C55,3)="EIB",D55='UNC - EIB'!$T$2,LEFT(E55,1)="U",'UNC - EIB'!$R$2="usd",TH!O55&lt;&gt;""),"e1",IF(AND(LEFT(C55,3)="EIB",D55='UNC - EIB'!$T$2,LEFT(E55,1)="l"),"e2",""))))))</f>
        <v/>
      </c>
    </row>
    <row r="56" spans="1:18" ht="18.75" customHeight="1" x14ac:dyDescent="0.25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3" t="str">
        <f t="shared" si="0"/>
        <v/>
      </c>
      <c r="C56" s="63"/>
      <c r="D56" s="68"/>
      <c r="E56" s="66"/>
      <c r="F56" s="65"/>
      <c r="G56" s="65"/>
      <c r="H56" s="65"/>
      <c r="I56" s="66"/>
      <c r="J56" s="67"/>
      <c r="K56" s="68"/>
      <c r="L56" s="66"/>
      <c r="M56" s="66"/>
      <c r="N56" s="65"/>
      <c r="O56" s="69"/>
      <c r="P56" s="70"/>
      <c r="Q56" s="65"/>
      <c r="R56" s="57" t="str">
        <f>IF(AND(C56="pv",D56='UNC - PV'!$Q$2,LEFT(E56,1)="u",'UNC - PV'!$O$2="vnđ",TH!P56&lt;&gt;""),"p",IF(AND(C56="pv",D56='UNC - PV'!$Q$2,LEFT(E56,1)="u",'UNC - PV'!$O$2="usd",TH!O56&lt;&gt;""),"p1",IF(AND(C56="pv",D56='UNC - PV'!$Q$2,LEFT(E56,1)="l"),"p2",IF(AND(LEFT(C56,3)="EIB",D56='UNC - EIB'!$T$2,LEFT(E56,1)="u",'UNC - EIB'!$R$2="vnđ",TH!P56&lt;&gt;""),"e",IF(AND(LEFT(C56,3)="EIB",D56='UNC - EIB'!$T$2,LEFT(E56,1)="U",'UNC - EIB'!$R$2="usd",TH!O56&lt;&gt;""),"e1",IF(AND(LEFT(C56,3)="EIB",D56='UNC - EIB'!$T$2,LEFT(E56,1)="l"),"e2",""))))))</f>
        <v/>
      </c>
    </row>
    <row r="57" spans="1:18" ht="18.75" customHeight="1" x14ac:dyDescent="0.25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3" t="str">
        <f t="shared" si="0"/>
        <v/>
      </c>
      <c r="C57" s="63"/>
      <c r="D57" s="68"/>
      <c r="E57" s="66"/>
      <c r="F57" s="65"/>
      <c r="G57" s="65"/>
      <c r="H57" s="65"/>
      <c r="I57" s="66"/>
      <c r="J57" s="67"/>
      <c r="K57" s="68"/>
      <c r="L57" s="66"/>
      <c r="M57" s="66"/>
      <c r="N57" s="65"/>
      <c r="O57" s="69"/>
      <c r="P57" s="70"/>
      <c r="Q57" s="65"/>
      <c r="R57" s="57" t="str">
        <f>IF(AND(C57="pv",D57='UNC - PV'!$Q$2,LEFT(E57,1)="u",'UNC - PV'!$O$2="vnđ",TH!P57&lt;&gt;""),"p",IF(AND(C57="pv",D57='UNC - PV'!$Q$2,LEFT(E57,1)="u",'UNC - PV'!$O$2="usd",TH!O57&lt;&gt;""),"p1",IF(AND(C57="pv",D57='UNC - PV'!$Q$2,LEFT(E57,1)="l"),"p2",IF(AND(LEFT(C57,3)="EIB",D57='UNC - EIB'!$T$2,LEFT(E57,1)="u",'UNC - EIB'!$R$2="vnđ",TH!P57&lt;&gt;""),"e",IF(AND(LEFT(C57,3)="EIB",D57='UNC - EIB'!$T$2,LEFT(E57,1)="U",'UNC - EIB'!$R$2="usd",TH!O57&lt;&gt;""),"e1",IF(AND(LEFT(C57,3)="EIB",D57='UNC - EIB'!$T$2,LEFT(E57,1)="l"),"e2",""))))))</f>
        <v/>
      </c>
    </row>
    <row r="58" spans="1:18" ht="18.75" customHeight="1" x14ac:dyDescent="0.25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3" t="str">
        <f t="shared" si="0"/>
        <v/>
      </c>
      <c r="C58" s="63"/>
      <c r="D58" s="68"/>
      <c r="E58" s="66"/>
      <c r="F58" s="65"/>
      <c r="G58" s="65"/>
      <c r="H58" s="65"/>
      <c r="I58" s="66"/>
      <c r="J58" s="67"/>
      <c r="K58" s="68"/>
      <c r="L58" s="66"/>
      <c r="M58" s="66"/>
      <c r="N58" s="65"/>
      <c r="O58" s="69"/>
      <c r="P58" s="70"/>
      <c r="Q58" s="65"/>
      <c r="R58" s="57" t="str">
        <f>IF(AND(C58="pv",D58='UNC - PV'!$Q$2,LEFT(E58,1)="u",'UNC - PV'!$O$2="vnđ",TH!P58&lt;&gt;""),"p",IF(AND(C58="pv",D58='UNC - PV'!$Q$2,LEFT(E58,1)="u",'UNC - PV'!$O$2="usd",TH!O58&lt;&gt;""),"p1",IF(AND(C58="pv",D58='UNC - PV'!$Q$2,LEFT(E58,1)="l"),"p2",IF(AND(LEFT(C58,3)="EIB",D58='UNC - EIB'!$T$2,LEFT(E58,1)="u",'UNC - EIB'!$R$2="vnđ",TH!P58&lt;&gt;""),"e",IF(AND(LEFT(C58,3)="EIB",D58='UNC - EIB'!$T$2,LEFT(E58,1)="U",'UNC - EIB'!$R$2="usd",TH!O58&lt;&gt;""),"e1",IF(AND(LEFT(C58,3)="EIB",D58='UNC - EIB'!$T$2,LEFT(E58,1)="l"),"e2",""))))))</f>
        <v/>
      </c>
    </row>
    <row r="59" spans="1:18" ht="18.75" customHeight="1" x14ac:dyDescent="0.25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3" t="str">
        <f t="shared" si="0"/>
        <v/>
      </c>
      <c r="C59" s="63"/>
      <c r="D59" s="68"/>
      <c r="E59" s="66"/>
      <c r="F59" s="65"/>
      <c r="G59" s="65"/>
      <c r="H59" s="65"/>
      <c r="I59" s="66"/>
      <c r="J59" s="67"/>
      <c r="K59" s="68"/>
      <c r="L59" s="66"/>
      <c r="M59" s="66"/>
      <c r="N59" s="65"/>
      <c r="O59" s="69"/>
      <c r="P59" s="70"/>
      <c r="Q59" s="65"/>
      <c r="R59" s="57" t="str">
        <f>IF(AND(C59="pv",D59='UNC - PV'!$Q$2,LEFT(E59,1)="u",'UNC - PV'!$O$2="vnđ",TH!P59&lt;&gt;""),"p",IF(AND(C59="pv",D59='UNC - PV'!$Q$2,LEFT(E59,1)="u",'UNC - PV'!$O$2="usd",TH!O59&lt;&gt;""),"p1",IF(AND(C59="pv",D59='UNC - PV'!$Q$2,LEFT(E59,1)="l"),"p2",IF(AND(LEFT(C59,3)="EIB",D59='UNC - EIB'!$T$2,LEFT(E59,1)="u",'UNC - EIB'!$R$2="vnđ",TH!P59&lt;&gt;""),"e",IF(AND(LEFT(C59,3)="EIB",D59='UNC - EIB'!$T$2,LEFT(E59,1)="U",'UNC - EIB'!$R$2="usd",TH!O59&lt;&gt;""),"e1",IF(AND(LEFT(C59,3)="EIB",D59='UNC - EIB'!$T$2,LEFT(E59,1)="l"),"e2",""))))))</f>
        <v/>
      </c>
    </row>
  </sheetData>
  <autoFilter ref="B3:X3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59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Normal="100" zoomScaleSheetLayoutView="100" workbookViewId="0">
      <pane ySplit="18" topLeftCell="A19" activePane="bottomLeft" state="frozen"/>
      <selection pane="bottomLeft" activeCell="F11" sqref="F11"/>
    </sheetView>
  </sheetViews>
  <sheetFormatPr defaultRowHeight="15" x14ac:dyDescent="0.2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140625" style="6"/>
    <col min="18" max="18" width="2.85546875" style="9" customWidth="1"/>
    <col min="19" max="19" width="9.140625" style="6"/>
    <col min="20" max="16384" width="9.140625" style="1"/>
  </cols>
  <sheetData>
    <row r="1" spans="1:19" ht="18" customHeight="1" thickBot="1" x14ac:dyDescent="0.3">
      <c r="A1" s="8" t="str">
        <f>IF($O$2="vnđ","p","p1")</f>
        <v>p</v>
      </c>
      <c r="N1" s="8"/>
    </row>
    <row r="2" spans="1:19" ht="21.75" customHeight="1" thickBot="1" x14ac:dyDescent="0.3">
      <c r="O2" s="13" t="s">
        <v>30</v>
      </c>
      <c r="Q2" s="10">
        <v>42556</v>
      </c>
      <c r="R2" s="11"/>
      <c r="S2" s="12" t="s">
        <v>24</v>
      </c>
    </row>
    <row r="6" spans="1:19" ht="21" customHeight="1" x14ac:dyDescent="0.25">
      <c r="G6" s="1" t="s">
        <v>2</v>
      </c>
    </row>
    <row r="7" spans="1:19" ht="17.25" customHeight="1" x14ac:dyDescent="0.25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 x14ac:dyDescent="0.25">
      <c r="F8" s="98" t="e">
        <f>IF($O$2="VNĐ",VLOOKUP("X",DS,16,0),VLOOKUP("X",DS,15,0))</f>
        <v>#N/A</v>
      </c>
      <c r="G8" s="98"/>
      <c r="K8" s="1" t="str">
        <f>IF(O2="vnđ","x","")</f>
        <v>x</v>
      </c>
      <c r="L8" s="1" t="str">
        <f>IF(O2="usd","x","")</f>
        <v/>
      </c>
    </row>
    <row r="9" spans="1:19" ht="17.25" customHeight="1" x14ac:dyDescent="0.25">
      <c r="F9" s="1" t="str">
        <f>[1]!VND(F8,FALSE)&amp;IF($O$2="USD"," đô la mỹ."," đồng.")</f>
        <v>Error: Đối số của hàm không hợp lệ. đồng.</v>
      </c>
    </row>
    <row r="10" spans="1:19" ht="16.5" customHeight="1" x14ac:dyDescent="0.25">
      <c r="E10" s="1" t="s">
        <v>3</v>
      </c>
    </row>
    <row r="11" spans="1:19" ht="17.25" customHeight="1" x14ac:dyDescent="0.25">
      <c r="F11" s="1" t="e">
        <f>VLOOKUP("X",DS,14,0)</f>
        <v>#N/A</v>
      </c>
    </row>
    <row r="13" spans="1:19" ht="25.5" customHeight="1" x14ac:dyDescent="0.25">
      <c r="G13" s="14" t="e">
        <f>VLOOKUP("X",DS,6,0)</f>
        <v>#N/A</v>
      </c>
    </row>
    <row r="14" spans="1:19" ht="17.25" customHeight="1" x14ac:dyDescent="0.25"/>
    <row r="16" spans="1:19" ht="24" customHeight="1" x14ac:dyDescent="0.25">
      <c r="C16" s="1" t="s">
        <v>3</v>
      </c>
      <c r="E16" s="1" t="e">
        <f>VLOOKUP("X",DS,7,0)</f>
        <v>#N/A</v>
      </c>
    </row>
    <row r="17" spans="5:5" ht="15" customHeight="1" x14ac:dyDescent="0.25">
      <c r="E17" s="1" t="e">
        <f>VLOOKUP("X",DS,8,0)</f>
        <v>#N/A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Normal="100" zoomScaleSheetLayoutView="100" workbookViewId="0">
      <pane ySplit="18" topLeftCell="A19" activePane="bottomLeft" state="frozen"/>
      <selection pane="bottomLeft" activeCell="R2" sqref="R2"/>
    </sheetView>
  </sheetViews>
  <sheetFormatPr defaultRowHeight="15" x14ac:dyDescent="0.2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 x14ac:dyDescent="0.3"/>
    <row r="2" spans="5:18" ht="21.75" customHeight="1" thickBot="1" x14ac:dyDescent="0.3">
      <c r="P2" s="10">
        <v>42556</v>
      </c>
      <c r="Q2" s="11"/>
      <c r="R2" s="12" t="s">
        <v>79</v>
      </c>
    </row>
    <row r="5" spans="5:18" ht="4.5" customHeight="1" x14ac:dyDescent="0.25"/>
    <row r="6" spans="5:18" ht="21" customHeight="1" x14ac:dyDescent="0.25">
      <c r="F6" s="1" t="s">
        <v>2</v>
      </c>
    </row>
    <row r="7" spans="5:18" ht="18.75" customHeight="1" x14ac:dyDescent="0.25">
      <c r="E7" s="2" t="s">
        <v>8</v>
      </c>
      <c r="M7" s="1" t="s">
        <v>7</v>
      </c>
    </row>
    <row r="8" spans="5:18" ht="21" customHeight="1" x14ac:dyDescent="0.25">
      <c r="E8" s="98" t="e">
        <f>VLOOKUP("X2",DS,16,0)</f>
        <v>#N/A</v>
      </c>
      <c r="F8" s="98"/>
      <c r="G8" s="5"/>
      <c r="L8" s="1" t="s">
        <v>3</v>
      </c>
    </row>
    <row r="9" spans="5:18" ht="17.25" customHeight="1" x14ac:dyDescent="0.25">
      <c r="F9" s="1" t="str">
        <f>[1]!VND(E8,TRUE)</f>
        <v>Error: Đối số của hàm không hợp lệ.</v>
      </c>
    </row>
    <row r="10" spans="5:18" ht="19.5" customHeight="1" x14ac:dyDescent="0.25"/>
    <row r="11" spans="5:18" ht="22.5" customHeight="1" x14ac:dyDescent="0.25">
      <c r="E11" s="1" t="s">
        <v>3</v>
      </c>
    </row>
    <row r="12" spans="5:18" ht="21" customHeight="1" x14ac:dyDescent="0.25">
      <c r="F12" s="1" t="e">
        <f>VLOOKUP("X2",DS,6,0)</f>
        <v>#N/A</v>
      </c>
    </row>
    <row r="13" spans="5:18" ht="19.5" customHeight="1" x14ac:dyDescent="0.25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 x14ac:dyDescent="0.25">
      <c r="E14" s="1" t="e">
        <f>VLOOKUP("X2",DS,14,0)</f>
        <v>#N/A</v>
      </c>
    </row>
    <row r="15" spans="5:18" ht="16.5" customHeight="1" x14ac:dyDescent="0.25">
      <c r="H15" s="4"/>
    </row>
    <row r="16" spans="5:18" ht="21" customHeight="1" x14ac:dyDescent="0.25">
      <c r="H16" s="1" t="e">
        <f>VLOOKUP("X2",DS,13,0)</f>
        <v>#N/A</v>
      </c>
    </row>
    <row r="17" ht="15" customHeight="1" x14ac:dyDescent="0.25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B11" sqref="B11"/>
    </sheetView>
  </sheetViews>
  <sheetFormatPr defaultRowHeight="15" x14ac:dyDescent="0.2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 x14ac:dyDescent="0.3">
      <c r="A1" s="8" t="str">
        <f>IF($R$2="vnđ","E","E1")</f>
        <v>E</v>
      </c>
    </row>
    <row r="2" spans="1:22" ht="21.75" customHeight="1" thickBot="1" x14ac:dyDescent="0.35">
      <c r="A2" s="16"/>
      <c r="B2" s="16"/>
      <c r="G2" s="24"/>
      <c r="H2" s="51" t="s">
        <v>55</v>
      </c>
      <c r="M2" s="27" t="s">
        <v>126</v>
      </c>
      <c r="N2" s="27"/>
      <c r="R2" s="13" t="s">
        <v>30</v>
      </c>
      <c r="T2" s="10">
        <v>42556</v>
      </c>
      <c r="U2" s="11"/>
      <c r="V2" s="12" t="s">
        <v>23</v>
      </c>
    </row>
    <row r="3" spans="1:22" ht="12.75" customHeight="1" x14ac:dyDescent="0.25">
      <c r="G3" s="26"/>
      <c r="H3" s="26" t="s">
        <v>56</v>
      </c>
      <c r="I3" s="25"/>
      <c r="M3" s="27" t="s">
        <v>127</v>
      </c>
      <c r="N3" s="27"/>
    </row>
    <row r="4" spans="1:22" ht="12.75" customHeight="1" x14ac:dyDescent="0.25">
      <c r="A4" s="17"/>
      <c r="B4" s="17"/>
    </row>
    <row r="5" spans="1:22" ht="11.25" customHeight="1" x14ac:dyDescent="0.25">
      <c r="A5" s="17" t="s">
        <v>47</v>
      </c>
      <c r="B5" s="17"/>
    </row>
    <row r="6" spans="1:22" s="47" customFormat="1" ht="13.5" customHeight="1" x14ac:dyDescent="0.25">
      <c r="A6" s="17" t="s">
        <v>48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 x14ac:dyDescent="0.25">
      <c r="A7" s="28" t="s">
        <v>38</v>
      </c>
      <c r="B7" s="28"/>
    </row>
    <row r="8" spans="1:22" s="7" customFormat="1" ht="12" customHeight="1" x14ac:dyDescent="0.25">
      <c r="A8" s="17" t="s">
        <v>49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1015 148 5100 9180</v>
      </c>
    </row>
    <row r="9" spans="1:22" ht="9.75" customHeight="1" x14ac:dyDescent="0.25">
      <c r="A9" s="28" t="s">
        <v>39</v>
      </c>
      <c r="B9" s="28"/>
    </row>
    <row r="10" spans="1:22" s="7" customFormat="1" ht="12" customHeight="1" x14ac:dyDescent="0.25">
      <c r="A10" s="17" t="s">
        <v>59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11</v>
      </c>
    </row>
    <row r="11" spans="1:22" ht="9" customHeight="1" x14ac:dyDescent="0.25">
      <c r="A11" s="38" t="s">
        <v>40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 x14ac:dyDescent="0.25">
      <c r="A12" s="17" t="s">
        <v>50</v>
      </c>
      <c r="B12" s="17"/>
      <c r="C12" s="43" t="str">
        <f>VLOOKUP("X1",DS,6,0)</f>
        <v>CTY CP GIẢI PHÁP THANH TOÁN ĐIỆN LỰC VÀ VIỄN THÔNG</v>
      </c>
    </row>
    <row r="13" spans="1:22" ht="8.25" customHeight="1" x14ac:dyDescent="0.25">
      <c r="A13" s="28" t="s">
        <v>41</v>
      </c>
      <c r="B13" s="28"/>
      <c r="H13" s="31"/>
    </row>
    <row r="14" spans="1:22" s="7" customFormat="1" ht="12" customHeight="1" x14ac:dyDescent="0.25">
      <c r="A14" s="89" t="s">
        <v>57</v>
      </c>
      <c r="B14" s="17" t="s">
        <v>58</v>
      </c>
      <c r="C14" s="53" t="str">
        <f>VLOOKUP("X1",DS,7,0)</f>
        <v>6801 0000 318 995</v>
      </c>
      <c r="H14" s="45"/>
      <c r="I14" s="7" t="s">
        <v>57</v>
      </c>
      <c r="J14" s="17" t="s">
        <v>80</v>
      </c>
      <c r="K14" s="17"/>
      <c r="L14" s="17"/>
    </row>
    <row r="15" spans="1:22" ht="9" customHeight="1" x14ac:dyDescent="0.25">
      <c r="A15" s="18" t="s">
        <v>42</v>
      </c>
      <c r="B15" s="28"/>
      <c r="H15" s="31"/>
      <c r="J15" s="18" t="s">
        <v>60</v>
      </c>
      <c r="K15" s="18"/>
      <c r="L15" s="18"/>
    </row>
    <row r="16" spans="1:22" ht="12.75" customHeight="1" x14ac:dyDescent="0.25">
      <c r="A16" s="17" t="s">
        <v>51</v>
      </c>
      <c r="B16" s="17"/>
      <c r="C16" s="52" t="str">
        <f>VLOOKUP("X1",DS,8,0)</f>
        <v>BIDV – CHI NHÁNH LONG AN</v>
      </c>
      <c r="D16" s="19"/>
      <c r="E16" s="19"/>
      <c r="H16" s="31"/>
      <c r="J16" s="19" t="s">
        <v>82</v>
      </c>
      <c r="K16" s="19"/>
      <c r="L16" s="19"/>
    </row>
    <row r="17" spans="1:16" ht="8.25" customHeight="1" x14ac:dyDescent="0.25">
      <c r="A17" s="18" t="s">
        <v>43</v>
      </c>
      <c r="B17" s="18"/>
      <c r="H17" s="31"/>
      <c r="J17" s="28" t="s">
        <v>61</v>
      </c>
      <c r="K17" s="28"/>
      <c r="L17" s="28"/>
    </row>
    <row r="18" spans="1:16" ht="12" customHeight="1" x14ac:dyDescent="0.25">
      <c r="A18" s="17" t="s">
        <v>52</v>
      </c>
      <c r="B18" s="17"/>
      <c r="C18" s="53" t="str">
        <f>VLOOKUP("X1",DS,9,0)</f>
        <v>LONG AN</v>
      </c>
      <c r="H18" s="31"/>
      <c r="J18" s="19" t="s">
        <v>81</v>
      </c>
      <c r="K18" s="19"/>
      <c r="L18" s="19"/>
    </row>
    <row r="19" spans="1:16" ht="8.25" customHeight="1" x14ac:dyDescent="0.25">
      <c r="A19" s="18" t="s">
        <v>44</v>
      </c>
      <c r="B19" s="18"/>
      <c r="C19" s="39"/>
      <c r="H19" s="40"/>
      <c r="J19" s="28" t="s">
        <v>62</v>
      </c>
      <c r="K19" s="28"/>
      <c r="L19" s="28"/>
    </row>
    <row r="20" spans="1:16" ht="14.25" customHeight="1" x14ac:dyDescent="0.25">
      <c r="A20" s="33" t="s">
        <v>63</v>
      </c>
      <c r="B20" s="34"/>
      <c r="C20" s="52" t="str">
        <f>[1]!VND($N$22,FALSE)&amp;IF($R$2="USD"," đô la mỹ."," đồng.")</f>
        <v>Năm mươi bảy triệu, không trăm mười tám ngàn, bảy trăm hai mươi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99" t="s">
        <v>64</v>
      </c>
      <c r="O20" s="99"/>
      <c r="P20" s="37"/>
    </row>
    <row r="21" spans="1:16" ht="9" customHeight="1" x14ac:dyDescent="0.25">
      <c r="A21" s="28" t="s">
        <v>53</v>
      </c>
      <c r="B21" s="17"/>
      <c r="C21" s="20" t="s">
        <v>45</v>
      </c>
      <c r="D21" s="20"/>
      <c r="E21" s="20"/>
      <c r="M21" s="31"/>
      <c r="N21" s="100" t="s">
        <v>65</v>
      </c>
      <c r="O21" s="100"/>
      <c r="P21" s="32"/>
    </row>
    <row r="22" spans="1:16" x14ac:dyDescent="0.25">
      <c r="A22" s="18"/>
      <c r="B22" s="18"/>
      <c r="M22" s="31"/>
      <c r="N22" s="50">
        <f>IF($R$2="VNĐ",VLOOKUP("X1",DS,16,0),VLOOKUP("X1",DS,15,0))</f>
        <v>57018720</v>
      </c>
      <c r="O22" s="44" t="str">
        <f>R2</f>
        <v>VNĐ</v>
      </c>
      <c r="P22" s="32"/>
    </row>
    <row r="23" spans="1:16" ht="12" customHeight="1" x14ac:dyDescent="0.25">
      <c r="A23" s="17" t="s">
        <v>66</v>
      </c>
      <c r="B23" s="15"/>
      <c r="C23" s="52" t="str">
        <f>VLOOKUP("X1",DS,14,0)</f>
        <v>MKH: PB06030022841- Tiền điện kỳ 2&amp;3 tháng 06 năm 2016</v>
      </c>
      <c r="M23" s="31"/>
      <c r="P23" s="32"/>
    </row>
    <row r="24" spans="1:16" ht="9" customHeight="1" x14ac:dyDescent="0.25">
      <c r="A24" s="28" t="s">
        <v>46</v>
      </c>
      <c r="B24" s="21"/>
      <c r="M24" s="48"/>
      <c r="P24" s="48"/>
    </row>
    <row r="25" spans="1:16" ht="8.25" customHeight="1" x14ac:dyDescent="0.25">
      <c r="A25" s="21"/>
      <c r="B25" s="21"/>
    </row>
    <row r="26" spans="1:16" s="7" customFormat="1" ht="11.25" customHeight="1" x14ac:dyDescent="0.25">
      <c r="A26" s="17" t="s">
        <v>104</v>
      </c>
      <c r="B26" s="22"/>
      <c r="E26" s="45"/>
      <c r="F26" s="17" t="s">
        <v>77</v>
      </c>
      <c r="K26" s="45"/>
      <c r="L26" s="17" t="s">
        <v>78</v>
      </c>
    </row>
    <row r="27" spans="1:16" ht="8.25" customHeight="1" x14ac:dyDescent="0.25">
      <c r="A27" s="42" t="s">
        <v>54</v>
      </c>
      <c r="B27" s="21"/>
      <c r="C27" s="23"/>
      <c r="D27" s="23"/>
      <c r="E27" s="41"/>
      <c r="F27" s="28" t="s">
        <v>71</v>
      </c>
      <c r="K27" s="31"/>
      <c r="L27" s="28" t="s">
        <v>76</v>
      </c>
    </row>
    <row r="28" spans="1:16" ht="11.25" customHeight="1" x14ac:dyDescent="0.25">
      <c r="A28" s="27" t="s">
        <v>67</v>
      </c>
      <c r="B28" s="22"/>
      <c r="C28" s="27" t="s">
        <v>69</v>
      </c>
      <c r="E28" s="31"/>
      <c r="F28" s="27" t="s">
        <v>72</v>
      </c>
      <c r="H28" s="27" t="s">
        <v>74</v>
      </c>
      <c r="K28" s="31"/>
      <c r="L28" s="27" t="s">
        <v>72</v>
      </c>
      <c r="O28" s="27" t="s">
        <v>74</v>
      </c>
    </row>
    <row r="29" spans="1:16" ht="9" customHeight="1" x14ac:dyDescent="0.25">
      <c r="A29" s="28" t="s">
        <v>68</v>
      </c>
      <c r="B29" s="21"/>
      <c r="C29" s="28" t="s">
        <v>70</v>
      </c>
      <c r="E29" s="31"/>
      <c r="F29" s="28" t="s">
        <v>73</v>
      </c>
      <c r="H29" s="28" t="s">
        <v>75</v>
      </c>
      <c r="K29" s="31"/>
      <c r="L29" s="28" t="s">
        <v>73</v>
      </c>
      <c r="O29" s="28" t="s">
        <v>75</v>
      </c>
    </row>
    <row r="30" spans="1:16" x14ac:dyDescent="0.25">
      <c r="A30" s="22"/>
      <c r="B30" s="22"/>
      <c r="E30" s="31"/>
      <c r="K30" s="31"/>
    </row>
    <row r="31" spans="1:16" x14ac:dyDescent="0.25">
      <c r="E31" s="31"/>
      <c r="K31" s="31"/>
    </row>
    <row r="32" spans="1:16" x14ac:dyDescent="0.25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B32" sqref="B32"/>
    </sheetView>
  </sheetViews>
  <sheetFormatPr defaultRowHeight="15" x14ac:dyDescent="0.2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9" width="9.140625" style="1"/>
    <col min="20" max="20" width="1.85546875" style="1" customWidth="1"/>
    <col min="21" max="16384" width="9.140625" style="1"/>
  </cols>
  <sheetData>
    <row r="1" spans="1:21" ht="6.75" customHeight="1" thickBot="1" x14ac:dyDescent="0.3">
      <c r="A1" s="8"/>
    </row>
    <row r="2" spans="1:21" ht="21.75" customHeight="1" thickBot="1" x14ac:dyDescent="0.35">
      <c r="A2" s="16"/>
      <c r="B2" s="16"/>
      <c r="G2" s="24"/>
      <c r="H2" s="76" t="s">
        <v>107</v>
      </c>
      <c r="M2" s="27" t="s">
        <v>126</v>
      </c>
      <c r="N2" s="27"/>
      <c r="O2" s="27"/>
      <c r="S2" s="10">
        <v>42556</v>
      </c>
      <c r="T2" s="11"/>
      <c r="U2" s="12" t="s">
        <v>27</v>
      </c>
    </row>
    <row r="3" spans="1:21" ht="12.75" customHeight="1" x14ac:dyDescent="0.25">
      <c r="G3" s="26"/>
      <c r="H3" s="26" t="s">
        <v>56</v>
      </c>
      <c r="I3" s="25"/>
      <c r="M3" s="27" t="s">
        <v>127</v>
      </c>
      <c r="N3" s="27"/>
      <c r="O3" s="27"/>
    </row>
    <row r="4" spans="1:21" ht="12.75" customHeight="1" x14ac:dyDescent="0.25">
      <c r="A4" s="17"/>
      <c r="B4" s="17"/>
    </row>
    <row r="5" spans="1:21" s="7" customFormat="1" ht="9.75" customHeight="1" x14ac:dyDescent="0.25">
      <c r="A5" s="79" t="s">
        <v>108</v>
      </c>
      <c r="B5" s="17"/>
      <c r="E5" s="81"/>
      <c r="F5" s="82" t="s">
        <v>110</v>
      </c>
      <c r="I5" s="86" t="s">
        <v>3</v>
      </c>
      <c r="J5" s="82" t="s">
        <v>111</v>
      </c>
    </row>
    <row r="6" spans="1:21" s="7" customFormat="1" ht="8.25" customHeight="1" x14ac:dyDescent="0.25">
      <c r="A6" s="77" t="s">
        <v>109</v>
      </c>
      <c r="B6" s="17"/>
      <c r="F6" s="77" t="s">
        <v>112</v>
      </c>
      <c r="J6" s="77" t="s">
        <v>113</v>
      </c>
    </row>
    <row r="7" spans="1:21" s="47" customFormat="1" ht="13.5" customHeight="1" x14ac:dyDescent="0.25">
      <c r="A7" s="17" t="s">
        <v>48</v>
      </c>
      <c r="B7" s="29"/>
      <c r="C7" s="46" t="str">
        <f>"CTY TNHH HẢI SẢN AN LẠC "&amp;IF(RIGHT(VLOOKUP("X3",DS,3,0),1)="V","TRÀ VINH","")</f>
        <v>CTY TNHH HẢI SẢN AN LẠC TRÀ VINH</v>
      </c>
      <c r="G7" s="49"/>
      <c r="H7" s="49"/>
    </row>
    <row r="8" spans="1:21" ht="8.25" customHeight="1" x14ac:dyDescent="0.25">
      <c r="A8" s="28" t="s">
        <v>38</v>
      </c>
      <c r="B8" s="28"/>
    </row>
    <row r="9" spans="1:21" ht="12.75" customHeight="1" x14ac:dyDescent="0.25">
      <c r="A9" s="17" t="s">
        <v>49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1402 148 5100 7445</v>
      </c>
    </row>
    <row r="10" spans="1:21" ht="8.25" customHeight="1" x14ac:dyDescent="0.25">
      <c r="A10" s="28" t="s">
        <v>39</v>
      </c>
      <c r="B10" s="28"/>
    </row>
    <row r="11" spans="1:21" ht="12.75" customHeight="1" x14ac:dyDescent="0.25">
      <c r="A11" s="17" t="s">
        <v>59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4</v>
      </c>
    </row>
    <row r="12" spans="1:21" ht="9" customHeight="1" x14ac:dyDescent="0.25">
      <c r="A12" s="38" t="s">
        <v>40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 x14ac:dyDescent="0.25">
      <c r="A13" s="17" t="s">
        <v>50</v>
      </c>
      <c r="B13" s="17"/>
      <c r="C13" s="43" t="str">
        <f>VLOOKUP("X3",DS,6,0)</f>
        <v>PHẠM THỊ ĐÔNG</v>
      </c>
    </row>
    <row r="14" spans="1:21" ht="8.25" customHeight="1" x14ac:dyDescent="0.25">
      <c r="A14" s="28" t="s">
        <v>41</v>
      </c>
      <c r="B14" s="28"/>
      <c r="H14" s="31"/>
    </row>
    <row r="15" spans="1:21" ht="12" customHeight="1" x14ac:dyDescent="0.25">
      <c r="A15" s="30" t="s">
        <v>57</v>
      </c>
      <c r="B15" s="17" t="s">
        <v>114</v>
      </c>
      <c r="C15" s="52"/>
      <c r="H15" s="31"/>
      <c r="I15" s="7" t="s">
        <v>57</v>
      </c>
      <c r="J15" s="17" t="s">
        <v>118</v>
      </c>
      <c r="K15" s="17"/>
      <c r="L15" s="54" t="str">
        <f>VLOOKUP("X3",DS,10,0)</f>
        <v>020999909</v>
      </c>
    </row>
    <row r="16" spans="1:21" ht="8.25" customHeight="1" x14ac:dyDescent="0.25">
      <c r="A16" s="18" t="s">
        <v>42</v>
      </c>
      <c r="B16" s="28"/>
      <c r="H16" s="31"/>
      <c r="J16" s="18" t="s">
        <v>60</v>
      </c>
      <c r="K16" s="18"/>
      <c r="L16" s="18"/>
    </row>
    <row r="17" spans="1:17" ht="11.25" customHeight="1" x14ac:dyDescent="0.25">
      <c r="A17" s="17" t="s">
        <v>115</v>
      </c>
      <c r="B17" s="17"/>
      <c r="C17" s="52"/>
      <c r="D17" s="19"/>
      <c r="E17" s="19"/>
      <c r="H17" s="31"/>
      <c r="J17" s="20" t="s">
        <v>116</v>
      </c>
      <c r="K17" s="83"/>
      <c r="L17" s="104">
        <f>VLOOKUP("X3",DS,11,0)</f>
        <v>41051</v>
      </c>
      <c r="M17" s="104"/>
    </row>
    <row r="18" spans="1:17" ht="8.25" customHeight="1" x14ac:dyDescent="0.25">
      <c r="A18" s="18" t="s">
        <v>43</v>
      </c>
      <c r="B18" s="18"/>
      <c r="H18" s="31"/>
      <c r="J18" s="28" t="s">
        <v>61</v>
      </c>
      <c r="K18" s="28"/>
      <c r="L18" s="28"/>
    </row>
    <row r="19" spans="1:17" ht="11.25" customHeight="1" x14ac:dyDescent="0.25">
      <c r="A19" s="17" t="s">
        <v>125</v>
      </c>
      <c r="B19" s="17"/>
      <c r="C19" s="53"/>
      <c r="H19" s="31"/>
      <c r="J19" s="20" t="s">
        <v>117</v>
      </c>
      <c r="K19" s="19"/>
      <c r="L19" s="54" t="str">
        <f>VLOOKUP("X3",DS,12,0)</f>
        <v>TPHCM</v>
      </c>
    </row>
    <row r="20" spans="1:17" ht="8.25" customHeight="1" x14ac:dyDescent="0.25">
      <c r="A20" s="18" t="s">
        <v>44</v>
      </c>
      <c r="B20" s="18"/>
      <c r="C20" s="39"/>
      <c r="H20" s="40"/>
      <c r="J20" s="28" t="s">
        <v>62</v>
      </c>
      <c r="K20" s="28"/>
      <c r="L20" s="28"/>
    </row>
    <row r="21" spans="1:17" x14ac:dyDescent="0.25">
      <c r="A21" s="33" t="s">
        <v>63</v>
      </c>
      <c r="B21" s="34"/>
      <c r="C21" s="52" t="str">
        <f>[1]!VND(O23,TRUE)</f>
        <v>Một tỷ, một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01" t="s">
        <v>64</v>
      </c>
      <c r="O21" s="102"/>
      <c r="P21" s="102"/>
      <c r="Q21" s="37"/>
    </row>
    <row r="22" spans="1:17" ht="9" customHeight="1" x14ac:dyDescent="0.25">
      <c r="A22" s="28" t="s">
        <v>53</v>
      </c>
      <c r="B22" s="17"/>
      <c r="C22" s="20" t="s">
        <v>45</v>
      </c>
      <c r="D22" s="20"/>
      <c r="E22" s="20"/>
      <c r="L22" s="48"/>
      <c r="M22" s="48"/>
      <c r="N22" s="103" t="s">
        <v>65</v>
      </c>
      <c r="O22" s="100"/>
      <c r="P22" s="100"/>
      <c r="Q22" s="32"/>
    </row>
    <row r="23" spans="1:17" x14ac:dyDescent="0.25">
      <c r="A23" s="18"/>
      <c r="B23" s="18"/>
      <c r="L23" s="48"/>
      <c r="M23" s="48"/>
      <c r="N23" s="85"/>
      <c r="O23" s="50">
        <f>VLOOKUP("X3",DS,16,0)</f>
        <v>1100000000</v>
      </c>
      <c r="P23" s="44" t="s">
        <v>30</v>
      </c>
      <c r="Q23" s="32"/>
    </row>
    <row r="24" spans="1:17" s="7" customFormat="1" ht="12.75" customHeight="1" x14ac:dyDescent="0.25">
      <c r="A24" s="17" t="s">
        <v>66</v>
      </c>
      <c r="B24" s="87"/>
      <c r="C24" s="53" t="str">
        <f>VLOOKUP("X3",DS,14,0)</f>
        <v>Rút tiền mặt</v>
      </c>
      <c r="L24" s="84"/>
      <c r="M24" s="84"/>
      <c r="N24" s="45"/>
      <c r="O24" s="84"/>
      <c r="P24" s="84"/>
      <c r="Q24" s="88"/>
    </row>
    <row r="25" spans="1:17" ht="9" customHeight="1" x14ac:dyDescent="0.25">
      <c r="A25" s="28" t="s">
        <v>46</v>
      </c>
      <c r="B25" s="21"/>
      <c r="M25" s="48"/>
      <c r="Q25" s="48"/>
    </row>
    <row r="26" spans="1:17" ht="8.25" customHeight="1" x14ac:dyDescent="0.25">
      <c r="A26" s="21"/>
      <c r="B26" s="21"/>
    </row>
    <row r="27" spans="1:17" s="7" customFormat="1" ht="11.25" customHeight="1" x14ac:dyDescent="0.2">
      <c r="A27" s="17" t="s">
        <v>104</v>
      </c>
      <c r="B27" s="22"/>
      <c r="E27" s="45"/>
      <c r="F27" s="17" t="s">
        <v>77</v>
      </c>
      <c r="K27" s="84"/>
      <c r="L27" s="17"/>
      <c r="N27" s="45"/>
      <c r="O27" s="80" t="s">
        <v>124</v>
      </c>
    </row>
    <row r="28" spans="1:17" ht="8.25" customHeight="1" x14ac:dyDescent="0.25">
      <c r="A28" s="42" t="s">
        <v>54</v>
      </c>
      <c r="B28" s="21"/>
      <c r="C28" s="23"/>
      <c r="D28" s="23"/>
      <c r="E28" s="41"/>
      <c r="F28" s="28" t="s">
        <v>71</v>
      </c>
      <c r="K28" s="48"/>
      <c r="L28" s="28"/>
      <c r="N28" s="31"/>
      <c r="O28" s="78" t="s">
        <v>121</v>
      </c>
    </row>
    <row r="29" spans="1:17" ht="11.25" customHeight="1" x14ac:dyDescent="0.25">
      <c r="A29" s="27" t="s">
        <v>67</v>
      </c>
      <c r="B29" s="22"/>
      <c r="C29" s="27" t="s">
        <v>69</v>
      </c>
      <c r="E29" s="31"/>
      <c r="F29" s="27" t="s">
        <v>72</v>
      </c>
      <c r="H29" s="27" t="s">
        <v>74</v>
      </c>
      <c r="K29" s="82" t="s">
        <v>119</v>
      </c>
      <c r="L29" s="27"/>
      <c r="N29" s="31"/>
      <c r="O29" s="80" t="s">
        <v>122</v>
      </c>
      <c r="P29" s="27"/>
    </row>
    <row r="30" spans="1:17" ht="9" customHeight="1" x14ac:dyDescent="0.25">
      <c r="A30" s="28" t="s">
        <v>68</v>
      </c>
      <c r="B30" s="21"/>
      <c r="C30" s="28" t="s">
        <v>70</v>
      </c>
      <c r="E30" s="31"/>
      <c r="F30" s="28" t="s">
        <v>73</v>
      </c>
      <c r="H30" s="28" t="s">
        <v>75</v>
      </c>
      <c r="K30" s="78" t="s">
        <v>120</v>
      </c>
      <c r="L30" s="28"/>
      <c r="N30" s="31"/>
      <c r="O30" s="78" t="s">
        <v>123</v>
      </c>
      <c r="P30" s="28"/>
    </row>
    <row r="31" spans="1:17" x14ac:dyDescent="0.25">
      <c r="A31" s="22"/>
      <c r="B31" s="22"/>
      <c r="E31" s="31"/>
      <c r="K31" s="48"/>
      <c r="N31" s="31"/>
    </row>
    <row r="32" spans="1:17" x14ac:dyDescent="0.25">
      <c r="E32" s="31"/>
      <c r="K32" s="48"/>
      <c r="N32" s="31"/>
    </row>
    <row r="33" spans="5:14" x14ac:dyDescent="0.25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TH</vt:lpstr>
      <vt:lpstr>UNC - PV</vt:lpstr>
      <vt:lpstr>LC - PV</vt:lpstr>
      <vt:lpstr>UNC - EIB</vt:lpstr>
      <vt:lpstr>LC - EIB</vt:lpstr>
      <vt:lpstr>DS</vt:lpstr>
      <vt:lpstr>N_1</vt:lpstr>
      <vt:lpstr>'LC - EIB'!Print_Area</vt:lpstr>
      <vt:lpstr>'LC - PV'!Print_Area</vt:lpstr>
      <vt:lpstr>'UNC - EIB'!Print_Area</vt:lpstr>
      <vt:lpstr>'UNC - PV'!Print_Area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2016-07-05T08:52:38Z</cp:lastPrinted>
  <dcterms:created xsi:type="dcterms:W3CDTF">2016-07-02T08:51:17Z</dcterms:created>
  <dcterms:modified xsi:type="dcterms:W3CDTF">2016-07-05T09:12:14Z</dcterms:modified>
</cp:coreProperties>
</file>