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5" windowWidth="19440" windowHeight="9075"/>
  </bookViews>
  <sheets>
    <sheet name="TD-TQ" sheetId="1" r:id="rId1"/>
    <sheet name="19-10" sheetId="5" r:id="rId2"/>
    <sheet name="GC - TQ (T8)" sheetId="2" r:id="rId3"/>
    <sheet name="BS - CARTON" sheetId="6" r:id="rId4"/>
  </sheets>
  <definedNames>
    <definedName name="_Fill" localSheetId="1" hidden="1">#REF!</definedName>
    <definedName name="_Fill" localSheetId="2" hidden="1">#REF!</definedName>
    <definedName name="_Fill" hidden="1">#REF!</definedName>
    <definedName name="_xlnm.Print_Area" localSheetId="1">'19-10'!$A$482:$I$497</definedName>
    <definedName name="_xlnm.Print_Area" localSheetId="3">'BS - CARTON'!$A$67:$I$89</definedName>
    <definedName name="_xlnm.Print_Titles" localSheetId="0">'TD-TQ'!$2:$3</definedName>
  </definedNames>
  <calcPr calcId="144525"/>
</workbook>
</file>

<file path=xl/calcChain.xml><?xml version="1.0" encoding="utf-8"?>
<calcChain xmlns="http://schemas.openxmlformats.org/spreadsheetml/2006/main">
  <c r="O7" i="1" l="1"/>
  <c r="O4" i="1"/>
  <c r="E493" i="5"/>
  <c r="T12" i="1" l="1"/>
  <c r="I11" i="1"/>
  <c r="H12" i="1"/>
  <c r="H13" i="1"/>
  <c r="H14" i="1"/>
  <c r="R5" i="1"/>
  <c r="R88" i="1" s="1"/>
  <c r="R6" i="1"/>
  <c r="R4" i="1"/>
  <c r="H36" i="1"/>
  <c r="H31" i="1"/>
  <c r="S88" i="1"/>
  <c r="T88" i="1"/>
  <c r="H5" i="1"/>
  <c r="A5" i="1"/>
  <c r="P65" i="1" l="1"/>
  <c r="P7" i="1"/>
  <c r="L88" i="1"/>
  <c r="O88" i="1"/>
  <c r="N83" i="1"/>
  <c r="P83" i="1" s="1"/>
  <c r="N77" i="1"/>
  <c r="P77" i="1" s="1"/>
  <c r="N71" i="1"/>
  <c r="P71" i="1" s="1"/>
  <c r="N65" i="1"/>
  <c r="N63" i="1"/>
  <c r="P63" i="1" s="1"/>
  <c r="N57" i="1"/>
  <c r="P57" i="1" s="1"/>
  <c r="N53" i="1"/>
  <c r="P53" i="1" s="1"/>
  <c r="N49" i="1"/>
  <c r="P49" i="1" s="1"/>
  <c r="N47" i="1"/>
  <c r="P47" i="1" s="1"/>
  <c r="N43" i="1"/>
  <c r="P43" i="1" s="1"/>
  <c r="N33" i="1"/>
  <c r="P33" i="1" s="1"/>
  <c r="N39" i="1"/>
  <c r="P39" i="1" s="1"/>
  <c r="N28" i="1"/>
  <c r="P28" i="1" s="1"/>
  <c r="N24" i="1"/>
  <c r="P24" i="1" s="1"/>
  <c r="N22" i="1"/>
  <c r="P22" i="1" s="1"/>
  <c r="N18" i="1"/>
  <c r="P18" i="1" s="1"/>
  <c r="N14" i="1"/>
  <c r="P14" i="1" s="1"/>
  <c r="N9" i="1"/>
  <c r="P9" i="1" s="1"/>
  <c r="N11" i="1"/>
  <c r="P11" i="1" s="1"/>
  <c r="N7" i="1"/>
  <c r="N4" i="1" l="1"/>
  <c r="P4" i="1" s="1"/>
  <c r="P88" i="1" s="1"/>
  <c r="T90" i="1" s="1"/>
  <c r="N88" i="1" l="1"/>
  <c r="I493" i="5"/>
  <c r="F491" i="5"/>
  <c r="F493" i="5" s="1"/>
  <c r="E483" i="5"/>
  <c r="I495" i="5" l="1"/>
  <c r="I477" i="5"/>
  <c r="F475" i="5"/>
  <c r="F477" i="5" s="1"/>
  <c r="E467" i="5"/>
  <c r="E477" i="5" s="1"/>
  <c r="I479" i="5" l="1"/>
  <c r="E485" i="5" s="1"/>
  <c r="F428" i="5"/>
  <c r="F427" i="5"/>
  <c r="I461" i="5" l="1"/>
  <c r="F459" i="5"/>
  <c r="E449" i="5"/>
  <c r="E461" i="5" s="1"/>
  <c r="F461" i="5" l="1"/>
  <c r="I463" i="5"/>
  <c r="F438" i="5" l="1"/>
  <c r="F439" i="5"/>
  <c r="F440" i="5"/>
  <c r="F430" i="5"/>
  <c r="F437" i="5"/>
  <c r="F441" i="5"/>
  <c r="I443" i="5"/>
  <c r="E435" i="5"/>
  <c r="E443" i="5" s="1"/>
  <c r="I430" i="5"/>
  <c r="E425" i="5"/>
  <c r="E430" i="5" s="1"/>
  <c r="K393" i="5"/>
  <c r="J389" i="5"/>
  <c r="M389" i="5" s="1"/>
  <c r="J390" i="5"/>
  <c r="M390" i="5"/>
  <c r="J391" i="5"/>
  <c r="M391" i="5" s="1"/>
  <c r="J392" i="5"/>
  <c r="M392" i="5" s="1"/>
  <c r="J393" i="5"/>
  <c r="M393" i="5" s="1"/>
  <c r="J388" i="5"/>
  <c r="N388" i="5" s="1"/>
  <c r="F418" i="5"/>
  <c r="F414" i="5"/>
  <c r="F416" i="5"/>
  <c r="F417" i="5"/>
  <c r="I420" i="5"/>
  <c r="E418" i="5"/>
  <c r="E413" i="5"/>
  <c r="F406" i="5"/>
  <c r="F86" i="1"/>
  <c r="H86" i="1" s="1"/>
  <c r="F85" i="1"/>
  <c r="F84" i="1"/>
  <c r="H84" i="1" s="1"/>
  <c r="F83" i="1"/>
  <c r="H83" i="1" s="1"/>
  <c r="F405" i="5"/>
  <c r="J362" i="5"/>
  <c r="M362" i="5" s="1"/>
  <c r="J363" i="5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J372" i="5"/>
  <c r="M372" i="5" s="1"/>
  <c r="N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J381" i="5"/>
  <c r="M381" i="5" s="1"/>
  <c r="J382" i="5"/>
  <c r="M382" i="5" s="1"/>
  <c r="J383" i="5"/>
  <c r="M383" i="5" s="1"/>
  <c r="J384" i="5"/>
  <c r="M384" i="5" s="1"/>
  <c r="J385" i="5"/>
  <c r="J361" i="5"/>
  <c r="M361" i="5" s="1"/>
  <c r="I403" i="5"/>
  <c r="M388" i="5"/>
  <c r="K396" i="5"/>
  <c r="L390" i="5"/>
  <c r="L391" i="5"/>
  <c r="L392" i="5"/>
  <c r="L393" i="5"/>
  <c r="L394" i="5"/>
  <c r="K385" i="5"/>
  <c r="K380" i="5"/>
  <c r="L380" i="5" s="1"/>
  <c r="K369" i="5"/>
  <c r="L369" i="5" s="1"/>
  <c r="L366" i="5"/>
  <c r="K364" i="5"/>
  <c r="L364" i="5" s="1"/>
  <c r="K375" i="5"/>
  <c r="L375" i="5" s="1"/>
  <c r="L365" i="5"/>
  <c r="K371" i="5"/>
  <c r="L371" i="5" s="1"/>
  <c r="L385" i="5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255" i="5"/>
  <c r="K252" i="5"/>
  <c r="K363" i="5"/>
  <c r="L363" i="5" s="1"/>
  <c r="L336" i="5"/>
  <c r="L388" i="5"/>
  <c r="L396" i="5" s="1"/>
  <c r="L389" i="5"/>
  <c r="M363" i="5"/>
  <c r="M380" i="5"/>
  <c r="J394" i="5"/>
  <c r="N394" i="5" s="1"/>
  <c r="M366" i="5"/>
  <c r="M385" i="5"/>
  <c r="M371" i="5"/>
  <c r="N310" i="5"/>
  <c r="F402" i="5"/>
  <c r="F408" i="5" s="1"/>
  <c r="E406" i="5"/>
  <c r="E401" i="5"/>
  <c r="F74" i="1"/>
  <c r="N393" i="5"/>
  <c r="M365" i="5"/>
  <c r="M364" i="5"/>
  <c r="G73" i="6"/>
  <c r="H73" i="6"/>
  <c r="G75" i="6"/>
  <c r="H75" i="6"/>
  <c r="G78" i="6"/>
  <c r="H78" i="6"/>
  <c r="G82" i="6"/>
  <c r="H82" i="6"/>
  <c r="G69" i="6"/>
  <c r="H69" i="6"/>
  <c r="G71" i="6"/>
  <c r="H71" i="6"/>
  <c r="E85" i="6"/>
  <c r="G83" i="6"/>
  <c r="H83" i="6"/>
  <c r="G81" i="6"/>
  <c r="H81" i="6"/>
  <c r="G80" i="6"/>
  <c r="H80" i="6"/>
  <c r="G79" i="6"/>
  <c r="H79" i="6"/>
  <c r="G77" i="6"/>
  <c r="H77" i="6"/>
  <c r="G76" i="6"/>
  <c r="H76" i="6"/>
  <c r="G74" i="6"/>
  <c r="H74" i="6"/>
  <c r="G72" i="6"/>
  <c r="H72" i="6"/>
  <c r="G70" i="6"/>
  <c r="H70" i="6"/>
  <c r="G85" i="6"/>
  <c r="H85" i="6"/>
  <c r="F350" i="5"/>
  <c r="F347" i="5"/>
  <c r="E350" i="5"/>
  <c r="E352" i="5" s="1"/>
  <c r="F349" i="5"/>
  <c r="E346" i="5"/>
  <c r="J333" i="5"/>
  <c r="J334" i="5"/>
  <c r="N334" i="5" s="1"/>
  <c r="J335" i="5"/>
  <c r="L362" i="5"/>
  <c r="L361" i="5"/>
  <c r="F81" i="1"/>
  <c r="H81" i="1" s="1"/>
  <c r="F82" i="1"/>
  <c r="F321" i="5"/>
  <c r="F322" i="5"/>
  <c r="F320" i="5"/>
  <c r="E322" i="5"/>
  <c r="E321" i="5"/>
  <c r="E324" i="5" s="1"/>
  <c r="E320" i="5"/>
  <c r="F319" i="5"/>
  <c r="E317" i="5"/>
  <c r="J331" i="5"/>
  <c r="N331" i="5" s="1"/>
  <c r="J332" i="5"/>
  <c r="A292" i="5"/>
  <c r="A293" i="5"/>
  <c r="A294" i="5"/>
  <c r="A295" i="5"/>
  <c r="A296" i="5"/>
  <c r="A297" i="5"/>
  <c r="A298" i="5"/>
  <c r="A299" i="5"/>
  <c r="A300" i="5"/>
  <c r="A301" i="5"/>
  <c r="A291" i="5"/>
  <c r="K343" i="5"/>
  <c r="L341" i="5"/>
  <c r="L343" i="5" s="1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N335" i="5" s="1"/>
  <c r="E335" i="5"/>
  <c r="A335" i="5"/>
  <c r="L334" i="5"/>
  <c r="E334" i="5"/>
  <c r="A334" i="5"/>
  <c r="L333" i="5"/>
  <c r="N333" i="5" s="1"/>
  <c r="E333" i="5"/>
  <c r="A333" i="5"/>
  <c r="L332" i="5"/>
  <c r="N332" i="5" s="1"/>
  <c r="E332" i="5"/>
  <c r="A332" i="5"/>
  <c r="L331" i="5"/>
  <c r="E331" i="5"/>
  <c r="A331" i="5"/>
  <c r="F76" i="1"/>
  <c r="H76" i="1" s="1"/>
  <c r="F77" i="1"/>
  <c r="F78" i="1"/>
  <c r="H78" i="1"/>
  <c r="F79" i="1"/>
  <c r="H79" i="1" s="1"/>
  <c r="F80" i="1"/>
  <c r="H80" i="1" s="1"/>
  <c r="F75" i="1"/>
  <c r="H75" i="1"/>
  <c r="H77" i="1"/>
  <c r="H82" i="1"/>
  <c r="H85" i="1"/>
  <c r="F69" i="1"/>
  <c r="H69" i="1" s="1"/>
  <c r="F70" i="1"/>
  <c r="H70" i="1" s="1"/>
  <c r="F71" i="1"/>
  <c r="H71" i="1" s="1"/>
  <c r="F72" i="1"/>
  <c r="H72" i="1" s="1"/>
  <c r="F73" i="1"/>
  <c r="H73" i="1" s="1"/>
  <c r="E58" i="6"/>
  <c r="H74" i="1"/>
  <c r="F279" i="5"/>
  <c r="F277" i="5"/>
  <c r="E279" i="5"/>
  <c r="F278" i="5"/>
  <c r="E278" i="5"/>
  <c r="E277" i="5"/>
  <c r="F276" i="5"/>
  <c r="I281" i="5"/>
  <c r="E275" i="5"/>
  <c r="K313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/>
  <c r="G51" i="6"/>
  <c r="H51" i="6"/>
  <c r="G49" i="6"/>
  <c r="H49" i="6"/>
  <c r="G48" i="6"/>
  <c r="H48" i="6"/>
  <c r="G47" i="6"/>
  <c r="H47" i="6"/>
  <c r="G56" i="6"/>
  <c r="H56" i="6"/>
  <c r="G55" i="6"/>
  <c r="H55" i="6"/>
  <c r="G54" i="6"/>
  <c r="H54" i="6"/>
  <c r="G52" i="6"/>
  <c r="H52" i="6"/>
  <c r="G50" i="6"/>
  <c r="G58" i="6"/>
  <c r="H50" i="6"/>
  <c r="H58" i="6"/>
  <c r="F64" i="1"/>
  <c r="H64" i="1" s="1"/>
  <c r="F65" i="1"/>
  <c r="H65" i="1" s="1"/>
  <c r="F66" i="1"/>
  <c r="H66" i="1" s="1"/>
  <c r="F67" i="1"/>
  <c r="H67" i="1" s="1"/>
  <c r="F68" i="1"/>
  <c r="F63" i="1"/>
  <c r="H63" i="1" s="1"/>
  <c r="I63" i="1" s="1"/>
  <c r="K63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5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N247" i="5" s="1"/>
  <c r="E247" i="5"/>
  <c r="L246" i="5"/>
  <c r="E246" i="5"/>
  <c r="L245" i="5"/>
  <c r="E245" i="5"/>
  <c r="L244" i="5"/>
  <c r="E244" i="5"/>
  <c r="L243" i="5"/>
  <c r="E243" i="5"/>
  <c r="K258" i="5"/>
  <c r="H62" i="1"/>
  <c r="H61" i="1"/>
  <c r="H60" i="1"/>
  <c r="H59" i="1"/>
  <c r="H58" i="1"/>
  <c r="H57" i="1"/>
  <c r="G34" i="6"/>
  <c r="H34" i="6"/>
  <c r="G31" i="6"/>
  <c r="H31" i="6"/>
  <c r="G32" i="6"/>
  <c r="H32" i="6"/>
  <c r="G33" i="6"/>
  <c r="H33" i="6"/>
  <c r="G30" i="6"/>
  <c r="H30" i="6"/>
  <c r="G29" i="6"/>
  <c r="H29" i="6"/>
  <c r="G28" i="6"/>
  <c r="H28" i="6"/>
  <c r="G27" i="6"/>
  <c r="H27" i="6"/>
  <c r="G26" i="6"/>
  <c r="H26" i="6"/>
  <c r="G25" i="6"/>
  <c r="H25" i="6"/>
  <c r="G24" i="6"/>
  <c r="G36" i="6"/>
  <c r="H24" i="6"/>
  <c r="H36" i="6"/>
  <c r="H46" i="1"/>
  <c r="H45" i="1"/>
  <c r="H44" i="1"/>
  <c r="H43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5" i="6"/>
  <c r="H15" i="6"/>
  <c r="N220" i="5"/>
  <c r="K218" i="5"/>
  <c r="K222" i="5" s="1"/>
  <c r="N209" i="5"/>
  <c r="N210" i="5"/>
  <c r="N208" i="5"/>
  <c r="J212" i="5"/>
  <c r="J213" i="5"/>
  <c r="J214" i="5"/>
  <c r="J215" i="5"/>
  <c r="J216" i="5"/>
  <c r="J217" i="5"/>
  <c r="J218" i="5"/>
  <c r="N219" i="5"/>
  <c r="L218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54" i="1"/>
  <c r="H55" i="1"/>
  <c r="H56" i="1"/>
  <c r="H68" i="1"/>
  <c r="H50" i="1"/>
  <c r="H49" i="1"/>
  <c r="H48" i="1"/>
  <c r="H47" i="1"/>
  <c r="H42" i="1"/>
  <c r="H41" i="1"/>
  <c r="H40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39" i="1"/>
  <c r="H51" i="1"/>
  <c r="H52" i="1"/>
  <c r="H53" i="1"/>
  <c r="D157" i="5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N163" i="5" s="1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35" i="1"/>
  <c r="H34" i="1"/>
  <c r="H33" i="1"/>
  <c r="H30" i="1"/>
  <c r="H29" i="1"/>
  <c r="H28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N118" i="5" s="1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K173" i="5"/>
  <c r="E163" i="5"/>
  <c r="E162" i="5"/>
  <c r="E161" i="5"/>
  <c r="D160" i="5"/>
  <c r="E160" i="5" s="1"/>
  <c r="E159" i="5"/>
  <c r="E158" i="5"/>
  <c r="E157" i="5"/>
  <c r="E156" i="5"/>
  <c r="E155" i="5"/>
  <c r="E154" i="5"/>
  <c r="E153" i="5"/>
  <c r="D115" i="5"/>
  <c r="F132" i="5"/>
  <c r="F137" i="5" s="1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27" i="1"/>
  <c r="H26" i="1"/>
  <c r="H25" i="1"/>
  <c r="H24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 s="1"/>
  <c r="J70" i="5"/>
  <c r="L69" i="5"/>
  <c r="J69" i="5"/>
  <c r="K68" i="5"/>
  <c r="L68" i="5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E90" i="5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N35" i="5" s="1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19" i="1"/>
  <c r="H18" i="1"/>
  <c r="H17" i="1"/>
  <c r="H16" i="1"/>
  <c r="H15" i="1"/>
  <c r="F41" i="2"/>
  <c r="E40" i="2"/>
  <c r="E39" i="2"/>
  <c r="E38" i="2"/>
  <c r="E37" i="2"/>
  <c r="N30" i="2"/>
  <c r="J29" i="2"/>
  <c r="N29" i="2"/>
  <c r="J28" i="2"/>
  <c r="N28" i="2"/>
  <c r="J27" i="2"/>
  <c r="N27" i="2"/>
  <c r="J26" i="2"/>
  <c r="N26" i="2"/>
  <c r="E26" i="2"/>
  <c r="J25" i="2"/>
  <c r="N25" i="2"/>
  <c r="D25" i="2"/>
  <c r="E25" i="2"/>
  <c r="A25" i="2"/>
  <c r="J24" i="2"/>
  <c r="N24" i="2"/>
  <c r="E24" i="2"/>
  <c r="A24" i="2"/>
  <c r="J23" i="2"/>
  <c r="N23" i="2"/>
  <c r="E23" i="2"/>
  <c r="A23" i="2"/>
  <c r="J22" i="2"/>
  <c r="N22" i="2"/>
  <c r="E22" i="2"/>
  <c r="A22" i="2"/>
  <c r="J21" i="2"/>
  <c r="N21" i="2"/>
  <c r="E21" i="2"/>
  <c r="A21" i="2"/>
  <c r="J20" i="2"/>
  <c r="N20" i="2"/>
  <c r="E20" i="2"/>
  <c r="A20" i="2"/>
  <c r="J19" i="2"/>
  <c r="N19" i="2"/>
  <c r="E19" i="2"/>
  <c r="A19" i="2"/>
  <c r="J18" i="2"/>
  <c r="N18" i="2"/>
  <c r="C18" i="2"/>
  <c r="E18" i="2"/>
  <c r="A18" i="2"/>
  <c r="F15" i="2"/>
  <c r="C15" i="2"/>
  <c r="E11" i="2"/>
  <c r="E10" i="2"/>
  <c r="F9" i="2"/>
  <c r="C36" i="2"/>
  <c r="E36" i="2"/>
  <c r="C9" i="2"/>
  <c r="E5" i="2"/>
  <c r="E9" i="2"/>
  <c r="H23" i="1"/>
  <c r="H22" i="1"/>
  <c r="A11" i="1"/>
  <c r="H10" i="1"/>
  <c r="H9" i="1"/>
  <c r="H8" i="1"/>
  <c r="H7" i="1"/>
  <c r="H4" i="1"/>
  <c r="I4" i="1" s="1"/>
  <c r="K4" i="1" s="1"/>
  <c r="A4" i="1"/>
  <c r="E15" i="2"/>
  <c r="E41" i="2"/>
  <c r="F43" i="2"/>
  <c r="N31" i="2"/>
  <c r="E28" i="2"/>
  <c r="C27" i="2"/>
  <c r="E27" i="2"/>
  <c r="E31" i="2"/>
  <c r="E33" i="2"/>
  <c r="I137" i="5"/>
  <c r="F147" i="5"/>
  <c r="N343" i="5" l="1"/>
  <c r="E341" i="5" s="1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122" i="5"/>
  <c r="N254" i="5"/>
  <c r="N251" i="5"/>
  <c r="F272" i="5"/>
  <c r="F352" i="5"/>
  <c r="N385" i="5"/>
  <c r="N301" i="5"/>
  <c r="N304" i="5"/>
  <c r="N45" i="5"/>
  <c r="N65" i="5"/>
  <c r="N213" i="5"/>
  <c r="N361" i="5"/>
  <c r="M394" i="5"/>
  <c r="N390" i="5"/>
  <c r="E420" i="5"/>
  <c r="F184" i="5"/>
  <c r="I24" i="1"/>
  <c r="K24" i="1" s="1"/>
  <c r="I14" i="1"/>
  <c r="K14" i="1" s="1"/>
  <c r="I7" i="1"/>
  <c r="K7" i="1" s="1"/>
  <c r="I9" i="1"/>
  <c r="K9" i="1" s="1"/>
  <c r="K11" i="1"/>
  <c r="I22" i="1"/>
  <c r="K22" i="1" s="1"/>
  <c r="I39" i="1"/>
  <c r="K39" i="1" s="1"/>
  <c r="I49" i="1"/>
  <c r="K49" i="1" s="1"/>
  <c r="I83" i="1"/>
  <c r="K83" i="1" s="1"/>
  <c r="I71" i="1"/>
  <c r="K71" i="1" s="1"/>
  <c r="I53" i="1"/>
  <c r="K53" i="1" s="1"/>
  <c r="F88" i="1"/>
  <c r="I47" i="1"/>
  <c r="K47" i="1" s="1"/>
  <c r="I43" i="1"/>
  <c r="K43" i="1" s="1"/>
  <c r="I57" i="1"/>
  <c r="K57" i="1" s="1"/>
  <c r="I18" i="1"/>
  <c r="K18" i="1" s="1"/>
  <c r="I28" i="1"/>
  <c r="K28" i="1" s="1"/>
  <c r="I33" i="1"/>
  <c r="K33" i="1" s="1"/>
  <c r="I65" i="1"/>
  <c r="K65" i="1" s="1"/>
  <c r="I77" i="1"/>
  <c r="N59" i="5"/>
  <c r="N63" i="5"/>
  <c r="N25" i="5"/>
  <c r="N70" i="5"/>
  <c r="L222" i="5"/>
  <c r="E236" i="5"/>
  <c r="N244" i="5"/>
  <c r="N246" i="5"/>
  <c r="N248" i="5"/>
  <c r="N42" i="5"/>
  <c r="E184" i="5"/>
  <c r="I186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298" i="5"/>
  <c r="N66" i="5"/>
  <c r="N68" i="5"/>
  <c r="L124" i="5"/>
  <c r="N211" i="5"/>
  <c r="F236" i="5"/>
  <c r="N311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02" i="5"/>
  <c r="N368" i="5"/>
  <c r="N64" i="5"/>
  <c r="E100" i="5"/>
  <c r="N161" i="5"/>
  <c r="N167" i="5"/>
  <c r="N165" i="5"/>
  <c r="N255" i="5"/>
  <c r="N250" i="5"/>
  <c r="F281" i="5"/>
  <c r="N308" i="5"/>
  <c r="F443" i="5"/>
  <c r="E17" i="5"/>
  <c r="E19" i="5" s="1"/>
  <c r="N164" i="5"/>
  <c r="N249" i="5"/>
  <c r="L313" i="5"/>
  <c r="E281" i="5"/>
  <c r="L387" i="5"/>
  <c r="L28" i="5"/>
  <c r="C24" i="5" s="1"/>
  <c r="E24" i="5" s="1"/>
  <c r="N67" i="5"/>
  <c r="N109" i="5"/>
  <c r="N166" i="5"/>
  <c r="N218" i="5"/>
  <c r="L258" i="5"/>
  <c r="E272" i="5"/>
  <c r="I432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371" i="5"/>
  <c r="N46" i="5"/>
  <c r="N212" i="5"/>
  <c r="N309" i="5"/>
  <c r="N307" i="5"/>
  <c r="N303" i="5"/>
  <c r="N17" i="5"/>
  <c r="E78" i="5"/>
  <c r="N38" i="5"/>
  <c r="K28" i="5"/>
  <c r="N24" i="5"/>
  <c r="N41" i="5"/>
  <c r="N369" i="5"/>
  <c r="L73" i="5"/>
  <c r="L51" i="5"/>
  <c r="L17" i="5"/>
  <c r="N36" i="5"/>
  <c r="E343" i="5"/>
  <c r="I348" i="5" s="1"/>
  <c r="I352" i="5" s="1"/>
  <c r="N171" i="5"/>
  <c r="L173" i="5"/>
  <c r="N58" i="5"/>
  <c r="N396" i="5"/>
  <c r="I445" i="5"/>
  <c r="N362" i="5"/>
  <c r="E190" i="5"/>
  <c r="E199" i="5" s="1"/>
  <c r="N28" i="5" l="1"/>
  <c r="E26" i="5" s="1"/>
  <c r="E28" i="5" s="1"/>
  <c r="E30" i="5" s="1"/>
  <c r="K88" i="1"/>
  <c r="I88" i="1"/>
  <c r="N258" i="5"/>
  <c r="E253" i="5" s="1"/>
  <c r="E258" i="5" s="1"/>
  <c r="E260" i="5" s="1"/>
  <c r="N51" i="5"/>
  <c r="E46" i="5" s="1"/>
  <c r="E51" i="5" s="1"/>
  <c r="E80" i="5" s="1"/>
  <c r="N124" i="5"/>
  <c r="E119" i="5" s="1"/>
  <c r="E124" i="5" s="1"/>
  <c r="E126" i="5" s="1"/>
  <c r="N222" i="5"/>
  <c r="E218" i="5" s="1"/>
  <c r="E222" i="5" s="1"/>
  <c r="E224" i="5" s="1"/>
  <c r="N313" i="5"/>
  <c r="E301" i="5" s="1"/>
  <c r="E313" i="5" s="1"/>
  <c r="I318" i="5" s="1"/>
  <c r="I324" i="5" s="1"/>
  <c r="N173" i="5"/>
  <c r="E167" i="5" s="1"/>
  <c r="E173" i="5" s="1"/>
  <c r="E175" i="5" s="1"/>
  <c r="N387" i="5"/>
  <c r="I404" i="5" s="1"/>
  <c r="I408" i="5" s="1"/>
  <c r="N73" i="5"/>
  <c r="E69" i="5" s="1"/>
  <c r="E73" i="5" s="1"/>
  <c r="E75" i="5" s="1"/>
  <c r="E53" i="5"/>
  <c r="I264" i="5"/>
  <c r="I272" i="5" s="1"/>
  <c r="I229" i="5" l="1"/>
  <c r="I236" i="5" s="1"/>
  <c r="E79" i="5"/>
  <c r="I192" i="5"/>
  <c r="I199" i="5" s="1"/>
  <c r="E81" i="5"/>
  <c r="E83" i="5" l="1"/>
  <c r="I84" i="5" s="1"/>
  <c r="F88" i="5" s="1"/>
  <c r="F90" i="5" s="1"/>
  <c r="I88" i="5" l="1"/>
  <c r="I90" i="5" s="1"/>
</calcChain>
</file>

<file path=xl/sharedStrings.xml><?xml version="1.0" encoding="utf-8"?>
<sst xmlns="http://schemas.openxmlformats.org/spreadsheetml/2006/main" count="1321" uniqueCount="429">
  <si>
    <t>THEO DÕI HÀNG XUẤT TRUNG QUỐC</t>
  </si>
  <si>
    <t>STT</t>
  </si>
  <si>
    <t>NGÀY XUẤT</t>
  </si>
  <si>
    <t>THÔNG TIN TÀU</t>
  </si>
  <si>
    <t>THÔNG TIN HÀNG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</si>
  <si>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</si>
  <si>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</si>
  <si>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</si>
  <si>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</si>
  <si>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</si>
  <si>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</si>
  <si>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</si>
  <si>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NGÀY TT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</si>
  <si>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</si>
  <si>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</si>
  <si>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</si>
  <si>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</si>
  <si>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</si>
  <si>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</si>
  <si>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</si>
  <si>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</si>
  <si>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</si>
  <si>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</si>
  <si>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</si>
  <si>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</si>
  <si>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</si>
  <si>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</si>
  <si>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</si>
  <si>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</si>
  <si>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</si>
  <si>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</si>
  <si>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</si>
  <si>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</si>
  <si>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</si>
  <si>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</si>
  <si>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</si>
  <si>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</si>
  <si>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</si>
  <si>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</si>
  <si>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</si>
  <si>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</si>
  <si>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</si>
  <si>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</si>
  <si>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</si>
  <si>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</si>
  <si>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</si>
  <si>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</si>
  <si>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</si>
  <si>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</si>
  <si>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</si>
  <si>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</si>
  <si>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</si>
  <si>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</si>
  <si>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</si>
  <si>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</si>
  <si>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</si>
  <si>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</si>
  <si>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</si>
  <si>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</si>
  <si>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</si>
  <si>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</si>
  <si>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</si>
  <si>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</si>
  <si>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</si>
  <si>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</si>
  <si>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</si>
  <si>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</si>
  <si>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</si>
  <si>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</si>
  <si>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</si>
  <si>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</si>
  <si>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</si>
  <si>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</si>
  <si>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</si>
  <si>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</si>
  <si>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</si>
  <si>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</si>
  <si>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</si>
  <si>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</si>
  <si>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</si>
  <si>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</si>
  <si>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</si>
  <si>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</si>
  <si>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</si>
  <si>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</si>
  <si>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</si>
  <si>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</si>
  <si>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</si>
  <si>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</si>
  <si>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</si>
  <si>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</si>
  <si>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</si>
  <si>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</si>
  <si>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</si>
  <si>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</si>
  <si>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</si>
  <si>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</si>
  <si>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</si>
  <si>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</si>
  <si>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</si>
  <si>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</si>
  <si>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</si>
  <si>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</si>
  <si>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</si>
  <si>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</si>
  <si>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</si>
  <si>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</si>
  <si>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</si>
  <si>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</si>
  <si>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</si>
  <si>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</si>
  <si>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</si>
  <si>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</si>
  <si>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</si>
  <si>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</si>
  <si>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</si>
  <si>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</si>
  <si>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</si>
  <si>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</si>
  <si>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</si>
  <si>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</si>
  <si>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</si>
  <si>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</si>
  <si>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</si>
  <si>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</si>
  <si>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</si>
  <si>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</si>
  <si>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</si>
  <si>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</si>
  <si>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</si>
  <si>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</si>
  <si>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</si>
  <si>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</si>
  <si>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</si>
  <si>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</si>
  <si>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</si>
  <si>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</si>
  <si>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</si>
  <si>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</si>
  <si>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</si>
  <si>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</si>
  <si>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</si>
  <si>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</si>
  <si>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</si>
  <si>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</si>
  <si>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</si>
  <si>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</si>
  <si>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</si>
  <si>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</si>
  <si>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</si>
  <si>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</si>
  <si>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</si>
  <si>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</si>
  <si>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</si>
  <si>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</si>
  <si>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</si>
  <si>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</si>
  <si>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</si>
  <si>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</si>
  <si>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</si>
  <si>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</si>
  <si>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</si>
  <si>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</si>
  <si>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</si>
  <si>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</si>
  <si>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</si>
  <si>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</si>
  <si>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</si>
  <si>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</si>
  <si>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</si>
  <si>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</si>
  <si>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</si>
  <si>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</si>
  <si>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</si>
  <si>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</si>
  <si>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</si>
  <si>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</si>
  <si>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</si>
  <si>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</si>
  <si>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</si>
  <si>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</si>
  <si>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</si>
  <si>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</si>
  <si>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</si>
  <si>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</si>
  <si>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</si>
  <si>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</si>
  <si>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</si>
  <si>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</si>
  <si>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</si>
  <si>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</si>
  <si>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</si>
  <si>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</si>
  <si>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</si>
  <si>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</si>
  <si>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</si>
  <si>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</si>
  <si>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</si>
  <si>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</si>
  <si>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</si>
  <si>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</si>
  <si>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</si>
  <si>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</si>
  <si>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</si>
  <si>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</si>
  <si>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</si>
  <si>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</si>
  <si>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</si>
  <si>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</si>
  <si>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</si>
  <si>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</si>
  <si>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</si>
  <si>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</si>
  <si>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</si>
  <si>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</si>
  <si>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</si>
  <si>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</si>
  <si>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</si>
  <si>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</si>
  <si>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</si>
  <si>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</si>
  <si>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</si>
  <si>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</si>
  <si>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</si>
  <si>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</si>
  <si>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</si>
  <si>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</si>
  <si>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</si>
  <si>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</si>
  <si>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</si>
  <si>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</si>
  <si>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</si>
  <si>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</si>
  <si>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</si>
  <si>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</si>
  <si>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</si>
  <si>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</si>
  <si>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</si>
  <si>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</si>
  <si>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</si>
  <si>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</si>
  <si>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</si>
  <si>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</si>
  <si>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</si>
  <si>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</si>
  <si>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</si>
  <si>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</si>
  <si>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</si>
  <si>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</si>
  <si>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</si>
  <si>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</si>
  <si>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</si>
  <si>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</si>
  <si>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</si>
  <si>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</si>
  <si>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</si>
  <si>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</si>
  <si>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</si>
  <si>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</si>
  <si>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</si>
  <si>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</si>
  <si>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</si>
  <si>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</si>
  <si>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</si>
  <si>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</si>
  <si>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</si>
  <si>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</si>
  <si>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</si>
  <si>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</si>
  <si>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</si>
  <si>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</si>
  <si>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</si>
  <si>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</si>
  <si>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</si>
  <si>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</si>
  <si>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</si>
  <si>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</si>
  <si>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</si>
  <si>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</si>
  <si>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</si>
  <si>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</si>
  <si>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</si>
  <si>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</si>
  <si>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</si>
  <si>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</si>
  <si>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</si>
  <si>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</si>
  <si>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</si>
  <si>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</si>
  <si>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</si>
  <si>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</si>
  <si>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</si>
  <si>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</si>
  <si>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</si>
  <si>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</si>
  <si>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</si>
  <si>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</si>
  <si>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</si>
  <si>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</si>
  <si>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</si>
  <si>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</si>
  <si>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</si>
  <si>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</si>
  <si>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</si>
  <si>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</si>
  <si>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</si>
  <si>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</si>
  <si>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</si>
  <si>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</si>
  <si>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</si>
  <si>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</si>
  <si>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</si>
  <si>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</si>
  <si>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</si>
  <si>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</si>
  <si>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</si>
  <si>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</si>
  <si>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</si>
  <si>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</si>
  <si>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</si>
  <si>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</si>
  <si>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</si>
  <si>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</si>
  <si>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</si>
  <si>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</si>
  <si>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</si>
  <si>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</si>
  <si>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</si>
  <si>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</si>
  <si>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</si>
  <si>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</si>
  <si>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</si>
  <si>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</si>
  <si>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</si>
  <si>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</si>
  <si>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</si>
  <si>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</si>
  <si>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</si>
  <si>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</si>
  <si>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</si>
  <si>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</si>
  <si>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</si>
  <si>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</si>
  <si>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</si>
  <si>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</si>
  <si>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</si>
  <si>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</si>
  <si>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</si>
  <si>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</si>
  <si>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</si>
  <si>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</si>
  <si>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</si>
  <si>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</si>
  <si>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</si>
  <si>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</si>
  <si>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</si>
  <si>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</si>
  <si>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</si>
  <si>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</si>
  <si>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</si>
  <si>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</si>
  <si>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</si>
  <si>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</si>
  <si>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</si>
  <si>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</si>
  <si>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</si>
  <si>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</si>
  <si>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</si>
  <si>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</si>
  <si>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</si>
  <si>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</si>
  <si>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</si>
  <si>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</si>
  <si>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</si>
  <si>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</si>
  <si>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</si>
  <si>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</si>
  <si>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</si>
  <si>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</si>
  <si>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</si>
  <si>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</si>
  <si>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</si>
  <si>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</si>
  <si>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</si>
  <si>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</si>
  <si>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</si>
  <si>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</si>
  <si>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</si>
  <si>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</si>
  <si>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</si>
  <si>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</si>
  <si>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</si>
  <si>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</si>
  <si>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</si>
  <si>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</si>
  <si>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</si>
  <si>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</si>
  <si>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</si>
  <si>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</si>
  <si>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</si>
  <si>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</si>
  <si>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</si>
  <si>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</si>
  <si>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</si>
  <si>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</si>
  <si>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</si>
  <si>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</si>
  <si>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</si>
  <si>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</si>
  <si>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</si>
  <si>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</si>
  <si>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</si>
  <si>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PHÍ NHNN TRỪ</t>
  </si>
  <si>
    <t>PHÍ NH TRONG NƯỚC</t>
  </si>
  <si>
    <t>Tiền hàng 19/12/16</t>
  </si>
  <si>
    <t>Tiền hàng 29/12/16</t>
  </si>
  <si>
    <t>THÀNH TIỀN (VNĐ)</t>
  </si>
  <si>
    <t>SỐ TIỀN (USD)</t>
  </si>
  <si>
    <t>TỔNG TIỀN HÀNG (USD)</t>
  </si>
  <si>
    <t>THÀNH TIỀN (USD)</t>
  </si>
  <si>
    <t>ĐƠN GIÁ (USD)</t>
  </si>
  <si>
    <t>CÒN LẠI (VNĐ)</t>
  </si>
  <si>
    <t>CHI PHÍ XUẤT HÀNG &amp; LƯU KHO AN LẠC</t>
  </si>
  <si>
    <t>CHUYỂN KHÁCH HÀNG</t>
  </si>
  <si>
    <t>TÊN KH</t>
  </si>
  <si>
    <t>PHÍ NGÂN HÀNG</t>
  </si>
  <si>
    <t>SỐ TIỀN CHUYỂN</t>
  </si>
  <si>
    <t>Cont đi xe - 31/10/16</t>
  </si>
  <si>
    <t>TIỀN TRUNG QUỐC CÒN LẠI: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</si>
</sst>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9">
    <xf numFmtId="0" fontId="0" fillId="0" borderId="0"/>
    <xf numFmtId="43" fontId="6" fillId="0" borderId="0" applyFont="0" applyFill="0" applyBorder="0" applyAlignment="0" applyProtection="0"/>
    <xf numFmtId="3" fontId="7" fillId="2" borderId="2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2">
      <alignment horizontal="centerContinuous" vertical="center" wrapText="1"/>
    </xf>
    <xf numFmtId="3" fontId="7" fillId="2" borderId="2">
      <alignment horizontal="center" vertical="center" wrapText="1"/>
    </xf>
    <xf numFmtId="2" fontId="6" fillId="0" borderId="0" applyFont="0" applyFill="0" applyBorder="0" applyAlignment="0" applyProtection="0"/>
    <xf numFmtId="0" fontId="11" fillId="0" borderId="10" applyNumberFormat="0" applyAlignment="0" applyProtection="0">
      <alignment horizontal="left" vertical="center"/>
    </xf>
    <xf numFmtId="0" fontId="11" fillId="0" borderId="8">
      <alignment horizontal="left" vertical="center"/>
    </xf>
    <xf numFmtId="3" fontId="7" fillId="0" borderId="11"/>
    <xf numFmtId="3" fontId="12" fillId="0" borderId="12"/>
    <xf numFmtId="3" fontId="7" fillId="0" borderId="2">
      <alignment horizontal="center" vertical="center" wrapText="1"/>
    </xf>
    <xf numFmtId="3" fontId="7" fillId="0" borderId="2">
      <alignment horizontal="centerContinuous" vertical="center"/>
    </xf>
    <xf numFmtId="165" fontId="13" fillId="0" borderId="13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</cellStyleXfs>
  <cellXfs count="319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2" xfId="25" applyFont="1" applyBorder="1" applyAlignment="1">
      <alignment horizontal="center" vertical="center" wrapText="1"/>
    </xf>
    <xf numFmtId="172" fontId="22" fillId="0" borderId="2" xfId="3" applyNumberFormat="1" applyFont="1" applyBorder="1" applyAlignment="1">
      <alignment horizontal="center" vertical="center" wrapText="1"/>
    </xf>
    <xf numFmtId="164" fontId="22" fillId="0" borderId="2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4" xfId="25" applyFont="1" applyBorder="1" applyAlignment="1">
      <alignment vertical="center"/>
    </xf>
    <xf numFmtId="172" fontId="23" fillId="0" borderId="4" xfId="3" applyNumberFormat="1" applyFont="1" applyBorder="1" applyAlignment="1">
      <alignment vertical="center"/>
    </xf>
    <xf numFmtId="43" fontId="23" fillId="0" borderId="4" xfId="3" applyFont="1" applyBorder="1" applyAlignment="1">
      <alignment vertical="center"/>
    </xf>
    <xf numFmtId="43" fontId="23" fillId="0" borderId="4" xfId="3" applyNumberFormat="1" applyFont="1" applyBorder="1" applyAlignment="1">
      <alignment vertical="center"/>
    </xf>
    <xf numFmtId="164" fontId="23" fillId="0" borderId="4" xfId="25" applyNumberFormat="1" applyFont="1" applyBorder="1" applyAlignment="1">
      <alignment vertical="center"/>
    </xf>
    <xf numFmtId="0" fontId="23" fillId="0" borderId="6" xfId="25" applyFont="1" applyBorder="1" applyAlignment="1">
      <alignment vertical="center"/>
    </xf>
    <xf numFmtId="172" fontId="23" fillId="0" borderId="6" xfId="3" applyNumberFormat="1" applyFont="1" applyBorder="1" applyAlignment="1">
      <alignment vertical="center"/>
    </xf>
    <xf numFmtId="43" fontId="23" fillId="0" borderId="6" xfId="3" applyFont="1" applyBorder="1" applyAlignment="1">
      <alignment vertical="center"/>
    </xf>
    <xf numFmtId="43" fontId="23" fillId="0" borderId="6" xfId="3" applyNumberFormat="1" applyFont="1" applyBorder="1" applyAlignment="1">
      <alignment vertical="center"/>
    </xf>
    <xf numFmtId="164" fontId="23" fillId="0" borderId="6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6" xfId="25" applyFont="1" applyBorder="1" applyAlignment="1">
      <alignment vertical="center"/>
    </xf>
    <xf numFmtId="172" fontId="22" fillId="0" borderId="6" xfId="3" applyNumberFormat="1" applyFont="1" applyBorder="1" applyAlignment="1">
      <alignment vertical="center"/>
    </xf>
    <xf numFmtId="43" fontId="22" fillId="0" borderId="6" xfId="3" applyFont="1" applyBorder="1" applyAlignment="1">
      <alignment vertical="center"/>
    </xf>
    <xf numFmtId="43" fontId="22" fillId="0" borderId="6" xfId="3" applyNumberFormat="1" applyFont="1" applyBorder="1" applyAlignment="1">
      <alignment vertical="center"/>
    </xf>
    <xf numFmtId="164" fontId="22" fillId="0" borderId="6" xfId="25" applyNumberFormat="1" applyFont="1" applyBorder="1" applyAlignment="1">
      <alignment vertical="center"/>
    </xf>
    <xf numFmtId="43" fontId="23" fillId="0" borderId="6" xfId="1" applyFont="1" applyBorder="1" applyAlignment="1">
      <alignment vertical="center"/>
    </xf>
    <xf numFmtId="0" fontId="22" fillId="0" borderId="2" xfId="25" applyFont="1" applyBorder="1" applyAlignment="1">
      <alignment vertical="center"/>
    </xf>
    <xf numFmtId="172" fontId="22" fillId="0" borderId="2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4" xfId="25" applyFont="1" applyBorder="1" applyAlignment="1">
      <alignment vertical="center"/>
    </xf>
    <xf numFmtId="172" fontId="23" fillId="0" borderId="14" xfId="3" applyNumberFormat="1" applyFont="1" applyBorder="1" applyAlignment="1">
      <alignment vertical="center"/>
    </xf>
    <xf numFmtId="43" fontId="23" fillId="0" borderId="14" xfId="3" applyFont="1" applyBorder="1" applyAlignment="1">
      <alignment vertical="center"/>
    </xf>
    <xf numFmtId="43" fontId="23" fillId="0" borderId="14" xfId="3" applyNumberFormat="1" applyFont="1" applyBorder="1" applyAlignment="1">
      <alignment vertical="center"/>
    </xf>
    <xf numFmtId="164" fontId="23" fillId="0" borderId="14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5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2" xfId="4" applyNumberFormat="1" applyFont="1" applyBorder="1" applyAlignment="1">
      <alignment horizontal="center" vertical="center" wrapText="1"/>
    </xf>
    <xf numFmtId="0" fontId="21" fillId="0" borderId="2" xfId="22" applyFont="1" applyBorder="1" applyAlignment="1">
      <alignment horizontal="center" vertical="center" wrapText="1"/>
    </xf>
    <xf numFmtId="0" fontId="21" fillId="0" borderId="2" xfId="22" applyFont="1" applyBorder="1" applyAlignment="1">
      <alignment horizontal="center" vertical="center"/>
    </xf>
    <xf numFmtId="164" fontId="21" fillId="0" borderId="2" xfId="4" applyNumberFormat="1" applyFont="1" applyBorder="1" applyAlignment="1">
      <alignment horizontal="center" vertical="center" wrapText="1"/>
    </xf>
    <xf numFmtId="0" fontId="23" fillId="0" borderId="13" xfId="22" applyFont="1" applyBorder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0" fontId="23" fillId="0" borderId="3" xfId="22" applyFont="1" applyBorder="1" applyAlignment="1">
      <alignment horizontal="left" vertical="center"/>
    </xf>
    <xf numFmtId="0" fontId="23" fillId="0" borderId="3" xfId="22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4" xfId="22" applyFont="1" applyBorder="1" applyAlignment="1">
      <alignment horizontal="center" vertical="center"/>
    </xf>
    <xf numFmtId="0" fontId="23" fillId="0" borderId="4" xfId="22" applyFont="1" applyBorder="1" applyAlignment="1">
      <alignment vertical="center"/>
    </xf>
    <xf numFmtId="172" fontId="23" fillId="0" borderId="4" xfId="4" applyNumberFormat="1" applyFont="1" applyBorder="1" applyAlignment="1">
      <alignment vertical="center"/>
    </xf>
    <xf numFmtId="164" fontId="23" fillId="0" borderId="4" xfId="4" applyNumberFormat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173" fontId="23" fillId="0" borderId="4" xfId="4" applyNumberFormat="1" applyFont="1" applyBorder="1" applyAlignment="1">
      <alignment horizontal="center" vertical="center"/>
    </xf>
    <xf numFmtId="14" fontId="23" fillId="0" borderId="14" xfId="22" applyNumberFormat="1" applyFont="1" applyBorder="1" applyAlignment="1">
      <alignment horizontal="center" vertical="center"/>
    </xf>
    <xf numFmtId="0" fontId="23" fillId="0" borderId="14" xfId="22" applyFont="1" applyBorder="1" applyAlignment="1">
      <alignment horizontal="center" vertical="center"/>
    </xf>
    <xf numFmtId="172" fontId="23" fillId="0" borderId="14" xfId="4" applyNumberFormat="1" applyFont="1" applyBorder="1" applyAlignment="1">
      <alignment horizontal="center" vertical="center"/>
    </xf>
    <xf numFmtId="164" fontId="23" fillId="0" borderId="14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vertical="center"/>
    </xf>
    <xf numFmtId="172" fontId="22" fillId="0" borderId="2" xfId="4" applyNumberFormat="1" applyFont="1" applyBorder="1" applyAlignment="1">
      <alignment vertical="center"/>
    </xf>
    <xf numFmtId="164" fontId="22" fillId="0" borderId="2" xfId="4" applyNumberFormat="1" applyFont="1" applyBorder="1" applyAlignment="1">
      <alignment vertical="center"/>
    </xf>
    <xf numFmtId="0" fontId="22" fillId="0" borderId="2" xfId="22" applyFont="1" applyBorder="1" applyAlignment="1">
      <alignment horizontal="center" vertical="center"/>
    </xf>
    <xf numFmtId="164" fontId="22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4" xfId="22" applyFont="1" applyBorder="1" applyAlignment="1">
      <alignment vertical="center"/>
    </xf>
    <xf numFmtId="172" fontId="23" fillId="0" borderId="14" xfId="4" applyNumberFormat="1" applyFont="1" applyBorder="1" applyAlignment="1">
      <alignment vertical="center"/>
    </xf>
    <xf numFmtId="164" fontId="23" fillId="0" borderId="14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2" xfId="22" applyFont="1" applyBorder="1" applyAlignment="1">
      <alignment vertical="center" wrapText="1"/>
    </xf>
    <xf numFmtId="164" fontId="21" fillId="0" borderId="2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4" xfId="1" applyNumberFormat="1" applyFont="1" applyBorder="1" applyAlignment="1">
      <alignment horizontal="center" vertical="center"/>
    </xf>
    <xf numFmtId="164" fontId="22" fillId="0" borderId="2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3" xfId="1" applyNumberFormat="1" applyFont="1" applyBorder="1" applyAlignment="1">
      <alignment horizontal="center" vertical="center"/>
    </xf>
    <xf numFmtId="164" fontId="23" fillId="0" borderId="14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2" xfId="1" applyNumberFormat="1" applyFont="1" applyBorder="1" applyAlignment="1">
      <alignment horizontal="center" vertical="center" wrapText="1"/>
    </xf>
    <xf numFmtId="164" fontId="23" fillId="0" borderId="13" xfId="1" applyNumberFormat="1" applyFont="1" applyBorder="1" applyAlignment="1">
      <alignment vertical="center"/>
    </xf>
    <xf numFmtId="164" fontId="23" fillId="0" borderId="4" xfId="1" applyNumberFormat="1" applyFont="1" applyBorder="1" applyAlignment="1">
      <alignment vertical="center"/>
    </xf>
    <xf numFmtId="164" fontId="22" fillId="0" borderId="2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72" fontId="22" fillId="0" borderId="2" xfId="4" applyNumberFormat="1" applyFont="1" applyBorder="1" applyAlignment="1">
      <alignment horizontal="center" vertical="center" wrapText="1"/>
    </xf>
    <xf numFmtId="164" fontId="22" fillId="0" borderId="2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6" xfId="22" applyFont="1" applyBorder="1" applyAlignment="1">
      <alignment horizontal="center" vertical="center"/>
    </xf>
    <xf numFmtId="164" fontId="23" fillId="0" borderId="6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0" fontId="23" fillId="0" borderId="6" xfId="22" applyFont="1" applyBorder="1" applyAlignment="1">
      <alignment vertical="center"/>
    </xf>
    <xf numFmtId="172" fontId="23" fillId="0" borderId="6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73" fontId="22" fillId="0" borderId="2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6" fillId="0" borderId="4" xfId="0" applyFont="1" applyBorder="1" applyAlignment="1">
      <alignment vertical="center"/>
    </xf>
    <xf numFmtId="0" fontId="22" fillId="0" borderId="2" xfId="22" applyFont="1" applyBorder="1" applyAlignment="1">
      <alignment horizontal="center" vertical="center" wrapText="1"/>
    </xf>
    <xf numFmtId="0" fontId="22" fillId="0" borderId="2" xfId="22" applyFont="1" applyBorder="1" applyAlignment="1">
      <alignment horizontal="center" vertical="center" wrapText="1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3" fillId="0" borderId="3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left" vertical="center"/>
    </xf>
    <xf numFmtId="164" fontId="28" fillId="0" borderId="4" xfId="1" applyNumberFormat="1" applyFont="1" applyBorder="1" applyAlignment="1">
      <alignment horizontal="left" vertical="center"/>
    </xf>
    <xf numFmtId="164" fontId="28" fillId="0" borderId="6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4" xfId="0" applyFont="1" applyBorder="1" applyAlignment="1">
      <alignment horizontal="left" vertical="center"/>
    </xf>
    <xf numFmtId="0" fontId="28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quotePrefix="1" applyFont="1" applyBorder="1" applyAlignment="1">
      <alignment horizontal="left" vertical="center"/>
    </xf>
    <xf numFmtId="164" fontId="5" fillId="0" borderId="2" xfId="1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4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3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2" fillId="0" borderId="2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2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2" fillId="0" borderId="2" xfId="22" applyFont="1" applyBorder="1" applyAlignment="1">
      <alignment horizontal="center" vertical="center" wrapText="1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43" fontId="23" fillId="0" borderId="4" xfId="1" applyFont="1" applyBorder="1" applyAlignment="1">
      <alignment vertical="center"/>
    </xf>
    <xf numFmtId="14" fontId="23" fillId="0" borderId="5" xfId="22" applyNumberFormat="1" applyFont="1" applyBorder="1" applyAlignment="1">
      <alignment horizontal="center"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1" applyNumberFormat="1" applyFont="1" applyBorder="1" applyAlignment="1">
      <alignment horizontal="center" vertical="center"/>
    </xf>
    <xf numFmtId="164" fontId="23" fillId="0" borderId="5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6" fillId="0" borderId="6" xfId="0" applyFont="1" applyBorder="1" applyAlignment="1">
      <alignment vertical="center"/>
    </xf>
    <xf numFmtId="164" fontId="23" fillId="0" borderId="6" xfId="1" applyNumberFormat="1" applyFont="1" applyBorder="1" applyAlignment="1">
      <alignment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43" fontId="28" fillId="0" borderId="4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4" fontId="28" fillId="0" borderId="6" xfId="0" applyNumberFormat="1" applyFont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164" fontId="28" fillId="0" borderId="0" xfId="0" applyNumberFormat="1" applyFont="1" applyAlignment="1">
      <alignment vertical="center"/>
    </xf>
    <xf numFmtId="0" fontId="28" fillId="0" borderId="4" xfId="22" applyFont="1" applyBorder="1" applyAlignment="1">
      <alignment vertical="center"/>
    </xf>
    <xf numFmtId="164" fontId="28" fillId="0" borderId="16" xfId="4" applyNumberFormat="1" applyFont="1" applyBorder="1" applyAlignment="1">
      <alignment horizontal="center" vertical="center"/>
    </xf>
    <xf numFmtId="164" fontId="28" fillId="0" borderId="4" xfId="4" applyNumberFormat="1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164" fontId="28" fillId="0" borderId="6" xfId="4" applyNumberFormat="1" applyFont="1" applyBorder="1" applyAlignment="1">
      <alignment vertical="center"/>
    </xf>
    <xf numFmtId="164" fontId="28" fillId="0" borderId="0" xfId="1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5" xfId="4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0" fontId="5" fillId="0" borderId="0" xfId="0" applyFont="1" applyAlignment="1">
      <alignment vertical="center"/>
    </xf>
    <xf numFmtId="164" fontId="28" fillId="0" borderId="6" xfId="1" applyNumberFormat="1" applyFont="1" applyBorder="1" applyAlignment="1">
      <alignment vertical="center"/>
    </xf>
    <xf numFmtId="0" fontId="28" fillId="0" borderId="3" xfId="22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164" fontId="20" fillId="0" borderId="0" xfId="1" applyNumberFormat="1" applyFont="1" applyAlignment="1">
      <alignment horizontal="center" vertical="center"/>
    </xf>
    <xf numFmtId="164" fontId="28" fillId="0" borderId="6" xfId="1" applyNumberFormat="1" applyFont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4" fontId="28" fillId="0" borderId="6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6" xfId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2" fillId="0" borderId="9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164" fontId="22" fillId="0" borderId="9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3" fillId="0" borderId="3" xfId="22" applyFont="1" applyBorder="1" applyAlignment="1">
      <alignment horizontal="left" vertical="center"/>
    </xf>
    <xf numFmtId="0" fontId="23" fillId="0" borderId="4" xfId="22" applyFont="1" applyBorder="1" applyAlignment="1">
      <alignment horizontal="left" vertical="center"/>
    </xf>
    <xf numFmtId="0" fontId="23" fillId="0" borderId="14" xfId="22" applyFont="1" applyBorder="1" applyAlignment="1">
      <alignment horizontal="left" vertical="center"/>
    </xf>
    <xf numFmtId="0" fontId="23" fillId="0" borderId="2" xfId="22" applyFont="1" applyBorder="1" applyAlignment="1">
      <alignment horizontal="left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164" fontId="23" fillId="0" borderId="9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9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93"/>
  <sheetViews>
    <sheetView tabSelected="1" topLeftCell="A64" zoomScale="90" zoomScaleNormal="90" workbookViewId="0">
      <selection activeCell="R76" sqref="R76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28.7109375" style="236" hidden="1" customWidth="1"/>
    <col min="4" max="4" width="13.85546875" style="236" hidden="1" customWidth="1"/>
    <col min="5" max="5" width="12.7109375" style="236" hidden="1" customWidth="1"/>
    <col min="6" max="6" width="9.85546875" style="236" customWidth="1"/>
    <col min="7" max="7" width="6.5703125" style="236" customWidth="1"/>
    <col min="8" max="8" width="10.42578125" style="236" hidden="1" customWidth="1"/>
    <col min="9" max="9" width="12.140625" style="236" customWidth="1"/>
    <col min="10" max="10" width="8.140625" style="236" customWidth="1"/>
    <col min="11" max="11" width="7.7109375" style="236" customWidth="1"/>
    <col min="12" max="12" width="12" style="236" customWidth="1"/>
    <col min="13" max="13" width="8" style="236" customWidth="1"/>
    <col min="14" max="14" width="15" style="236" customWidth="1"/>
    <col min="15" max="15" width="10.5703125" style="236" customWidth="1"/>
    <col min="16" max="16" width="14.85546875" style="236" customWidth="1"/>
    <col min="17" max="17" width="23.28515625" style="236" customWidth="1"/>
    <col min="18" max="18" width="10.5703125" style="236" customWidth="1"/>
    <col min="19" max="19" width="14.85546875" style="236" customWidth="1"/>
    <col min="20" max="20" width="13.140625" style="236" customWidth="1"/>
    <col min="21" max="21" width="16" style="236" customWidth="1"/>
    <col min="22" max="16384" width="10.7109375" style="236"/>
  </cols>
  <sheetData>
    <row r="1" spans="1:21" ht="27" customHeight="1">
      <c r="A1" s="288" t="s">
        <v>0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1" s="238" customFormat="1" ht="24" customHeight="1">
      <c r="A2" s="275" t="s">
        <v>1</v>
      </c>
      <c r="B2" s="275" t="s">
        <v>2</v>
      </c>
      <c r="C2" s="274" t="s">
        <v>3</v>
      </c>
      <c r="D2" s="274"/>
      <c r="E2" s="274"/>
      <c r="F2" s="274" t="s">
        <v>4</v>
      </c>
      <c r="G2" s="274"/>
      <c r="H2" s="274"/>
      <c r="I2" s="274"/>
      <c r="J2" s="274" t="s">
        <v>5</v>
      </c>
      <c r="K2" s="274"/>
      <c r="L2" s="274"/>
      <c r="M2" s="274"/>
      <c r="N2" s="274"/>
      <c r="O2" s="274"/>
      <c r="P2" s="274"/>
      <c r="Q2" s="275" t="s">
        <v>423</v>
      </c>
      <c r="R2" s="275"/>
      <c r="S2" s="275"/>
      <c r="T2" s="275" t="s">
        <v>422</v>
      </c>
      <c r="U2" s="275" t="s">
        <v>85</v>
      </c>
    </row>
    <row r="3" spans="1:21" s="143" customFormat="1" ht="48.75" customHeight="1">
      <c r="A3" s="275"/>
      <c r="B3" s="275" t="s">
        <v>2</v>
      </c>
      <c r="C3" s="237" t="s">
        <v>6</v>
      </c>
      <c r="D3" s="237" t="s">
        <v>7</v>
      </c>
      <c r="E3" s="237" t="s">
        <v>8</v>
      </c>
      <c r="F3" s="237" t="s">
        <v>9</v>
      </c>
      <c r="G3" s="237" t="s">
        <v>420</v>
      </c>
      <c r="H3" s="237" t="s">
        <v>419</v>
      </c>
      <c r="I3" s="269" t="s">
        <v>418</v>
      </c>
      <c r="J3" s="237" t="s">
        <v>12</v>
      </c>
      <c r="K3" s="237" t="s">
        <v>412</v>
      </c>
      <c r="L3" s="237" t="s">
        <v>417</v>
      </c>
      <c r="M3" s="237" t="s">
        <v>54</v>
      </c>
      <c r="N3" s="237" t="s">
        <v>416</v>
      </c>
      <c r="O3" s="237" t="s">
        <v>413</v>
      </c>
      <c r="P3" s="237" t="s">
        <v>421</v>
      </c>
      <c r="Q3" s="237" t="s">
        <v>424</v>
      </c>
      <c r="R3" s="237" t="s">
        <v>425</v>
      </c>
      <c r="S3" s="237" t="s">
        <v>426</v>
      </c>
      <c r="T3" s="275"/>
      <c r="U3" s="275"/>
    </row>
    <row r="4" spans="1:21" s="150" customFormat="1" ht="18" customHeight="1">
      <c r="A4" s="144">
        <f>IF(B4&lt;&gt;"",ROW()-3,"")</f>
        <v>1</v>
      </c>
      <c r="B4" s="151">
        <v>42589</v>
      </c>
      <c r="C4" s="144" t="s">
        <v>13</v>
      </c>
      <c r="D4" s="144" t="s">
        <v>14</v>
      </c>
      <c r="E4" s="144">
        <v>3290158</v>
      </c>
      <c r="F4" s="239">
        <v>26000</v>
      </c>
      <c r="G4" s="240">
        <v>2.85</v>
      </c>
      <c r="H4" s="240">
        <f>F4*G4</f>
        <v>74100</v>
      </c>
      <c r="I4" s="281">
        <f>H4+H5</f>
        <v>148200</v>
      </c>
      <c r="J4" s="278">
        <v>42627</v>
      </c>
      <c r="K4" s="281">
        <f>I4-L4</f>
        <v>12</v>
      </c>
      <c r="L4" s="281">
        <v>148188</v>
      </c>
      <c r="M4" s="273">
        <v>22260</v>
      </c>
      <c r="N4" s="273">
        <f>L4*M4</f>
        <v>3298664880</v>
      </c>
      <c r="O4" s="273">
        <f>2780756/2</f>
        <v>1390378</v>
      </c>
      <c r="P4" s="273">
        <f>N4-O4</f>
        <v>3297274502</v>
      </c>
      <c r="Q4" s="268" t="s">
        <v>57</v>
      </c>
      <c r="R4" s="243">
        <f>S4*0.03%</f>
        <v>425087.69999999995</v>
      </c>
      <c r="S4" s="243">
        <v>1416959000</v>
      </c>
      <c r="T4" s="273">
        <v>202380822</v>
      </c>
      <c r="U4" s="144" t="s">
        <v>111</v>
      </c>
    </row>
    <row r="5" spans="1:21" s="150" customFormat="1" ht="18" customHeight="1">
      <c r="A5" s="144">
        <f t="shared" ref="A5" si="0">IF(B5&lt;&gt;"",ROW()-3,"")</f>
        <v>2</v>
      </c>
      <c r="B5" s="242">
        <v>42589</v>
      </c>
      <c r="C5" s="144" t="s">
        <v>13</v>
      </c>
      <c r="D5" s="244" t="s">
        <v>15</v>
      </c>
      <c r="E5" s="244">
        <v>3290198</v>
      </c>
      <c r="F5" s="243">
        <v>26000</v>
      </c>
      <c r="G5" s="241">
        <v>2.85</v>
      </c>
      <c r="H5" s="241">
        <f t="shared" ref="H5" si="1">F5*G5</f>
        <v>74100</v>
      </c>
      <c r="I5" s="281"/>
      <c r="J5" s="278"/>
      <c r="K5" s="281"/>
      <c r="L5" s="281"/>
      <c r="M5" s="273"/>
      <c r="N5" s="273"/>
      <c r="O5" s="273"/>
      <c r="P5" s="273"/>
      <c r="Q5" s="255" t="s">
        <v>58</v>
      </c>
      <c r="R5" s="243">
        <f t="shared" ref="R5:R6" si="2">S5*0.03%</f>
        <v>426587.39999999997</v>
      </c>
      <c r="S5" s="243">
        <v>1421958000</v>
      </c>
      <c r="T5" s="273"/>
      <c r="U5" s="144"/>
    </row>
    <row r="6" spans="1:21" s="150" customFormat="1" ht="18" customHeight="1">
      <c r="A6" s="144"/>
      <c r="B6" s="151"/>
      <c r="C6" s="144"/>
      <c r="D6" s="244"/>
      <c r="E6" s="244"/>
      <c r="F6" s="239"/>
      <c r="G6" s="240"/>
      <c r="H6" s="240"/>
      <c r="I6" s="283"/>
      <c r="J6" s="287"/>
      <c r="K6" s="283"/>
      <c r="L6" s="283"/>
      <c r="M6" s="282"/>
      <c r="N6" s="282"/>
      <c r="O6" s="282"/>
      <c r="P6" s="282"/>
      <c r="Q6" s="255" t="s">
        <v>59</v>
      </c>
      <c r="R6" s="243">
        <f t="shared" si="2"/>
        <v>77210.117399999988</v>
      </c>
      <c r="S6" s="243">
        <v>257367058</v>
      </c>
      <c r="T6" s="282"/>
      <c r="U6" s="144" t="s">
        <v>111</v>
      </c>
    </row>
    <row r="7" spans="1:21" s="150" customFormat="1" ht="18" customHeight="1">
      <c r="A7" s="144">
        <v>3</v>
      </c>
      <c r="B7" s="245">
        <v>42596</v>
      </c>
      <c r="C7" s="244" t="s">
        <v>16</v>
      </c>
      <c r="D7" s="244" t="s">
        <v>17</v>
      </c>
      <c r="E7" s="244">
        <v>3751842</v>
      </c>
      <c r="F7" s="239">
        <v>26000</v>
      </c>
      <c r="G7" s="240">
        <v>2.85</v>
      </c>
      <c r="H7" s="240">
        <f t="shared" ref="H7:H53" si="3">F7*G7</f>
        <v>74100</v>
      </c>
      <c r="I7" s="281">
        <f>H7+H8</f>
        <v>148200</v>
      </c>
      <c r="J7" s="287">
        <v>42633</v>
      </c>
      <c r="K7" s="283">
        <f t="shared" ref="K7" si="4">I7-L7</f>
        <v>12</v>
      </c>
      <c r="L7" s="283">
        <v>148188</v>
      </c>
      <c r="M7" s="282">
        <v>22270</v>
      </c>
      <c r="N7" s="282">
        <f>L7*M7</f>
        <v>3300146760</v>
      </c>
      <c r="O7" s="282">
        <f>2780756/2</f>
        <v>1390378</v>
      </c>
      <c r="P7" s="273">
        <f t="shared" ref="P7" si="5">N7-O7</f>
        <v>3298756382</v>
      </c>
      <c r="Q7" s="255" t="s">
        <v>397</v>
      </c>
      <c r="R7" s="256">
        <v>449876</v>
      </c>
      <c r="S7" s="257">
        <v>1508000000</v>
      </c>
      <c r="T7" s="282"/>
      <c r="U7" s="144" t="s">
        <v>111</v>
      </c>
    </row>
    <row r="8" spans="1:21" s="150" customFormat="1" ht="18" customHeight="1">
      <c r="A8" s="144">
        <v>4</v>
      </c>
      <c r="B8" s="245">
        <v>42596</v>
      </c>
      <c r="C8" s="244" t="s">
        <v>16</v>
      </c>
      <c r="D8" s="244" t="s">
        <v>18</v>
      </c>
      <c r="E8" s="244">
        <v>3755190</v>
      </c>
      <c r="F8" s="239">
        <v>26000</v>
      </c>
      <c r="G8" s="240">
        <v>2.85</v>
      </c>
      <c r="H8" s="240">
        <f t="shared" si="3"/>
        <v>74100</v>
      </c>
      <c r="I8" s="283"/>
      <c r="J8" s="287"/>
      <c r="K8" s="283"/>
      <c r="L8" s="283"/>
      <c r="M8" s="282"/>
      <c r="N8" s="282"/>
      <c r="O8" s="282"/>
      <c r="P8" s="282"/>
      <c r="Q8" s="255" t="s">
        <v>398</v>
      </c>
      <c r="R8" s="256">
        <v>531976</v>
      </c>
      <c r="S8" s="257">
        <v>1791165000</v>
      </c>
      <c r="T8" s="282"/>
      <c r="U8" s="144" t="s">
        <v>111</v>
      </c>
    </row>
    <row r="9" spans="1:21" s="150" customFormat="1" ht="18" customHeight="1">
      <c r="A9" s="144">
        <v>5</v>
      </c>
      <c r="B9" s="245">
        <v>42662</v>
      </c>
      <c r="C9" s="244" t="s">
        <v>19</v>
      </c>
      <c r="D9" s="244" t="s">
        <v>20</v>
      </c>
      <c r="E9" s="244" t="s">
        <v>62</v>
      </c>
      <c r="F9" s="239">
        <v>26000</v>
      </c>
      <c r="G9" s="240">
        <v>2.8</v>
      </c>
      <c r="H9" s="240">
        <f t="shared" si="3"/>
        <v>72800</v>
      </c>
      <c r="I9" s="281">
        <f>H9+H10</f>
        <v>145600</v>
      </c>
      <c r="J9" s="287">
        <v>42685</v>
      </c>
      <c r="K9" s="283">
        <f t="shared" ref="K9" si="6">I9-L9</f>
        <v>12</v>
      </c>
      <c r="L9" s="283">
        <v>145588</v>
      </c>
      <c r="M9" s="282">
        <v>22285</v>
      </c>
      <c r="N9" s="282">
        <f t="shared" ref="N9" si="7">L9*M9</f>
        <v>3244428580</v>
      </c>
      <c r="O9" s="282">
        <v>1791144</v>
      </c>
      <c r="P9" s="273">
        <f t="shared" ref="P9" si="8">N9-O9</f>
        <v>3242637436</v>
      </c>
      <c r="Q9" s="255" t="s">
        <v>58</v>
      </c>
      <c r="R9" s="256">
        <v>688392.54</v>
      </c>
      <c r="S9" s="257">
        <v>2086038000</v>
      </c>
      <c r="T9" s="282">
        <v>106334296</v>
      </c>
      <c r="U9" s="144" t="s">
        <v>83</v>
      </c>
    </row>
    <row r="10" spans="1:21" s="150" customFormat="1" ht="18" customHeight="1">
      <c r="A10" s="144">
        <v>6</v>
      </c>
      <c r="B10" s="245">
        <v>42662</v>
      </c>
      <c r="C10" s="244" t="s">
        <v>19</v>
      </c>
      <c r="D10" s="244" t="s">
        <v>21</v>
      </c>
      <c r="E10" s="244" t="s">
        <v>63</v>
      </c>
      <c r="F10" s="239">
        <v>26000</v>
      </c>
      <c r="G10" s="240">
        <v>2.8</v>
      </c>
      <c r="H10" s="240">
        <f t="shared" si="3"/>
        <v>72800</v>
      </c>
      <c r="I10" s="283"/>
      <c r="J10" s="287"/>
      <c r="K10" s="283"/>
      <c r="L10" s="283"/>
      <c r="M10" s="282"/>
      <c r="N10" s="282"/>
      <c r="O10" s="282"/>
      <c r="P10" s="282"/>
      <c r="Q10" s="255" t="s">
        <v>59</v>
      </c>
      <c r="R10" s="256">
        <v>176854.25586180002</v>
      </c>
      <c r="S10" s="257">
        <v>535745133.20413822</v>
      </c>
      <c r="T10" s="282"/>
      <c r="U10" s="144" t="s">
        <v>84</v>
      </c>
    </row>
    <row r="11" spans="1:21" s="150" customFormat="1" ht="18" customHeight="1">
      <c r="A11" s="144" t="str">
        <f t="shared" ref="A11" si="9">IF(B11&lt;&gt;"",ROW()-3,"")</f>
        <v/>
      </c>
      <c r="B11" s="245"/>
      <c r="C11" s="244"/>
      <c r="D11" s="244"/>
      <c r="E11" s="244"/>
      <c r="F11" s="239"/>
      <c r="G11" s="240"/>
      <c r="H11" s="240"/>
      <c r="I11" s="279">
        <f>H13+H12</f>
        <v>145600</v>
      </c>
      <c r="J11" s="276">
        <v>42689</v>
      </c>
      <c r="K11" s="279">
        <f t="shared" ref="K11" si="10">I11-L11</f>
        <v>12</v>
      </c>
      <c r="L11" s="279">
        <v>145588</v>
      </c>
      <c r="M11" s="271">
        <v>22290</v>
      </c>
      <c r="N11" s="271">
        <f t="shared" ref="N11" si="11">L11*M11</f>
        <v>3245156520</v>
      </c>
      <c r="O11" s="271">
        <v>1791144</v>
      </c>
      <c r="P11" s="271">
        <f t="shared" ref="P11" si="12">N11-O11</f>
        <v>3243365376</v>
      </c>
      <c r="Q11" s="255" t="s">
        <v>58</v>
      </c>
      <c r="R11" s="256">
        <v>357930</v>
      </c>
      <c r="S11" s="257">
        <v>1084637000</v>
      </c>
      <c r="T11" s="267">
        <v>5087260</v>
      </c>
      <c r="U11" s="145" t="s">
        <v>427</v>
      </c>
    </row>
    <row r="12" spans="1:21" s="150" customFormat="1" ht="18" customHeight="1">
      <c r="A12" s="144">
        <v>7</v>
      </c>
      <c r="B12" s="245">
        <v>42675</v>
      </c>
      <c r="C12" s="244" t="s">
        <v>64</v>
      </c>
      <c r="D12" s="244" t="s">
        <v>65</v>
      </c>
      <c r="E12" s="244" t="s">
        <v>67</v>
      </c>
      <c r="F12" s="243">
        <v>26000</v>
      </c>
      <c r="G12" s="241">
        <v>2.8</v>
      </c>
      <c r="H12" s="241">
        <f t="shared" ref="H12:H15" si="13">F12*G12</f>
        <v>72800</v>
      </c>
      <c r="I12" s="280"/>
      <c r="J12" s="277"/>
      <c r="K12" s="280"/>
      <c r="L12" s="280"/>
      <c r="M12" s="272"/>
      <c r="N12" s="272"/>
      <c r="O12" s="272"/>
      <c r="P12" s="272"/>
      <c r="Q12" s="255" t="s">
        <v>134</v>
      </c>
      <c r="R12" s="256">
        <v>480480</v>
      </c>
      <c r="S12" s="257">
        <v>1456000000</v>
      </c>
      <c r="T12" s="271">
        <f>300173928</f>
        <v>300173928</v>
      </c>
      <c r="U12" s="144" t="s">
        <v>111</v>
      </c>
    </row>
    <row r="13" spans="1:21" s="150" customFormat="1" ht="18" customHeight="1">
      <c r="A13" s="144">
        <v>8</v>
      </c>
      <c r="B13" s="245">
        <v>42675</v>
      </c>
      <c r="C13" s="244" t="s">
        <v>64</v>
      </c>
      <c r="D13" s="244" t="s">
        <v>66</v>
      </c>
      <c r="E13" s="244" t="s">
        <v>68</v>
      </c>
      <c r="F13" s="243">
        <v>26000</v>
      </c>
      <c r="G13" s="241">
        <v>2.8</v>
      </c>
      <c r="H13" s="241">
        <f t="shared" si="13"/>
        <v>72800</v>
      </c>
      <c r="I13" s="281"/>
      <c r="J13" s="278"/>
      <c r="K13" s="281"/>
      <c r="L13" s="281"/>
      <c r="M13" s="273"/>
      <c r="N13" s="273"/>
      <c r="O13" s="273"/>
      <c r="P13" s="273"/>
      <c r="Q13" s="255" t="s">
        <v>59</v>
      </c>
      <c r="R13" s="256">
        <v>231033</v>
      </c>
      <c r="S13" s="257">
        <v>699867789</v>
      </c>
      <c r="T13" s="272"/>
      <c r="U13" s="144" t="s">
        <v>84</v>
      </c>
    </row>
    <row r="14" spans="1:21" s="150" customFormat="1" ht="18" customHeight="1">
      <c r="A14" s="144">
        <v>9</v>
      </c>
      <c r="B14" s="245">
        <v>42678</v>
      </c>
      <c r="C14" s="244" t="s">
        <v>69</v>
      </c>
      <c r="D14" s="150" t="s">
        <v>70</v>
      </c>
      <c r="E14" s="244">
        <v>3679964</v>
      </c>
      <c r="F14" s="239">
        <v>26000</v>
      </c>
      <c r="G14" s="240">
        <v>2.8</v>
      </c>
      <c r="H14" s="240">
        <f t="shared" si="13"/>
        <v>72800</v>
      </c>
      <c r="I14" s="279">
        <f>SUM(H14:H17)</f>
        <v>291200</v>
      </c>
      <c r="J14" s="276">
        <v>42696</v>
      </c>
      <c r="K14" s="279">
        <f>I14-L14</f>
        <v>12</v>
      </c>
      <c r="L14" s="279">
        <v>291188</v>
      </c>
      <c r="M14" s="271">
        <v>22480</v>
      </c>
      <c r="N14" s="271">
        <f>L14*M14</f>
        <v>6545906240</v>
      </c>
      <c r="O14" s="271">
        <v>3582288</v>
      </c>
      <c r="P14" s="271">
        <f>N14-O14</f>
        <v>6542323952</v>
      </c>
      <c r="Q14" s="255" t="s">
        <v>145</v>
      </c>
      <c r="R14" s="256">
        <v>1450020</v>
      </c>
      <c r="S14" s="257">
        <v>4394000000</v>
      </c>
      <c r="T14" s="272"/>
      <c r="U14" s="144" t="s">
        <v>111</v>
      </c>
    </row>
    <row r="15" spans="1:21" s="150" customFormat="1" ht="18" customHeight="1">
      <c r="A15" s="144">
        <v>10</v>
      </c>
      <c r="B15" s="245">
        <v>42678</v>
      </c>
      <c r="C15" s="244" t="s">
        <v>69</v>
      </c>
      <c r="D15" s="244" t="s">
        <v>71</v>
      </c>
      <c r="E15" s="244">
        <v>3679968</v>
      </c>
      <c r="F15" s="239">
        <v>26000</v>
      </c>
      <c r="G15" s="240">
        <v>2.8</v>
      </c>
      <c r="H15" s="240">
        <f t="shared" si="13"/>
        <v>72800</v>
      </c>
      <c r="I15" s="280"/>
      <c r="J15" s="277"/>
      <c r="K15" s="280"/>
      <c r="L15" s="280"/>
      <c r="M15" s="272"/>
      <c r="N15" s="272"/>
      <c r="O15" s="272"/>
      <c r="P15" s="272"/>
      <c r="Q15" s="255" t="s">
        <v>152</v>
      </c>
      <c r="R15" s="256">
        <v>133243</v>
      </c>
      <c r="S15" s="257">
        <v>403767000</v>
      </c>
      <c r="T15" s="272"/>
      <c r="U15" s="144" t="s">
        <v>111</v>
      </c>
    </row>
    <row r="16" spans="1:21" s="150" customFormat="1" ht="18" customHeight="1">
      <c r="A16" s="144">
        <v>11</v>
      </c>
      <c r="B16" s="245">
        <v>42678</v>
      </c>
      <c r="C16" s="244" t="s">
        <v>69</v>
      </c>
      <c r="D16" s="246" t="s">
        <v>72</v>
      </c>
      <c r="E16" s="244">
        <v>3679957</v>
      </c>
      <c r="F16" s="239">
        <v>26000</v>
      </c>
      <c r="G16" s="240">
        <v>2.8</v>
      </c>
      <c r="H16" s="240">
        <f t="shared" ref="H16:H17" si="14">F16*G16</f>
        <v>72800</v>
      </c>
      <c r="I16" s="280"/>
      <c r="J16" s="277"/>
      <c r="K16" s="280"/>
      <c r="L16" s="280"/>
      <c r="M16" s="272"/>
      <c r="N16" s="272"/>
      <c r="O16" s="272"/>
      <c r="P16" s="272"/>
      <c r="Q16" s="255" t="s">
        <v>153</v>
      </c>
      <c r="R16" s="256">
        <v>142501</v>
      </c>
      <c r="S16" s="257">
        <v>431821000</v>
      </c>
      <c r="T16" s="272"/>
      <c r="U16" s="144" t="s">
        <v>84</v>
      </c>
    </row>
    <row r="17" spans="1:21" s="150" customFormat="1" ht="18" customHeight="1">
      <c r="A17" s="144">
        <v>12</v>
      </c>
      <c r="B17" s="245">
        <v>42678</v>
      </c>
      <c r="C17" s="244" t="s">
        <v>69</v>
      </c>
      <c r="D17" s="244" t="s">
        <v>73</v>
      </c>
      <c r="E17" s="244">
        <v>3679951</v>
      </c>
      <c r="F17" s="239">
        <v>26000</v>
      </c>
      <c r="G17" s="240">
        <v>2.8</v>
      </c>
      <c r="H17" s="240">
        <f t="shared" si="14"/>
        <v>72800</v>
      </c>
      <c r="I17" s="281"/>
      <c r="J17" s="278"/>
      <c r="K17" s="281"/>
      <c r="L17" s="281"/>
      <c r="M17" s="273"/>
      <c r="N17" s="273"/>
      <c r="O17" s="273"/>
      <c r="P17" s="273"/>
      <c r="Q17" s="255" t="s">
        <v>59</v>
      </c>
      <c r="R17" s="256">
        <v>298421</v>
      </c>
      <c r="S17" s="257">
        <v>904008247</v>
      </c>
      <c r="T17" s="273"/>
      <c r="U17" s="144" t="s">
        <v>84</v>
      </c>
    </row>
    <row r="18" spans="1:21" s="150" customFormat="1" ht="18" customHeight="1">
      <c r="A18" s="144">
        <v>13</v>
      </c>
      <c r="B18" s="245">
        <v>42682</v>
      </c>
      <c r="C18" s="244" t="s">
        <v>169</v>
      </c>
      <c r="D18" s="244" t="s">
        <v>74</v>
      </c>
      <c r="E18" s="244" t="s">
        <v>76</v>
      </c>
      <c r="F18" s="239">
        <v>26000</v>
      </c>
      <c r="G18" s="240">
        <v>2.8</v>
      </c>
      <c r="H18" s="240">
        <f t="shared" ref="H18:H19" si="15">F18*G18</f>
        <v>72800</v>
      </c>
      <c r="I18" s="279">
        <f>H18+H19</f>
        <v>145600</v>
      </c>
      <c r="J18" s="276">
        <v>42699</v>
      </c>
      <c r="K18" s="279">
        <f>I18-L18</f>
        <v>12</v>
      </c>
      <c r="L18" s="279">
        <v>145588</v>
      </c>
      <c r="M18" s="271">
        <v>22660</v>
      </c>
      <c r="N18" s="271">
        <f t="shared" ref="N18:N22" si="16">L18*M18</f>
        <v>3299024080</v>
      </c>
      <c r="O18" s="271">
        <v>1819968</v>
      </c>
      <c r="P18" s="271">
        <f t="shared" ref="P18:P22" si="17">N18-O18</f>
        <v>3297204112</v>
      </c>
      <c r="Q18" s="258" t="s">
        <v>155</v>
      </c>
      <c r="R18" s="256">
        <v>475585</v>
      </c>
      <c r="S18" s="257">
        <v>1441167000</v>
      </c>
      <c r="T18" s="282">
        <v>210184716</v>
      </c>
      <c r="U18" s="144" t="s">
        <v>111</v>
      </c>
    </row>
    <row r="19" spans="1:21" s="150" customFormat="1" ht="18" customHeight="1">
      <c r="A19" s="144">
        <v>14</v>
      </c>
      <c r="B19" s="245">
        <v>42682</v>
      </c>
      <c r="C19" s="244" t="s">
        <v>169</v>
      </c>
      <c r="D19" s="244" t="s">
        <v>75</v>
      </c>
      <c r="E19" s="244" t="s">
        <v>77</v>
      </c>
      <c r="F19" s="239">
        <v>26000</v>
      </c>
      <c r="G19" s="240">
        <v>2.8</v>
      </c>
      <c r="H19" s="240">
        <f t="shared" si="15"/>
        <v>72800</v>
      </c>
      <c r="I19" s="280"/>
      <c r="J19" s="277"/>
      <c r="K19" s="280"/>
      <c r="L19" s="280"/>
      <c r="M19" s="272"/>
      <c r="N19" s="272"/>
      <c r="O19" s="272"/>
      <c r="P19" s="272"/>
      <c r="Q19" s="258" t="s">
        <v>156</v>
      </c>
      <c r="R19" s="256">
        <v>178679</v>
      </c>
      <c r="S19" s="257">
        <v>541450000</v>
      </c>
      <c r="T19" s="282"/>
      <c r="U19" s="144" t="s">
        <v>111</v>
      </c>
    </row>
    <row r="20" spans="1:21" s="150" customFormat="1" ht="18" customHeight="1">
      <c r="A20" s="144"/>
      <c r="B20" s="245"/>
      <c r="C20" s="244"/>
      <c r="D20" s="244"/>
      <c r="E20" s="244"/>
      <c r="F20" s="243"/>
      <c r="G20" s="241"/>
      <c r="H20" s="241"/>
      <c r="I20" s="280"/>
      <c r="J20" s="277"/>
      <c r="K20" s="280"/>
      <c r="L20" s="280"/>
      <c r="M20" s="272"/>
      <c r="N20" s="272"/>
      <c r="O20" s="272"/>
      <c r="P20" s="272"/>
      <c r="Q20" s="255" t="s">
        <v>58</v>
      </c>
      <c r="R20" s="256">
        <v>351889</v>
      </c>
      <c r="S20" s="257">
        <v>1066331000</v>
      </c>
      <c r="T20" s="282"/>
      <c r="U20" s="144"/>
    </row>
    <row r="21" spans="1:21" s="150" customFormat="1" ht="18" customHeight="1">
      <c r="A21" s="144"/>
      <c r="B21" s="245"/>
      <c r="C21" s="244"/>
      <c r="D21" s="244"/>
      <c r="E21" s="244"/>
      <c r="F21" s="243"/>
      <c r="G21" s="241"/>
      <c r="H21" s="241"/>
      <c r="I21" s="281"/>
      <c r="J21" s="278"/>
      <c r="K21" s="281"/>
      <c r="L21" s="281"/>
      <c r="M21" s="273"/>
      <c r="N21" s="273"/>
      <c r="O21" s="273"/>
      <c r="P21" s="273"/>
      <c r="Q21" s="255" t="s">
        <v>59</v>
      </c>
      <c r="R21" s="256">
        <v>81592</v>
      </c>
      <c r="S21" s="257">
        <v>247168367</v>
      </c>
      <c r="T21" s="282"/>
      <c r="U21" s="144"/>
    </row>
    <row r="22" spans="1:21" s="150" customFormat="1" ht="18" customHeight="1">
      <c r="A22" s="144">
        <v>15</v>
      </c>
      <c r="B22" s="245">
        <v>42684</v>
      </c>
      <c r="C22" s="244" t="s">
        <v>168</v>
      </c>
      <c r="D22" s="244" t="s">
        <v>135</v>
      </c>
      <c r="E22" s="244">
        <v>3756229</v>
      </c>
      <c r="F22" s="239">
        <v>26000</v>
      </c>
      <c r="G22" s="240">
        <v>2.8</v>
      </c>
      <c r="H22" s="240">
        <f t="shared" si="3"/>
        <v>72800</v>
      </c>
      <c r="I22" s="281">
        <f>H22+H23</f>
        <v>145600</v>
      </c>
      <c r="J22" s="278">
        <v>42703</v>
      </c>
      <c r="K22" s="283">
        <f>I22-L22</f>
        <v>12</v>
      </c>
      <c r="L22" s="283">
        <v>145588</v>
      </c>
      <c r="M22" s="271">
        <v>22620</v>
      </c>
      <c r="N22" s="282">
        <f t="shared" si="16"/>
        <v>3293200560</v>
      </c>
      <c r="O22" s="282">
        <v>1825573</v>
      </c>
      <c r="P22" s="273">
        <f t="shared" si="17"/>
        <v>3291374987</v>
      </c>
      <c r="Q22" s="258" t="s">
        <v>155</v>
      </c>
      <c r="R22" s="256">
        <v>497640</v>
      </c>
      <c r="S22" s="257">
        <v>1508000000</v>
      </c>
      <c r="T22" s="282"/>
      <c r="U22" s="144" t="s">
        <v>111</v>
      </c>
    </row>
    <row r="23" spans="1:21" s="150" customFormat="1" ht="18" customHeight="1">
      <c r="A23" s="144">
        <v>16</v>
      </c>
      <c r="B23" s="245">
        <v>42685</v>
      </c>
      <c r="C23" s="244" t="s">
        <v>168</v>
      </c>
      <c r="D23" s="244" t="s">
        <v>136</v>
      </c>
      <c r="E23" s="244">
        <v>3756225</v>
      </c>
      <c r="F23" s="239">
        <v>26000</v>
      </c>
      <c r="G23" s="240">
        <v>2.8</v>
      </c>
      <c r="H23" s="240">
        <f t="shared" si="3"/>
        <v>72800</v>
      </c>
      <c r="I23" s="283"/>
      <c r="J23" s="287"/>
      <c r="K23" s="283"/>
      <c r="L23" s="283"/>
      <c r="M23" s="273"/>
      <c r="N23" s="282"/>
      <c r="O23" s="282"/>
      <c r="P23" s="282"/>
      <c r="Q23" s="255" t="s">
        <v>145</v>
      </c>
      <c r="R23" s="256">
        <v>552453</v>
      </c>
      <c r="S23" s="257">
        <v>1674100000</v>
      </c>
      <c r="T23" s="282"/>
      <c r="U23" s="144" t="s">
        <v>111</v>
      </c>
    </row>
    <row r="24" spans="1:21" s="150" customFormat="1" ht="18" customHeight="1">
      <c r="A24" s="144">
        <v>17</v>
      </c>
      <c r="B24" s="245">
        <v>42690</v>
      </c>
      <c r="C24" s="244" t="s">
        <v>167</v>
      </c>
      <c r="D24" s="244" t="s">
        <v>137</v>
      </c>
      <c r="E24" s="244" t="s">
        <v>139</v>
      </c>
      <c r="F24" s="239">
        <v>26000</v>
      </c>
      <c r="G24" s="240">
        <v>2.8</v>
      </c>
      <c r="H24" s="240">
        <f t="shared" si="3"/>
        <v>72800</v>
      </c>
      <c r="I24" s="279">
        <f>SUM(H24:H27)</f>
        <v>291200</v>
      </c>
      <c r="J24" s="276">
        <v>42711</v>
      </c>
      <c r="K24" s="279">
        <f>I24-L24</f>
        <v>12</v>
      </c>
      <c r="L24" s="279">
        <v>291188</v>
      </c>
      <c r="M24" s="271">
        <v>22650</v>
      </c>
      <c r="N24" s="271">
        <f>L24*M24</f>
        <v>6595408200</v>
      </c>
      <c r="O24" s="271">
        <v>3651146</v>
      </c>
      <c r="P24" s="271">
        <f>N24-O24</f>
        <v>6591757054</v>
      </c>
      <c r="Q24" s="255" t="s">
        <v>145</v>
      </c>
      <c r="R24" s="256">
        <v>963198</v>
      </c>
      <c r="S24" s="257">
        <v>2918780500</v>
      </c>
      <c r="T24" s="282">
        <v>408498824</v>
      </c>
      <c r="U24" s="144" t="s">
        <v>111</v>
      </c>
    </row>
    <row r="25" spans="1:21" s="150" customFormat="1" ht="18" customHeight="1">
      <c r="A25" s="144">
        <v>18</v>
      </c>
      <c r="B25" s="245">
        <v>42690</v>
      </c>
      <c r="C25" s="244" t="s">
        <v>167</v>
      </c>
      <c r="D25" s="244" t="s">
        <v>138</v>
      </c>
      <c r="E25" s="244" t="s">
        <v>140</v>
      </c>
      <c r="F25" s="239">
        <v>26000</v>
      </c>
      <c r="G25" s="240">
        <v>2.8</v>
      </c>
      <c r="H25" s="240">
        <f t="shared" si="3"/>
        <v>72800</v>
      </c>
      <c r="I25" s="280"/>
      <c r="J25" s="277"/>
      <c r="K25" s="280"/>
      <c r="L25" s="280"/>
      <c r="M25" s="272"/>
      <c r="N25" s="272"/>
      <c r="O25" s="272"/>
      <c r="P25" s="272"/>
      <c r="Q25" s="258" t="s">
        <v>155</v>
      </c>
      <c r="R25" s="256">
        <v>602224</v>
      </c>
      <c r="S25" s="257">
        <v>1824920500</v>
      </c>
      <c r="T25" s="282"/>
      <c r="U25" s="144" t="s">
        <v>111</v>
      </c>
    </row>
    <row r="26" spans="1:21" s="150" customFormat="1" ht="18" customHeight="1">
      <c r="A26" s="144">
        <v>19</v>
      </c>
      <c r="B26" s="245">
        <v>42691</v>
      </c>
      <c r="C26" s="244" t="s">
        <v>143</v>
      </c>
      <c r="D26" s="244" t="s">
        <v>141</v>
      </c>
      <c r="E26" s="244">
        <v>3756238</v>
      </c>
      <c r="F26" s="239">
        <v>26000</v>
      </c>
      <c r="G26" s="240">
        <v>2.8</v>
      </c>
      <c r="H26" s="240">
        <f t="shared" si="3"/>
        <v>72800</v>
      </c>
      <c r="I26" s="280"/>
      <c r="J26" s="277"/>
      <c r="K26" s="280"/>
      <c r="L26" s="280"/>
      <c r="M26" s="272"/>
      <c r="N26" s="272"/>
      <c r="O26" s="272"/>
      <c r="P26" s="272"/>
      <c r="Q26" s="258" t="s">
        <v>156</v>
      </c>
      <c r="R26" s="256">
        <v>182381</v>
      </c>
      <c r="S26" s="257">
        <v>552669000</v>
      </c>
      <c r="T26" s="282"/>
      <c r="U26" s="144" t="s">
        <v>111</v>
      </c>
    </row>
    <row r="27" spans="1:21" s="150" customFormat="1" ht="18" customHeight="1">
      <c r="A27" s="144">
        <v>20</v>
      </c>
      <c r="B27" s="245">
        <v>42691</v>
      </c>
      <c r="C27" s="244" t="s">
        <v>143</v>
      </c>
      <c r="D27" s="244" t="s">
        <v>142</v>
      </c>
      <c r="E27" s="244">
        <v>3743082</v>
      </c>
      <c r="F27" s="239">
        <v>26000</v>
      </c>
      <c r="G27" s="240">
        <v>2.8</v>
      </c>
      <c r="H27" s="240">
        <f t="shared" si="3"/>
        <v>72800</v>
      </c>
      <c r="I27" s="281"/>
      <c r="J27" s="278"/>
      <c r="K27" s="281"/>
      <c r="L27" s="281"/>
      <c r="M27" s="273"/>
      <c r="N27" s="273"/>
      <c r="O27" s="273"/>
      <c r="P27" s="273"/>
      <c r="Q27" s="255" t="s">
        <v>59</v>
      </c>
      <c r="R27" s="256">
        <v>224782.55613005161</v>
      </c>
      <c r="S27" s="257">
        <v>480934478.44387001</v>
      </c>
      <c r="T27" s="282"/>
      <c r="U27" s="144" t="s">
        <v>111</v>
      </c>
    </row>
    <row r="28" spans="1:21" s="150" customFormat="1" ht="18" customHeight="1">
      <c r="A28" s="144">
        <v>21</v>
      </c>
      <c r="B28" s="245">
        <v>42699</v>
      </c>
      <c r="C28" s="244" t="s">
        <v>157</v>
      </c>
      <c r="D28" s="244" t="s">
        <v>158</v>
      </c>
      <c r="E28" s="244" t="s">
        <v>162</v>
      </c>
      <c r="F28" s="239">
        <v>26000</v>
      </c>
      <c r="G28" s="240">
        <v>2.8</v>
      </c>
      <c r="H28" s="240">
        <f t="shared" ref="H28:H30" si="18">F28*G28</f>
        <v>72800</v>
      </c>
      <c r="I28" s="279">
        <f>SUM(H28:H32)</f>
        <v>291200</v>
      </c>
      <c r="J28" s="276">
        <v>42717</v>
      </c>
      <c r="K28" s="279">
        <f>I28-L28</f>
        <v>12</v>
      </c>
      <c r="L28" s="279">
        <v>291188</v>
      </c>
      <c r="M28" s="271">
        <v>22620</v>
      </c>
      <c r="N28" s="271">
        <f>L28*M28</f>
        <v>6586672560</v>
      </c>
      <c r="O28" s="271">
        <v>3651146</v>
      </c>
      <c r="P28" s="271">
        <f t="shared" ref="P28" si="19">N28-O28</f>
        <v>6583021414</v>
      </c>
      <c r="Q28" s="255" t="s">
        <v>145</v>
      </c>
      <c r="R28" s="256">
        <v>476190</v>
      </c>
      <c r="S28" s="257">
        <v>1443000000</v>
      </c>
      <c r="T28" s="282"/>
      <c r="U28" s="144" t="s">
        <v>166</v>
      </c>
    </row>
    <row r="29" spans="1:21" s="150" customFormat="1" ht="18" customHeight="1">
      <c r="A29" s="144">
        <v>22</v>
      </c>
      <c r="B29" s="245">
        <v>42699</v>
      </c>
      <c r="C29" s="244" t="s">
        <v>157</v>
      </c>
      <c r="D29" s="244" t="s">
        <v>159</v>
      </c>
      <c r="E29" s="244" t="s">
        <v>163</v>
      </c>
      <c r="F29" s="239">
        <v>26000</v>
      </c>
      <c r="G29" s="240">
        <v>2.8</v>
      </c>
      <c r="H29" s="240">
        <f t="shared" si="18"/>
        <v>72800</v>
      </c>
      <c r="I29" s="280"/>
      <c r="J29" s="277"/>
      <c r="K29" s="280"/>
      <c r="L29" s="280"/>
      <c r="M29" s="272"/>
      <c r="N29" s="272"/>
      <c r="O29" s="272"/>
      <c r="P29" s="272"/>
      <c r="Q29" s="258" t="s">
        <v>155</v>
      </c>
      <c r="R29" s="256">
        <v>321557</v>
      </c>
      <c r="S29" s="257">
        <v>974415000</v>
      </c>
      <c r="T29" s="282"/>
      <c r="U29" s="144" t="s">
        <v>166</v>
      </c>
    </row>
    <row r="30" spans="1:21" s="150" customFormat="1" ht="18" customHeight="1">
      <c r="A30" s="144">
        <v>23</v>
      </c>
      <c r="B30" s="245">
        <v>42699</v>
      </c>
      <c r="C30" s="244" t="s">
        <v>157</v>
      </c>
      <c r="D30" s="244" t="s">
        <v>160</v>
      </c>
      <c r="E30" s="244" t="s">
        <v>164</v>
      </c>
      <c r="F30" s="239">
        <v>26000</v>
      </c>
      <c r="G30" s="240">
        <v>2.8</v>
      </c>
      <c r="H30" s="240">
        <f t="shared" si="18"/>
        <v>72800</v>
      </c>
      <c r="I30" s="280"/>
      <c r="J30" s="277"/>
      <c r="K30" s="280"/>
      <c r="L30" s="280"/>
      <c r="M30" s="272"/>
      <c r="N30" s="272"/>
      <c r="O30" s="272"/>
      <c r="P30" s="272"/>
      <c r="Q30" s="258" t="s">
        <v>152</v>
      </c>
      <c r="R30" s="256">
        <v>155513</v>
      </c>
      <c r="S30" s="257">
        <v>471250000</v>
      </c>
      <c r="T30" s="282"/>
      <c r="U30" s="144" t="s">
        <v>111</v>
      </c>
    </row>
    <row r="31" spans="1:21" s="150" customFormat="1" ht="18" customHeight="1">
      <c r="A31" s="144">
        <v>24</v>
      </c>
      <c r="B31" s="245">
        <v>42699</v>
      </c>
      <c r="C31" s="244" t="s">
        <v>157</v>
      </c>
      <c r="D31" s="244" t="s">
        <v>161</v>
      </c>
      <c r="E31" s="244" t="s">
        <v>165</v>
      </c>
      <c r="F31" s="243">
        <v>26000</v>
      </c>
      <c r="G31" s="241">
        <v>2.8</v>
      </c>
      <c r="H31" s="241">
        <f t="shared" ref="H31" si="20">F31*G31</f>
        <v>72800</v>
      </c>
      <c r="I31" s="280"/>
      <c r="J31" s="277"/>
      <c r="K31" s="280"/>
      <c r="L31" s="280"/>
      <c r="M31" s="272"/>
      <c r="N31" s="272"/>
      <c r="O31" s="272"/>
      <c r="P31" s="272"/>
      <c r="Q31" s="258" t="s">
        <v>230</v>
      </c>
      <c r="R31" s="256">
        <v>97190</v>
      </c>
      <c r="S31" s="257">
        <v>294515000</v>
      </c>
      <c r="T31" s="282"/>
      <c r="U31" s="144"/>
    </row>
    <row r="32" spans="1:21" s="150" customFormat="1" ht="18" customHeight="1">
      <c r="A32" s="144"/>
      <c r="B32" s="245"/>
      <c r="C32" s="244"/>
      <c r="D32" s="244"/>
      <c r="E32" s="244"/>
      <c r="F32" s="239"/>
      <c r="G32" s="240"/>
      <c r="H32" s="240"/>
      <c r="I32" s="281"/>
      <c r="J32" s="278"/>
      <c r="K32" s="281"/>
      <c r="L32" s="281"/>
      <c r="M32" s="273"/>
      <c r="N32" s="273"/>
      <c r="O32" s="273"/>
      <c r="P32" s="273"/>
      <c r="Q32" s="255" t="s">
        <v>59</v>
      </c>
      <c r="R32" s="256">
        <v>897991</v>
      </c>
      <c r="S32" s="257">
        <v>2721185000</v>
      </c>
      <c r="T32" s="282"/>
      <c r="U32" s="144" t="s">
        <v>111</v>
      </c>
    </row>
    <row r="33" spans="1:21" s="150" customFormat="1" ht="18" customHeight="1">
      <c r="A33" s="144">
        <v>25</v>
      </c>
      <c r="B33" s="245">
        <v>42702</v>
      </c>
      <c r="C33" s="244" t="s">
        <v>170</v>
      </c>
      <c r="D33" s="244" t="s">
        <v>171</v>
      </c>
      <c r="E33" s="244" t="s">
        <v>175</v>
      </c>
      <c r="F33" s="239">
        <v>26000</v>
      </c>
      <c r="G33" s="240">
        <v>2.8</v>
      </c>
      <c r="H33" s="240">
        <f t="shared" ref="H33:H35" si="21">F33*G33</f>
        <v>72800</v>
      </c>
      <c r="I33" s="279">
        <f>SUM(H33:H38)</f>
        <v>291200</v>
      </c>
      <c r="J33" s="276">
        <v>42723</v>
      </c>
      <c r="K33" s="279">
        <f>I33-L33</f>
        <v>117</v>
      </c>
      <c r="L33" s="279">
        <v>291083</v>
      </c>
      <c r="M33" s="271">
        <v>22620</v>
      </c>
      <c r="N33" s="271">
        <f>L33*M33</f>
        <v>6584297460</v>
      </c>
      <c r="O33" s="271"/>
      <c r="P33" s="271">
        <f t="shared" ref="P33" si="22">N33-O33</f>
        <v>6584297460</v>
      </c>
      <c r="Q33" s="255" t="s">
        <v>145</v>
      </c>
      <c r="R33" s="256">
        <v>577777</v>
      </c>
      <c r="S33" s="257">
        <v>1050504000</v>
      </c>
      <c r="T33" s="282">
        <v>420704884</v>
      </c>
      <c r="U33" s="144" t="s">
        <v>166</v>
      </c>
    </row>
    <row r="34" spans="1:21" s="150" customFormat="1" ht="18" customHeight="1">
      <c r="A34" s="144">
        <v>26</v>
      </c>
      <c r="B34" s="245">
        <v>42702</v>
      </c>
      <c r="C34" s="244" t="s">
        <v>170</v>
      </c>
      <c r="D34" s="244" t="s">
        <v>172</v>
      </c>
      <c r="E34" s="244" t="s">
        <v>176</v>
      </c>
      <c r="F34" s="239">
        <v>26000</v>
      </c>
      <c r="G34" s="240">
        <v>2.8</v>
      </c>
      <c r="H34" s="240">
        <f t="shared" si="21"/>
        <v>72800</v>
      </c>
      <c r="I34" s="280"/>
      <c r="J34" s="277"/>
      <c r="K34" s="280"/>
      <c r="L34" s="280"/>
      <c r="M34" s="272"/>
      <c r="N34" s="272"/>
      <c r="O34" s="272"/>
      <c r="P34" s="272"/>
      <c r="Q34" s="258" t="s">
        <v>152</v>
      </c>
      <c r="R34" s="256">
        <v>158498</v>
      </c>
      <c r="S34" s="257">
        <v>480298000</v>
      </c>
      <c r="T34" s="282"/>
      <c r="U34" s="144" t="s">
        <v>111</v>
      </c>
    </row>
    <row r="35" spans="1:21" s="150" customFormat="1" ht="18" customHeight="1">
      <c r="A35" s="144">
        <v>27</v>
      </c>
      <c r="B35" s="245">
        <v>42702</v>
      </c>
      <c r="C35" s="244" t="s">
        <v>170</v>
      </c>
      <c r="D35" s="244" t="s">
        <v>173</v>
      </c>
      <c r="E35" s="244" t="s">
        <v>177</v>
      </c>
      <c r="F35" s="239">
        <v>26000</v>
      </c>
      <c r="G35" s="240">
        <v>2.8</v>
      </c>
      <c r="H35" s="240">
        <f t="shared" si="21"/>
        <v>72800</v>
      </c>
      <c r="I35" s="280"/>
      <c r="J35" s="277"/>
      <c r="K35" s="280"/>
      <c r="L35" s="280"/>
      <c r="M35" s="272"/>
      <c r="N35" s="272"/>
      <c r="O35" s="272"/>
      <c r="P35" s="272"/>
      <c r="Q35" s="258" t="s">
        <v>282</v>
      </c>
      <c r="R35" s="256">
        <v>221450</v>
      </c>
      <c r="S35" s="257">
        <v>671060000</v>
      </c>
      <c r="T35" s="282"/>
      <c r="U35" s="144" t="s">
        <v>84</v>
      </c>
    </row>
    <row r="36" spans="1:21" s="150" customFormat="1" ht="18" customHeight="1">
      <c r="A36" s="144">
        <v>28</v>
      </c>
      <c r="B36" s="245">
        <v>42702</v>
      </c>
      <c r="C36" s="244" t="s">
        <v>170</v>
      </c>
      <c r="D36" s="244" t="s">
        <v>174</v>
      </c>
      <c r="E36" s="244" t="s">
        <v>178</v>
      </c>
      <c r="F36" s="243">
        <v>26000</v>
      </c>
      <c r="G36" s="241">
        <v>2.8</v>
      </c>
      <c r="H36" s="241">
        <f t="shared" ref="H36" si="23">F36*G36</f>
        <v>72800</v>
      </c>
      <c r="I36" s="280"/>
      <c r="J36" s="277"/>
      <c r="K36" s="280"/>
      <c r="L36" s="280"/>
      <c r="M36" s="272"/>
      <c r="N36" s="272"/>
      <c r="O36" s="272"/>
      <c r="P36" s="272"/>
      <c r="Q36" s="258" t="s">
        <v>58</v>
      </c>
      <c r="R36" s="256">
        <v>701499</v>
      </c>
      <c r="S36" s="257">
        <v>2125756000</v>
      </c>
      <c r="T36" s="282"/>
      <c r="U36" s="144"/>
    </row>
    <row r="37" spans="1:21" s="150" customFormat="1" ht="18" customHeight="1">
      <c r="A37" s="144"/>
      <c r="B37" s="245"/>
      <c r="C37" s="244"/>
      <c r="D37" s="244"/>
      <c r="E37" s="244"/>
      <c r="F37" s="243"/>
      <c r="G37" s="241"/>
      <c r="H37" s="241"/>
      <c r="I37" s="280"/>
      <c r="J37" s="277"/>
      <c r="K37" s="280"/>
      <c r="L37" s="280"/>
      <c r="M37" s="272"/>
      <c r="N37" s="272"/>
      <c r="O37" s="272"/>
      <c r="P37" s="272"/>
      <c r="Q37" s="258" t="s">
        <v>283</v>
      </c>
      <c r="R37" s="256">
        <v>141021</v>
      </c>
      <c r="S37" s="257">
        <v>427336000</v>
      </c>
      <c r="T37" s="282"/>
      <c r="U37" s="144"/>
    </row>
    <row r="38" spans="1:21" s="150" customFormat="1" ht="18" customHeight="1">
      <c r="A38" s="144"/>
      <c r="B38" s="245"/>
      <c r="C38" s="244"/>
      <c r="D38" s="244"/>
      <c r="E38" s="244"/>
      <c r="F38" s="239"/>
      <c r="G38" s="240"/>
      <c r="H38" s="240"/>
      <c r="I38" s="281"/>
      <c r="J38" s="278"/>
      <c r="K38" s="281"/>
      <c r="L38" s="281"/>
      <c r="M38" s="273"/>
      <c r="N38" s="273"/>
      <c r="O38" s="273"/>
      <c r="P38" s="273"/>
      <c r="Q38" s="255" t="s">
        <v>59</v>
      </c>
      <c r="R38" s="256">
        <v>412914</v>
      </c>
      <c r="S38" s="257">
        <v>1251254000</v>
      </c>
      <c r="T38" s="282"/>
      <c r="U38" s="144" t="s">
        <v>84</v>
      </c>
    </row>
    <row r="39" spans="1:21" s="150" customFormat="1" ht="18" customHeight="1">
      <c r="A39" s="144">
        <v>29</v>
      </c>
      <c r="B39" s="245">
        <v>42706</v>
      </c>
      <c r="C39" s="244" t="s">
        <v>231</v>
      </c>
      <c r="D39" s="246" t="s">
        <v>232</v>
      </c>
      <c r="E39" s="244" t="s">
        <v>233</v>
      </c>
      <c r="F39" s="239">
        <v>26000</v>
      </c>
      <c r="G39" s="240">
        <v>2.8</v>
      </c>
      <c r="H39" s="247">
        <f>F39*G39</f>
        <v>72800</v>
      </c>
      <c r="I39" s="279">
        <f>SUM(H39:H42)</f>
        <v>281840</v>
      </c>
      <c r="J39" s="276">
        <v>42725</v>
      </c>
      <c r="K39" s="279">
        <f>I39-L39</f>
        <v>117</v>
      </c>
      <c r="L39" s="279">
        <v>281723</v>
      </c>
      <c r="M39" s="271">
        <v>22650</v>
      </c>
      <c r="N39" s="271">
        <f>L39*M39</f>
        <v>6381025950</v>
      </c>
      <c r="O39" s="271"/>
      <c r="P39" s="271">
        <f t="shared" ref="P39" si="24">N39-O39</f>
        <v>6381025950</v>
      </c>
      <c r="Q39" s="255" t="s">
        <v>145</v>
      </c>
      <c r="R39" s="256">
        <v>812812</v>
      </c>
      <c r="S39" s="257">
        <v>1477840000</v>
      </c>
      <c r="T39" s="282"/>
      <c r="U39" s="144" t="s">
        <v>166</v>
      </c>
    </row>
    <row r="40" spans="1:21" s="150" customFormat="1" ht="18" customHeight="1">
      <c r="A40" s="144">
        <v>30</v>
      </c>
      <c r="B40" s="245">
        <v>42706</v>
      </c>
      <c r="C40" s="244" t="s">
        <v>231</v>
      </c>
      <c r="D40" s="244" t="s">
        <v>234</v>
      </c>
      <c r="E40" s="244" t="s">
        <v>235</v>
      </c>
      <c r="F40" s="239">
        <v>26000</v>
      </c>
      <c r="G40" s="240">
        <v>2.68</v>
      </c>
      <c r="H40" s="247">
        <f>F40*G40</f>
        <v>69680</v>
      </c>
      <c r="I40" s="280"/>
      <c r="J40" s="277"/>
      <c r="K40" s="280"/>
      <c r="L40" s="280"/>
      <c r="M40" s="272"/>
      <c r="N40" s="272"/>
      <c r="O40" s="272"/>
      <c r="P40" s="272"/>
      <c r="Q40" s="258" t="s">
        <v>155</v>
      </c>
      <c r="R40" s="256">
        <v>482346</v>
      </c>
      <c r="S40" s="257">
        <v>876993000</v>
      </c>
      <c r="T40" s="282"/>
      <c r="U40" s="144" t="s">
        <v>166</v>
      </c>
    </row>
    <row r="41" spans="1:21" s="150" customFormat="1" ht="18" customHeight="1">
      <c r="A41" s="144">
        <v>31</v>
      </c>
      <c r="B41" s="245">
        <v>42706</v>
      </c>
      <c r="C41" s="244" t="s">
        <v>231</v>
      </c>
      <c r="D41" s="244" t="s">
        <v>236</v>
      </c>
      <c r="E41" s="244" t="s">
        <v>237</v>
      </c>
      <c r="F41" s="239">
        <v>26000</v>
      </c>
      <c r="G41" s="240">
        <v>2.68</v>
      </c>
      <c r="H41" s="247">
        <f>F41*G41</f>
        <v>69680</v>
      </c>
      <c r="I41" s="280"/>
      <c r="J41" s="277"/>
      <c r="K41" s="280"/>
      <c r="L41" s="280"/>
      <c r="M41" s="272"/>
      <c r="N41" s="272"/>
      <c r="O41" s="272"/>
      <c r="P41" s="272"/>
      <c r="Q41" s="258" t="s">
        <v>134</v>
      </c>
      <c r="R41" s="256">
        <v>984083</v>
      </c>
      <c r="S41" s="257">
        <v>2982070000</v>
      </c>
      <c r="T41" s="282"/>
      <c r="U41" s="144" t="s">
        <v>166</v>
      </c>
    </row>
    <row r="42" spans="1:21" s="150" customFormat="1" ht="18" customHeight="1">
      <c r="A42" s="144">
        <v>32</v>
      </c>
      <c r="B42" s="245">
        <v>42706</v>
      </c>
      <c r="C42" s="244" t="s">
        <v>231</v>
      </c>
      <c r="D42" s="244" t="s">
        <v>238</v>
      </c>
      <c r="E42" s="244" t="s">
        <v>239</v>
      </c>
      <c r="F42" s="239">
        <v>26000</v>
      </c>
      <c r="G42" s="240">
        <v>2.68</v>
      </c>
      <c r="H42" s="247">
        <f>F42*G42</f>
        <v>69680</v>
      </c>
      <c r="I42" s="281"/>
      <c r="J42" s="278"/>
      <c r="K42" s="281"/>
      <c r="L42" s="281"/>
      <c r="M42" s="273"/>
      <c r="N42" s="273"/>
      <c r="O42" s="273"/>
      <c r="P42" s="273"/>
      <c r="Q42" s="255" t="s">
        <v>59</v>
      </c>
      <c r="R42" s="256">
        <v>343695</v>
      </c>
      <c r="S42" s="257">
        <v>1041500000</v>
      </c>
      <c r="T42" s="282"/>
      <c r="U42" s="144" t="s">
        <v>111</v>
      </c>
    </row>
    <row r="43" spans="1:21" s="150" customFormat="1" ht="18" customHeight="1">
      <c r="A43" s="144">
        <v>33</v>
      </c>
      <c r="B43" s="245">
        <v>42711</v>
      </c>
      <c r="C43" s="244" t="s">
        <v>240</v>
      </c>
      <c r="D43" s="244" t="s">
        <v>241</v>
      </c>
      <c r="E43" s="244">
        <v>4852784</v>
      </c>
      <c r="F43" s="239">
        <v>26351</v>
      </c>
      <c r="G43" s="240">
        <v>2.68</v>
      </c>
      <c r="H43" s="247">
        <f t="shared" ref="H43:H46" si="25">F43*G43</f>
        <v>70620.680000000008</v>
      </c>
      <c r="I43" s="279">
        <f>SUM(H43:H46)</f>
        <v>282482.72000000003</v>
      </c>
      <c r="J43" s="276">
        <v>42730</v>
      </c>
      <c r="K43" s="279">
        <f>I43-L43</f>
        <v>117.00000000005821</v>
      </c>
      <c r="L43" s="279">
        <v>282365.71999999997</v>
      </c>
      <c r="M43" s="271">
        <v>22650</v>
      </c>
      <c r="N43" s="271">
        <f>L43*M43</f>
        <v>6395583557.999999</v>
      </c>
      <c r="O43" s="271"/>
      <c r="P43" s="271">
        <f t="shared" ref="P43" si="26">N43-O43</f>
        <v>6395583557.999999</v>
      </c>
      <c r="Q43" s="255" t="s">
        <v>145</v>
      </c>
      <c r="R43" s="256">
        <v>120120</v>
      </c>
      <c r="S43" s="257">
        <v>218400000</v>
      </c>
      <c r="T43" s="282">
        <v>676708340</v>
      </c>
      <c r="U43" s="144" t="s">
        <v>166</v>
      </c>
    </row>
    <row r="44" spans="1:21" s="150" customFormat="1" ht="18" customHeight="1">
      <c r="A44" s="144">
        <v>34</v>
      </c>
      <c r="B44" s="245">
        <v>42711</v>
      </c>
      <c r="C44" s="244" t="s">
        <v>240</v>
      </c>
      <c r="D44" s="244" t="s">
        <v>242</v>
      </c>
      <c r="E44" s="244">
        <v>4852733</v>
      </c>
      <c r="F44" s="239">
        <v>26351</v>
      </c>
      <c r="G44" s="240">
        <v>2.68</v>
      </c>
      <c r="H44" s="247">
        <f t="shared" si="25"/>
        <v>70620.680000000008</v>
      </c>
      <c r="I44" s="280"/>
      <c r="J44" s="277"/>
      <c r="K44" s="280"/>
      <c r="L44" s="280"/>
      <c r="M44" s="272"/>
      <c r="N44" s="272"/>
      <c r="O44" s="272"/>
      <c r="P44" s="272"/>
      <c r="Q44" s="258" t="s">
        <v>328</v>
      </c>
      <c r="R44" s="256">
        <v>15246</v>
      </c>
      <c r="S44" s="257">
        <v>27720000</v>
      </c>
      <c r="T44" s="282"/>
      <c r="U44" s="144" t="s">
        <v>166</v>
      </c>
    </row>
    <row r="45" spans="1:21" s="150" customFormat="1" ht="18" customHeight="1">
      <c r="A45" s="144">
        <v>35</v>
      </c>
      <c r="B45" s="245">
        <v>42711</v>
      </c>
      <c r="C45" s="244" t="s">
        <v>240</v>
      </c>
      <c r="D45" s="244" t="s">
        <v>243</v>
      </c>
      <c r="E45" s="244">
        <v>4852701</v>
      </c>
      <c r="F45" s="239">
        <v>26351</v>
      </c>
      <c r="G45" s="240">
        <v>2.68</v>
      </c>
      <c r="H45" s="247">
        <f t="shared" si="25"/>
        <v>70620.680000000008</v>
      </c>
      <c r="I45" s="280"/>
      <c r="J45" s="277"/>
      <c r="K45" s="280"/>
      <c r="L45" s="280"/>
      <c r="M45" s="272"/>
      <c r="N45" s="272"/>
      <c r="O45" s="272"/>
      <c r="P45" s="272"/>
      <c r="Q45" s="258" t="s">
        <v>134</v>
      </c>
      <c r="R45" s="256">
        <v>647657</v>
      </c>
      <c r="S45" s="257">
        <v>1177559000</v>
      </c>
      <c r="T45" s="282"/>
      <c r="U45" s="144" t="s">
        <v>166</v>
      </c>
    </row>
    <row r="46" spans="1:21" s="150" customFormat="1" ht="18" customHeight="1">
      <c r="A46" s="144">
        <v>36</v>
      </c>
      <c r="B46" s="245">
        <v>42711</v>
      </c>
      <c r="C46" s="244" t="s">
        <v>240</v>
      </c>
      <c r="D46" s="244" t="s">
        <v>244</v>
      </c>
      <c r="E46" s="244">
        <v>4852777</v>
      </c>
      <c r="F46" s="239">
        <v>26351</v>
      </c>
      <c r="G46" s="240">
        <v>2.68</v>
      </c>
      <c r="H46" s="247">
        <f t="shared" si="25"/>
        <v>70620.680000000008</v>
      </c>
      <c r="I46" s="281"/>
      <c r="J46" s="278"/>
      <c r="K46" s="281"/>
      <c r="L46" s="281"/>
      <c r="M46" s="273"/>
      <c r="N46" s="273"/>
      <c r="O46" s="273"/>
      <c r="P46" s="273"/>
      <c r="Q46" s="255" t="s">
        <v>59</v>
      </c>
      <c r="R46" s="256">
        <v>2403113</v>
      </c>
      <c r="S46" s="257">
        <v>4369297000</v>
      </c>
      <c r="T46" s="282"/>
      <c r="U46" s="144" t="s">
        <v>111</v>
      </c>
    </row>
    <row r="47" spans="1:21" s="150" customFormat="1" ht="18" customHeight="1">
      <c r="A47" s="144">
        <v>37</v>
      </c>
      <c r="B47" s="245">
        <v>42713</v>
      </c>
      <c r="C47" s="244" t="s">
        <v>240</v>
      </c>
      <c r="D47" s="244" t="s">
        <v>245</v>
      </c>
      <c r="E47" s="244">
        <v>4865726</v>
      </c>
      <c r="F47" s="239">
        <v>26351</v>
      </c>
      <c r="G47" s="240">
        <v>2.68</v>
      </c>
      <c r="H47" s="247">
        <f t="shared" ref="H47:H50" si="27">F47*G47</f>
        <v>70620.680000000008</v>
      </c>
      <c r="I47" s="279">
        <f>H47+H48</f>
        <v>144200.68</v>
      </c>
      <c r="J47" s="276">
        <v>42742</v>
      </c>
      <c r="K47" s="279">
        <f>I47-L47</f>
        <v>12</v>
      </c>
      <c r="L47" s="279">
        <v>144188.68</v>
      </c>
      <c r="M47" s="271">
        <v>22480</v>
      </c>
      <c r="N47" s="282">
        <f t="shared" ref="N47" si="28">L47*M47</f>
        <v>3241361526.3999996</v>
      </c>
      <c r="O47" s="271">
        <v>1825573</v>
      </c>
      <c r="P47" s="273">
        <f t="shared" ref="P47" si="29">N47-O47</f>
        <v>3239535953.3999996</v>
      </c>
      <c r="Q47" s="255" t="s">
        <v>145</v>
      </c>
      <c r="R47" s="256">
        <v>296150</v>
      </c>
      <c r="S47" s="257">
        <v>329056000</v>
      </c>
      <c r="T47" s="282"/>
      <c r="U47" s="244" t="s">
        <v>111</v>
      </c>
    </row>
    <row r="48" spans="1:21" s="150" customFormat="1" ht="18" customHeight="1">
      <c r="A48" s="144">
        <v>38</v>
      </c>
      <c r="B48" s="245">
        <v>42713</v>
      </c>
      <c r="C48" s="244" t="s">
        <v>240</v>
      </c>
      <c r="D48" s="244" t="s">
        <v>246</v>
      </c>
      <c r="E48" s="244">
        <v>4852764</v>
      </c>
      <c r="F48" s="248">
        <v>26000</v>
      </c>
      <c r="G48" s="247">
        <v>2.83</v>
      </c>
      <c r="H48" s="247">
        <f t="shared" si="27"/>
        <v>73580</v>
      </c>
      <c r="I48" s="281"/>
      <c r="J48" s="278"/>
      <c r="K48" s="281"/>
      <c r="L48" s="281"/>
      <c r="M48" s="273"/>
      <c r="N48" s="282"/>
      <c r="O48" s="273"/>
      <c r="P48" s="282"/>
      <c r="Q48" s="255" t="s">
        <v>59</v>
      </c>
      <c r="R48" s="256">
        <v>2422361</v>
      </c>
      <c r="S48" s="257">
        <v>2691512000</v>
      </c>
      <c r="T48" s="282"/>
      <c r="U48" s="244" t="s">
        <v>84</v>
      </c>
    </row>
    <row r="49" spans="1:21" s="150" customFormat="1" ht="18" customHeight="1">
      <c r="A49" s="144">
        <v>39</v>
      </c>
      <c r="B49" s="245">
        <v>42713</v>
      </c>
      <c r="C49" s="244" t="s">
        <v>240</v>
      </c>
      <c r="D49" s="244" t="s">
        <v>247</v>
      </c>
      <c r="E49" s="244">
        <v>4849737</v>
      </c>
      <c r="F49" s="248">
        <v>26000</v>
      </c>
      <c r="G49" s="247">
        <v>2.83</v>
      </c>
      <c r="H49" s="247">
        <f t="shared" si="27"/>
        <v>73580</v>
      </c>
      <c r="I49" s="279">
        <f>SUM(H49:H52)</f>
        <v>294320</v>
      </c>
      <c r="J49" s="276">
        <v>42733</v>
      </c>
      <c r="K49" s="279">
        <f>I49-L49</f>
        <v>12</v>
      </c>
      <c r="L49" s="279">
        <v>294308</v>
      </c>
      <c r="M49" s="271">
        <v>22650</v>
      </c>
      <c r="N49" s="271">
        <f>L49*M49</f>
        <v>6666076200</v>
      </c>
      <c r="O49" s="271">
        <v>3651146</v>
      </c>
      <c r="P49" s="271">
        <f t="shared" ref="P49" si="30">N49-O49</f>
        <v>6662425054</v>
      </c>
      <c r="Q49" s="255" t="s">
        <v>145</v>
      </c>
      <c r="R49" s="256">
        <v>820069</v>
      </c>
      <c r="S49" s="257">
        <v>1491035000</v>
      </c>
      <c r="T49" s="282"/>
      <c r="U49" s="244" t="s">
        <v>84</v>
      </c>
    </row>
    <row r="50" spans="1:21" s="150" customFormat="1" ht="18" customHeight="1">
      <c r="A50" s="144">
        <v>40</v>
      </c>
      <c r="B50" s="245">
        <v>42713</v>
      </c>
      <c r="C50" s="244" t="s">
        <v>240</v>
      </c>
      <c r="D50" s="244" t="s">
        <v>248</v>
      </c>
      <c r="E50" s="244">
        <v>4852756</v>
      </c>
      <c r="F50" s="248">
        <v>26000</v>
      </c>
      <c r="G50" s="247">
        <v>2.83</v>
      </c>
      <c r="H50" s="247">
        <f t="shared" si="27"/>
        <v>73580</v>
      </c>
      <c r="I50" s="280"/>
      <c r="J50" s="277"/>
      <c r="K50" s="280"/>
      <c r="L50" s="280"/>
      <c r="M50" s="272"/>
      <c r="N50" s="272"/>
      <c r="O50" s="272"/>
      <c r="P50" s="272"/>
      <c r="Q50" s="255" t="s">
        <v>59</v>
      </c>
      <c r="R50" s="256">
        <v>2786095</v>
      </c>
      <c r="S50" s="257">
        <v>5065628000</v>
      </c>
      <c r="T50" s="282"/>
      <c r="U50" s="244" t="s">
        <v>84</v>
      </c>
    </row>
    <row r="51" spans="1:21" s="150" customFormat="1" ht="18" customHeight="1">
      <c r="A51" s="144">
        <v>41</v>
      </c>
      <c r="B51" s="245">
        <v>42713</v>
      </c>
      <c r="C51" s="244" t="s">
        <v>240</v>
      </c>
      <c r="D51" s="244" t="s">
        <v>249</v>
      </c>
      <c r="E51" s="244">
        <v>4852789</v>
      </c>
      <c r="F51" s="248">
        <v>26000</v>
      </c>
      <c r="G51" s="247">
        <v>2.83</v>
      </c>
      <c r="H51" s="247">
        <f t="shared" si="3"/>
        <v>73580</v>
      </c>
      <c r="I51" s="280"/>
      <c r="J51" s="277"/>
      <c r="K51" s="280"/>
      <c r="L51" s="280"/>
      <c r="M51" s="272"/>
      <c r="N51" s="272"/>
      <c r="O51" s="272"/>
      <c r="P51" s="272"/>
      <c r="Q51" s="248"/>
      <c r="R51" s="248"/>
      <c r="S51" s="248"/>
      <c r="T51" s="282"/>
      <c r="U51" s="244" t="s">
        <v>84</v>
      </c>
    </row>
    <row r="52" spans="1:21" s="150" customFormat="1" ht="18" customHeight="1">
      <c r="A52" s="144">
        <v>42</v>
      </c>
      <c r="B52" s="245">
        <v>42713</v>
      </c>
      <c r="C52" s="244" t="s">
        <v>240</v>
      </c>
      <c r="D52" s="244" t="s">
        <v>250</v>
      </c>
      <c r="E52" s="244">
        <v>4862786</v>
      </c>
      <c r="F52" s="248">
        <v>26000</v>
      </c>
      <c r="G52" s="247">
        <v>2.83</v>
      </c>
      <c r="H52" s="247">
        <f t="shared" si="3"/>
        <v>73580</v>
      </c>
      <c r="I52" s="281"/>
      <c r="J52" s="278"/>
      <c r="K52" s="281"/>
      <c r="L52" s="281"/>
      <c r="M52" s="273"/>
      <c r="N52" s="273"/>
      <c r="O52" s="273"/>
      <c r="P52" s="273"/>
      <c r="Q52" s="248"/>
      <c r="R52" s="248"/>
      <c r="S52" s="248"/>
      <c r="T52" s="282"/>
      <c r="U52" s="244" t="s">
        <v>84</v>
      </c>
    </row>
    <row r="53" spans="1:21" s="150" customFormat="1" ht="18" customHeight="1">
      <c r="A53" s="144">
        <v>43</v>
      </c>
      <c r="B53" s="245">
        <v>42716</v>
      </c>
      <c r="C53" s="244" t="s">
        <v>255</v>
      </c>
      <c r="D53" s="244" t="s">
        <v>251</v>
      </c>
      <c r="E53" s="244" t="s">
        <v>256</v>
      </c>
      <c r="F53" s="248">
        <v>26000</v>
      </c>
      <c r="G53" s="247">
        <v>2.83</v>
      </c>
      <c r="H53" s="247">
        <f t="shared" si="3"/>
        <v>73580</v>
      </c>
      <c r="I53" s="279">
        <f>SUM(H53:H56)</f>
        <v>294320</v>
      </c>
      <c r="J53" s="276">
        <v>42746</v>
      </c>
      <c r="K53" s="279">
        <f>I53-L53</f>
        <v>12</v>
      </c>
      <c r="L53" s="279">
        <v>294308</v>
      </c>
      <c r="M53" s="271">
        <v>22465</v>
      </c>
      <c r="N53" s="271">
        <f>L53*M53</f>
        <v>6611629220</v>
      </c>
      <c r="O53" s="271">
        <v>3651146</v>
      </c>
      <c r="P53" s="271">
        <f t="shared" ref="P53" si="31">N53-O53</f>
        <v>6607978074</v>
      </c>
      <c r="Q53" s="258" t="s">
        <v>58</v>
      </c>
      <c r="R53" s="256">
        <v>889727</v>
      </c>
      <c r="S53" s="257">
        <v>988585000</v>
      </c>
      <c r="T53" s="282"/>
      <c r="U53" s="144" t="s">
        <v>166</v>
      </c>
    </row>
    <row r="54" spans="1:21" s="150" customFormat="1" ht="18" customHeight="1">
      <c r="A54" s="144">
        <v>44</v>
      </c>
      <c r="B54" s="245">
        <v>42716</v>
      </c>
      <c r="C54" s="244" t="s">
        <v>255</v>
      </c>
      <c r="D54" s="244" t="s">
        <v>252</v>
      </c>
      <c r="E54" s="244" t="s">
        <v>257</v>
      </c>
      <c r="F54" s="248">
        <v>26000</v>
      </c>
      <c r="G54" s="247">
        <v>2.83</v>
      </c>
      <c r="H54" s="247">
        <f t="shared" ref="H54:H86" si="32">F54*G54</f>
        <v>73580</v>
      </c>
      <c r="I54" s="280"/>
      <c r="J54" s="277"/>
      <c r="K54" s="280"/>
      <c r="L54" s="280"/>
      <c r="M54" s="272"/>
      <c r="N54" s="272"/>
      <c r="O54" s="272"/>
      <c r="P54" s="272"/>
      <c r="Q54" s="255" t="s">
        <v>393</v>
      </c>
      <c r="R54" s="256">
        <v>851458</v>
      </c>
      <c r="S54" s="257">
        <v>946064000</v>
      </c>
      <c r="T54" s="282"/>
      <c r="U54" s="144" t="s">
        <v>166</v>
      </c>
    </row>
    <row r="55" spans="1:21" s="150" customFormat="1" ht="18" customHeight="1">
      <c r="A55" s="144">
        <v>45</v>
      </c>
      <c r="B55" s="245">
        <v>42716</v>
      </c>
      <c r="C55" s="244" t="s">
        <v>255</v>
      </c>
      <c r="D55" s="244" t="s">
        <v>253</v>
      </c>
      <c r="E55" s="244" t="s">
        <v>258</v>
      </c>
      <c r="F55" s="248">
        <v>26000</v>
      </c>
      <c r="G55" s="247">
        <v>2.83</v>
      </c>
      <c r="H55" s="247">
        <f t="shared" si="32"/>
        <v>73580</v>
      </c>
      <c r="I55" s="280"/>
      <c r="J55" s="277"/>
      <c r="K55" s="280"/>
      <c r="L55" s="280"/>
      <c r="M55" s="272"/>
      <c r="N55" s="272"/>
      <c r="O55" s="272"/>
      <c r="P55" s="272"/>
      <c r="Q55" s="255" t="s">
        <v>59</v>
      </c>
      <c r="R55" s="256">
        <v>4198989</v>
      </c>
      <c r="S55" s="257">
        <v>4665543000</v>
      </c>
      <c r="T55" s="282"/>
      <c r="U55" s="144" t="s">
        <v>84</v>
      </c>
    </row>
    <row r="56" spans="1:21" s="150" customFormat="1" ht="18" customHeight="1">
      <c r="A56" s="144">
        <v>46</v>
      </c>
      <c r="B56" s="245">
        <v>42716</v>
      </c>
      <c r="C56" s="244" t="s">
        <v>255</v>
      </c>
      <c r="D56" s="244" t="s">
        <v>254</v>
      </c>
      <c r="E56" s="244" t="s">
        <v>259</v>
      </c>
      <c r="F56" s="248">
        <v>26000</v>
      </c>
      <c r="G56" s="247">
        <v>2.83</v>
      </c>
      <c r="H56" s="247">
        <f t="shared" si="32"/>
        <v>73580</v>
      </c>
      <c r="I56" s="281"/>
      <c r="J56" s="278"/>
      <c r="K56" s="281"/>
      <c r="L56" s="281"/>
      <c r="M56" s="273"/>
      <c r="N56" s="273"/>
      <c r="O56" s="273"/>
      <c r="P56" s="273"/>
      <c r="Q56" s="243"/>
      <c r="R56" s="243"/>
      <c r="S56" s="243"/>
      <c r="T56" s="282"/>
      <c r="U56" s="144" t="s">
        <v>84</v>
      </c>
    </row>
    <row r="57" spans="1:21" s="150" customFormat="1" ht="18" customHeight="1">
      <c r="A57" s="144">
        <v>47</v>
      </c>
      <c r="B57" s="245">
        <v>42720</v>
      </c>
      <c r="C57" s="244" t="s">
        <v>279</v>
      </c>
      <c r="D57" s="249" t="s">
        <v>273</v>
      </c>
      <c r="E57" s="249">
        <v>4844165</v>
      </c>
      <c r="F57" s="248">
        <v>26000</v>
      </c>
      <c r="G57" s="247">
        <v>2.83</v>
      </c>
      <c r="H57" s="247">
        <f t="shared" ref="H57:H67" si="33">F57*G57</f>
        <v>73580</v>
      </c>
      <c r="I57" s="279">
        <f>SUM(H57:H62)</f>
        <v>441480</v>
      </c>
      <c r="J57" s="276">
        <v>42782</v>
      </c>
      <c r="K57" s="279">
        <f>I57-L57</f>
        <v>12</v>
      </c>
      <c r="L57" s="279">
        <v>441468</v>
      </c>
      <c r="M57" s="271">
        <v>22570</v>
      </c>
      <c r="N57" s="271">
        <f>L57*M57</f>
        <v>9963932760</v>
      </c>
      <c r="O57" s="271">
        <v>3250000</v>
      </c>
      <c r="P57" s="271">
        <f>N57-O57</f>
        <v>9960682760</v>
      </c>
      <c r="Q57" s="255" t="s">
        <v>134</v>
      </c>
      <c r="R57" s="256">
        <v>1100000</v>
      </c>
      <c r="S57" s="257">
        <v>1697000000</v>
      </c>
      <c r="T57" s="282">
        <v>575924500</v>
      </c>
      <c r="U57" s="144" t="s">
        <v>111</v>
      </c>
    </row>
    <row r="58" spans="1:21" s="150" customFormat="1" ht="18" customHeight="1">
      <c r="A58" s="144">
        <v>48</v>
      </c>
      <c r="B58" s="245">
        <v>42720</v>
      </c>
      <c r="C58" s="244" t="s">
        <v>279</v>
      </c>
      <c r="D58" s="249" t="s">
        <v>274</v>
      </c>
      <c r="E58" s="249">
        <v>4844162</v>
      </c>
      <c r="F58" s="248">
        <v>26000</v>
      </c>
      <c r="G58" s="247">
        <v>2.83</v>
      </c>
      <c r="H58" s="247">
        <f t="shared" si="33"/>
        <v>73580</v>
      </c>
      <c r="I58" s="280"/>
      <c r="J58" s="277"/>
      <c r="K58" s="280"/>
      <c r="L58" s="280"/>
      <c r="M58" s="272"/>
      <c r="N58" s="272"/>
      <c r="O58" s="272"/>
      <c r="P58" s="272"/>
      <c r="Q58" s="255" t="s">
        <v>399</v>
      </c>
      <c r="R58" s="256">
        <v>1100000</v>
      </c>
      <c r="S58" s="257">
        <v>1697000000</v>
      </c>
      <c r="T58" s="282"/>
      <c r="U58" s="144" t="s">
        <v>84</v>
      </c>
    </row>
    <row r="59" spans="1:21" s="150" customFormat="1" ht="18" customHeight="1">
      <c r="A59" s="144">
        <v>49</v>
      </c>
      <c r="B59" s="245">
        <v>42720</v>
      </c>
      <c r="C59" s="244" t="s">
        <v>279</v>
      </c>
      <c r="D59" s="244" t="s">
        <v>275</v>
      </c>
      <c r="E59" s="249">
        <v>4844167</v>
      </c>
      <c r="F59" s="248">
        <v>26000</v>
      </c>
      <c r="G59" s="247">
        <v>2.83</v>
      </c>
      <c r="H59" s="247">
        <f t="shared" si="33"/>
        <v>73580</v>
      </c>
      <c r="I59" s="280"/>
      <c r="J59" s="277"/>
      <c r="K59" s="280"/>
      <c r="L59" s="280"/>
      <c r="M59" s="272"/>
      <c r="N59" s="272"/>
      <c r="O59" s="272"/>
      <c r="P59" s="272"/>
      <c r="Q59" s="255" t="s">
        <v>398</v>
      </c>
      <c r="R59" s="256">
        <v>1100000</v>
      </c>
      <c r="S59" s="257">
        <v>1696000000</v>
      </c>
      <c r="T59" s="282"/>
      <c r="U59" s="144" t="s">
        <v>84</v>
      </c>
    </row>
    <row r="60" spans="1:21" s="150" customFormat="1" ht="18" customHeight="1">
      <c r="A60" s="144">
        <v>50</v>
      </c>
      <c r="B60" s="245">
        <v>42720</v>
      </c>
      <c r="C60" s="244" t="s">
        <v>279</v>
      </c>
      <c r="D60" s="249" t="s">
        <v>276</v>
      </c>
      <c r="E60" s="249">
        <v>4855088</v>
      </c>
      <c r="F60" s="248">
        <v>26000</v>
      </c>
      <c r="G60" s="247">
        <v>2.83</v>
      </c>
      <c r="H60" s="247">
        <f t="shared" si="33"/>
        <v>73580</v>
      </c>
      <c r="I60" s="280"/>
      <c r="J60" s="277"/>
      <c r="K60" s="280"/>
      <c r="L60" s="280"/>
      <c r="M60" s="272"/>
      <c r="N60" s="272"/>
      <c r="O60" s="272"/>
      <c r="P60" s="272"/>
      <c r="Q60" s="255" t="s">
        <v>403</v>
      </c>
      <c r="R60" s="256">
        <v>1100000</v>
      </c>
      <c r="S60" s="257">
        <v>1696000000</v>
      </c>
      <c r="T60" s="282"/>
      <c r="U60" s="144" t="s">
        <v>84</v>
      </c>
    </row>
    <row r="61" spans="1:21" s="150" customFormat="1" ht="18" customHeight="1">
      <c r="A61" s="144">
        <v>51</v>
      </c>
      <c r="B61" s="245">
        <v>42720</v>
      </c>
      <c r="C61" s="244" t="s">
        <v>279</v>
      </c>
      <c r="D61" s="249" t="s">
        <v>277</v>
      </c>
      <c r="E61" s="249">
        <v>4844166</v>
      </c>
      <c r="F61" s="248">
        <v>26000</v>
      </c>
      <c r="G61" s="247">
        <v>2.83</v>
      </c>
      <c r="H61" s="247">
        <f t="shared" si="33"/>
        <v>73580</v>
      </c>
      <c r="I61" s="280"/>
      <c r="J61" s="277"/>
      <c r="K61" s="280"/>
      <c r="L61" s="280"/>
      <c r="M61" s="272"/>
      <c r="N61" s="272"/>
      <c r="O61" s="272"/>
      <c r="P61" s="272"/>
      <c r="Q61" s="258" t="s">
        <v>404</v>
      </c>
      <c r="R61" s="256">
        <v>1100000</v>
      </c>
      <c r="S61" s="257">
        <v>1696000000</v>
      </c>
      <c r="T61" s="282"/>
      <c r="U61" s="144" t="s">
        <v>111</v>
      </c>
    </row>
    <row r="62" spans="1:21" s="150" customFormat="1" ht="18" customHeight="1">
      <c r="A62" s="144">
        <v>52</v>
      </c>
      <c r="B62" s="245">
        <v>42720</v>
      </c>
      <c r="C62" s="244" t="s">
        <v>279</v>
      </c>
      <c r="D62" s="249" t="s">
        <v>278</v>
      </c>
      <c r="E62" s="249">
        <v>4844102</v>
      </c>
      <c r="F62" s="248">
        <v>26000</v>
      </c>
      <c r="G62" s="247">
        <v>2.83</v>
      </c>
      <c r="H62" s="247">
        <f t="shared" si="33"/>
        <v>73580</v>
      </c>
      <c r="I62" s="281"/>
      <c r="J62" s="278"/>
      <c r="K62" s="281"/>
      <c r="L62" s="281"/>
      <c r="M62" s="273"/>
      <c r="N62" s="273"/>
      <c r="O62" s="273"/>
      <c r="P62" s="273"/>
      <c r="Q62" s="259" t="s">
        <v>397</v>
      </c>
      <c r="R62" s="256">
        <v>1100000</v>
      </c>
      <c r="S62" s="257">
        <v>1696000000</v>
      </c>
      <c r="T62" s="282"/>
      <c r="U62" s="144" t="s">
        <v>84</v>
      </c>
    </row>
    <row r="63" spans="1:21" s="150" customFormat="1" ht="18" customHeight="1">
      <c r="A63" s="144">
        <v>53</v>
      </c>
      <c r="B63" s="245">
        <v>42723</v>
      </c>
      <c r="C63" s="244" t="s">
        <v>293</v>
      </c>
      <c r="D63" s="244" t="s">
        <v>294</v>
      </c>
      <c r="E63" s="244" t="s">
        <v>300</v>
      </c>
      <c r="F63" s="248">
        <f>2030*13</f>
        <v>26390</v>
      </c>
      <c r="G63" s="247">
        <v>2.83</v>
      </c>
      <c r="H63" s="247">
        <f t="shared" si="33"/>
        <v>74683.7</v>
      </c>
      <c r="I63" s="283">
        <f>H63+H64</f>
        <v>149367.4</v>
      </c>
      <c r="J63" s="287">
        <v>42774</v>
      </c>
      <c r="K63" s="283">
        <f>I63-L63</f>
        <v>12</v>
      </c>
      <c r="L63" s="283">
        <v>149355.4</v>
      </c>
      <c r="M63" s="271">
        <v>22520</v>
      </c>
      <c r="N63" s="282">
        <f t="shared" ref="N63" si="34">L63*M63</f>
        <v>3363483608</v>
      </c>
      <c r="O63" s="282">
        <v>1861474</v>
      </c>
      <c r="P63" s="273">
        <f t="shared" ref="P63" si="35">N63-O63</f>
        <v>3361622134</v>
      </c>
      <c r="Q63" s="255" t="s">
        <v>145</v>
      </c>
      <c r="R63" s="256">
        <v>1175650</v>
      </c>
      <c r="S63" s="257">
        <v>1679500000</v>
      </c>
      <c r="T63" s="282"/>
      <c r="U63" s="144" t="s">
        <v>84</v>
      </c>
    </row>
    <row r="64" spans="1:21" s="150" customFormat="1" ht="18" customHeight="1">
      <c r="A64" s="144">
        <v>54</v>
      </c>
      <c r="B64" s="245">
        <v>42723</v>
      </c>
      <c r="C64" s="244" t="s">
        <v>293</v>
      </c>
      <c r="D64" s="244" t="s">
        <v>295</v>
      </c>
      <c r="E64" s="244" t="s">
        <v>301</v>
      </c>
      <c r="F64" s="248">
        <f t="shared" ref="F64:F86" si="36">2030*13</f>
        <v>26390</v>
      </c>
      <c r="G64" s="247">
        <v>2.83</v>
      </c>
      <c r="H64" s="247">
        <f t="shared" si="33"/>
        <v>74683.7</v>
      </c>
      <c r="I64" s="283"/>
      <c r="J64" s="287"/>
      <c r="K64" s="283"/>
      <c r="L64" s="283"/>
      <c r="M64" s="273"/>
      <c r="N64" s="282"/>
      <c r="O64" s="282"/>
      <c r="P64" s="282"/>
      <c r="Q64" s="258" t="s">
        <v>155</v>
      </c>
      <c r="R64" s="256">
        <v>1175650</v>
      </c>
      <c r="S64" s="257">
        <v>1679500000</v>
      </c>
      <c r="T64" s="282"/>
      <c r="U64" s="144" t="s">
        <v>84</v>
      </c>
    </row>
    <row r="65" spans="1:21" s="150" customFormat="1" ht="18" customHeight="1">
      <c r="A65" s="144">
        <v>55</v>
      </c>
      <c r="B65" s="245">
        <v>42723</v>
      </c>
      <c r="C65" s="244" t="s">
        <v>293</v>
      </c>
      <c r="D65" s="244" t="s">
        <v>296</v>
      </c>
      <c r="E65" s="244" t="s">
        <v>302</v>
      </c>
      <c r="F65" s="248">
        <f t="shared" si="36"/>
        <v>26390</v>
      </c>
      <c r="G65" s="247">
        <v>2.83</v>
      </c>
      <c r="H65" s="247">
        <f t="shared" si="33"/>
        <v>74683.7</v>
      </c>
      <c r="I65" s="279">
        <f>SUM(H65:H70)</f>
        <v>448102.2</v>
      </c>
      <c r="J65" s="276">
        <v>42788</v>
      </c>
      <c r="K65" s="279">
        <f>I65-L65</f>
        <v>122</v>
      </c>
      <c r="L65" s="279">
        <v>447980.2</v>
      </c>
      <c r="M65" s="271">
        <v>22620</v>
      </c>
      <c r="N65" s="271">
        <f>L65*M65</f>
        <v>10133312124</v>
      </c>
      <c r="O65" s="271"/>
      <c r="P65" s="271">
        <f>N65-O65</f>
        <v>10133312124</v>
      </c>
      <c r="Q65" s="255" t="s">
        <v>399</v>
      </c>
      <c r="R65" s="256">
        <v>1100000</v>
      </c>
      <c r="S65" s="257">
        <v>2110891000</v>
      </c>
      <c r="T65" s="282"/>
      <c r="U65" s="144" t="s">
        <v>111</v>
      </c>
    </row>
    <row r="66" spans="1:21" s="150" customFormat="1" ht="18" customHeight="1">
      <c r="A66" s="144">
        <v>56</v>
      </c>
      <c r="B66" s="245">
        <v>42723</v>
      </c>
      <c r="C66" s="244" t="s">
        <v>293</v>
      </c>
      <c r="D66" s="244" t="s">
        <v>297</v>
      </c>
      <c r="E66" s="244" t="s">
        <v>303</v>
      </c>
      <c r="F66" s="248">
        <f t="shared" si="36"/>
        <v>26390</v>
      </c>
      <c r="G66" s="247">
        <v>2.83</v>
      </c>
      <c r="H66" s="247">
        <f t="shared" si="33"/>
        <v>74683.7</v>
      </c>
      <c r="I66" s="280"/>
      <c r="J66" s="277"/>
      <c r="K66" s="280"/>
      <c r="L66" s="280"/>
      <c r="M66" s="272"/>
      <c r="N66" s="272"/>
      <c r="O66" s="272"/>
      <c r="P66" s="272"/>
      <c r="Q66" s="255" t="s">
        <v>398</v>
      </c>
      <c r="R66" s="256">
        <v>1100000</v>
      </c>
      <c r="S66" s="257">
        <v>1238708500</v>
      </c>
      <c r="T66" s="282"/>
      <c r="U66" s="144" t="s">
        <v>84</v>
      </c>
    </row>
    <row r="67" spans="1:21" s="150" customFormat="1" ht="18" customHeight="1">
      <c r="A67" s="144">
        <v>57</v>
      </c>
      <c r="B67" s="245">
        <v>42723</v>
      </c>
      <c r="C67" s="244" t="s">
        <v>293</v>
      </c>
      <c r="D67" s="244" t="s">
        <v>298</v>
      </c>
      <c r="E67" s="244" t="s">
        <v>304</v>
      </c>
      <c r="F67" s="248">
        <f t="shared" si="36"/>
        <v>26390</v>
      </c>
      <c r="G67" s="247">
        <v>2.83</v>
      </c>
      <c r="H67" s="247">
        <f t="shared" si="33"/>
        <v>74683.7</v>
      </c>
      <c r="I67" s="280"/>
      <c r="J67" s="277"/>
      <c r="K67" s="280"/>
      <c r="L67" s="280"/>
      <c r="M67" s="272"/>
      <c r="N67" s="272"/>
      <c r="O67" s="272"/>
      <c r="P67" s="272"/>
      <c r="Q67" s="255" t="s">
        <v>134</v>
      </c>
      <c r="R67" s="256">
        <v>1100000</v>
      </c>
      <c r="S67" s="257">
        <v>1473180000</v>
      </c>
      <c r="T67" s="282"/>
      <c r="U67" s="144" t="s">
        <v>111</v>
      </c>
    </row>
    <row r="68" spans="1:21" s="150" customFormat="1" ht="18" customHeight="1">
      <c r="A68" s="144">
        <v>58</v>
      </c>
      <c r="B68" s="245">
        <v>42723</v>
      </c>
      <c r="C68" s="244" t="s">
        <v>293</v>
      </c>
      <c r="D68" s="244" t="s">
        <v>299</v>
      </c>
      <c r="E68" s="244" t="s">
        <v>305</v>
      </c>
      <c r="F68" s="248">
        <f t="shared" si="36"/>
        <v>26390</v>
      </c>
      <c r="G68" s="247">
        <v>2.83</v>
      </c>
      <c r="H68" s="247">
        <f t="shared" si="32"/>
        <v>74683.7</v>
      </c>
      <c r="I68" s="280"/>
      <c r="J68" s="277"/>
      <c r="K68" s="280"/>
      <c r="L68" s="280"/>
      <c r="M68" s="272"/>
      <c r="N68" s="272"/>
      <c r="O68" s="272"/>
      <c r="P68" s="272"/>
      <c r="Q68" s="255" t="s">
        <v>409</v>
      </c>
      <c r="R68" s="256">
        <v>1100000</v>
      </c>
      <c r="S68" s="257">
        <v>1552320000</v>
      </c>
      <c r="T68" s="282"/>
      <c r="U68" s="144" t="s">
        <v>84</v>
      </c>
    </row>
    <row r="69" spans="1:21" s="150" customFormat="1" ht="18" customHeight="1">
      <c r="A69" s="144">
        <v>59</v>
      </c>
      <c r="B69" s="245">
        <v>42726</v>
      </c>
      <c r="C69" s="244" t="s">
        <v>346</v>
      </c>
      <c r="D69" s="244" t="s">
        <v>347</v>
      </c>
      <c r="E69" s="244">
        <v>4839799</v>
      </c>
      <c r="F69" s="248">
        <f t="shared" si="36"/>
        <v>26390</v>
      </c>
      <c r="G69" s="247">
        <v>2.83</v>
      </c>
      <c r="H69" s="247">
        <f t="shared" si="32"/>
        <v>74683.7</v>
      </c>
      <c r="I69" s="280"/>
      <c r="J69" s="277"/>
      <c r="K69" s="280"/>
      <c r="L69" s="280"/>
      <c r="M69" s="272"/>
      <c r="N69" s="272"/>
      <c r="O69" s="272"/>
      <c r="P69" s="272"/>
      <c r="Q69" s="255" t="s">
        <v>403</v>
      </c>
      <c r="R69" s="256">
        <v>1100000</v>
      </c>
      <c r="S69" s="257">
        <v>1329812000</v>
      </c>
      <c r="T69" s="271">
        <v>596770925</v>
      </c>
      <c r="U69" s="144" t="s">
        <v>166</v>
      </c>
    </row>
    <row r="70" spans="1:21" s="150" customFormat="1" ht="18" customHeight="1">
      <c r="A70" s="144">
        <v>60</v>
      </c>
      <c r="B70" s="245">
        <v>42726</v>
      </c>
      <c r="C70" s="244" t="s">
        <v>346</v>
      </c>
      <c r="D70" s="244" t="s">
        <v>348</v>
      </c>
      <c r="E70" s="244">
        <v>4839863</v>
      </c>
      <c r="F70" s="248">
        <f t="shared" si="36"/>
        <v>26390</v>
      </c>
      <c r="G70" s="247">
        <v>2.83</v>
      </c>
      <c r="H70" s="247">
        <f t="shared" si="32"/>
        <v>74683.7</v>
      </c>
      <c r="I70" s="281"/>
      <c r="J70" s="278"/>
      <c r="K70" s="281"/>
      <c r="L70" s="281"/>
      <c r="M70" s="273"/>
      <c r="N70" s="273"/>
      <c r="O70" s="273"/>
      <c r="P70" s="273"/>
      <c r="Q70" s="259" t="s">
        <v>397</v>
      </c>
      <c r="R70" s="263">
        <v>1100000</v>
      </c>
      <c r="S70" s="260">
        <v>2251300000</v>
      </c>
      <c r="T70" s="272"/>
      <c r="U70" s="144" t="s">
        <v>166</v>
      </c>
    </row>
    <row r="71" spans="1:21" s="150" customFormat="1" ht="18" customHeight="1">
      <c r="A71" s="144">
        <v>61</v>
      </c>
      <c r="B71" s="245">
        <v>42727</v>
      </c>
      <c r="C71" s="244" t="s">
        <v>346</v>
      </c>
      <c r="D71" s="244" t="s">
        <v>349</v>
      </c>
      <c r="E71" s="244">
        <v>4839808</v>
      </c>
      <c r="F71" s="248">
        <f t="shared" si="36"/>
        <v>26390</v>
      </c>
      <c r="G71" s="247">
        <v>2.83</v>
      </c>
      <c r="H71" s="247">
        <f t="shared" si="32"/>
        <v>74683.7</v>
      </c>
      <c r="I71" s="279">
        <f>SUM(H71:H76)</f>
        <v>450241.68</v>
      </c>
      <c r="J71" s="276">
        <v>42790</v>
      </c>
      <c r="K71" s="279">
        <f>I71-L71</f>
        <v>12</v>
      </c>
      <c r="L71" s="279">
        <v>450229.68</v>
      </c>
      <c r="M71" s="271">
        <v>22620</v>
      </c>
      <c r="N71" s="271">
        <f>L71*M71</f>
        <v>10184195361.6</v>
      </c>
      <c r="O71" s="271">
        <v>2514600</v>
      </c>
      <c r="P71" s="271">
        <f t="shared" ref="P71" si="37">N71-O71</f>
        <v>10181680761.6</v>
      </c>
      <c r="Q71" s="61" t="s">
        <v>399</v>
      </c>
      <c r="R71" s="248">
        <v>1100000</v>
      </c>
      <c r="S71" s="257">
        <v>2809419000</v>
      </c>
      <c r="T71" s="272"/>
      <c r="U71" s="144" t="s">
        <v>166</v>
      </c>
    </row>
    <row r="72" spans="1:21" s="150" customFormat="1" ht="18" customHeight="1">
      <c r="A72" s="144">
        <v>62</v>
      </c>
      <c r="B72" s="245">
        <v>42727</v>
      </c>
      <c r="C72" s="244" t="s">
        <v>346</v>
      </c>
      <c r="D72" s="244" t="s">
        <v>350</v>
      </c>
      <c r="E72" s="244">
        <v>4839819</v>
      </c>
      <c r="F72" s="248">
        <f t="shared" si="36"/>
        <v>26390</v>
      </c>
      <c r="G72" s="247">
        <v>2.83</v>
      </c>
      <c r="H72" s="247">
        <f t="shared" si="32"/>
        <v>74683.7</v>
      </c>
      <c r="I72" s="280"/>
      <c r="J72" s="277"/>
      <c r="K72" s="280"/>
      <c r="L72" s="280"/>
      <c r="M72" s="272"/>
      <c r="N72" s="272"/>
      <c r="O72" s="272"/>
      <c r="P72" s="272"/>
      <c r="Q72" s="61" t="s">
        <v>398</v>
      </c>
      <c r="R72" s="248">
        <v>550000</v>
      </c>
      <c r="S72" s="257">
        <v>1000000000</v>
      </c>
      <c r="T72" s="272"/>
      <c r="U72" s="144" t="s">
        <v>353</v>
      </c>
    </row>
    <row r="73" spans="1:21" s="150" customFormat="1" ht="18" customHeight="1">
      <c r="A73" s="144">
        <v>63</v>
      </c>
      <c r="B73" s="245">
        <v>42727</v>
      </c>
      <c r="C73" s="244" t="s">
        <v>346</v>
      </c>
      <c r="D73" s="244" t="s">
        <v>351</v>
      </c>
      <c r="E73" s="244">
        <v>4839726</v>
      </c>
      <c r="F73" s="248">
        <f t="shared" si="36"/>
        <v>26390</v>
      </c>
      <c r="G73" s="247">
        <v>2.83</v>
      </c>
      <c r="H73" s="247">
        <f t="shared" si="32"/>
        <v>74683.7</v>
      </c>
      <c r="I73" s="280"/>
      <c r="J73" s="277"/>
      <c r="K73" s="280"/>
      <c r="L73" s="280"/>
      <c r="M73" s="272"/>
      <c r="N73" s="272"/>
      <c r="O73" s="272"/>
      <c r="P73" s="272"/>
      <c r="Q73" s="61" t="s">
        <v>403</v>
      </c>
      <c r="R73" s="248">
        <v>825000</v>
      </c>
      <c r="S73" s="257">
        <v>1500000000</v>
      </c>
      <c r="T73" s="272"/>
      <c r="U73" s="144" t="s">
        <v>111</v>
      </c>
    </row>
    <row r="74" spans="1:21" s="150" customFormat="1" ht="18" customHeight="1">
      <c r="A74" s="144">
        <v>64</v>
      </c>
      <c r="B74" s="245">
        <v>42727</v>
      </c>
      <c r="C74" s="244" t="s">
        <v>346</v>
      </c>
      <c r="D74" s="244" t="s">
        <v>352</v>
      </c>
      <c r="E74" s="244">
        <v>4839755</v>
      </c>
      <c r="F74" s="248">
        <f>1939*14</f>
        <v>27146</v>
      </c>
      <c r="G74" s="247">
        <v>2.83</v>
      </c>
      <c r="H74" s="247">
        <f t="shared" si="32"/>
        <v>76823.180000000008</v>
      </c>
      <c r="I74" s="280"/>
      <c r="J74" s="277"/>
      <c r="K74" s="280"/>
      <c r="L74" s="280"/>
      <c r="M74" s="272"/>
      <c r="N74" s="272"/>
      <c r="O74" s="272"/>
      <c r="P74" s="272"/>
      <c r="Q74" s="220" t="s">
        <v>397</v>
      </c>
      <c r="R74" s="248">
        <v>1100000</v>
      </c>
      <c r="S74" s="257">
        <v>4443756000</v>
      </c>
      <c r="T74" s="272"/>
      <c r="U74" s="144" t="s">
        <v>84</v>
      </c>
    </row>
    <row r="75" spans="1:21" s="150" customFormat="1" ht="18" customHeight="1">
      <c r="A75" s="144">
        <v>65</v>
      </c>
      <c r="B75" s="245">
        <v>42730</v>
      </c>
      <c r="C75" s="244" t="s">
        <v>366</v>
      </c>
      <c r="D75" s="244" t="s">
        <v>354</v>
      </c>
      <c r="E75" s="244" t="s">
        <v>355</v>
      </c>
      <c r="F75" s="248">
        <f t="shared" si="36"/>
        <v>26390</v>
      </c>
      <c r="G75" s="247">
        <v>2.83</v>
      </c>
      <c r="H75" s="247">
        <f t="shared" si="32"/>
        <v>74683.7</v>
      </c>
      <c r="I75" s="280"/>
      <c r="J75" s="277"/>
      <c r="K75" s="280"/>
      <c r="L75" s="280"/>
      <c r="M75" s="272"/>
      <c r="N75" s="272"/>
      <c r="O75" s="272"/>
      <c r="P75" s="272"/>
      <c r="Q75" s="61" t="s">
        <v>59</v>
      </c>
      <c r="R75" s="248">
        <v>324500</v>
      </c>
      <c r="S75" s="257">
        <v>590000000</v>
      </c>
      <c r="T75" s="272"/>
      <c r="U75" s="144" t="s">
        <v>111</v>
      </c>
    </row>
    <row r="76" spans="1:21" s="150" customFormat="1" ht="18" customHeight="1">
      <c r="A76" s="144">
        <v>66</v>
      </c>
      <c r="B76" s="245">
        <v>42730</v>
      </c>
      <c r="C76" s="244" t="s">
        <v>366</v>
      </c>
      <c r="D76" s="244" t="s">
        <v>356</v>
      </c>
      <c r="E76" s="244" t="s">
        <v>357</v>
      </c>
      <c r="F76" s="248">
        <f t="shared" si="36"/>
        <v>26390</v>
      </c>
      <c r="G76" s="247">
        <v>2.83</v>
      </c>
      <c r="H76" s="247">
        <f t="shared" si="32"/>
        <v>74683.7</v>
      </c>
      <c r="I76" s="281"/>
      <c r="J76" s="278"/>
      <c r="K76" s="281"/>
      <c r="L76" s="281"/>
      <c r="M76" s="273"/>
      <c r="N76" s="273"/>
      <c r="O76" s="273"/>
      <c r="P76" s="273"/>
      <c r="Q76" s="248"/>
      <c r="R76" s="248"/>
      <c r="S76" s="248"/>
      <c r="T76" s="272"/>
      <c r="U76" s="144" t="s">
        <v>111</v>
      </c>
    </row>
    <row r="77" spans="1:21" s="150" customFormat="1" ht="18" customHeight="1">
      <c r="A77" s="144">
        <v>67</v>
      </c>
      <c r="B77" s="245">
        <v>42731</v>
      </c>
      <c r="C77" s="244" t="s">
        <v>366</v>
      </c>
      <c r="D77" s="244" t="s">
        <v>358</v>
      </c>
      <c r="E77" s="244" t="s">
        <v>359</v>
      </c>
      <c r="F77" s="248">
        <f t="shared" si="36"/>
        <v>26390</v>
      </c>
      <c r="G77" s="247">
        <v>2.83</v>
      </c>
      <c r="H77" s="247">
        <f t="shared" si="32"/>
        <v>74683.7</v>
      </c>
      <c r="I77" s="279">
        <f>SUM(H77:H82)</f>
        <v>448102.2</v>
      </c>
      <c r="J77" s="276"/>
      <c r="K77" s="279"/>
      <c r="L77" s="279"/>
      <c r="M77" s="271"/>
      <c r="N77" s="271">
        <f>L77*M77</f>
        <v>0</v>
      </c>
      <c r="O77" s="271"/>
      <c r="P77" s="271">
        <f t="shared" ref="P77" si="38">N77-O77</f>
        <v>0</v>
      </c>
      <c r="Q77" s="248"/>
      <c r="R77" s="248"/>
      <c r="S77" s="248"/>
      <c r="T77" s="272"/>
      <c r="U77" s="144" t="s">
        <v>84</v>
      </c>
    </row>
    <row r="78" spans="1:21" s="150" customFormat="1" ht="18" customHeight="1">
      <c r="A78" s="144">
        <v>68</v>
      </c>
      <c r="B78" s="245">
        <v>42730</v>
      </c>
      <c r="C78" s="244" t="s">
        <v>366</v>
      </c>
      <c r="D78" s="244" t="s">
        <v>360</v>
      </c>
      <c r="E78" s="244" t="s">
        <v>361</v>
      </c>
      <c r="F78" s="248">
        <f t="shared" si="36"/>
        <v>26390</v>
      </c>
      <c r="G78" s="247">
        <v>2.83</v>
      </c>
      <c r="H78" s="247">
        <f t="shared" si="32"/>
        <v>74683.7</v>
      </c>
      <c r="I78" s="280"/>
      <c r="J78" s="277"/>
      <c r="K78" s="280"/>
      <c r="L78" s="280"/>
      <c r="M78" s="272"/>
      <c r="N78" s="272"/>
      <c r="O78" s="272"/>
      <c r="P78" s="272"/>
      <c r="Q78" s="248"/>
      <c r="R78" s="248"/>
      <c r="S78" s="248"/>
      <c r="T78" s="272"/>
      <c r="U78" s="144" t="s">
        <v>84</v>
      </c>
    </row>
    <row r="79" spans="1:21" s="150" customFormat="1" ht="18" customHeight="1">
      <c r="A79" s="144">
        <v>69</v>
      </c>
      <c r="B79" s="245">
        <v>42730</v>
      </c>
      <c r="C79" s="244" t="s">
        <v>366</v>
      </c>
      <c r="D79" s="244" t="s">
        <v>362</v>
      </c>
      <c r="E79" s="244" t="s">
        <v>363</v>
      </c>
      <c r="F79" s="248">
        <f t="shared" si="36"/>
        <v>26390</v>
      </c>
      <c r="G79" s="247">
        <v>2.83</v>
      </c>
      <c r="H79" s="247">
        <f t="shared" si="32"/>
        <v>74683.7</v>
      </c>
      <c r="I79" s="280"/>
      <c r="J79" s="277"/>
      <c r="K79" s="280"/>
      <c r="L79" s="280"/>
      <c r="M79" s="272"/>
      <c r="N79" s="272"/>
      <c r="O79" s="272"/>
      <c r="P79" s="272"/>
      <c r="Q79" s="248"/>
      <c r="R79" s="248"/>
      <c r="S79" s="248"/>
      <c r="T79" s="272"/>
      <c r="U79" s="144" t="s">
        <v>84</v>
      </c>
    </row>
    <row r="80" spans="1:21" s="150" customFormat="1" ht="18" customHeight="1">
      <c r="A80" s="144">
        <v>70</v>
      </c>
      <c r="B80" s="245">
        <v>42731</v>
      </c>
      <c r="C80" s="244" t="s">
        <v>366</v>
      </c>
      <c r="D80" s="244" t="s">
        <v>364</v>
      </c>
      <c r="E80" s="244" t="s">
        <v>365</v>
      </c>
      <c r="F80" s="248">
        <f t="shared" si="36"/>
        <v>26390</v>
      </c>
      <c r="G80" s="247">
        <v>2.83</v>
      </c>
      <c r="H80" s="247">
        <f t="shared" si="32"/>
        <v>74683.7</v>
      </c>
      <c r="I80" s="280"/>
      <c r="J80" s="277"/>
      <c r="K80" s="280"/>
      <c r="L80" s="280"/>
      <c r="M80" s="272"/>
      <c r="N80" s="272"/>
      <c r="O80" s="272"/>
      <c r="P80" s="272"/>
      <c r="Q80" s="248"/>
      <c r="R80" s="248"/>
      <c r="S80" s="248"/>
      <c r="T80" s="273"/>
      <c r="U80" s="144" t="s">
        <v>111</v>
      </c>
    </row>
    <row r="81" spans="1:21" s="150" customFormat="1" ht="18" customHeight="1">
      <c r="A81" s="144">
        <v>71</v>
      </c>
      <c r="B81" s="245">
        <v>42733</v>
      </c>
      <c r="C81" s="244" t="s">
        <v>369</v>
      </c>
      <c r="D81" s="244" t="s">
        <v>367</v>
      </c>
      <c r="E81" s="244">
        <v>4854276</v>
      </c>
      <c r="F81" s="248">
        <f t="shared" si="36"/>
        <v>26390</v>
      </c>
      <c r="G81" s="247">
        <v>2.83</v>
      </c>
      <c r="H81" s="247">
        <f t="shared" si="32"/>
        <v>74683.7</v>
      </c>
      <c r="I81" s="280"/>
      <c r="J81" s="277"/>
      <c r="K81" s="280"/>
      <c r="L81" s="280"/>
      <c r="M81" s="272"/>
      <c r="N81" s="272"/>
      <c r="O81" s="272"/>
      <c r="P81" s="272"/>
      <c r="Q81" s="248"/>
      <c r="R81" s="248"/>
      <c r="S81" s="248"/>
      <c r="T81" s="271">
        <v>101101100</v>
      </c>
      <c r="U81" s="144" t="s">
        <v>111</v>
      </c>
    </row>
    <row r="82" spans="1:21" s="150" customFormat="1" ht="18" customHeight="1">
      <c r="A82" s="144">
        <v>72</v>
      </c>
      <c r="B82" s="245">
        <v>42733</v>
      </c>
      <c r="C82" s="244" t="s">
        <v>369</v>
      </c>
      <c r="D82" s="244" t="s">
        <v>368</v>
      </c>
      <c r="E82" s="244">
        <v>3743346</v>
      </c>
      <c r="F82" s="248">
        <f t="shared" si="36"/>
        <v>26390</v>
      </c>
      <c r="G82" s="247">
        <v>2.83</v>
      </c>
      <c r="H82" s="247">
        <f t="shared" si="32"/>
        <v>74683.7</v>
      </c>
      <c r="I82" s="281"/>
      <c r="J82" s="278"/>
      <c r="K82" s="281"/>
      <c r="L82" s="281"/>
      <c r="M82" s="273"/>
      <c r="N82" s="273"/>
      <c r="O82" s="273"/>
      <c r="P82" s="273"/>
      <c r="Q82" s="248"/>
      <c r="R82" s="248"/>
      <c r="S82" s="248"/>
      <c r="T82" s="273"/>
      <c r="U82" s="144" t="s">
        <v>166</v>
      </c>
    </row>
    <row r="83" spans="1:21" s="150" customFormat="1" ht="18" customHeight="1">
      <c r="A83" s="144">
        <v>73</v>
      </c>
      <c r="B83" s="245">
        <v>42741</v>
      </c>
      <c r="C83" s="244" t="s">
        <v>384</v>
      </c>
      <c r="D83" s="244" t="s">
        <v>385</v>
      </c>
      <c r="E83" s="244">
        <v>4863596</v>
      </c>
      <c r="F83" s="248">
        <f t="shared" si="36"/>
        <v>26390</v>
      </c>
      <c r="G83" s="247">
        <v>2.63</v>
      </c>
      <c r="H83" s="247">
        <f t="shared" si="32"/>
        <v>69405.7</v>
      </c>
      <c r="I83" s="279">
        <f>SUM(H83:H86)</f>
        <v>277622.8</v>
      </c>
      <c r="J83" s="276">
        <v>42779</v>
      </c>
      <c r="K83" s="279">
        <f>I83-L83</f>
        <v>12</v>
      </c>
      <c r="L83" s="279">
        <v>277610.8</v>
      </c>
      <c r="M83" s="271">
        <v>22520</v>
      </c>
      <c r="N83" s="271">
        <f>L83*M83</f>
        <v>6251795216</v>
      </c>
      <c r="O83" s="271">
        <v>2899200</v>
      </c>
      <c r="P83" s="271">
        <f t="shared" ref="P83" si="39">N83-O83</f>
        <v>6248896016</v>
      </c>
      <c r="Q83" s="255" t="s">
        <v>397</v>
      </c>
      <c r="R83" s="256">
        <v>1339135</v>
      </c>
      <c r="S83" s="257">
        <v>1487928000</v>
      </c>
      <c r="T83" s="271">
        <v>216247040</v>
      </c>
      <c r="U83" s="144" t="s">
        <v>111</v>
      </c>
    </row>
    <row r="84" spans="1:21" s="150" customFormat="1" ht="18" customHeight="1">
      <c r="A84" s="144">
        <v>74</v>
      </c>
      <c r="B84" s="245">
        <v>42741</v>
      </c>
      <c r="C84" s="244" t="s">
        <v>384</v>
      </c>
      <c r="D84" s="244" t="s">
        <v>386</v>
      </c>
      <c r="E84" s="244">
        <v>4854231</v>
      </c>
      <c r="F84" s="248">
        <f t="shared" si="36"/>
        <v>26390</v>
      </c>
      <c r="G84" s="247">
        <v>2.63</v>
      </c>
      <c r="H84" s="247">
        <f t="shared" si="32"/>
        <v>69405.7</v>
      </c>
      <c r="I84" s="280"/>
      <c r="J84" s="277"/>
      <c r="K84" s="280"/>
      <c r="L84" s="280"/>
      <c r="M84" s="272"/>
      <c r="N84" s="272"/>
      <c r="O84" s="272"/>
      <c r="P84" s="272"/>
      <c r="Q84" s="255" t="s">
        <v>398</v>
      </c>
      <c r="R84" s="256">
        <v>1367145</v>
      </c>
      <c r="S84" s="257">
        <v>1519050000</v>
      </c>
      <c r="T84" s="272"/>
      <c r="U84" s="144" t="s">
        <v>391</v>
      </c>
    </row>
    <row r="85" spans="1:21" s="150" customFormat="1" ht="18.75" customHeight="1">
      <c r="A85" s="144">
        <v>75</v>
      </c>
      <c r="B85" s="245">
        <v>42741</v>
      </c>
      <c r="C85" s="244" t="s">
        <v>384</v>
      </c>
      <c r="D85" s="244" t="s">
        <v>387</v>
      </c>
      <c r="E85" s="244">
        <v>4854203</v>
      </c>
      <c r="F85" s="248">
        <f t="shared" si="36"/>
        <v>26390</v>
      </c>
      <c r="G85" s="247">
        <v>2.63</v>
      </c>
      <c r="H85" s="247">
        <f t="shared" si="32"/>
        <v>69405.7</v>
      </c>
      <c r="I85" s="280"/>
      <c r="J85" s="277"/>
      <c r="K85" s="280"/>
      <c r="L85" s="280"/>
      <c r="M85" s="272"/>
      <c r="N85" s="272"/>
      <c r="O85" s="272"/>
      <c r="P85" s="272"/>
      <c r="Q85" s="255" t="s">
        <v>399</v>
      </c>
      <c r="R85" s="256">
        <v>1360476</v>
      </c>
      <c r="S85" s="257">
        <v>1511640000</v>
      </c>
      <c r="T85" s="272"/>
      <c r="U85" s="144" t="s">
        <v>390</v>
      </c>
    </row>
    <row r="86" spans="1:21" s="150" customFormat="1" ht="18.75" customHeight="1">
      <c r="A86" s="144">
        <v>76</v>
      </c>
      <c r="B86" s="245">
        <v>42741</v>
      </c>
      <c r="C86" s="244" t="s">
        <v>384</v>
      </c>
      <c r="D86" s="244" t="s">
        <v>388</v>
      </c>
      <c r="E86" s="244" t="s">
        <v>389</v>
      </c>
      <c r="F86" s="248">
        <f t="shared" si="36"/>
        <v>26390</v>
      </c>
      <c r="G86" s="247">
        <v>2.63</v>
      </c>
      <c r="H86" s="247">
        <f t="shared" si="32"/>
        <v>69405.7</v>
      </c>
      <c r="I86" s="281"/>
      <c r="J86" s="278"/>
      <c r="K86" s="281"/>
      <c r="L86" s="281"/>
      <c r="M86" s="273"/>
      <c r="N86" s="273"/>
      <c r="O86" s="273"/>
      <c r="P86" s="273"/>
      <c r="Q86" s="255" t="s">
        <v>400</v>
      </c>
      <c r="R86" s="256">
        <v>1348542</v>
      </c>
      <c r="S86" s="257">
        <v>1498380000</v>
      </c>
      <c r="T86" s="273"/>
      <c r="U86" s="144" t="s">
        <v>84</v>
      </c>
    </row>
    <row r="87" spans="1:21" s="150" customFormat="1" ht="18.75" customHeight="1">
      <c r="A87" s="250"/>
      <c r="B87" s="251"/>
      <c r="C87" s="148"/>
      <c r="D87" s="148"/>
      <c r="E87" s="148"/>
      <c r="F87" s="252"/>
      <c r="G87" s="253"/>
      <c r="H87" s="253"/>
      <c r="I87" s="253"/>
      <c r="J87" s="245"/>
      <c r="K87" s="151"/>
      <c r="L87" s="240"/>
      <c r="M87" s="253"/>
      <c r="N87" s="253"/>
      <c r="O87" s="253"/>
      <c r="P87" s="253"/>
      <c r="Q87" s="253"/>
      <c r="R87" s="253"/>
      <c r="S87" s="253"/>
      <c r="T87" s="253"/>
      <c r="U87" s="250"/>
    </row>
    <row r="88" spans="1:21" s="266" customFormat="1" ht="18.75" customHeight="1">
      <c r="A88" s="284" t="s">
        <v>22</v>
      </c>
      <c r="B88" s="285"/>
      <c r="C88" s="285"/>
      <c r="D88" s="285"/>
      <c r="E88" s="286"/>
      <c r="F88" s="264">
        <f>SUM(F4:F87)</f>
        <v>1987871</v>
      </c>
      <c r="G88" s="265"/>
      <c r="H88" s="265"/>
      <c r="I88" s="265">
        <f>SUM(I4:I87)</f>
        <v>5555679.6799999997</v>
      </c>
      <c r="J88" s="265"/>
      <c r="K88" s="265">
        <f>SUM(K4:K87)</f>
        <v>665.00000000005821</v>
      </c>
      <c r="L88" s="265">
        <f>SUM(L4:L87)</f>
        <v>5106912.4799999995</v>
      </c>
      <c r="M88" s="265"/>
      <c r="N88" s="264">
        <f>SUM(N4:N87)</f>
        <v>115185301364</v>
      </c>
      <c r="O88" s="264">
        <f>SUM(O4:O87)</f>
        <v>40546304</v>
      </c>
      <c r="P88" s="264">
        <f>SUM(P4:P87)</f>
        <v>115144755060</v>
      </c>
      <c r="Q88" s="264"/>
      <c r="R88" s="264">
        <f>SUM(R4:R87)</f>
        <v>57081654.569391854</v>
      </c>
      <c r="S88" s="264">
        <f>SUM(S4:S87)</f>
        <v>110759613572.64801</v>
      </c>
      <c r="T88" s="264">
        <f>SUM(T4:T87)</f>
        <v>3820116635</v>
      </c>
      <c r="U88" s="265"/>
    </row>
    <row r="89" spans="1:21" ht="18.75" customHeight="1">
      <c r="B89" s="162" t="s">
        <v>306</v>
      </c>
    </row>
    <row r="90" spans="1:21" s="238" customFormat="1" ht="18.75" customHeight="1">
      <c r="N90" s="289" t="s">
        <v>428</v>
      </c>
      <c r="O90" s="289"/>
      <c r="P90" s="289"/>
      <c r="Q90" s="262"/>
      <c r="R90" s="262"/>
      <c r="S90" s="262"/>
      <c r="T90" s="290">
        <f>P88-R88-S88-T88-500000000</f>
        <v>7943197.7825927734</v>
      </c>
      <c r="U90" s="290"/>
    </row>
    <row r="91" spans="1:21" ht="18.75" customHeight="1">
      <c r="Q91" s="261"/>
      <c r="R91" s="261"/>
      <c r="S91" s="261"/>
      <c r="T91" s="262"/>
      <c r="U91" s="262"/>
    </row>
    <row r="92" spans="1:21" ht="18" customHeight="1">
      <c r="U92" s="254"/>
    </row>
    <row r="93" spans="1:21" ht="18" customHeight="1">
      <c r="U93" s="254"/>
    </row>
  </sheetData>
  <mergeCells count="191">
    <mergeCell ref="T69:T80"/>
    <mergeCell ref="T81:T82"/>
    <mergeCell ref="T83:T86"/>
    <mergeCell ref="N90:P90"/>
    <mergeCell ref="T18:T23"/>
    <mergeCell ref="T24:T32"/>
    <mergeCell ref="T33:T42"/>
    <mergeCell ref="T43:T56"/>
    <mergeCell ref="T57:T68"/>
    <mergeCell ref="T90:U90"/>
    <mergeCell ref="O28:O32"/>
    <mergeCell ref="P28:P32"/>
    <mergeCell ref="N24:N27"/>
    <mergeCell ref="N28:N32"/>
    <mergeCell ref="A1:U1"/>
    <mergeCell ref="T2:T3"/>
    <mergeCell ref="T4:T8"/>
    <mergeCell ref="T9:T10"/>
    <mergeCell ref="N4:N6"/>
    <mergeCell ref="N7:N8"/>
    <mergeCell ref="N9:N10"/>
    <mergeCell ref="N14:N17"/>
    <mergeCell ref="M14:M17"/>
    <mergeCell ref="O14:O17"/>
    <mergeCell ref="P14:P17"/>
    <mergeCell ref="K4:K6"/>
    <mergeCell ref="K7:K8"/>
    <mergeCell ref="K9:K10"/>
    <mergeCell ref="J2:P2"/>
    <mergeCell ref="M4:M6"/>
    <mergeCell ref="O4:O6"/>
    <mergeCell ref="P4:P6"/>
    <mergeCell ref="U2:U3"/>
    <mergeCell ref="A2:A3"/>
    <mergeCell ref="B2:B3"/>
    <mergeCell ref="C2:E2"/>
    <mergeCell ref="L14:L17"/>
    <mergeCell ref="K14:K17"/>
    <mergeCell ref="M77:M82"/>
    <mergeCell ref="O77:O82"/>
    <mergeCell ref="P77:P82"/>
    <mergeCell ref="M83:M86"/>
    <mergeCell ref="O83:O86"/>
    <mergeCell ref="P83:P86"/>
    <mergeCell ref="N77:N82"/>
    <mergeCell ref="N83:N86"/>
    <mergeCell ref="M65:M70"/>
    <mergeCell ref="O65:O70"/>
    <mergeCell ref="P65:P70"/>
    <mergeCell ref="M71:M76"/>
    <mergeCell ref="O71:O76"/>
    <mergeCell ref="P71:P76"/>
    <mergeCell ref="N65:N70"/>
    <mergeCell ref="N71:N76"/>
    <mergeCell ref="M57:M62"/>
    <mergeCell ref="O57:O62"/>
    <mergeCell ref="P57:P62"/>
    <mergeCell ref="M63:M64"/>
    <mergeCell ref="O63:O64"/>
    <mergeCell ref="P63:P64"/>
    <mergeCell ref="N57:N62"/>
    <mergeCell ref="N63:N64"/>
    <mergeCell ref="M49:M52"/>
    <mergeCell ref="O49:O52"/>
    <mergeCell ref="P49:P52"/>
    <mergeCell ref="M53:M56"/>
    <mergeCell ref="O53:O56"/>
    <mergeCell ref="P53:P56"/>
    <mergeCell ref="N49:N52"/>
    <mergeCell ref="N53:N56"/>
    <mergeCell ref="M18:M21"/>
    <mergeCell ref="N18:N21"/>
    <mergeCell ref="O18:O21"/>
    <mergeCell ref="P18:P21"/>
    <mergeCell ref="M43:M46"/>
    <mergeCell ref="O43:O46"/>
    <mergeCell ref="P43:P46"/>
    <mergeCell ref="M47:M48"/>
    <mergeCell ref="O47:O48"/>
    <mergeCell ref="P47:P48"/>
    <mergeCell ref="N43:N46"/>
    <mergeCell ref="N47:N48"/>
    <mergeCell ref="M33:M38"/>
    <mergeCell ref="O33:O38"/>
    <mergeCell ref="P33:P38"/>
    <mergeCell ref="M39:M42"/>
    <mergeCell ref="O39:O42"/>
    <mergeCell ref="P39:P42"/>
    <mergeCell ref="N33:N38"/>
    <mergeCell ref="N39:N42"/>
    <mergeCell ref="M24:M27"/>
    <mergeCell ref="O24:O27"/>
    <mergeCell ref="P24:P27"/>
    <mergeCell ref="M28:M32"/>
    <mergeCell ref="M22:M23"/>
    <mergeCell ref="O22:O23"/>
    <mergeCell ref="P22:P23"/>
    <mergeCell ref="N22:N23"/>
    <mergeCell ref="K83:K86"/>
    <mergeCell ref="I77:I82"/>
    <mergeCell ref="J77:J82"/>
    <mergeCell ref="K77:K82"/>
    <mergeCell ref="L77:L82"/>
    <mergeCell ref="K53:K56"/>
    <mergeCell ref="K57:K62"/>
    <mergeCell ref="K63:K64"/>
    <mergeCell ref="K65:K70"/>
    <mergeCell ref="K71:K76"/>
    <mergeCell ref="I65:I70"/>
    <mergeCell ref="I71:I76"/>
    <mergeCell ref="I83:I86"/>
    <mergeCell ref="J71:J76"/>
    <mergeCell ref="L71:L76"/>
    <mergeCell ref="J65:J70"/>
    <mergeCell ref="L65:L70"/>
    <mergeCell ref="I57:I62"/>
    <mergeCell ref="I63:I64"/>
    <mergeCell ref="L57:L62"/>
    <mergeCell ref="I53:I56"/>
    <mergeCell ref="J49:J52"/>
    <mergeCell ref="L33:L38"/>
    <mergeCell ref="J63:J64"/>
    <mergeCell ref="L63:L64"/>
    <mergeCell ref="J43:J46"/>
    <mergeCell ref="L43:L46"/>
    <mergeCell ref="L53:L56"/>
    <mergeCell ref="J53:J56"/>
    <mergeCell ref="K33:K38"/>
    <mergeCell ref="K39:K42"/>
    <mergeCell ref="K43:K46"/>
    <mergeCell ref="K47:K48"/>
    <mergeCell ref="K49:K52"/>
    <mergeCell ref="A88:E88"/>
    <mergeCell ref="J4:J6"/>
    <mergeCell ref="J7:J8"/>
    <mergeCell ref="J9:J10"/>
    <mergeCell ref="L4:L6"/>
    <mergeCell ref="L7:L8"/>
    <mergeCell ref="L9:L10"/>
    <mergeCell ref="J22:J23"/>
    <mergeCell ref="L22:L23"/>
    <mergeCell ref="J24:J27"/>
    <mergeCell ref="L47:L48"/>
    <mergeCell ref="J83:J86"/>
    <mergeCell ref="L83:L86"/>
    <mergeCell ref="J28:J32"/>
    <mergeCell ref="L28:L32"/>
    <mergeCell ref="J39:J42"/>
    <mergeCell ref="L39:L42"/>
    <mergeCell ref="J33:J38"/>
    <mergeCell ref="J57:J62"/>
    <mergeCell ref="I4:I6"/>
    <mergeCell ref="I7:I8"/>
    <mergeCell ref="I9:I10"/>
    <mergeCell ref="I14:I17"/>
    <mergeCell ref="J14:J17"/>
    <mergeCell ref="L24:L27"/>
    <mergeCell ref="L49:L52"/>
    <mergeCell ref="J47:J48"/>
    <mergeCell ref="I18:I21"/>
    <mergeCell ref="J18:J21"/>
    <mergeCell ref="K18:K21"/>
    <mergeCell ref="L18:L21"/>
    <mergeCell ref="I22:I23"/>
    <mergeCell ref="I24:I27"/>
    <mergeCell ref="I28:I32"/>
    <mergeCell ref="K22:K23"/>
    <mergeCell ref="K24:K27"/>
    <mergeCell ref="K28:K32"/>
    <mergeCell ref="I33:I38"/>
    <mergeCell ref="I39:I42"/>
    <mergeCell ref="I43:I46"/>
    <mergeCell ref="I47:I48"/>
    <mergeCell ref="I49:I52"/>
    <mergeCell ref="T12:T17"/>
    <mergeCell ref="F2:I2"/>
    <mergeCell ref="Q2:S2"/>
    <mergeCell ref="J11:J13"/>
    <mergeCell ref="I11:I13"/>
    <mergeCell ref="K11:K13"/>
    <mergeCell ref="L11:L13"/>
    <mergeCell ref="M11:M13"/>
    <mergeCell ref="N11:N13"/>
    <mergeCell ref="O11:O13"/>
    <mergeCell ref="P11:P13"/>
    <mergeCell ref="M7:M8"/>
    <mergeCell ref="O7:O8"/>
    <mergeCell ref="P7:P8"/>
    <mergeCell ref="M9:M10"/>
    <mergeCell ref="O9:O10"/>
    <mergeCell ref="P9:P10"/>
  </mergeCells>
  <pageMargins left="0.16" right="0.16" top="0.11" bottom="0.16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500"/>
  <sheetViews>
    <sheetView topLeftCell="A475" workbookViewId="0">
      <selection activeCell="F486" sqref="F486:H490"/>
    </sheetView>
  </sheetViews>
  <sheetFormatPr defaultRowHeight="16.5"/>
  <cols>
    <col min="1" max="1" width="5.5703125" style="5" customWidth="1"/>
    <col min="2" max="2" width="36.7109375" style="5" customWidth="1"/>
    <col min="3" max="3" width="12.5703125" style="99" customWidth="1"/>
    <col min="4" max="4" width="12.42578125" style="7" customWidth="1"/>
    <col min="5" max="5" width="17.5703125" style="103" customWidth="1"/>
    <col min="6" max="6" width="2" style="5" customWidth="1"/>
    <col min="7" max="8" width="9.7109375" style="3" customWidth="1"/>
    <col min="9" max="9" width="22.14062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300" t="s">
        <v>80</v>
      </c>
      <c r="B1" s="300"/>
      <c r="C1" s="300"/>
      <c r="D1" s="300"/>
      <c r="E1" s="300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32</v>
      </c>
      <c r="I2" s="91"/>
    </row>
    <row r="3" spans="1:15" s="90" customFormat="1" ht="36.75" customHeight="1">
      <c r="A3" s="47" t="s">
        <v>1</v>
      </c>
      <c r="B3" s="47" t="s">
        <v>24</v>
      </c>
      <c r="C3" s="95" t="s">
        <v>9</v>
      </c>
      <c r="D3" s="49" t="s">
        <v>10</v>
      </c>
      <c r="E3" s="49" t="s">
        <v>11</v>
      </c>
      <c r="G3" s="47" t="s">
        <v>33</v>
      </c>
      <c r="H3" s="47" t="s">
        <v>34</v>
      </c>
      <c r="I3" s="47" t="s">
        <v>106</v>
      </c>
      <c r="J3" s="47" t="s">
        <v>35</v>
      </c>
      <c r="K3" s="47" t="s">
        <v>86</v>
      </c>
      <c r="L3" s="46" t="s">
        <v>36</v>
      </c>
      <c r="M3" s="49" t="s">
        <v>109</v>
      </c>
      <c r="N3" s="49" t="s">
        <v>11</v>
      </c>
    </row>
    <row r="4" spans="1:15" ht="20.25" customHeight="1">
      <c r="A4" s="50">
        <f>ROW()-3</f>
        <v>1</v>
      </c>
      <c r="B4" s="51" t="s">
        <v>38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107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40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108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41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114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42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204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78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378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44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79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110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46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47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82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48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51</v>
      </c>
      <c r="C17" s="98"/>
      <c r="D17" s="72"/>
      <c r="E17" s="74">
        <f>SUM(E4:E16)</f>
        <v>106334296</v>
      </c>
      <c r="F17" s="4"/>
      <c r="G17" s="73"/>
      <c r="H17" s="73"/>
      <c r="I17" s="73" t="s">
        <v>51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52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300" t="s">
        <v>100</v>
      </c>
      <c r="B21" s="300"/>
      <c r="C21" s="300"/>
      <c r="D21" s="300"/>
      <c r="E21" s="300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32</v>
      </c>
      <c r="I22" s="91"/>
    </row>
    <row r="23" spans="1:15" s="85" customFormat="1" ht="36.75" customHeight="1">
      <c r="A23" s="83" t="s">
        <v>1</v>
      </c>
      <c r="B23" s="83" t="s">
        <v>24</v>
      </c>
      <c r="C23" s="95" t="s">
        <v>9</v>
      </c>
      <c r="D23" s="84" t="s">
        <v>10</v>
      </c>
      <c r="E23" s="49" t="s">
        <v>11</v>
      </c>
      <c r="G23" s="47" t="s">
        <v>33</v>
      </c>
      <c r="H23" s="47" t="s">
        <v>34</v>
      </c>
      <c r="I23" s="47" t="s">
        <v>106</v>
      </c>
      <c r="J23" s="47" t="s">
        <v>35</v>
      </c>
      <c r="K23" s="47" t="s">
        <v>86</v>
      </c>
      <c r="L23" s="46" t="s">
        <v>36</v>
      </c>
      <c r="M23" s="49" t="s">
        <v>109</v>
      </c>
      <c r="N23" s="49" t="s">
        <v>11</v>
      </c>
    </row>
    <row r="24" spans="1:15" ht="19.5" customHeight="1">
      <c r="A24" s="60">
        <f>ROW()-23</f>
        <v>1</v>
      </c>
      <c r="B24" s="61" t="s">
        <v>48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90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125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91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49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92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51</v>
      </c>
      <c r="C28" s="98"/>
      <c r="D28" s="72"/>
      <c r="E28" s="74">
        <f>SUM(E24:E27)</f>
        <v>5087260</v>
      </c>
      <c r="F28" s="4"/>
      <c r="G28" s="73"/>
      <c r="H28" s="73"/>
      <c r="I28" s="73" t="s">
        <v>51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52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300" t="s">
        <v>81</v>
      </c>
      <c r="B32" s="300"/>
      <c r="C32" s="300"/>
      <c r="D32" s="300"/>
      <c r="E32" s="300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32</v>
      </c>
      <c r="I33" s="91"/>
    </row>
    <row r="34" spans="1:15" s="85" customFormat="1" ht="36.75" customHeight="1">
      <c r="A34" s="83" t="s">
        <v>1</v>
      </c>
      <c r="B34" s="83" t="s">
        <v>24</v>
      </c>
      <c r="C34" s="95" t="s">
        <v>9</v>
      </c>
      <c r="D34" s="84" t="s">
        <v>10</v>
      </c>
      <c r="E34" s="49" t="s">
        <v>11</v>
      </c>
      <c r="G34" s="47" t="s">
        <v>33</v>
      </c>
      <c r="H34" s="47" t="s">
        <v>34</v>
      </c>
      <c r="I34" s="47" t="s">
        <v>106</v>
      </c>
      <c r="J34" s="47" t="s">
        <v>35</v>
      </c>
      <c r="K34" s="47" t="s">
        <v>86</v>
      </c>
      <c r="L34" s="46" t="s">
        <v>36</v>
      </c>
      <c r="M34" s="49" t="s">
        <v>109</v>
      </c>
      <c r="N34" s="49" t="s">
        <v>11</v>
      </c>
    </row>
    <row r="35" spans="1:15" ht="18.75" customHeight="1">
      <c r="A35" s="60">
        <f>ROW()-34</f>
        <v>1</v>
      </c>
      <c r="B35" s="51" t="s">
        <v>38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87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40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87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41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88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42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89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78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87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44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90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45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92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46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91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47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104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82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105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48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93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49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94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95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96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92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51</v>
      </c>
      <c r="C51" s="98"/>
      <c r="D51" s="72"/>
      <c r="E51" s="74">
        <f>SUM(E35:E50)</f>
        <v>300173928</v>
      </c>
      <c r="F51" s="4"/>
      <c r="G51" s="73"/>
      <c r="H51" s="73"/>
      <c r="I51" s="73" t="s">
        <v>51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52</v>
      </c>
      <c r="E53" s="103">
        <f>E51/C35</f>
        <v>1924.1918461538462</v>
      </c>
      <c r="F53" s="5"/>
    </row>
    <row r="55" spans="1:15" ht="43.5" customHeight="1">
      <c r="A55" s="300" t="s">
        <v>112</v>
      </c>
      <c r="B55" s="300"/>
      <c r="C55" s="300"/>
      <c r="D55" s="300"/>
      <c r="E55" s="300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32</v>
      </c>
      <c r="I56" s="91"/>
    </row>
    <row r="57" spans="1:15" s="85" customFormat="1" ht="36.75" customHeight="1">
      <c r="A57" s="83" t="s">
        <v>1</v>
      </c>
      <c r="B57" s="83" t="s">
        <v>24</v>
      </c>
      <c r="C57" s="95" t="s">
        <v>9</v>
      </c>
      <c r="D57" s="84" t="s">
        <v>10</v>
      </c>
      <c r="E57" s="49" t="s">
        <v>11</v>
      </c>
      <c r="G57" s="47" t="s">
        <v>33</v>
      </c>
      <c r="H57" s="47" t="s">
        <v>34</v>
      </c>
      <c r="I57" s="47" t="s">
        <v>106</v>
      </c>
      <c r="J57" s="47" t="s">
        <v>35</v>
      </c>
      <c r="K57" s="47" t="s">
        <v>86</v>
      </c>
      <c r="L57" s="46" t="s">
        <v>36</v>
      </c>
      <c r="M57" s="49" t="s">
        <v>109</v>
      </c>
      <c r="N57" s="49" t="s">
        <v>11</v>
      </c>
    </row>
    <row r="58" spans="1:15" ht="18.75" customHeight="1">
      <c r="A58" s="60">
        <f>ROW()-57</f>
        <v>1</v>
      </c>
      <c r="B58" s="51" t="s">
        <v>38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92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40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91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41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94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42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97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78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98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44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89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45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99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46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89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47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93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82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101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48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87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49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113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126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102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51</v>
      </c>
      <c r="C73" s="98"/>
      <c r="D73" s="72"/>
      <c r="E73" s="74">
        <f>SUM(E58:E72)</f>
        <v>210184716</v>
      </c>
      <c r="F73" s="4"/>
      <c r="G73" s="73"/>
      <c r="H73" s="73"/>
      <c r="I73" s="73" t="s">
        <v>51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52</v>
      </c>
      <c r="E75" s="103">
        <f>E73/C58</f>
        <v>2021.0068846153847</v>
      </c>
      <c r="F75" s="5"/>
    </row>
    <row r="77" spans="1:15" s="107" customFormat="1" ht="25.5" customHeight="1">
      <c r="A77" s="73" t="s">
        <v>1</v>
      </c>
      <c r="B77" s="304" t="s">
        <v>24</v>
      </c>
      <c r="C77" s="304"/>
      <c r="D77" s="304"/>
      <c r="E77" s="106" t="s">
        <v>11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305" t="s">
        <v>116</v>
      </c>
      <c r="C78" s="305"/>
      <c r="D78" s="305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306" t="s">
        <v>117</v>
      </c>
      <c r="C79" s="306"/>
      <c r="D79" s="306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306" t="s">
        <v>118</v>
      </c>
      <c r="C80" s="306"/>
      <c r="D80" s="306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306" t="s">
        <v>119</v>
      </c>
      <c r="C81" s="306"/>
      <c r="D81" s="306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307"/>
      <c r="C82" s="307"/>
      <c r="D82" s="307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308" t="s">
        <v>60</v>
      </c>
      <c r="C83" s="308"/>
      <c r="D83" s="308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1</v>
      </c>
      <c r="B85" s="104" t="s">
        <v>24</v>
      </c>
      <c r="C85" s="105" t="s">
        <v>53</v>
      </c>
      <c r="D85" s="106" t="s">
        <v>54</v>
      </c>
      <c r="E85" s="106" t="s">
        <v>11</v>
      </c>
      <c r="F85" s="297" t="s">
        <v>120</v>
      </c>
      <c r="G85" s="298"/>
      <c r="H85" s="299"/>
      <c r="I85" s="106" t="s">
        <v>55</v>
      </c>
    </row>
    <row r="86" spans="1:14">
      <c r="A86" s="60">
        <v>1</v>
      </c>
      <c r="B86" s="61" t="s">
        <v>115</v>
      </c>
      <c r="C86" s="63">
        <v>145588</v>
      </c>
      <c r="D86" s="63">
        <v>22285</v>
      </c>
      <c r="E86" s="63">
        <f>C86*D86</f>
        <v>3244428580</v>
      </c>
      <c r="F86" s="294"/>
      <c r="G86" s="295"/>
      <c r="H86" s="296"/>
      <c r="I86" s="63"/>
    </row>
    <row r="87" spans="1:14">
      <c r="A87" s="60">
        <v>2</v>
      </c>
      <c r="B87" s="61" t="s">
        <v>58</v>
      </c>
      <c r="C87" s="62"/>
      <c r="D87" s="63"/>
      <c r="E87" s="63">
        <f t="shared" ref="E87" si="28">C87*D87</f>
        <v>0</v>
      </c>
      <c r="F87" s="294">
        <f>I87*0.033%</f>
        <v>688392.54</v>
      </c>
      <c r="G87" s="295"/>
      <c r="H87" s="296"/>
      <c r="I87" s="63">
        <v>2086038000</v>
      </c>
    </row>
    <row r="88" spans="1:14">
      <c r="A88" s="60">
        <v>3</v>
      </c>
      <c r="B88" s="61" t="s">
        <v>59</v>
      </c>
      <c r="C88" s="62"/>
      <c r="D88" s="63"/>
      <c r="E88" s="63">
        <f>C88*D88</f>
        <v>0</v>
      </c>
      <c r="F88" s="294">
        <f>I84*0.033%</f>
        <v>176854.25586180002</v>
      </c>
      <c r="G88" s="295"/>
      <c r="H88" s="296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301"/>
      <c r="G89" s="302"/>
      <c r="H89" s="303"/>
      <c r="I89" s="113"/>
    </row>
    <row r="90" spans="1:14">
      <c r="A90" s="70"/>
      <c r="B90" s="70" t="s">
        <v>60</v>
      </c>
      <c r="C90" s="71"/>
      <c r="D90" s="72"/>
      <c r="E90" s="72">
        <f>SUM(E86:E89)</f>
        <v>3244428580</v>
      </c>
      <c r="F90" s="291">
        <f>SUM(F86:H89)</f>
        <v>865246.79586180008</v>
      </c>
      <c r="G90" s="292"/>
      <c r="H90" s="293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1</v>
      </c>
      <c r="B92" s="118" t="s">
        <v>24</v>
      </c>
      <c r="C92" s="105" t="s">
        <v>53</v>
      </c>
      <c r="D92" s="106" t="s">
        <v>54</v>
      </c>
      <c r="E92" s="106" t="s">
        <v>11</v>
      </c>
      <c r="F92" s="297" t="s">
        <v>120</v>
      </c>
      <c r="G92" s="298"/>
      <c r="H92" s="299"/>
      <c r="I92" s="106" t="s">
        <v>55</v>
      </c>
    </row>
    <row r="93" spans="1:14">
      <c r="A93" s="60">
        <v>1</v>
      </c>
      <c r="B93" s="61" t="s">
        <v>132</v>
      </c>
      <c r="C93" s="63">
        <v>145588</v>
      </c>
      <c r="D93" s="63">
        <v>22290</v>
      </c>
      <c r="E93" s="63">
        <f>C93*D93</f>
        <v>3245156520</v>
      </c>
      <c r="F93" s="309"/>
      <c r="G93" s="310"/>
      <c r="H93" s="311"/>
      <c r="I93" s="63"/>
    </row>
    <row r="94" spans="1:14">
      <c r="A94" s="60">
        <v>2</v>
      </c>
      <c r="B94" s="61" t="s">
        <v>126</v>
      </c>
      <c r="C94" s="63"/>
      <c r="D94" s="63"/>
      <c r="E94" s="63"/>
      <c r="F94" s="294">
        <v>1791144</v>
      </c>
      <c r="G94" s="295"/>
      <c r="H94" s="296"/>
      <c r="I94" s="63"/>
    </row>
    <row r="95" spans="1:14">
      <c r="A95" s="60">
        <v>3</v>
      </c>
      <c r="B95" s="61" t="s">
        <v>133</v>
      </c>
      <c r="C95" s="63"/>
      <c r="D95" s="63"/>
      <c r="E95" s="63">
        <f t="shared" ref="E95" si="29">C95*D95</f>
        <v>0</v>
      </c>
      <c r="F95" s="294"/>
      <c r="G95" s="295"/>
      <c r="H95" s="296"/>
      <c r="I95" s="63"/>
    </row>
    <row r="96" spans="1:14">
      <c r="A96" s="60">
        <v>4</v>
      </c>
      <c r="B96" s="61" t="s">
        <v>58</v>
      </c>
      <c r="C96" s="62"/>
      <c r="D96" s="63"/>
      <c r="E96" s="63">
        <f t="shared" ref="E96:E97" si="30">C96*D96</f>
        <v>0</v>
      </c>
      <c r="F96" s="294">
        <v>357930</v>
      </c>
      <c r="G96" s="295"/>
      <c r="H96" s="296"/>
      <c r="I96" s="63">
        <v>1084637000</v>
      </c>
    </row>
    <row r="97" spans="1:15">
      <c r="A97" s="60">
        <v>5</v>
      </c>
      <c r="B97" s="61" t="s">
        <v>134</v>
      </c>
      <c r="C97" s="62"/>
      <c r="D97" s="63"/>
      <c r="E97" s="63">
        <f t="shared" si="30"/>
        <v>0</v>
      </c>
      <c r="F97" s="294">
        <v>480480</v>
      </c>
      <c r="G97" s="295"/>
      <c r="H97" s="296"/>
      <c r="I97" s="63">
        <v>1456000000</v>
      </c>
    </row>
    <row r="98" spans="1:15">
      <c r="A98" s="60">
        <v>6</v>
      </c>
      <c r="B98" s="61" t="s">
        <v>59</v>
      </c>
      <c r="C98" s="62"/>
      <c r="D98" s="63"/>
      <c r="E98" s="63">
        <f>C98*D98</f>
        <v>0</v>
      </c>
      <c r="F98" s="294">
        <v>231033</v>
      </c>
      <c r="G98" s="295"/>
      <c r="H98" s="296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301"/>
      <c r="G99" s="302"/>
      <c r="H99" s="303"/>
      <c r="I99" s="113"/>
    </row>
    <row r="100" spans="1:15">
      <c r="A100" s="70"/>
      <c r="B100" s="70" t="s">
        <v>60</v>
      </c>
      <c r="C100" s="71"/>
      <c r="D100" s="72"/>
      <c r="E100" s="72">
        <f>SUM(E93:E99)</f>
        <v>3245156520</v>
      </c>
      <c r="F100" s="291">
        <f>SUM(F93:H99)</f>
        <v>2860587</v>
      </c>
      <c r="G100" s="292"/>
      <c r="H100" s="293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300" t="s">
        <v>150</v>
      </c>
      <c r="B105" s="300"/>
      <c r="C105" s="300"/>
      <c r="D105" s="300"/>
      <c r="E105" s="300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32</v>
      </c>
      <c r="I106" s="91"/>
    </row>
    <row r="107" spans="1:15" s="85" customFormat="1" ht="36.75" customHeight="1">
      <c r="A107" s="83" t="s">
        <v>1</v>
      </c>
      <c r="B107" s="83" t="s">
        <v>24</v>
      </c>
      <c r="C107" s="95" t="s">
        <v>9</v>
      </c>
      <c r="D107" s="84" t="s">
        <v>10</v>
      </c>
      <c r="E107" s="49" t="s">
        <v>11</v>
      </c>
      <c r="G107" s="47" t="s">
        <v>33</v>
      </c>
      <c r="H107" s="47" t="s">
        <v>34</v>
      </c>
      <c r="I107" s="47" t="s">
        <v>106</v>
      </c>
      <c r="J107" s="47" t="s">
        <v>35</v>
      </c>
      <c r="K107" s="47" t="s">
        <v>86</v>
      </c>
      <c r="L107" s="46" t="s">
        <v>36</v>
      </c>
      <c r="M107" s="49" t="s">
        <v>109</v>
      </c>
      <c r="N107" s="49" t="s">
        <v>11</v>
      </c>
    </row>
    <row r="108" spans="1:15" ht="18.75" customHeight="1">
      <c r="A108" s="60">
        <f>ROW()-77</f>
        <v>31</v>
      </c>
      <c r="B108" s="51" t="s">
        <v>38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102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40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89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41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103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42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104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78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147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44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148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45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149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46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180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47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181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82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182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48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104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49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87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121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122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123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51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51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52</v>
      </c>
      <c r="E126" s="103">
        <f>E124/C108</f>
        <v>1963.9366538461538</v>
      </c>
      <c r="F126" s="5"/>
    </row>
    <row r="128" spans="1:15" ht="31.5" customHeight="1">
      <c r="A128" s="73" t="s">
        <v>1</v>
      </c>
      <c r="B128" s="120" t="s">
        <v>24</v>
      </c>
      <c r="C128" s="105" t="s">
        <v>53</v>
      </c>
      <c r="D128" s="106" t="s">
        <v>54</v>
      </c>
      <c r="E128" s="106" t="s">
        <v>11</v>
      </c>
      <c r="F128" s="297" t="s">
        <v>120</v>
      </c>
      <c r="G128" s="298"/>
      <c r="H128" s="299"/>
      <c r="I128" s="106" t="s">
        <v>55</v>
      </c>
    </row>
    <row r="129" spans="1:9">
      <c r="A129" s="60">
        <v>1</v>
      </c>
      <c r="B129" s="61" t="s">
        <v>144</v>
      </c>
      <c r="C129" s="97">
        <v>291188</v>
      </c>
      <c r="D129" s="63">
        <v>22480</v>
      </c>
      <c r="E129" s="63">
        <f>C129*D129</f>
        <v>6545906240</v>
      </c>
      <c r="F129" s="294"/>
      <c r="G129" s="295"/>
      <c r="H129" s="296"/>
      <c r="I129" s="63"/>
    </row>
    <row r="130" spans="1:9">
      <c r="A130" s="60">
        <v>2</v>
      </c>
      <c r="B130" s="61" t="s">
        <v>126</v>
      </c>
      <c r="C130" s="97"/>
      <c r="D130" s="63"/>
      <c r="E130" s="63"/>
      <c r="F130" s="294">
        <f>F94*2</f>
        <v>3582288</v>
      </c>
      <c r="G130" s="295"/>
      <c r="H130" s="296"/>
      <c r="I130" s="63"/>
    </row>
    <row r="131" spans="1:9">
      <c r="A131" s="60">
        <v>3</v>
      </c>
      <c r="B131" s="61" t="s">
        <v>146</v>
      </c>
      <c r="C131" s="63"/>
      <c r="D131" s="63"/>
      <c r="E131" s="63"/>
      <c r="F131" s="294">
        <v>-1791144</v>
      </c>
      <c r="G131" s="295"/>
      <c r="H131" s="296"/>
      <c r="I131" s="63"/>
    </row>
    <row r="132" spans="1:9">
      <c r="A132" s="60">
        <v>4</v>
      </c>
      <c r="B132" s="61" t="s">
        <v>145</v>
      </c>
      <c r="C132" s="63"/>
      <c r="D132" s="63"/>
      <c r="E132" s="63">
        <f t="shared" ref="E132:E134" si="43">C132*D132</f>
        <v>0</v>
      </c>
      <c r="F132" s="294">
        <f>ROUND(I132*0.033%,0)</f>
        <v>1450020</v>
      </c>
      <c r="G132" s="295"/>
      <c r="H132" s="296"/>
      <c r="I132" s="63">
        <v>4394000000</v>
      </c>
    </row>
    <row r="133" spans="1:9">
      <c r="A133" s="60">
        <v>5</v>
      </c>
      <c r="B133" s="61" t="s">
        <v>152</v>
      </c>
      <c r="C133" s="62"/>
      <c r="D133" s="63"/>
      <c r="E133" s="63">
        <f t="shared" si="43"/>
        <v>0</v>
      </c>
      <c r="F133" s="294">
        <f>ROUND(I133*0.033%,0)</f>
        <v>133243</v>
      </c>
      <c r="G133" s="295"/>
      <c r="H133" s="296"/>
      <c r="I133" s="63">
        <v>403767000</v>
      </c>
    </row>
    <row r="134" spans="1:9">
      <c r="A134" s="60">
        <v>6</v>
      </c>
      <c r="B134" s="61" t="s">
        <v>153</v>
      </c>
      <c r="C134" s="62"/>
      <c r="D134" s="63"/>
      <c r="E134" s="63">
        <f t="shared" si="43"/>
        <v>0</v>
      </c>
      <c r="F134" s="294">
        <f t="shared" ref="F134" si="44">ROUND(I134*0.033%,0)</f>
        <v>142501</v>
      </c>
      <c r="G134" s="295"/>
      <c r="H134" s="296"/>
      <c r="I134" s="63">
        <v>431821000</v>
      </c>
    </row>
    <row r="135" spans="1:9">
      <c r="A135" s="60">
        <v>7</v>
      </c>
      <c r="B135" s="61" t="s">
        <v>59</v>
      </c>
      <c r="C135" s="62"/>
      <c r="D135" s="63"/>
      <c r="E135" s="63">
        <f>C135*D135</f>
        <v>0</v>
      </c>
      <c r="F135" s="294">
        <v>298421</v>
      </c>
      <c r="G135" s="295"/>
      <c r="H135" s="296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301"/>
      <c r="G136" s="302"/>
      <c r="H136" s="303"/>
      <c r="I136" s="113"/>
    </row>
    <row r="137" spans="1:9">
      <c r="A137" s="70"/>
      <c r="B137" s="70" t="s">
        <v>60</v>
      </c>
      <c r="C137" s="71"/>
      <c r="D137" s="72"/>
      <c r="E137" s="72">
        <f>SUM(E129:E136)</f>
        <v>6545906240</v>
      </c>
      <c r="F137" s="291">
        <f>SUM(F129:H136)</f>
        <v>3815329</v>
      </c>
      <c r="G137" s="292"/>
      <c r="H137" s="293"/>
      <c r="I137" s="72">
        <f>SUM(I129:I136)</f>
        <v>6133596247</v>
      </c>
    </row>
    <row r="139" spans="1:9" ht="31.5" customHeight="1">
      <c r="A139" s="73" t="s">
        <v>1</v>
      </c>
      <c r="B139" s="123" t="s">
        <v>24</v>
      </c>
      <c r="C139" s="105" t="s">
        <v>53</v>
      </c>
      <c r="D139" s="106" t="s">
        <v>54</v>
      </c>
      <c r="E139" s="106" t="s">
        <v>11</v>
      </c>
      <c r="F139" s="297" t="s">
        <v>120</v>
      </c>
      <c r="G139" s="298"/>
      <c r="H139" s="299"/>
      <c r="I139" s="106" t="s">
        <v>55</v>
      </c>
    </row>
    <row r="140" spans="1:9">
      <c r="A140" s="60">
        <v>1</v>
      </c>
      <c r="B140" s="61" t="s">
        <v>154</v>
      </c>
      <c r="C140" s="97">
        <v>145588</v>
      </c>
      <c r="D140" s="63">
        <v>22660</v>
      </c>
      <c r="E140" s="63">
        <f>C140*D140</f>
        <v>3299024080</v>
      </c>
      <c r="F140" s="294"/>
      <c r="G140" s="295"/>
      <c r="H140" s="296"/>
      <c r="I140" s="63"/>
    </row>
    <row r="141" spans="1:9">
      <c r="A141" s="60">
        <v>2</v>
      </c>
      <c r="B141" s="61" t="s">
        <v>126</v>
      </c>
      <c r="C141" s="97"/>
      <c r="D141" s="63"/>
      <c r="E141" s="63"/>
      <c r="F141" s="294">
        <v>1819968</v>
      </c>
      <c r="G141" s="295"/>
      <c r="H141" s="296"/>
      <c r="I141" s="63"/>
    </row>
    <row r="142" spans="1:9">
      <c r="A142" s="60">
        <v>4</v>
      </c>
      <c r="B142" s="124" t="s">
        <v>155</v>
      </c>
      <c r="C142" s="63"/>
      <c r="D142" s="63"/>
      <c r="E142" s="63">
        <f t="shared" ref="E142:E144" si="45">C142*D142</f>
        <v>0</v>
      </c>
      <c r="F142" s="294">
        <f>ROUND(I142*0.033%,0)</f>
        <v>475585</v>
      </c>
      <c r="G142" s="295"/>
      <c r="H142" s="296"/>
      <c r="I142" s="63">
        <v>1441167000</v>
      </c>
    </row>
    <row r="143" spans="1:9">
      <c r="A143" s="60">
        <v>5</v>
      </c>
      <c r="B143" s="124" t="s">
        <v>156</v>
      </c>
      <c r="C143" s="62"/>
      <c r="D143" s="63"/>
      <c r="E143" s="63">
        <f t="shared" si="45"/>
        <v>0</v>
      </c>
      <c r="F143" s="294">
        <f>ROUND(I143*0.033%,0)</f>
        <v>178679</v>
      </c>
      <c r="G143" s="295"/>
      <c r="H143" s="296"/>
      <c r="I143" s="63">
        <v>541450000</v>
      </c>
    </row>
    <row r="144" spans="1:9">
      <c r="A144" s="60">
        <v>6</v>
      </c>
      <c r="B144" s="61" t="s">
        <v>58</v>
      </c>
      <c r="C144" s="62"/>
      <c r="D144" s="63"/>
      <c r="E144" s="63">
        <f t="shared" si="45"/>
        <v>0</v>
      </c>
      <c r="F144" s="294">
        <f t="shared" ref="F144" si="46">ROUND(I144*0.033%,0)</f>
        <v>351889</v>
      </c>
      <c r="G144" s="295"/>
      <c r="H144" s="296"/>
      <c r="I144" s="63">
        <v>1066331000</v>
      </c>
    </row>
    <row r="145" spans="1:15">
      <c r="A145" s="60">
        <v>7</v>
      </c>
      <c r="B145" s="61" t="s">
        <v>59</v>
      </c>
      <c r="C145" s="62"/>
      <c r="D145" s="63"/>
      <c r="E145" s="63">
        <f>C145*D145</f>
        <v>0</v>
      </c>
      <c r="F145" s="294">
        <v>81592</v>
      </c>
      <c r="G145" s="295"/>
      <c r="H145" s="296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301"/>
      <c r="G146" s="302"/>
      <c r="H146" s="303"/>
      <c r="I146" s="113"/>
    </row>
    <row r="147" spans="1:15">
      <c r="A147" s="70"/>
      <c r="B147" s="70" t="s">
        <v>60</v>
      </c>
      <c r="C147" s="71"/>
      <c r="D147" s="72"/>
      <c r="E147" s="72">
        <f>SUM(E140:E146)</f>
        <v>3299024080</v>
      </c>
      <c r="F147" s="291">
        <f>SUM(F140:H146)</f>
        <v>2907713</v>
      </c>
      <c r="G147" s="292"/>
      <c r="H147" s="293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300" t="s">
        <v>193</v>
      </c>
      <c r="B150" s="300"/>
      <c r="C150" s="300"/>
      <c r="D150" s="300"/>
      <c r="E150" s="300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32</v>
      </c>
      <c r="I151" s="91"/>
    </row>
    <row r="152" spans="1:15" s="85" customFormat="1" ht="36.75" customHeight="1">
      <c r="A152" s="83" t="s">
        <v>1</v>
      </c>
      <c r="B152" s="83" t="s">
        <v>24</v>
      </c>
      <c r="C152" s="95" t="s">
        <v>9</v>
      </c>
      <c r="D152" s="84" t="s">
        <v>10</v>
      </c>
      <c r="E152" s="49" t="s">
        <v>11</v>
      </c>
      <c r="G152" s="47" t="s">
        <v>33</v>
      </c>
      <c r="H152" s="47" t="s">
        <v>34</v>
      </c>
      <c r="I152" s="47" t="s">
        <v>106</v>
      </c>
      <c r="J152" s="47" t="s">
        <v>35</v>
      </c>
      <c r="K152" s="47" t="s">
        <v>86</v>
      </c>
      <c r="L152" s="46" t="s">
        <v>36</v>
      </c>
      <c r="M152" s="49" t="s">
        <v>109</v>
      </c>
      <c r="N152" s="49" t="s">
        <v>11</v>
      </c>
    </row>
    <row r="153" spans="1:15" ht="18.75" customHeight="1">
      <c r="A153" s="60">
        <f>ROW()-152</f>
        <v>1</v>
      </c>
      <c r="B153" s="51" t="s">
        <v>38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123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40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124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41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127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42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131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78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90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44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128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45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129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46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130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47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90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82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151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48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94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198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190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199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191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200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192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49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94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87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89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183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184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51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51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52</v>
      </c>
      <c r="E175" s="103">
        <f>E173/C153</f>
        <v>2022.6196346153847</v>
      </c>
      <c r="F175" s="5"/>
    </row>
    <row r="177" spans="1:14" ht="31.5" customHeight="1">
      <c r="A177" s="73" t="s">
        <v>1</v>
      </c>
      <c r="B177" s="125" t="s">
        <v>24</v>
      </c>
      <c r="C177" s="105" t="s">
        <v>53</v>
      </c>
      <c r="D177" s="106" t="s">
        <v>54</v>
      </c>
      <c r="E177" s="106" t="s">
        <v>11</v>
      </c>
      <c r="F177" s="297" t="s">
        <v>120</v>
      </c>
      <c r="G177" s="298"/>
      <c r="H177" s="299"/>
      <c r="I177" s="106" t="s">
        <v>55</v>
      </c>
    </row>
    <row r="178" spans="1:14">
      <c r="A178" s="60">
        <v>1</v>
      </c>
      <c r="B178" s="61" t="s">
        <v>179</v>
      </c>
      <c r="C178" s="97">
        <v>145588</v>
      </c>
      <c r="D178" s="63">
        <v>22620</v>
      </c>
      <c r="E178" s="63">
        <f>C178*D178</f>
        <v>3293200560</v>
      </c>
      <c r="F178" s="294"/>
      <c r="G178" s="295"/>
      <c r="H178" s="296"/>
      <c r="I178" s="63"/>
    </row>
    <row r="179" spans="1:14">
      <c r="A179" s="60">
        <v>2</v>
      </c>
      <c r="B179" s="61" t="s">
        <v>126</v>
      </c>
      <c r="C179" s="97"/>
      <c r="D179" s="63"/>
      <c r="E179" s="63"/>
      <c r="F179" s="294">
        <v>1825573</v>
      </c>
      <c r="G179" s="295"/>
      <c r="H179" s="296"/>
      <c r="I179" s="63"/>
    </row>
    <row r="180" spans="1:14">
      <c r="A180" s="60">
        <v>3</v>
      </c>
      <c r="B180" s="124" t="s">
        <v>155</v>
      </c>
      <c r="C180" s="63"/>
      <c r="D180" s="63"/>
      <c r="E180" s="63">
        <f t="shared" ref="E180:E181" si="59">C180*D180</f>
        <v>0</v>
      </c>
      <c r="F180" s="294">
        <f>ROUND(I180*0.033%,0)</f>
        <v>497640</v>
      </c>
      <c r="G180" s="295"/>
      <c r="H180" s="296"/>
      <c r="I180" s="63">
        <v>1508000000</v>
      </c>
    </row>
    <row r="181" spans="1:14">
      <c r="A181" s="60">
        <v>4</v>
      </c>
      <c r="B181" s="61" t="s">
        <v>145</v>
      </c>
      <c r="C181" s="62"/>
      <c r="D181" s="63"/>
      <c r="E181" s="63">
        <f t="shared" si="59"/>
        <v>0</v>
      </c>
      <c r="F181" s="294">
        <f>ROUND(I181*0.033%,0)</f>
        <v>552453</v>
      </c>
      <c r="G181" s="295"/>
      <c r="H181" s="296"/>
      <c r="I181" s="63">
        <v>1674100000</v>
      </c>
    </row>
    <row r="182" spans="1:14">
      <c r="A182" s="60">
        <v>5</v>
      </c>
      <c r="B182" s="61" t="s">
        <v>59</v>
      </c>
      <c r="C182" s="62"/>
      <c r="D182" s="63"/>
      <c r="E182" s="63">
        <f>C182*D182</f>
        <v>0</v>
      </c>
      <c r="F182" s="294"/>
      <c r="G182" s="295"/>
      <c r="H182" s="296"/>
      <c r="I182" s="63"/>
    </row>
    <row r="183" spans="1:14" ht="6" customHeight="1">
      <c r="A183" s="112"/>
      <c r="B183" s="115"/>
      <c r="C183" s="116"/>
      <c r="D183" s="113"/>
      <c r="E183" s="113"/>
      <c r="F183" s="301"/>
      <c r="G183" s="302"/>
      <c r="H183" s="303"/>
      <c r="I183" s="113"/>
    </row>
    <row r="184" spans="1:14">
      <c r="A184" s="70"/>
      <c r="B184" s="70" t="s">
        <v>60</v>
      </c>
      <c r="C184" s="71"/>
      <c r="D184" s="72"/>
      <c r="E184" s="72">
        <f>SUM(E178:E183)</f>
        <v>3293200560</v>
      </c>
      <c r="F184" s="291">
        <f>SUM(F178:H183)</f>
        <v>2875666</v>
      </c>
      <c r="G184" s="292"/>
      <c r="H184" s="293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188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1</v>
      </c>
      <c r="B188" s="126" t="s">
        <v>24</v>
      </c>
      <c r="C188" s="105" t="s">
        <v>53</v>
      </c>
      <c r="D188" s="106" t="s">
        <v>54</v>
      </c>
      <c r="E188" s="106" t="s">
        <v>11</v>
      </c>
      <c r="F188" s="297" t="s">
        <v>120</v>
      </c>
      <c r="G188" s="298"/>
      <c r="H188" s="299"/>
      <c r="I188" s="106" t="s">
        <v>55</v>
      </c>
    </row>
    <row r="189" spans="1:14">
      <c r="A189" s="60">
        <v>1</v>
      </c>
      <c r="B189" s="61" t="s">
        <v>194</v>
      </c>
      <c r="C189" s="97">
        <v>291188</v>
      </c>
      <c r="D189" s="63">
        <v>22650</v>
      </c>
      <c r="E189" s="63">
        <f>C189*D189</f>
        <v>6595408200</v>
      </c>
      <c r="F189" s="294"/>
      <c r="G189" s="295"/>
      <c r="H189" s="296"/>
      <c r="I189" s="63"/>
    </row>
    <row r="190" spans="1:14">
      <c r="A190" s="60">
        <v>2</v>
      </c>
      <c r="B190" s="61" t="s">
        <v>197</v>
      </c>
      <c r="C190" s="97"/>
      <c r="D190" s="63"/>
      <c r="E190" s="63">
        <f>E184-I184-F184</f>
        <v>108224894</v>
      </c>
      <c r="F190" s="294"/>
      <c r="G190" s="295"/>
      <c r="H190" s="296"/>
      <c r="I190" s="63"/>
    </row>
    <row r="191" spans="1:14">
      <c r="A191" s="60">
        <v>3</v>
      </c>
      <c r="B191" s="61" t="s">
        <v>126</v>
      </c>
      <c r="C191" s="97"/>
      <c r="D191" s="63"/>
      <c r="E191" s="63"/>
      <c r="F191" s="294">
        <f>1825573*2</f>
        <v>3651146</v>
      </c>
      <c r="G191" s="295"/>
      <c r="H191" s="296"/>
      <c r="I191" s="63"/>
    </row>
    <row r="192" spans="1:14">
      <c r="A192" s="60">
        <v>4</v>
      </c>
      <c r="B192" s="61" t="s">
        <v>195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196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145</v>
      </c>
      <c r="C194" s="63"/>
      <c r="D194" s="63"/>
      <c r="E194" s="63">
        <f t="shared" ref="E194:E195" si="60">C194*D194</f>
        <v>0</v>
      </c>
      <c r="F194" s="294">
        <f>ROUND(I194*0.033%,0)</f>
        <v>963198</v>
      </c>
      <c r="G194" s="295"/>
      <c r="H194" s="296"/>
      <c r="I194" s="63">
        <f>2918480500+300000</f>
        <v>2918780500</v>
      </c>
    </row>
    <row r="195" spans="1:15">
      <c r="A195" s="60">
        <v>7</v>
      </c>
      <c r="B195" s="124" t="s">
        <v>155</v>
      </c>
      <c r="C195" s="62"/>
      <c r="D195" s="63"/>
      <c r="E195" s="63">
        <f t="shared" si="60"/>
        <v>0</v>
      </c>
      <c r="F195" s="294">
        <f>ROUND(I195*0.033%,0)</f>
        <v>602224</v>
      </c>
      <c r="G195" s="295"/>
      <c r="H195" s="296"/>
      <c r="I195" s="63">
        <v>1824920500</v>
      </c>
    </row>
    <row r="196" spans="1:15">
      <c r="A196" s="60">
        <v>8</v>
      </c>
      <c r="B196" s="124" t="s">
        <v>156</v>
      </c>
      <c r="C196" s="62"/>
      <c r="D196" s="63"/>
      <c r="E196" s="63"/>
      <c r="F196" s="294">
        <f>ROUND(I196*0.033%,0)</f>
        <v>182381</v>
      </c>
      <c r="G196" s="295"/>
      <c r="H196" s="296"/>
      <c r="I196" s="63">
        <v>552669000</v>
      </c>
    </row>
    <row r="197" spans="1:15">
      <c r="A197" s="60">
        <v>9</v>
      </c>
      <c r="B197" s="61" t="s">
        <v>59</v>
      </c>
      <c r="C197" s="62"/>
      <c r="D197" s="63"/>
      <c r="E197" s="63">
        <f>C197*D197</f>
        <v>0</v>
      </c>
      <c r="F197" s="294">
        <v>224782.55613005161</v>
      </c>
      <c r="G197" s="295"/>
      <c r="H197" s="296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301"/>
      <c r="G198" s="302"/>
      <c r="H198" s="303"/>
      <c r="I198" s="113"/>
    </row>
    <row r="199" spans="1:15">
      <c r="A199" s="70"/>
      <c r="B199" s="70" t="s">
        <v>60</v>
      </c>
      <c r="C199" s="71"/>
      <c r="D199" s="72"/>
      <c r="E199" s="72">
        <f>SUM(E189:E198)</f>
        <v>6703633094</v>
      </c>
      <c r="F199" s="291">
        <f>SUM(F189:H198)</f>
        <v>5623731.5561300516</v>
      </c>
      <c r="G199" s="292"/>
      <c r="H199" s="293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300" t="s">
        <v>201</v>
      </c>
      <c r="B205" s="300"/>
      <c r="C205" s="300"/>
      <c r="D205" s="300"/>
      <c r="E205" s="300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32</v>
      </c>
      <c r="I206" s="91"/>
    </row>
    <row r="207" spans="1:15" s="85" customFormat="1" ht="36.75" customHeight="1">
      <c r="A207" s="83" t="s">
        <v>1</v>
      </c>
      <c r="B207" s="83" t="s">
        <v>24</v>
      </c>
      <c r="C207" s="95" t="s">
        <v>9</v>
      </c>
      <c r="D207" s="84" t="s">
        <v>10</v>
      </c>
      <c r="E207" s="49" t="s">
        <v>11</v>
      </c>
      <c r="G207" s="47" t="s">
        <v>33</v>
      </c>
      <c r="H207" s="47" t="s">
        <v>34</v>
      </c>
      <c r="I207" s="47" t="s">
        <v>106</v>
      </c>
      <c r="J207" s="47" t="s">
        <v>35</v>
      </c>
      <c r="K207" s="47" t="s">
        <v>86</v>
      </c>
      <c r="L207" s="46" t="s">
        <v>36</v>
      </c>
      <c r="M207" s="49" t="s">
        <v>109</v>
      </c>
      <c r="N207" s="49" t="s">
        <v>11</v>
      </c>
    </row>
    <row r="208" spans="1:15" ht="18.75" customHeight="1">
      <c r="A208" s="60">
        <f>ROW()-207</f>
        <v>1</v>
      </c>
      <c r="B208" s="51" t="s">
        <v>38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202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40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203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41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205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42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184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78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103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44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185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45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186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47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187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82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124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48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88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49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189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51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51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52</v>
      </c>
      <c r="E224" s="103">
        <f>E222/C208</f>
        <v>1850.1683914095502</v>
      </c>
      <c r="F224" s="5"/>
    </row>
    <row r="226" spans="1:9" ht="31.5" customHeight="1">
      <c r="A226" s="73" t="s">
        <v>1</v>
      </c>
      <c r="B226" s="136" t="s">
        <v>24</v>
      </c>
      <c r="C226" s="105" t="s">
        <v>53</v>
      </c>
      <c r="D226" s="106" t="s">
        <v>54</v>
      </c>
      <c r="E226" s="106" t="s">
        <v>11</v>
      </c>
      <c r="F226" s="297" t="s">
        <v>120</v>
      </c>
      <c r="G226" s="298"/>
      <c r="H226" s="299"/>
      <c r="I226" s="106" t="s">
        <v>55</v>
      </c>
    </row>
    <row r="227" spans="1:9">
      <c r="A227" s="60">
        <v>1</v>
      </c>
      <c r="B227" s="61" t="s">
        <v>228</v>
      </c>
      <c r="C227" s="97">
        <v>291188</v>
      </c>
      <c r="D227" s="63">
        <v>22620</v>
      </c>
      <c r="E227" s="63">
        <f>C227*D227</f>
        <v>6586672560</v>
      </c>
      <c r="F227" s="294"/>
      <c r="G227" s="295"/>
      <c r="H227" s="296"/>
      <c r="I227" s="63"/>
    </row>
    <row r="228" spans="1:9">
      <c r="A228" s="60">
        <v>2</v>
      </c>
      <c r="B228" s="61" t="s">
        <v>126</v>
      </c>
      <c r="C228" s="97"/>
      <c r="D228" s="63"/>
      <c r="E228" s="63"/>
      <c r="F228" s="294">
        <f>1825573*2</f>
        <v>3651146</v>
      </c>
      <c r="G228" s="295"/>
      <c r="H228" s="296"/>
      <c r="I228" s="63"/>
    </row>
    <row r="229" spans="1:9">
      <c r="A229" s="60">
        <v>3</v>
      </c>
      <c r="B229" s="61" t="s">
        <v>229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145</v>
      </c>
      <c r="C230" s="63"/>
      <c r="D230" s="63"/>
      <c r="E230" s="63">
        <f t="shared" ref="E230:E231" si="69">C230*D230</f>
        <v>0</v>
      </c>
      <c r="F230" s="294">
        <f>ROUND(I230*0.033%,0)</f>
        <v>476190</v>
      </c>
      <c r="G230" s="295"/>
      <c r="H230" s="296"/>
      <c r="I230" s="63">
        <v>1443000000</v>
      </c>
    </row>
    <row r="231" spans="1:9">
      <c r="A231" s="60">
        <v>5</v>
      </c>
      <c r="B231" s="124" t="s">
        <v>155</v>
      </c>
      <c r="C231" s="62"/>
      <c r="D231" s="63"/>
      <c r="E231" s="63">
        <f t="shared" si="69"/>
        <v>0</v>
      </c>
      <c r="F231" s="294">
        <f>ROUND(I231*0.033%,0)</f>
        <v>321557</v>
      </c>
      <c r="G231" s="295"/>
      <c r="H231" s="296"/>
      <c r="I231" s="63">
        <v>974415000</v>
      </c>
    </row>
    <row r="232" spans="1:9">
      <c r="A232" s="60">
        <v>6</v>
      </c>
      <c r="B232" s="124" t="s">
        <v>152</v>
      </c>
      <c r="C232" s="62"/>
      <c r="D232" s="63"/>
      <c r="E232" s="63"/>
      <c r="F232" s="294">
        <f>ROUND(I232*0.033%,0)</f>
        <v>155513</v>
      </c>
      <c r="G232" s="295"/>
      <c r="H232" s="296"/>
      <c r="I232" s="63">
        <v>471250000</v>
      </c>
    </row>
    <row r="233" spans="1:9">
      <c r="A233" s="60">
        <v>6</v>
      </c>
      <c r="B233" s="124" t="s">
        <v>230</v>
      </c>
      <c r="C233" s="62"/>
      <c r="D233" s="63"/>
      <c r="E233" s="63"/>
      <c r="F233" s="294">
        <f>ROUND(I233*0.033%,0)</f>
        <v>97190</v>
      </c>
      <c r="G233" s="295"/>
      <c r="H233" s="296"/>
      <c r="I233" s="63">
        <v>294515000</v>
      </c>
    </row>
    <row r="234" spans="1:9">
      <c r="A234" s="60">
        <v>7</v>
      </c>
      <c r="B234" s="61" t="s">
        <v>59</v>
      </c>
      <c r="C234" s="62"/>
      <c r="D234" s="63"/>
      <c r="E234" s="63">
        <f>C234*D234</f>
        <v>0</v>
      </c>
      <c r="F234" s="294">
        <f>ROUND(I234*0.033%,0)</f>
        <v>897991</v>
      </c>
      <c r="G234" s="295"/>
      <c r="H234" s="296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301"/>
      <c r="G235" s="302"/>
      <c r="H235" s="303"/>
      <c r="I235" s="113"/>
    </row>
    <row r="236" spans="1:9">
      <c r="A236" s="70"/>
      <c r="B236" s="70" t="s">
        <v>60</v>
      </c>
      <c r="C236" s="71"/>
      <c r="D236" s="72"/>
      <c r="E236" s="72">
        <f>SUM(E227:E235)</f>
        <v>6586672560</v>
      </c>
      <c r="F236" s="291">
        <f>SUM(F227:H235)</f>
        <v>5599587</v>
      </c>
      <c r="G236" s="292"/>
      <c r="H236" s="293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300" t="s">
        <v>280</v>
      </c>
      <c r="B240" s="300"/>
      <c r="C240" s="300"/>
      <c r="D240" s="300"/>
      <c r="E240" s="300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32</v>
      </c>
      <c r="I241" s="91"/>
    </row>
    <row r="242" spans="1:15" s="85" customFormat="1" ht="36.75" customHeight="1">
      <c r="A242" s="83" t="s">
        <v>1</v>
      </c>
      <c r="B242" s="83" t="s">
        <v>24</v>
      </c>
      <c r="C242" s="95" t="s">
        <v>9</v>
      </c>
      <c r="D242" s="84" t="s">
        <v>10</v>
      </c>
      <c r="E242" s="49" t="s">
        <v>11</v>
      </c>
      <c r="G242" s="47" t="s">
        <v>33</v>
      </c>
      <c r="H242" s="47" t="s">
        <v>34</v>
      </c>
      <c r="I242" s="47" t="s">
        <v>106</v>
      </c>
      <c r="J242" s="47" t="s">
        <v>35</v>
      </c>
      <c r="K242" s="47" t="s">
        <v>86</v>
      </c>
      <c r="L242" s="46" t="s">
        <v>36</v>
      </c>
      <c r="M242" s="49" t="s">
        <v>109</v>
      </c>
      <c r="N242" s="49" t="s">
        <v>11</v>
      </c>
    </row>
    <row r="243" spans="1:15" ht="18.75" customHeight="1">
      <c r="A243" s="60">
        <f>ROW()-242</f>
        <v>1</v>
      </c>
      <c r="B243" s="51" t="s">
        <v>38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189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40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93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41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129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42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202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78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206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44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284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45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124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47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285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82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122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48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122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49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89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189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286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287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51</v>
      </c>
      <c r="C258" s="98"/>
      <c r="D258" s="72"/>
      <c r="E258" s="74">
        <f>SUM(E243:E257)</f>
        <v>575924500</v>
      </c>
      <c r="G258" s="73"/>
      <c r="H258" s="73"/>
      <c r="I258" s="73" t="s">
        <v>51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52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1</v>
      </c>
      <c r="B262" s="160" t="s">
        <v>24</v>
      </c>
      <c r="C262" s="105" t="s">
        <v>53</v>
      </c>
      <c r="D262" s="106" t="s">
        <v>54</v>
      </c>
      <c r="E262" s="106" t="s">
        <v>11</v>
      </c>
      <c r="F262" s="297" t="s">
        <v>120</v>
      </c>
      <c r="G262" s="298"/>
      <c r="H262" s="299"/>
      <c r="I262" s="106" t="s">
        <v>55</v>
      </c>
    </row>
    <row r="263" spans="1:14">
      <c r="A263" s="60">
        <v>1</v>
      </c>
      <c r="B263" s="61" t="s">
        <v>414</v>
      </c>
      <c r="C263" s="97">
        <v>291083</v>
      </c>
      <c r="D263" s="63">
        <v>22620</v>
      </c>
      <c r="E263" s="63">
        <f>C263*D263</f>
        <v>6584297460</v>
      </c>
      <c r="F263" s="294"/>
      <c r="G263" s="295"/>
      <c r="H263" s="296"/>
      <c r="I263" s="63"/>
    </row>
    <row r="264" spans="1:14">
      <c r="A264" s="60">
        <v>2</v>
      </c>
      <c r="B264" s="61" t="s">
        <v>281</v>
      </c>
      <c r="C264" s="97"/>
      <c r="D264" s="63"/>
      <c r="E264" s="63"/>
      <c r="F264" s="294"/>
      <c r="G264" s="295"/>
      <c r="H264" s="296"/>
      <c r="I264" s="63">
        <f>E258</f>
        <v>575924500</v>
      </c>
    </row>
    <row r="265" spans="1:14">
      <c r="A265" s="60">
        <v>3</v>
      </c>
      <c r="B265" s="61" t="s">
        <v>145</v>
      </c>
      <c r="C265" s="97"/>
      <c r="D265" s="63"/>
      <c r="E265" s="63"/>
      <c r="F265" s="294">
        <f>ROUND(I265*0.055%,0)</f>
        <v>577777</v>
      </c>
      <c r="G265" s="295"/>
      <c r="H265" s="296"/>
      <c r="I265" s="63">
        <v>1050504000</v>
      </c>
    </row>
    <row r="266" spans="1:14">
      <c r="A266" s="60">
        <v>4</v>
      </c>
      <c r="B266" s="124" t="s">
        <v>152</v>
      </c>
      <c r="C266" s="63"/>
      <c r="D266" s="63"/>
      <c r="E266" s="63">
        <f t="shared" ref="E266:E267" si="80">C266*D266</f>
        <v>0</v>
      </c>
      <c r="F266" s="294">
        <f>ROUND(I266*0.033%,0)</f>
        <v>158498</v>
      </c>
      <c r="G266" s="295"/>
      <c r="H266" s="296"/>
      <c r="I266" s="63">
        <v>480298000</v>
      </c>
    </row>
    <row r="267" spans="1:14">
      <c r="A267" s="60">
        <v>5</v>
      </c>
      <c r="B267" s="124" t="s">
        <v>282</v>
      </c>
      <c r="C267" s="62"/>
      <c r="D267" s="63"/>
      <c r="E267" s="63">
        <f t="shared" si="80"/>
        <v>0</v>
      </c>
      <c r="F267" s="294">
        <f>ROUND(I267*0.033%,0)</f>
        <v>221450</v>
      </c>
      <c r="G267" s="295"/>
      <c r="H267" s="296"/>
      <c r="I267" s="63">
        <v>671060000</v>
      </c>
    </row>
    <row r="268" spans="1:14">
      <c r="A268" s="60">
        <v>6</v>
      </c>
      <c r="B268" s="124" t="s">
        <v>58</v>
      </c>
      <c r="C268" s="62"/>
      <c r="D268" s="63"/>
      <c r="E268" s="63"/>
      <c r="F268" s="294">
        <f>ROUND(I268*0.033%,0)</f>
        <v>701499</v>
      </c>
      <c r="G268" s="295"/>
      <c r="H268" s="296"/>
      <c r="I268" s="63">
        <v>2125756000</v>
      </c>
    </row>
    <row r="269" spans="1:14">
      <c r="A269" s="60">
        <v>7</v>
      </c>
      <c r="B269" s="124" t="s">
        <v>283</v>
      </c>
      <c r="C269" s="62"/>
      <c r="D269" s="63"/>
      <c r="E269" s="63"/>
      <c r="F269" s="294">
        <f>ROUND(I269*0.033%,0)</f>
        <v>141021</v>
      </c>
      <c r="G269" s="295"/>
      <c r="H269" s="296"/>
      <c r="I269" s="63">
        <v>427336000</v>
      </c>
    </row>
    <row r="270" spans="1:14">
      <c r="A270" s="60">
        <v>8</v>
      </c>
      <c r="B270" s="61" t="s">
        <v>59</v>
      </c>
      <c r="C270" s="62"/>
      <c r="D270" s="63"/>
      <c r="E270" s="63">
        <f>C270*D270</f>
        <v>0</v>
      </c>
      <c r="F270" s="294">
        <f>ROUND(I270*0.033%,0)</f>
        <v>412914</v>
      </c>
      <c r="G270" s="295"/>
      <c r="H270" s="296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301"/>
      <c r="G271" s="302"/>
      <c r="H271" s="303"/>
      <c r="I271" s="113"/>
    </row>
    <row r="272" spans="1:14">
      <c r="A272" s="70"/>
      <c r="B272" s="70" t="s">
        <v>60</v>
      </c>
      <c r="C272" s="71"/>
      <c r="D272" s="72"/>
      <c r="E272" s="72">
        <f>SUM(E263:E271)</f>
        <v>6584297460</v>
      </c>
      <c r="F272" s="291">
        <f>SUM(F263:H271)</f>
        <v>2213159</v>
      </c>
      <c r="G272" s="292"/>
      <c r="H272" s="293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1</v>
      </c>
      <c r="B274" s="161" t="s">
        <v>24</v>
      </c>
      <c r="C274" s="105" t="s">
        <v>53</v>
      </c>
      <c r="D274" s="106" t="s">
        <v>54</v>
      </c>
      <c r="E274" s="106" t="s">
        <v>11</v>
      </c>
      <c r="F274" s="297" t="s">
        <v>120</v>
      </c>
      <c r="G274" s="298"/>
      <c r="H274" s="299"/>
      <c r="I274" s="106" t="s">
        <v>55</v>
      </c>
    </row>
    <row r="275" spans="1:11">
      <c r="A275" s="60">
        <v>1</v>
      </c>
      <c r="B275" s="61" t="s">
        <v>292</v>
      </c>
      <c r="C275" s="97">
        <v>281723</v>
      </c>
      <c r="D275" s="63">
        <v>22650</v>
      </c>
      <c r="E275" s="63">
        <f>C275*D275</f>
        <v>6381025950</v>
      </c>
      <c r="F275" s="294"/>
      <c r="G275" s="295"/>
      <c r="H275" s="296"/>
      <c r="I275" s="63"/>
    </row>
    <row r="276" spans="1:11">
      <c r="A276" s="60">
        <v>2</v>
      </c>
      <c r="B276" s="61" t="s">
        <v>145</v>
      </c>
      <c r="C276" s="97"/>
      <c r="D276" s="63"/>
      <c r="E276" s="63"/>
      <c r="F276" s="294">
        <f>ROUND(I276*0.055%,0)</f>
        <v>812812</v>
      </c>
      <c r="G276" s="295"/>
      <c r="H276" s="296"/>
      <c r="I276" s="63">
        <v>1477840000</v>
      </c>
    </row>
    <row r="277" spans="1:11">
      <c r="A277" s="60">
        <v>3</v>
      </c>
      <c r="B277" s="124" t="s">
        <v>155</v>
      </c>
      <c r="C277" s="63"/>
      <c r="D277" s="63"/>
      <c r="E277" s="63">
        <f t="shared" ref="E277:E278" si="81">C277*D277</f>
        <v>0</v>
      </c>
      <c r="F277" s="294">
        <f>ROUND(I277*0.055%,0)</f>
        <v>482346</v>
      </c>
      <c r="G277" s="295"/>
      <c r="H277" s="296"/>
      <c r="I277" s="63">
        <v>876993000</v>
      </c>
    </row>
    <row r="278" spans="1:11">
      <c r="A278" s="60">
        <v>4</v>
      </c>
      <c r="B278" s="124" t="s">
        <v>134</v>
      </c>
      <c r="C278" s="62"/>
      <c r="D278" s="63"/>
      <c r="E278" s="63">
        <f t="shared" si="81"/>
        <v>0</v>
      </c>
      <c r="F278" s="294">
        <f>ROUND(I278*0.033%,0)</f>
        <v>984083</v>
      </c>
      <c r="G278" s="295"/>
      <c r="H278" s="296"/>
      <c r="I278" s="63">
        <v>2982070000</v>
      </c>
    </row>
    <row r="279" spans="1:11">
      <c r="A279" s="60">
        <v>5</v>
      </c>
      <c r="B279" s="61" t="s">
        <v>59</v>
      </c>
      <c r="C279" s="62"/>
      <c r="D279" s="63"/>
      <c r="E279" s="63">
        <f>C279*D279</f>
        <v>0</v>
      </c>
      <c r="F279" s="294">
        <f>ROUND(I279*0.033%,0)</f>
        <v>343695</v>
      </c>
      <c r="G279" s="295"/>
      <c r="H279" s="296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301"/>
      <c r="G280" s="302"/>
      <c r="H280" s="303"/>
      <c r="I280" s="113"/>
    </row>
    <row r="281" spans="1:11">
      <c r="A281" s="70"/>
      <c r="B281" s="70" t="s">
        <v>60</v>
      </c>
      <c r="C281" s="71"/>
      <c r="D281" s="72"/>
      <c r="E281" s="72">
        <f>SUM(E275:E280)</f>
        <v>6381025950</v>
      </c>
      <c r="F281" s="291">
        <f>SUM(F275:H280)</f>
        <v>2622936</v>
      </c>
      <c r="G281" s="292"/>
      <c r="H281" s="293"/>
      <c r="I281" s="72">
        <f>SUM(I275:I280)</f>
        <v>6378403000</v>
      </c>
    </row>
    <row r="282" spans="1:11">
      <c r="A282" s="162" t="s">
        <v>306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300" t="s">
        <v>319</v>
      </c>
      <c r="B288" s="300"/>
      <c r="C288" s="300"/>
      <c r="D288" s="300"/>
      <c r="E288" s="300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32</v>
      </c>
      <c r="I289" s="91"/>
    </row>
    <row r="290" spans="1:15" s="85" customFormat="1" ht="36.75" customHeight="1">
      <c r="A290" s="83" t="s">
        <v>1</v>
      </c>
      <c r="B290" s="83" t="s">
        <v>24</v>
      </c>
      <c r="C290" s="95" t="s">
        <v>9</v>
      </c>
      <c r="D290" s="84" t="s">
        <v>10</v>
      </c>
      <c r="E290" s="49" t="s">
        <v>11</v>
      </c>
      <c r="G290" s="47" t="s">
        <v>33</v>
      </c>
      <c r="H290" s="47" t="s">
        <v>34</v>
      </c>
      <c r="I290" s="47" t="s">
        <v>106</v>
      </c>
      <c r="J290" s="47" t="s">
        <v>35</v>
      </c>
      <c r="K290" s="47" t="s">
        <v>86</v>
      </c>
      <c r="L290" s="46" t="s">
        <v>36</v>
      </c>
      <c r="M290" s="49" t="s">
        <v>109</v>
      </c>
      <c r="N290" s="49" t="s">
        <v>11</v>
      </c>
    </row>
    <row r="291" spans="1:15" ht="18.75" customHeight="1">
      <c r="A291" s="60">
        <f>ROW()-290</f>
        <v>1</v>
      </c>
      <c r="B291" s="51" t="s">
        <v>38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321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40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322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41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323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42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286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78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89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44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288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45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289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47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290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82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290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48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291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49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104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101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101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286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91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128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129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129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88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318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98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51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51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1</v>
      </c>
      <c r="B316" s="163" t="s">
        <v>24</v>
      </c>
      <c r="C316" s="105" t="s">
        <v>53</v>
      </c>
      <c r="D316" s="106" t="s">
        <v>54</v>
      </c>
      <c r="E316" s="106" t="s">
        <v>11</v>
      </c>
      <c r="F316" s="297" t="s">
        <v>120</v>
      </c>
      <c r="G316" s="298"/>
      <c r="H316" s="299"/>
      <c r="I316" s="106" t="s">
        <v>55</v>
      </c>
    </row>
    <row r="317" spans="1:15">
      <c r="A317" s="60">
        <v>1</v>
      </c>
      <c r="B317" s="61" t="s">
        <v>326</v>
      </c>
      <c r="C317" s="97">
        <v>282365</v>
      </c>
      <c r="D317" s="63">
        <v>22650</v>
      </c>
      <c r="E317" s="63">
        <f>C317*D317</f>
        <v>6395567250</v>
      </c>
      <c r="F317" s="314"/>
      <c r="G317" s="315"/>
      <c r="H317" s="316"/>
      <c r="I317" s="63"/>
    </row>
    <row r="318" spans="1:15">
      <c r="A318" s="60">
        <v>2</v>
      </c>
      <c r="B318" s="61" t="s">
        <v>327</v>
      </c>
      <c r="C318" s="97"/>
      <c r="D318" s="63"/>
      <c r="E318" s="63"/>
      <c r="F318" s="309"/>
      <c r="G318" s="310"/>
      <c r="H318" s="311"/>
      <c r="I318" s="63">
        <f>E313</f>
        <v>596770925.20700002</v>
      </c>
    </row>
    <row r="319" spans="1:15">
      <c r="A319" s="60">
        <v>3</v>
      </c>
      <c r="B319" s="61" t="s">
        <v>145</v>
      </c>
      <c r="C319" s="97"/>
      <c r="D319" s="63"/>
      <c r="E319" s="63"/>
      <c r="F319" s="294">
        <f>ROUND(I319*0.055%,0)</f>
        <v>120120</v>
      </c>
      <c r="G319" s="295"/>
      <c r="H319" s="296"/>
      <c r="I319" s="63">
        <v>218400000</v>
      </c>
    </row>
    <row r="320" spans="1:15">
      <c r="A320" s="60">
        <v>4</v>
      </c>
      <c r="B320" s="124" t="s">
        <v>328</v>
      </c>
      <c r="C320" s="63"/>
      <c r="D320" s="63"/>
      <c r="E320" s="63">
        <f t="shared" ref="E320:E321" si="95">C320*D320</f>
        <v>0</v>
      </c>
      <c r="F320" s="294">
        <f>ROUND(I320*0.055%,0)</f>
        <v>15246</v>
      </c>
      <c r="G320" s="295"/>
      <c r="H320" s="296"/>
      <c r="I320" s="63">
        <v>27720000</v>
      </c>
    </row>
    <row r="321" spans="1:15">
      <c r="A321" s="60">
        <v>5</v>
      </c>
      <c r="B321" s="124" t="s">
        <v>134</v>
      </c>
      <c r="C321" s="62"/>
      <c r="D321" s="63"/>
      <c r="E321" s="63">
        <f t="shared" si="95"/>
        <v>0</v>
      </c>
      <c r="F321" s="294">
        <f>ROUND(I321*0.055%,0)</f>
        <v>647657</v>
      </c>
      <c r="G321" s="295"/>
      <c r="H321" s="296"/>
      <c r="I321" s="63">
        <v>1177559000</v>
      </c>
    </row>
    <row r="322" spans="1:15">
      <c r="A322" s="60">
        <v>6</v>
      </c>
      <c r="B322" s="61" t="s">
        <v>59</v>
      </c>
      <c r="C322" s="62"/>
      <c r="D322" s="63"/>
      <c r="E322" s="63">
        <f>C322*D322</f>
        <v>0</v>
      </c>
      <c r="F322" s="294">
        <f>ROUND(I322*0.055%,0)</f>
        <v>2403113</v>
      </c>
      <c r="G322" s="295"/>
      <c r="H322" s="296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60</v>
      </c>
      <c r="C324" s="71"/>
      <c r="D324" s="72"/>
      <c r="E324" s="72">
        <f>SUM(E317:E323)</f>
        <v>6395567250</v>
      </c>
      <c r="F324" s="291">
        <f>SUM(F317:H323)</f>
        <v>3186136</v>
      </c>
      <c r="G324" s="292"/>
      <c r="H324" s="293"/>
      <c r="I324" s="72">
        <f>SUM(I317:I323)</f>
        <v>6389746925.2069998</v>
      </c>
    </row>
    <row r="325" spans="1:15">
      <c r="A325" s="162" t="s">
        <v>306</v>
      </c>
    </row>
    <row r="326" spans="1:15">
      <c r="K326" s="122"/>
    </row>
    <row r="327" spans="1:15">
      <c r="H327" s="164"/>
      <c r="I327" s="122"/>
    </row>
    <row r="328" spans="1:15" ht="43.5" customHeight="1">
      <c r="A328" s="300" t="s">
        <v>329</v>
      </c>
      <c r="B328" s="300"/>
      <c r="C328" s="300"/>
      <c r="D328" s="300"/>
      <c r="E328" s="300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32</v>
      </c>
      <c r="I329" s="91"/>
    </row>
    <row r="330" spans="1:15" s="85" customFormat="1" ht="36.75" customHeight="1">
      <c r="A330" s="83" t="s">
        <v>1</v>
      </c>
      <c r="B330" s="83" t="s">
        <v>24</v>
      </c>
      <c r="C330" s="95" t="s">
        <v>9</v>
      </c>
      <c r="D330" s="84" t="s">
        <v>10</v>
      </c>
      <c r="E330" s="49" t="s">
        <v>11</v>
      </c>
      <c r="G330" s="47" t="s">
        <v>33</v>
      </c>
      <c r="H330" s="47" t="s">
        <v>34</v>
      </c>
      <c r="I330" s="47" t="s">
        <v>106</v>
      </c>
      <c r="J330" s="47" t="s">
        <v>35</v>
      </c>
      <c r="K330" s="47" t="s">
        <v>86</v>
      </c>
      <c r="L330" s="46" t="s">
        <v>36</v>
      </c>
      <c r="M330" s="49" t="s">
        <v>109</v>
      </c>
      <c r="N330" s="49" t="s">
        <v>11</v>
      </c>
    </row>
    <row r="331" spans="1:15" ht="18.75" customHeight="1">
      <c r="A331" s="60">
        <f>ROW()-242</f>
        <v>89</v>
      </c>
      <c r="B331" s="51" t="s">
        <v>38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98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40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324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41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94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42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104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78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320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44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45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47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82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48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49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51</v>
      </c>
      <c r="C343" s="98"/>
      <c r="D343" s="72"/>
      <c r="E343" s="74">
        <f>SUM(E331:E342)</f>
        <v>101101100</v>
      </c>
      <c r="G343" s="73"/>
      <c r="H343" s="73"/>
      <c r="I343" s="73" t="s">
        <v>51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1</v>
      </c>
      <c r="B345" s="165" t="s">
        <v>24</v>
      </c>
      <c r="C345" s="105" t="s">
        <v>53</v>
      </c>
      <c r="D345" s="106" t="s">
        <v>54</v>
      </c>
      <c r="E345" s="106" t="s">
        <v>11</v>
      </c>
      <c r="F345" s="297" t="s">
        <v>120</v>
      </c>
      <c r="G345" s="298"/>
      <c r="H345" s="299"/>
      <c r="I345" s="106" t="s">
        <v>55</v>
      </c>
    </row>
    <row r="346" spans="1:15">
      <c r="A346" s="60">
        <v>1</v>
      </c>
      <c r="B346" s="61" t="s">
        <v>415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126</v>
      </c>
      <c r="C347" s="97"/>
      <c r="D347" s="63"/>
      <c r="E347" s="63"/>
      <c r="F347" s="294">
        <f>1825573*2</f>
        <v>3651146</v>
      </c>
      <c r="G347" s="295"/>
      <c r="H347" s="296"/>
      <c r="I347" s="63"/>
    </row>
    <row r="348" spans="1:15">
      <c r="A348" s="60">
        <v>3</v>
      </c>
      <c r="B348" s="61" t="s">
        <v>327</v>
      </c>
      <c r="C348" s="97"/>
      <c r="D348" s="63"/>
      <c r="E348" s="63"/>
      <c r="F348" s="294"/>
      <c r="G348" s="295"/>
      <c r="H348" s="296"/>
      <c r="I348" s="63">
        <f>E343</f>
        <v>101101100</v>
      </c>
    </row>
    <row r="349" spans="1:15">
      <c r="A349" s="60">
        <v>4</v>
      </c>
      <c r="B349" s="61" t="s">
        <v>145</v>
      </c>
      <c r="C349" s="97"/>
      <c r="D349" s="63"/>
      <c r="E349" s="63"/>
      <c r="F349" s="294">
        <f>ROUND(I349*0.055%,0)</f>
        <v>820069</v>
      </c>
      <c r="G349" s="295"/>
      <c r="H349" s="296"/>
      <c r="I349" s="63">
        <v>1491035000</v>
      </c>
    </row>
    <row r="350" spans="1:15">
      <c r="A350" s="60">
        <v>7</v>
      </c>
      <c r="B350" s="61" t="s">
        <v>59</v>
      </c>
      <c r="C350" s="62"/>
      <c r="D350" s="63"/>
      <c r="E350" s="63">
        <f>C350*D350</f>
        <v>0</v>
      </c>
      <c r="F350" s="294">
        <f>ROUND(I350*0.055%,0)</f>
        <v>2786095</v>
      </c>
      <c r="G350" s="295"/>
      <c r="H350" s="296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60</v>
      </c>
      <c r="C352" s="71"/>
      <c r="D352" s="72"/>
      <c r="E352" s="72">
        <f>SUM(E346:E351)</f>
        <v>6666076200</v>
      </c>
      <c r="F352" s="291">
        <f>SUM(F346:H351)</f>
        <v>7257310</v>
      </c>
      <c r="G352" s="292"/>
      <c r="H352" s="293"/>
      <c r="I352" s="72">
        <f>SUM(I346:I351)</f>
        <v>6657764100</v>
      </c>
    </row>
    <row r="353" spans="1:15">
      <c r="A353" s="162" t="s">
        <v>306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312"/>
      <c r="B358" s="312"/>
      <c r="C358" s="312"/>
      <c r="D358" s="312"/>
      <c r="E358" s="312"/>
      <c r="F358" s="87"/>
      <c r="G358" s="313" t="s">
        <v>380</v>
      </c>
      <c r="H358" s="313"/>
      <c r="I358" s="313"/>
      <c r="J358" s="313"/>
      <c r="K358" s="313"/>
      <c r="L358" s="313"/>
      <c r="M358" s="313"/>
      <c r="N358" s="313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32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33</v>
      </c>
      <c r="H360" s="47" t="s">
        <v>34</v>
      </c>
      <c r="I360" s="47" t="s">
        <v>106</v>
      </c>
      <c r="J360" s="47" t="s">
        <v>35</v>
      </c>
      <c r="K360" s="47" t="s">
        <v>86</v>
      </c>
      <c r="L360" s="46" t="s">
        <v>36</v>
      </c>
      <c r="M360" s="49" t="s">
        <v>109</v>
      </c>
      <c r="N360" s="49" t="s">
        <v>11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320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325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371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101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374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101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324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372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373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373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122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122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124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89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375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189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376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377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128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286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286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89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122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372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379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51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379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107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108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204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378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114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383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1</v>
      </c>
      <c r="B400" s="166" t="s">
        <v>24</v>
      </c>
      <c r="C400" s="105" t="s">
        <v>53</v>
      </c>
      <c r="D400" s="106" t="s">
        <v>54</v>
      </c>
      <c r="E400" s="106" t="s">
        <v>11</v>
      </c>
      <c r="F400" s="297" t="s">
        <v>120</v>
      </c>
      <c r="G400" s="298"/>
      <c r="H400" s="299"/>
      <c r="I400" s="106" t="s">
        <v>55</v>
      </c>
    </row>
    <row r="401" spans="1:11">
      <c r="A401" s="60">
        <v>1</v>
      </c>
      <c r="B401" s="61" t="s">
        <v>370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126</v>
      </c>
      <c r="C402" s="97"/>
      <c r="D402" s="63"/>
      <c r="E402" s="63"/>
      <c r="F402" s="294">
        <f>1825573</f>
        <v>1825573</v>
      </c>
      <c r="G402" s="295"/>
      <c r="H402" s="296"/>
      <c r="I402" s="63"/>
    </row>
    <row r="403" spans="1:11">
      <c r="A403" s="60">
        <v>3</v>
      </c>
      <c r="B403" s="61" t="s">
        <v>381</v>
      </c>
      <c r="C403" s="97"/>
      <c r="D403" s="63"/>
      <c r="E403" s="63"/>
      <c r="F403" s="294"/>
      <c r="G403" s="295"/>
      <c r="H403" s="296"/>
      <c r="I403" s="63">
        <f>4*51000000</f>
        <v>204000000</v>
      </c>
    </row>
    <row r="404" spans="1:11">
      <c r="A404" s="60">
        <v>4</v>
      </c>
      <c r="B404" s="61" t="s">
        <v>382</v>
      </c>
      <c r="C404" s="97"/>
      <c r="D404" s="63"/>
      <c r="E404" s="63"/>
      <c r="F404" s="294"/>
      <c r="G404" s="295"/>
      <c r="H404" s="296"/>
      <c r="I404" s="63">
        <f>N387</f>
        <v>12247040</v>
      </c>
    </row>
    <row r="405" spans="1:11">
      <c r="A405" s="60">
        <v>5</v>
      </c>
      <c r="B405" s="61" t="s">
        <v>145</v>
      </c>
      <c r="C405" s="97"/>
      <c r="D405" s="63"/>
      <c r="E405" s="63"/>
      <c r="F405" s="294">
        <f>ROUND(I405*0.09%,0)</f>
        <v>296150</v>
      </c>
      <c r="G405" s="295"/>
      <c r="H405" s="296"/>
      <c r="I405" s="63">
        <v>329056000</v>
      </c>
    </row>
    <row r="406" spans="1:11">
      <c r="A406" s="60">
        <v>6</v>
      </c>
      <c r="B406" s="61" t="s">
        <v>59</v>
      </c>
      <c r="C406" s="62"/>
      <c r="D406" s="63"/>
      <c r="E406" s="63">
        <f>C406*D406</f>
        <v>0</v>
      </c>
      <c r="F406" s="294">
        <f>ROUND(I406*0.09%,0)</f>
        <v>2422361</v>
      </c>
      <c r="G406" s="295"/>
      <c r="H406" s="296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60</v>
      </c>
      <c r="C408" s="71"/>
      <c r="D408" s="72"/>
      <c r="E408" s="72">
        <f>SUM(E401:E407)</f>
        <v>3241361526.3999996</v>
      </c>
      <c r="F408" s="291">
        <f>SUM(F401:H407)</f>
        <v>4544084</v>
      </c>
      <c r="G408" s="292"/>
      <c r="H408" s="293"/>
      <c r="I408" s="72">
        <f>SUM(I401:I407)</f>
        <v>3236815040</v>
      </c>
    </row>
    <row r="409" spans="1:11">
      <c r="A409" s="162" t="s">
        <v>306</v>
      </c>
      <c r="K409" s="122"/>
    </row>
    <row r="410" spans="1:11">
      <c r="I410" s="122"/>
    </row>
    <row r="412" spans="1:11" ht="31.5" customHeight="1">
      <c r="A412" s="73" t="s">
        <v>1</v>
      </c>
      <c r="B412" s="198" t="s">
        <v>24</v>
      </c>
      <c r="C412" s="105" t="s">
        <v>53</v>
      </c>
      <c r="D412" s="106" t="s">
        <v>54</v>
      </c>
      <c r="E412" s="106" t="s">
        <v>11</v>
      </c>
      <c r="F412" s="297" t="s">
        <v>120</v>
      </c>
      <c r="G412" s="298"/>
      <c r="H412" s="299"/>
      <c r="I412" s="106" t="s">
        <v>55</v>
      </c>
    </row>
    <row r="413" spans="1:11">
      <c r="A413" s="60">
        <v>1</v>
      </c>
      <c r="B413" s="61" t="s">
        <v>392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126</v>
      </c>
      <c r="C414" s="97"/>
      <c r="D414" s="63"/>
      <c r="E414" s="63"/>
      <c r="F414" s="294">
        <f>1825573*2</f>
        <v>3651146</v>
      </c>
      <c r="G414" s="295"/>
      <c r="H414" s="296"/>
      <c r="I414" s="63"/>
    </row>
    <row r="415" spans="1:11">
      <c r="A415" s="60">
        <v>4</v>
      </c>
      <c r="B415" s="61" t="s">
        <v>394</v>
      </c>
      <c r="C415" s="97"/>
      <c r="D415" s="63"/>
      <c r="E415" s="63"/>
      <c r="F415" s="294">
        <v>1842100</v>
      </c>
      <c r="G415" s="295"/>
      <c r="H415" s="296"/>
      <c r="I415" s="63"/>
    </row>
    <row r="416" spans="1:11">
      <c r="A416" s="60">
        <v>3</v>
      </c>
      <c r="B416" s="124" t="s">
        <v>58</v>
      </c>
      <c r="C416" s="97"/>
      <c r="D416" s="63"/>
      <c r="E416" s="63"/>
      <c r="F416" s="294">
        <f t="shared" ref="F416:F417" si="122">ROUND(I416*0.09%,0)</f>
        <v>889727</v>
      </c>
      <c r="G416" s="295"/>
      <c r="H416" s="296"/>
      <c r="I416" s="63">
        <v>988585000</v>
      </c>
    </row>
    <row r="417" spans="1:14">
      <c r="A417" s="60">
        <v>4</v>
      </c>
      <c r="B417" s="61" t="s">
        <v>393</v>
      </c>
      <c r="C417" s="97"/>
      <c r="D417" s="63"/>
      <c r="E417" s="63"/>
      <c r="F417" s="294">
        <f t="shared" si="122"/>
        <v>851458</v>
      </c>
      <c r="G417" s="295"/>
      <c r="H417" s="296"/>
      <c r="I417" s="63">
        <v>946064000</v>
      </c>
    </row>
    <row r="418" spans="1:14">
      <c r="A418" s="60">
        <v>5</v>
      </c>
      <c r="B418" s="61" t="s">
        <v>59</v>
      </c>
      <c r="C418" s="62"/>
      <c r="D418" s="63"/>
      <c r="E418" s="63">
        <f>C418*D418</f>
        <v>0</v>
      </c>
      <c r="F418" s="294">
        <f>ROUND(I418*0.09%,0)</f>
        <v>4198989</v>
      </c>
      <c r="G418" s="295"/>
      <c r="H418" s="296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60</v>
      </c>
      <c r="C420" s="71"/>
      <c r="D420" s="72"/>
      <c r="E420" s="72">
        <f>SUM(E413:E419)</f>
        <v>6611629220</v>
      </c>
      <c r="F420" s="291">
        <f>SUM(F413:H419)</f>
        <v>11433420</v>
      </c>
      <c r="G420" s="292"/>
      <c r="H420" s="293"/>
      <c r="I420" s="72">
        <f>SUM(I413:I419)</f>
        <v>6600192000</v>
      </c>
    </row>
    <row r="421" spans="1:14">
      <c r="A421" s="162" t="s">
        <v>306</v>
      </c>
      <c r="K421" s="122"/>
    </row>
    <row r="422" spans="1:14">
      <c r="I422" s="122"/>
    </row>
    <row r="424" spans="1:14" ht="31.5" customHeight="1">
      <c r="A424" s="73" t="s">
        <v>1</v>
      </c>
      <c r="B424" s="205" t="s">
        <v>24</v>
      </c>
      <c r="C424" s="105" t="s">
        <v>53</v>
      </c>
      <c r="D424" s="106" t="s">
        <v>54</v>
      </c>
      <c r="E424" s="106" t="s">
        <v>11</v>
      </c>
      <c r="F424" s="297" t="s">
        <v>120</v>
      </c>
      <c r="G424" s="298"/>
      <c r="H424" s="299"/>
      <c r="I424" s="106" t="s">
        <v>55</v>
      </c>
    </row>
    <row r="425" spans="1:14">
      <c r="A425" s="60">
        <v>1</v>
      </c>
      <c r="B425" s="61" t="s">
        <v>395</v>
      </c>
      <c r="C425" s="173">
        <v>149355.4</v>
      </c>
      <c r="D425" s="63">
        <v>22520</v>
      </c>
      <c r="E425" s="63">
        <f>C425*D425</f>
        <v>3363483608</v>
      </c>
      <c r="F425" s="202"/>
      <c r="G425" s="203"/>
      <c r="H425" s="204"/>
      <c r="I425" s="63"/>
    </row>
    <row r="426" spans="1:14">
      <c r="A426" s="60">
        <v>2</v>
      </c>
      <c r="B426" s="61" t="s">
        <v>126</v>
      </c>
      <c r="C426" s="97"/>
      <c r="D426" s="63"/>
      <c r="E426" s="63"/>
      <c r="F426" s="294">
        <v>1861474</v>
      </c>
      <c r="G426" s="295"/>
      <c r="H426" s="296"/>
      <c r="I426" s="63"/>
    </row>
    <row r="427" spans="1:14">
      <c r="A427" s="60">
        <v>3</v>
      </c>
      <c r="B427" s="61" t="s">
        <v>145</v>
      </c>
      <c r="C427" s="97"/>
      <c r="D427" s="63"/>
      <c r="E427" s="63"/>
      <c r="F427" s="294">
        <f>ROUND(I427*0.07%,0)</f>
        <v>1175650</v>
      </c>
      <c r="G427" s="295"/>
      <c r="H427" s="296"/>
      <c r="I427" s="63">
        <v>1679500000</v>
      </c>
    </row>
    <row r="428" spans="1:14">
      <c r="A428" s="60">
        <v>4</v>
      </c>
      <c r="B428" s="124" t="s">
        <v>155</v>
      </c>
      <c r="C428" s="97"/>
      <c r="D428" s="63"/>
      <c r="E428" s="63"/>
      <c r="F428" s="294">
        <f>ROUND(I428*0.07%,0)</f>
        <v>1175650</v>
      </c>
      <c r="G428" s="295"/>
      <c r="H428" s="296"/>
      <c r="I428" s="63">
        <v>1679500000</v>
      </c>
    </row>
    <row r="429" spans="1:14" ht="6" customHeight="1">
      <c r="A429" s="60"/>
      <c r="B429" s="115"/>
      <c r="C429" s="116"/>
      <c r="D429" s="113"/>
      <c r="E429" s="113"/>
      <c r="F429" s="199"/>
      <c r="G429" s="200"/>
      <c r="H429" s="201"/>
      <c r="I429" s="113"/>
    </row>
    <row r="430" spans="1:14">
      <c r="A430" s="70"/>
      <c r="B430" s="70" t="s">
        <v>60</v>
      </c>
      <c r="C430" s="71"/>
      <c r="D430" s="72"/>
      <c r="E430" s="72">
        <f>SUM(E425:E429)</f>
        <v>3363483608</v>
      </c>
      <c r="F430" s="291">
        <f>SUM(F425:H429)</f>
        <v>4212774</v>
      </c>
      <c r="G430" s="292"/>
      <c r="H430" s="293"/>
      <c r="I430" s="72">
        <f>SUM(I425:I429)</f>
        <v>3359000000</v>
      </c>
    </row>
    <row r="431" spans="1:14">
      <c r="A431" s="162"/>
      <c r="K431" s="122"/>
    </row>
    <row r="432" spans="1:14" s="4" customFormat="1">
      <c r="C432" s="130"/>
      <c r="D432" s="81"/>
      <c r="E432" s="131"/>
      <c r="F432" s="4" t="s">
        <v>401</v>
      </c>
      <c r="G432" s="8"/>
      <c r="H432" s="8"/>
      <c r="I432" s="132">
        <f>E430-F430-I430</f>
        <v>270834</v>
      </c>
      <c r="J432" s="8"/>
      <c r="K432" s="8"/>
      <c r="L432" s="8"/>
      <c r="M432" s="8"/>
      <c r="N432" s="8"/>
    </row>
    <row r="434" spans="1:11" ht="31.5" customHeight="1">
      <c r="A434" s="73" t="s">
        <v>1</v>
      </c>
      <c r="B434" s="212" t="s">
        <v>24</v>
      </c>
      <c r="C434" s="105" t="s">
        <v>53</v>
      </c>
      <c r="D434" s="106" t="s">
        <v>54</v>
      </c>
      <c r="E434" s="106" t="s">
        <v>11</v>
      </c>
      <c r="F434" s="297" t="s">
        <v>120</v>
      </c>
      <c r="G434" s="298"/>
      <c r="H434" s="299"/>
      <c r="I434" s="106" t="s">
        <v>55</v>
      </c>
    </row>
    <row r="435" spans="1:11">
      <c r="A435" s="60">
        <v>1</v>
      </c>
      <c r="B435" s="61" t="s">
        <v>396</v>
      </c>
      <c r="C435" s="173">
        <v>277610.8</v>
      </c>
      <c r="D435" s="63">
        <v>22520</v>
      </c>
      <c r="E435" s="63">
        <f>C435*D435</f>
        <v>6251795216</v>
      </c>
      <c r="F435" s="206"/>
      <c r="G435" s="207"/>
      <c r="H435" s="208"/>
      <c r="I435" s="63"/>
    </row>
    <row r="436" spans="1:11">
      <c r="A436" s="60">
        <v>2</v>
      </c>
      <c r="B436" s="61" t="s">
        <v>126</v>
      </c>
      <c r="C436" s="97"/>
      <c r="D436" s="63"/>
      <c r="E436" s="63"/>
      <c r="F436" s="294">
        <v>2899200</v>
      </c>
      <c r="G436" s="295"/>
      <c r="H436" s="296"/>
      <c r="I436" s="63"/>
    </row>
    <row r="437" spans="1:11">
      <c r="A437" s="60">
        <v>3</v>
      </c>
      <c r="B437" s="61" t="s">
        <v>397</v>
      </c>
      <c r="C437" s="97"/>
      <c r="D437" s="63"/>
      <c r="E437" s="63"/>
      <c r="F437" s="294">
        <f>ROUND(I437*0.09%,0)</f>
        <v>1339135</v>
      </c>
      <c r="G437" s="295"/>
      <c r="H437" s="296"/>
      <c r="I437" s="63">
        <v>1487928000</v>
      </c>
    </row>
    <row r="438" spans="1:11">
      <c r="A438" s="60">
        <v>4</v>
      </c>
      <c r="B438" s="61" t="s">
        <v>398</v>
      </c>
      <c r="C438" s="97"/>
      <c r="D438" s="63"/>
      <c r="E438" s="63"/>
      <c r="F438" s="294">
        <f t="shared" ref="F438:F440" si="123">ROUND(I438*0.09%,0)</f>
        <v>1367145</v>
      </c>
      <c r="G438" s="295"/>
      <c r="H438" s="296"/>
      <c r="I438" s="63">
        <v>1519050000</v>
      </c>
    </row>
    <row r="439" spans="1:11">
      <c r="A439" s="60">
        <v>5</v>
      </c>
      <c r="B439" s="61" t="s">
        <v>399</v>
      </c>
      <c r="C439" s="97"/>
      <c r="D439" s="63"/>
      <c r="E439" s="63"/>
      <c r="F439" s="294">
        <f t="shared" si="123"/>
        <v>1360476</v>
      </c>
      <c r="G439" s="295"/>
      <c r="H439" s="296"/>
      <c r="I439" s="63">
        <v>1511640000</v>
      </c>
    </row>
    <row r="440" spans="1:11">
      <c r="A440" s="60">
        <v>6</v>
      </c>
      <c r="B440" s="61" t="s">
        <v>400</v>
      </c>
      <c r="C440" s="97"/>
      <c r="D440" s="63"/>
      <c r="E440" s="63"/>
      <c r="F440" s="294">
        <f t="shared" si="123"/>
        <v>1348542</v>
      </c>
      <c r="G440" s="295"/>
      <c r="H440" s="296"/>
      <c r="I440" s="63">
        <v>1498380000</v>
      </c>
    </row>
    <row r="441" spans="1:11">
      <c r="A441" s="60">
        <v>7</v>
      </c>
      <c r="B441" s="124"/>
      <c r="C441" s="97"/>
      <c r="D441" s="63"/>
      <c r="E441" s="63"/>
      <c r="F441" s="294">
        <f>ROUND(I441*0.06%,0)</f>
        <v>0</v>
      </c>
      <c r="G441" s="295"/>
      <c r="H441" s="296"/>
      <c r="I441" s="63"/>
    </row>
    <row r="442" spans="1:11" ht="6" customHeight="1">
      <c r="A442" s="60"/>
      <c r="B442" s="115"/>
      <c r="C442" s="116"/>
      <c r="D442" s="113"/>
      <c r="E442" s="113"/>
      <c r="F442" s="209"/>
      <c r="G442" s="210"/>
      <c r="H442" s="211"/>
      <c r="I442" s="113"/>
    </row>
    <row r="443" spans="1:11">
      <c r="A443" s="70"/>
      <c r="B443" s="70" t="s">
        <v>60</v>
      </c>
      <c r="C443" s="71"/>
      <c r="D443" s="72"/>
      <c r="E443" s="72">
        <f>SUM(E435:E442)</f>
        <v>6251795216</v>
      </c>
      <c r="F443" s="291">
        <f>SUM(F435:H442)</f>
        <v>8314498</v>
      </c>
      <c r="G443" s="292"/>
      <c r="H443" s="293"/>
      <c r="I443" s="72">
        <f>SUM(I435:I442)</f>
        <v>6016998000</v>
      </c>
    </row>
    <row r="444" spans="1:11">
      <c r="A444" s="162" t="s">
        <v>306</v>
      </c>
      <c r="K444" s="122"/>
    </row>
    <row r="445" spans="1:11">
      <c r="F445" s="4" t="s">
        <v>401</v>
      </c>
      <c r="I445" s="132">
        <f>E443-F443-I443</f>
        <v>226482718</v>
      </c>
    </row>
    <row r="448" spans="1:11" ht="31.5" customHeight="1">
      <c r="A448" s="73" t="s">
        <v>1</v>
      </c>
      <c r="B448" s="219" t="s">
        <v>24</v>
      </c>
      <c r="C448" s="105" t="s">
        <v>53</v>
      </c>
      <c r="D448" s="106" t="s">
        <v>54</v>
      </c>
      <c r="E448" s="106" t="s">
        <v>11</v>
      </c>
      <c r="F448" s="297" t="s">
        <v>120</v>
      </c>
      <c r="G448" s="298"/>
      <c r="H448" s="299"/>
      <c r="I448" s="106" t="s">
        <v>55</v>
      </c>
    </row>
    <row r="449" spans="1:11">
      <c r="A449" s="60">
        <v>1</v>
      </c>
      <c r="B449" s="61" t="s">
        <v>402</v>
      </c>
      <c r="C449" s="173">
        <v>441468</v>
      </c>
      <c r="D449" s="63">
        <v>22570</v>
      </c>
      <c r="E449" s="63">
        <f>C449*D449</f>
        <v>9963932760</v>
      </c>
      <c r="F449" s="213"/>
      <c r="G449" s="214"/>
      <c r="H449" s="215"/>
      <c r="I449" s="63"/>
    </row>
    <row r="450" spans="1:11">
      <c r="A450" s="60">
        <v>2</v>
      </c>
      <c r="B450" s="61" t="s">
        <v>126</v>
      </c>
      <c r="C450" s="97"/>
      <c r="D450" s="63"/>
      <c r="E450" s="63"/>
      <c r="F450" s="294">
        <v>3250000</v>
      </c>
      <c r="G450" s="295"/>
      <c r="H450" s="296"/>
      <c r="I450" s="63"/>
    </row>
    <row r="451" spans="1:11">
      <c r="A451" s="60">
        <v>3</v>
      </c>
      <c r="B451" s="61" t="s">
        <v>406</v>
      </c>
      <c r="C451" s="97"/>
      <c r="D451" s="63"/>
      <c r="E451" s="63">
        <v>270834</v>
      </c>
      <c r="F451" s="294"/>
      <c r="G451" s="295"/>
      <c r="H451" s="296"/>
      <c r="I451" s="63"/>
    </row>
    <row r="452" spans="1:11">
      <c r="A452" s="60">
        <v>3</v>
      </c>
      <c r="B452" s="61" t="s">
        <v>405</v>
      </c>
      <c r="C452" s="97"/>
      <c r="D452" s="63"/>
      <c r="E452" s="63">
        <v>226482718</v>
      </c>
      <c r="F452" s="294"/>
      <c r="G452" s="295"/>
      <c r="H452" s="296"/>
      <c r="I452" s="63"/>
    </row>
    <row r="453" spans="1:11">
      <c r="A453" s="60">
        <v>4</v>
      </c>
      <c r="B453" s="61" t="s">
        <v>134</v>
      </c>
      <c r="C453" s="97"/>
      <c r="D453" s="63"/>
      <c r="E453" s="63"/>
      <c r="F453" s="294">
        <v>1100000</v>
      </c>
      <c r="G453" s="295"/>
      <c r="H453" s="296"/>
      <c r="I453" s="63">
        <v>1697000000</v>
      </c>
    </row>
    <row r="454" spans="1:11">
      <c r="A454" s="60">
        <v>5</v>
      </c>
      <c r="B454" s="61" t="s">
        <v>399</v>
      </c>
      <c r="C454" s="97"/>
      <c r="D454" s="63"/>
      <c r="E454" s="63"/>
      <c r="F454" s="294">
        <v>1100000</v>
      </c>
      <c r="G454" s="295"/>
      <c r="H454" s="296"/>
      <c r="I454" s="63">
        <v>1697000000</v>
      </c>
    </row>
    <row r="455" spans="1:11">
      <c r="A455" s="60">
        <v>6</v>
      </c>
      <c r="B455" s="61" t="s">
        <v>398</v>
      </c>
      <c r="C455" s="97"/>
      <c r="D455" s="63"/>
      <c r="E455" s="63"/>
      <c r="F455" s="294">
        <v>1100000</v>
      </c>
      <c r="G455" s="295"/>
      <c r="H455" s="296"/>
      <c r="I455" s="63">
        <v>1696000000</v>
      </c>
    </row>
    <row r="456" spans="1:11">
      <c r="A456" s="60">
        <v>7</v>
      </c>
      <c r="B456" s="61" t="s">
        <v>403</v>
      </c>
      <c r="C456" s="97"/>
      <c r="D456" s="63"/>
      <c r="E456" s="63"/>
      <c r="F456" s="294">
        <v>1100000</v>
      </c>
      <c r="G456" s="295"/>
      <c r="H456" s="296"/>
      <c r="I456" s="63">
        <v>1696000000</v>
      </c>
    </row>
    <row r="457" spans="1:11">
      <c r="A457" s="60">
        <v>8</v>
      </c>
      <c r="B457" s="124" t="s">
        <v>404</v>
      </c>
      <c r="C457" s="97"/>
      <c r="D457" s="63"/>
      <c r="E457" s="63"/>
      <c r="F457" s="294">
        <v>1100000</v>
      </c>
      <c r="G457" s="295"/>
      <c r="H457" s="296"/>
      <c r="I457" s="63">
        <v>1696000000</v>
      </c>
    </row>
    <row r="458" spans="1:11">
      <c r="A458" s="60">
        <v>9</v>
      </c>
      <c r="B458" s="220" t="s">
        <v>397</v>
      </c>
      <c r="C458" s="221"/>
      <c r="D458" s="113"/>
      <c r="E458" s="113"/>
      <c r="F458" s="294">
        <v>1100000</v>
      </c>
      <c r="G458" s="295"/>
      <c r="H458" s="296"/>
      <c r="I458" s="63">
        <v>1696000000</v>
      </c>
    </row>
    <row r="459" spans="1:11">
      <c r="A459" s="60">
        <v>10</v>
      </c>
      <c r="B459" s="220"/>
      <c r="C459" s="221"/>
      <c r="D459" s="113"/>
      <c r="E459" s="113"/>
      <c r="F459" s="294">
        <f t="shared" ref="F459" si="124">ROUND(I459*0.06%,0)</f>
        <v>0</v>
      </c>
      <c r="G459" s="295"/>
      <c r="H459" s="296"/>
      <c r="I459" s="113"/>
    </row>
    <row r="460" spans="1:11" ht="6" customHeight="1">
      <c r="A460" s="60"/>
      <c r="B460" s="115"/>
      <c r="C460" s="116"/>
      <c r="D460" s="113"/>
      <c r="E460" s="113"/>
      <c r="F460" s="216"/>
      <c r="G460" s="217"/>
      <c r="H460" s="218"/>
      <c r="I460" s="113"/>
    </row>
    <row r="461" spans="1:11">
      <c r="A461" s="70"/>
      <c r="B461" s="70" t="s">
        <v>60</v>
      </c>
      <c r="C461" s="71"/>
      <c r="D461" s="72"/>
      <c r="E461" s="72">
        <f>SUM(E449:E460)</f>
        <v>10190686312</v>
      </c>
      <c r="F461" s="291">
        <f>SUM(F449:H460)</f>
        <v>9850000</v>
      </c>
      <c r="G461" s="292"/>
      <c r="H461" s="293"/>
      <c r="I461" s="72">
        <f>SUM(I449:I460)</f>
        <v>10178000000</v>
      </c>
    </row>
    <row r="462" spans="1:11">
      <c r="A462" s="162" t="s">
        <v>306</v>
      </c>
      <c r="K462" s="122"/>
    </row>
    <row r="463" spans="1:11">
      <c r="F463" s="4" t="s">
        <v>401</v>
      </c>
      <c r="I463" s="132">
        <f>E461-F461-I461</f>
        <v>2836312</v>
      </c>
    </row>
    <row r="466" spans="1:11" ht="31.5" customHeight="1">
      <c r="A466" s="73" t="s">
        <v>1</v>
      </c>
      <c r="B466" s="225" t="s">
        <v>24</v>
      </c>
      <c r="C466" s="105" t="s">
        <v>53</v>
      </c>
      <c r="D466" s="106" t="s">
        <v>54</v>
      </c>
      <c r="E466" s="106" t="s">
        <v>11</v>
      </c>
      <c r="F466" s="297" t="s">
        <v>120</v>
      </c>
      <c r="G466" s="298"/>
      <c r="H466" s="299"/>
      <c r="I466" s="106" t="s">
        <v>55</v>
      </c>
    </row>
    <row r="467" spans="1:11">
      <c r="A467" s="60">
        <v>1</v>
      </c>
      <c r="B467" s="61" t="s">
        <v>408</v>
      </c>
      <c r="C467" s="173">
        <v>447980.2</v>
      </c>
      <c r="D467" s="63">
        <v>22620</v>
      </c>
      <c r="E467" s="63">
        <f>C467*D467</f>
        <v>10133312124</v>
      </c>
      <c r="F467" s="226"/>
      <c r="G467" s="227"/>
      <c r="H467" s="228"/>
      <c r="I467" s="63"/>
    </row>
    <row r="468" spans="1:11">
      <c r="A468" s="60">
        <v>2</v>
      </c>
      <c r="B468" s="61" t="s">
        <v>407</v>
      </c>
      <c r="C468" s="97"/>
      <c r="D468" s="63"/>
      <c r="E468" s="63">
        <v>2836312</v>
      </c>
      <c r="F468" s="294"/>
      <c r="G468" s="295"/>
      <c r="H468" s="296"/>
      <c r="I468" s="63"/>
    </row>
    <row r="469" spans="1:11">
      <c r="A469" s="60">
        <v>3</v>
      </c>
      <c r="B469" s="61" t="s">
        <v>399</v>
      </c>
      <c r="C469" s="97"/>
      <c r="D469" s="63"/>
      <c r="E469" s="63"/>
      <c r="F469" s="294">
        <v>1100000</v>
      </c>
      <c r="G469" s="295"/>
      <c r="H469" s="296"/>
      <c r="I469" s="63">
        <v>2110891000</v>
      </c>
    </row>
    <row r="470" spans="1:11">
      <c r="A470" s="60">
        <v>4</v>
      </c>
      <c r="B470" s="61" t="s">
        <v>398</v>
      </c>
      <c r="C470" s="97"/>
      <c r="D470" s="63"/>
      <c r="E470" s="63"/>
      <c r="F470" s="294">
        <v>1100000</v>
      </c>
      <c r="G470" s="295"/>
      <c r="H470" s="296"/>
      <c r="I470" s="63">
        <v>1238708500</v>
      </c>
    </row>
    <row r="471" spans="1:11">
      <c r="A471" s="60">
        <v>5</v>
      </c>
      <c r="B471" s="61" t="s">
        <v>134</v>
      </c>
      <c r="C471" s="97"/>
      <c r="D471" s="63"/>
      <c r="E471" s="63"/>
      <c r="F471" s="294">
        <v>1100000</v>
      </c>
      <c r="G471" s="295"/>
      <c r="H471" s="296"/>
      <c r="I471" s="63">
        <v>1473180000</v>
      </c>
    </row>
    <row r="472" spans="1:11">
      <c r="A472" s="60">
        <v>6</v>
      </c>
      <c r="B472" s="61" t="s">
        <v>409</v>
      </c>
      <c r="C472" s="97"/>
      <c r="D472" s="63"/>
      <c r="E472" s="63"/>
      <c r="F472" s="294">
        <v>1100000</v>
      </c>
      <c r="G472" s="295"/>
      <c r="H472" s="296"/>
      <c r="I472" s="63">
        <v>1552320000</v>
      </c>
    </row>
    <row r="473" spans="1:11">
      <c r="A473" s="60">
        <v>7</v>
      </c>
      <c r="B473" s="61" t="s">
        <v>403</v>
      </c>
      <c r="C473" s="97"/>
      <c r="D473" s="63"/>
      <c r="E473" s="63"/>
      <c r="F473" s="294">
        <v>1100000</v>
      </c>
      <c r="G473" s="295"/>
      <c r="H473" s="296"/>
      <c r="I473" s="63">
        <v>1329812000</v>
      </c>
    </row>
    <row r="474" spans="1:11">
      <c r="A474" s="60">
        <v>8</v>
      </c>
      <c r="B474" s="220" t="s">
        <v>397</v>
      </c>
      <c r="C474" s="221"/>
      <c r="D474" s="113"/>
      <c r="E474" s="113"/>
      <c r="F474" s="294">
        <v>1100000</v>
      </c>
      <c r="G474" s="295"/>
      <c r="H474" s="296"/>
      <c r="I474" s="63">
        <v>2251300000</v>
      </c>
    </row>
    <row r="475" spans="1:11">
      <c r="A475" s="60"/>
      <c r="B475" s="220"/>
      <c r="C475" s="221"/>
      <c r="D475" s="113"/>
      <c r="E475" s="113"/>
      <c r="F475" s="294">
        <f t="shared" ref="F475" si="125">ROUND(I475*0.06%,0)</f>
        <v>0</v>
      </c>
      <c r="G475" s="295"/>
      <c r="H475" s="296"/>
      <c r="I475" s="113"/>
    </row>
    <row r="476" spans="1:11" ht="6" customHeight="1">
      <c r="A476" s="60"/>
      <c r="B476" s="115"/>
      <c r="C476" s="116"/>
      <c r="D476" s="113"/>
      <c r="E476" s="113"/>
      <c r="F476" s="222"/>
      <c r="G476" s="223"/>
      <c r="H476" s="224"/>
      <c r="I476" s="113"/>
    </row>
    <row r="477" spans="1:11">
      <c r="A477" s="70"/>
      <c r="B477" s="70" t="s">
        <v>60</v>
      </c>
      <c r="C477" s="71"/>
      <c r="D477" s="72"/>
      <c r="E477" s="72">
        <f>SUM(E467:E476)</f>
        <v>10136148436</v>
      </c>
      <c r="F477" s="291">
        <f>SUM(F467:H476)</f>
        <v>6600000</v>
      </c>
      <c r="G477" s="292"/>
      <c r="H477" s="293"/>
      <c r="I477" s="72">
        <f>SUM(I467:I476)</f>
        <v>9956211500</v>
      </c>
    </row>
    <row r="478" spans="1:11">
      <c r="A478" s="162" t="s">
        <v>306</v>
      </c>
      <c r="K478" s="122"/>
    </row>
    <row r="479" spans="1:11">
      <c r="F479" s="4" t="s">
        <v>401</v>
      </c>
      <c r="I479" s="132">
        <f>E477-F477-I477</f>
        <v>173336936</v>
      </c>
    </row>
    <row r="482" spans="1:11" ht="31.5" customHeight="1">
      <c r="A482" s="73" t="s">
        <v>1</v>
      </c>
      <c r="B482" s="232" t="s">
        <v>24</v>
      </c>
      <c r="C482" s="105" t="s">
        <v>53</v>
      </c>
      <c r="D482" s="106" t="s">
        <v>54</v>
      </c>
      <c r="E482" s="106" t="s">
        <v>11</v>
      </c>
      <c r="F482" s="297" t="s">
        <v>120</v>
      </c>
      <c r="G482" s="298"/>
      <c r="H482" s="299"/>
      <c r="I482" s="106" t="s">
        <v>55</v>
      </c>
    </row>
    <row r="483" spans="1:11">
      <c r="A483" s="60">
        <v>1</v>
      </c>
      <c r="B483" s="61" t="s">
        <v>410</v>
      </c>
      <c r="C483" s="173">
        <v>450229.68</v>
      </c>
      <c r="D483" s="63">
        <v>22620</v>
      </c>
      <c r="E483" s="63">
        <f>C483*D483</f>
        <v>10184195361.6</v>
      </c>
      <c r="F483" s="233"/>
      <c r="G483" s="234"/>
      <c r="H483" s="235"/>
      <c r="I483" s="63"/>
    </row>
    <row r="484" spans="1:11">
      <c r="A484" s="60">
        <v>2</v>
      </c>
      <c r="B484" s="61" t="s">
        <v>126</v>
      </c>
      <c r="C484" s="97"/>
      <c r="D484" s="63"/>
      <c r="E484" s="63"/>
      <c r="F484" s="294">
        <v>2514600</v>
      </c>
      <c r="G484" s="295"/>
      <c r="H484" s="296"/>
      <c r="I484" s="63"/>
    </row>
    <row r="485" spans="1:11">
      <c r="A485" s="60">
        <v>3</v>
      </c>
      <c r="B485" s="61" t="s">
        <v>411</v>
      </c>
      <c r="C485" s="97"/>
      <c r="D485" s="63"/>
      <c r="E485" s="63">
        <f>I479</f>
        <v>173336936</v>
      </c>
      <c r="F485" s="294"/>
      <c r="G485" s="295"/>
      <c r="H485" s="296"/>
      <c r="I485" s="63"/>
    </row>
    <row r="486" spans="1:11">
      <c r="A486" s="60">
        <v>4</v>
      </c>
      <c r="B486" s="61" t="s">
        <v>399</v>
      </c>
      <c r="C486" s="97"/>
      <c r="D486" s="63"/>
      <c r="E486" s="63"/>
      <c r="F486" s="294">
        <v>1100000</v>
      </c>
      <c r="G486" s="295"/>
      <c r="H486" s="296"/>
      <c r="I486" s="63">
        <v>2809419000</v>
      </c>
    </row>
    <row r="487" spans="1:11">
      <c r="A487" s="60">
        <v>5</v>
      </c>
      <c r="B487" s="61" t="s">
        <v>398</v>
      </c>
      <c r="C487" s="97"/>
      <c r="D487" s="63"/>
      <c r="E487" s="63"/>
      <c r="F487" s="294">
        <v>550000</v>
      </c>
      <c r="G487" s="295"/>
      <c r="H487" s="296"/>
      <c r="I487" s="63">
        <v>1000000000</v>
      </c>
    </row>
    <row r="488" spans="1:11">
      <c r="A488" s="60">
        <v>6</v>
      </c>
      <c r="B488" s="61" t="s">
        <v>403</v>
      </c>
      <c r="C488" s="97"/>
      <c r="D488" s="63"/>
      <c r="E488" s="63"/>
      <c r="F488" s="294">
        <v>825000</v>
      </c>
      <c r="G488" s="295"/>
      <c r="H488" s="296"/>
      <c r="I488" s="63">
        <v>1500000000</v>
      </c>
    </row>
    <row r="489" spans="1:11">
      <c r="A489" s="60">
        <v>7</v>
      </c>
      <c r="B489" s="220" t="s">
        <v>397</v>
      </c>
      <c r="C489" s="97"/>
      <c r="D489" s="63"/>
      <c r="E489" s="63"/>
      <c r="F489" s="294">
        <v>1100000</v>
      </c>
      <c r="G489" s="295"/>
      <c r="H489" s="296"/>
      <c r="I489" s="63">
        <v>4443756000</v>
      </c>
    </row>
    <row r="490" spans="1:11">
      <c r="A490" s="60">
        <v>8</v>
      </c>
      <c r="B490" s="61" t="s">
        <v>59</v>
      </c>
      <c r="C490" s="97"/>
      <c r="D490" s="63"/>
      <c r="E490" s="63"/>
      <c r="F490" s="294">
        <v>324500</v>
      </c>
      <c r="G490" s="295"/>
      <c r="H490" s="296"/>
      <c r="I490" s="63">
        <v>590000000</v>
      </c>
    </row>
    <row r="491" spans="1:11">
      <c r="A491" s="60"/>
      <c r="B491" s="220"/>
      <c r="C491" s="221"/>
      <c r="D491" s="113"/>
      <c r="E491" s="113"/>
      <c r="F491" s="294">
        <f t="shared" ref="F491" si="126">ROUND(I491*0.06%,0)</f>
        <v>0</v>
      </c>
      <c r="G491" s="295"/>
      <c r="H491" s="296"/>
      <c r="I491" s="113"/>
    </row>
    <row r="492" spans="1:11" ht="6" customHeight="1">
      <c r="A492" s="60"/>
      <c r="B492" s="115"/>
      <c r="C492" s="116"/>
      <c r="D492" s="113"/>
      <c r="E492" s="113"/>
      <c r="F492" s="229"/>
      <c r="G492" s="230"/>
      <c r="H492" s="231"/>
      <c r="I492" s="113"/>
    </row>
    <row r="493" spans="1:11">
      <c r="A493" s="70"/>
      <c r="B493" s="70" t="s">
        <v>60</v>
      </c>
      <c r="C493" s="71"/>
      <c r="D493" s="72"/>
      <c r="E493" s="72">
        <f>SUM(E483:E492)</f>
        <v>10357532297.6</v>
      </c>
      <c r="F493" s="291">
        <f>SUM(F483:H492)</f>
        <v>6414100</v>
      </c>
      <c r="G493" s="292"/>
      <c r="H493" s="293"/>
      <c r="I493" s="72">
        <f>SUM(I483:I492)</f>
        <v>10343175000</v>
      </c>
    </row>
    <row r="494" spans="1:11">
      <c r="A494" s="162" t="s">
        <v>306</v>
      </c>
      <c r="K494" s="122"/>
    </row>
    <row r="495" spans="1:11">
      <c r="F495" s="4" t="s">
        <v>401</v>
      </c>
      <c r="I495" s="132">
        <f>E493-F493-I493</f>
        <v>7943197.6000003815</v>
      </c>
    </row>
    <row r="496" spans="1:11">
      <c r="I496" s="270"/>
    </row>
    <row r="497" spans="9:9">
      <c r="I497" s="270"/>
    </row>
    <row r="498" spans="9:9">
      <c r="I498" s="122"/>
    </row>
    <row r="500" spans="9:9">
      <c r="I500" s="122"/>
    </row>
  </sheetData>
  <mergeCells count="173">
    <mergeCell ref="F448:H448"/>
    <mergeCell ref="F450:H450"/>
    <mergeCell ref="F453:H453"/>
    <mergeCell ref="F454:H454"/>
    <mergeCell ref="F455:H455"/>
    <mergeCell ref="F456:H456"/>
    <mergeCell ref="F457:H457"/>
    <mergeCell ref="F461:H461"/>
    <mergeCell ref="F458:H458"/>
    <mergeCell ref="F459:H459"/>
    <mergeCell ref="F452:H452"/>
    <mergeCell ref="F451:H451"/>
    <mergeCell ref="F434:H434"/>
    <mergeCell ref="F436:H436"/>
    <mergeCell ref="F437:H437"/>
    <mergeCell ref="F441:H441"/>
    <mergeCell ref="F443:H443"/>
    <mergeCell ref="F438:H438"/>
    <mergeCell ref="F439:H439"/>
    <mergeCell ref="F440:H440"/>
    <mergeCell ref="F412:H412"/>
    <mergeCell ref="F414:H414"/>
    <mergeCell ref="F416:H416"/>
    <mergeCell ref="F417:H417"/>
    <mergeCell ref="F418:H418"/>
    <mergeCell ref="F420:H420"/>
    <mergeCell ref="F424:H424"/>
    <mergeCell ref="F426:H426"/>
    <mergeCell ref="F427:H427"/>
    <mergeCell ref="F428:H428"/>
    <mergeCell ref="F430:H430"/>
    <mergeCell ref="F415:H41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474:H474"/>
    <mergeCell ref="F475:H475"/>
    <mergeCell ref="F477:H477"/>
    <mergeCell ref="F466:H466"/>
    <mergeCell ref="F468:H468"/>
    <mergeCell ref="F469:H469"/>
    <mergeCell ref="F470:H470"/>
    <mergeCell ref="F471:H471"/>
    <mergeCell ref="F472:H472"/>
    <mergeCell ref="F473:H473"/>
    <mergeCell ref="F493:H493"/>
    <mergeCell ref="F484:H484"/>
    <mergeCell ref="F482:H482"/>
    <mergeCell ref="F485:H485"/>
    <mergeCell ref="F486:H486"/>
    <mergeCell ref="F487:H487"/>
    <mergeCell ref="F488:H488"/>
    <mergeCell ref="F489:H489"/>
    <mergeCell ref="F490:H490"/>
    <mergeCell ref="F491:H491"/>
  </mergeCells>
  <pageMargins left="0.16" right="0.16" top="0.19" bottom="0.25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43"/>
  <sheetViews>
    <sheetView topLeftCell="A13" workbookViewId="0">
      <selection activeCell="B37" sqref="B37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300" t="s">
        <v>23</v>
      </c>
      <c r="B1" s="300"/>
      <c r="C1" s="300"/>
      <c r="D1" s="300"/>
      <c r="E1" s="300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24</v>
      </c>
      <c r="C3" s="11" t="s">
        <v>9</v>
      </c>
      <c r="D3" s="12" t="s">
        <v>10</v>
      </c>
      <c r="E3" s="12" t="s">
        <v>25</v>
      </c>
      <c r="F3" s="12" t="s">
        <v>5</v>
      </c>
    </row>
    <row r="4" spans="1:11" s="14" customFormat="1" ht="17.25" customHeight="1">
      <c r="B4" s="15" t="s">
        <v>26</v>
      </c>
      <c r="C4" s="16"/>
      <c r="D4" s="17"/>
      <c r="E4" s="18"/>
      <c r="F4" s="19"/>
    </row>
    <row r="5" spans="1:11" s="14" customFormat="1" ht="17.25" customHeight="1">
      <c r="B5" s="20" t="s">
        <v>27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28</v>
      </c>
      <c r="C6" s="27"/>
      <c r="D6" s="28"/>
      <c r="E6" s="29"/>
      <c r="F6" s="30"/>
    </row>
    <row r="7" spans="1:11" s="14" customFormat="1" ht="17.25" customHeight="1">
      <c r="B7" s="20" t="s">
        <v>29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30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31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27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28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30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32</v>
      </c>
    </row>
    <row r="17" spans="1:15" s="85" customFormat="1" ht="36.75" customHeight="1">
      <c r="A17" s="83" t="s">
        <v>1</v>
      </c>
      <c r="B17" s="83" t="s">
        <v>24</v>
      </c>
      <c r="C17" s="46" t="s">
        <v>9</v>
      </c>
      <c r="D17" s="84" t="s">
        <v>10</v>
      </c>
      <c r="E17" s="84" t="s">
        <v>11</v>
      </c>
      <c r="G17" s="47" t="s">
        <v>33</v>
      </c>
      <c r="H17" s="47" t="s">
        <v>34</v>
      </c>
      <c r="I17" s="47" t="s">
        <v>24</v>
      </c>
      <c r="J17" s="47" t="s">
        <v>35</v>
      </c>
      <c r="K17" s="47" t="s">
        <v>86</v>
      </c>
      <c r="L17" s="46" t="s">
        <v>36</v>
      </c>
      <c r="M17" s="49" t="s">
        <v>37</v>
      </c>
      <c r="N17" s="49" t="s">
        <v>11</v>
      </c>
    </row>
    <row r="18" spans="1:15" ht="17.25" customHeight="1">
      <c r="A18" s="50">
        <f>ROW()-3</f>
        <v>15</v>
      </c>
      <c r="B18" s="51" t="s">
        <v>38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39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40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39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41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39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42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39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43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39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44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39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45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39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46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39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47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39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48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39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49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39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50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39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51</v>
      </c>
      <c r="C31" s="71"/>
      <c r="D31" s="72"/>
      <c r="E31" s="72">
        <f>SUM(E18:E30)</f>
        <v>202380822</v>
      </c>
      <c r="F31" s="4"/>
      <c r="G31" s="73"/>
      <c r="H31" s="73"/>
      <c r="I31" s="73" t="s">
        <v>51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52</v>
      </c>
      <c r="E33" s="7">
        <f>E31/C18</f>
        <v>1945.9694423076924</v>
      </c>
      <c r="F33" s="5"/>
    </row>
    <row r="35" spans="1:11" ht="33">
      <c r="A35" s="48" t="s">
        <v>1</v>
      </c>
      <c r="B35" s="47" t="s">
        <v>24</v>
      </c>
      <c r="C35" s="46" t="s">
        <v>53</v>
      </c>
      <c r="D35" s="49" t="s">
        <v>54</v>
      </c>
      <c r="E35" s="49" t="s">
        <v>11</v>
      </c>
      <c r="F35" s="49" t="s">
        <v>55</v>
      </c>
    </row>
    <row r="36" spans="1:11">
      <c r="A36" s="60">
        <v>1</v>
      </c>
      <c r="B36" s="61" t="s">
        <v>56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57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58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59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60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61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51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317" t="s">
        <v>207</v>
      </c>
      <c r="B2" s="317"/>
      <c r="C2" s="317"/>
      <c r="D2" s="317"/>
      <c r="E2" s="317"/>
      <c r="F2" s="317"/>
      <c r="G2" s="317"/>
      <c r="H2" s="317"/>
      <c r="I2" s="317"/>
    </row>
    <row r="3" spans="1:10" s="143" customFormat="1" ht="33.75" customHeight="1">
      <c r="A3" s="142" t="s">
        <v>1</v>
      </c>
      <c r="B3" s="142" t="s">
        <v>208</v>
      </c>
      <c r="C3" s="142" t="s">
        <v>209</v>
      </c>
      <c r="D3" s="142" t="s">
        <v>210</v>
      </c>
      <c r="E3" s="142" t="s">
        <v>9</v>
      </c>
      <c r="F3" s="142" t="s">
        <v>10</v>
      </c>
      <c r="G3" s="142" t="s">
        <v>11</v>
      </c>
      <c r="H3" s="142" t="s">
        <v>211</v>
      </c>
      <c r="I3" s="142" t="s">
        <v>85</v>
      </c>
    </row>
    <row r="4" spans="1:10" ht="21" customHeight="1">
      <c r="A4" s="144">
        <v>1</v>
      </c>
      <c r="B4" s="151">
        <v>42683</v>
      </c>
      <c r="C4" s="152" t="s">
        <v>212</v>
      </c>
      <c r="D4" s="145" t="s">
        <v>221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213</v>
      </c>
      <c r="D5" s="145" t="s">
        <v>221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227</v>
      </c>
      <c r="D6" s="145" t="s">
        <v>221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214</v>
      </c>
      <c r="D7" s="158" t="s">
        <v>222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215</v>
      </c>
      <c r="D8" s="145" t="s">
        <v>221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216</v>
      </c>
      <c r="D9" s="158" t="s">
        <v>223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217</v>
      </c>
      <c r="D10" s="145" t="s">
        <v>221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218</v>
      </c>
      <c r="D11" s="145" t="s">
        <v>221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220</v>
      </c>
      <c r="D12" s="145" t="s">
        <v>221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219</v>
      </c>
      <c r="D13" s="145" t="s">
        <v>221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318" t="s">
        <v>22</v>
      </c>
      <c r="B15" s="318"/>
      <c r="C15" s="318"/>
      <c r="D15" s="318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224</v>
      </c>
    </row>
    <row r="18" spans="1:10" s="141" customFormat="1" ht="14.25">
      <c r="A18" s="141" t="s">
        <v>225</v>
      </c>
    </row>
    <row r="19" spans="1:10" s="141" customFormat="1" ht="14.25">
      <c r="A19" s="141" t="s">
        <v>226</v>
      </c>
    </row>
    <row r="22" spans="1:10" s="141" customFormat="1" ht="28.5" customHeight="1">
      <c r="A22" s="317" t="s">
        <v>260</v>
      </c>
      <c r="B22" s="317"/>
      <c r="C22" s="317"/>
      <c r="D22" s="317"/>
      <c r="E22" s="317"/>
      <c r="F22" s="317"/>
      <c r="G22" s="317"/>
      <c r="H22" s="317"/>
      <c r="I22" s="317"/>
    </row>
    <row r="23" spans="1:10" s="143" customFormat="1" ht="33.75" customHeight="1">
      <c r="A23" s="142" t="s">
        <v>1</v>
      </c>
      <c r="B23" s="142" t="s">
        <v>208</v>
      </c>
      <c r="C23" s="142" t="s">
        <v>209</v>
      </c>
      <c r="D23" s="142" t="s">
        <v>210</v>
      </c>
      <c r="E23" s="142" t="s">
        <v>9</v>
      </c>
      <c r="F23" s="142" t="s">
        <v>10</v>
      </c>
      <c r="G23" s="142" t="s">
        <v>11</v>
      </c>
      <c r="H23" s="142" t="s">
        <v>272</v>
      </c>
      <c r="I23" s="142" t="s">
        <v>85</v>
      </c>
    </row>
    <row r="24" spans="1:10" ht="21" customHeight="1">
      <c r="A24" s="144">
        <v>1</v>
      </c>
      <c r="B24" s="151">
        <v>42705</v>
      </c>
      <c r="C24" s="152" t="s">
        <v>261</v>
      </c>
      <c r="D24" s="145" t="s">
        <v>221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263</v>
      </c>
      <c r="D25" s="145" t="s">
        <v>221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265</v>
      </c>
      <c r="D26" s="145" t="s">
        <v>221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264</v>
      </c>
      <c r="D27" s="145" t="s">
        <v>221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266</v>
      </c>
      <c r="D28" s="145" t="s">
        <v>221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262</v>
      </c>
      <c r="D29" s="145" t="s">
        <v>221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267</v>
      </c>
      <c r="D30" s="145" t="s">
        <v>221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268</v>
      </c>
      <c r="D31" s="145" t="s">
        <v>221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269</v>
      </c>
      <c r="D32" s="145" t="s">
        <v>221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270</v>
      </c>
      <c r="D33" s="145" t="s">
        <v>221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271</v>
      </c>
      <c r="D34" s="145" t="s">
        <v>221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318" t="s">
        <v>22</v>
      </c>
      <c r="B36" s="318"/>
      <c r="C36" s="318"/>
      <c r="D36" s="318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224</v>
      </c>
    </row>
    <row r="39" spans="1:10" s="141" customFormat="1" ht="14.25">
      <c r="A39" s="141" t="s">
        <v>225</v>
      </c>
    </row>
    <row r="40" spans="1:10" s="141" customFormat="1" ht="14.25">
      <c r="A40" s="141" t="s">
        <v>226</v>
      </c>
    </row>
    <row r="45" spans="1:10" s="141" customFormat="1" ht="28.5" customHeight="1">
      <c r="A45" s="317" t="s">
        <v>317</v>
      </c>
      <c r="B45" s="317"/>
      <c r="C45" s="317"/>
      <c r="D45" s="317"/>
      <c r="E45" s="317"/>
      <c r="F45" s="317"/>
      <c r="G45" s="317"/>
      <c r="H45" s="317"/>
      <c r="I45" s="317"/>
    </row>
    <row r="46" spans="1:10" s="143" customFormat="1" ht="33.75" customHeight="1">
      <c r="A46" s="142" t="s">
        <v>1</v>
      </c>
      <c r="B46" s="142" t="s">
        <v>208</v>
      </c>
      <c r="C46" s="142" t="s">
        <v>209</v>
      </c>
      <c r="D46" s="142" t="s">
        <v>210</v>
      </c>
      <c r="E46" s="142" t="s">
        <v>9</v>
      </c>
      <c r="F46" s="142" t="s">
        <v>10</v>
      </c>
      <c r="G46" s="142" t="s">
        <v>11</v>
      </c>
      <c r="H46" s="142" t="s">
        <v>272</v>
      </c>
      <c r="I46" s="142" t="s">
        <v>85</v>
      </c>
    </row>
    <row r="47" spans="1:10" ht="21" customHeight="1">
      <c r="A47" s="144">
        <v>1</v>
      </c>
      <c r="B47" s="151">
        <v>42716</v>
      </c>
      <c r="C47" s="152" t="s">
        <v>312</v>
      </c>
      <c r="D47" s="145" t="s">
        <v>221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313</v>
      </c>
      <c r="D48" s="145" t="s">
        <v>221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314</v>
      </c>
      <c r="D49" s="145" t="s">
        <v>221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307</v>
      </c>
      <c r="D50" s="145" t="s">
        <v>221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315</v>
      </c>
      <c r="D51" s="145" t="s">
        <v>221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308</v>
      </c>
      <c r="D52" s="145" t="s">
        <v>221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316</v>
      </c>
      <c r="D53" s="145" t="s">
        <v>221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309</v>
      </c>
      <c r="D54" s="145" t="s">
        <v>221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310</v>
      </c>
      <c r="D55" s="145" t="s">
        <v>221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311</v>
      </c>
      <c r="D56" s="145" t="s">
        <v>221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318" t="s">
        <v>22</v>
      </c>
      <c r="B58" s="318"/>
      <c r="C58" s="318"/>
      <c r="D58" s="318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224</v>
      </c>
    </row>
    <row r="61" spans="1:10" s="141" customFormat="1" ht="14.25">
      <c r="A61" s="141" t="s">
        <v>225</v>
      </c>
    </row>
    <row r="62" spans="1:10" s="141" customFormat="1" ht="14.25">
      <c r="A62" s="141" t="s">
        <v>226</v>
      </c>
    </row>
    <row r="67" spans="1:10" s="141" customFormat="1" ht="28.5" customHeight="1">
      <c r="A67" s="317" t="s">
        <v>330</v>
      </c>
      <c r="B67" s="317"/>
      <c r="C67" s="317"/>
      <c r="D67" s="317"/>
      <c r="E67" s="317"/>
      <c r="F67" s="317"/>
      <c r="G67" s="317"/>
      <c r="H67" s="317"/>
      <c r="I67" s="317"/>
    </row>
    <row r="68" spans="1:10" s="143" customFormat="1" ht="33.75" customHeight="1">
      <c r="A68" s="142" t="s">
        <v>1</v>
      </c>
      <c r="B68" s="142" t="s">
        <v>208</v>
      </c>
      <c r="C68" s="142" t="s">
        <v>209</v>
      </c>
      <c r="D68" s="142" t="s">
        <v>210</v>
      </c>
      <c r="E68" s="142" t="s">
        <v>9</v>
      </c>
      <c r="F68" s="142" t="s">
        <v>10</v>
      </c>
      <c r="G68" s="142" t="s">
        <v>11</v>
      </c>
      <c r="H68" s="142" t="s">
        <v>272</v>
      </c>
      <c r="I68" s="142" t="s">
        <v>85</v>
      </c>
    </row>
    <row r="69" spans="1:10" ht="21" customHeight="1">
      <c r="A69" s="144">
        <v>1</v>
      </c>
      <c r="B69" s="151">
        <v>42721</v>
      </c>
      <c r="C69" s="152" t="s">
        <v>340</v>
      </c>
      <c r="D69" s="145" t="s">
        <v>221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331</v>
      </c>
      <c r="D70" s="145" t="s">
        <v>221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341</v>
      </c>
      <c r="D71" s="145" t="s">
        <v>221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332</v>
      </c>
      <c r="D72" s="145" t="s">
        <v>221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342</v>
      </c>
      <c r="D73" s="145" t="s">
        <v>221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333</v>
      </c>
      <c r="D74" s="145" t="s">
        <v>221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343</v>
      </c>
      <c r="D75" s="145" t="s">
        <v>221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334</v>
      </c>
      <c r="D76" s="145" t="s">
        <v>221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335</v>
      </c>
      <c r="D77" s="145" t="s">
        <v>221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344</v>
      </c>
      <c r="D78" s="145" t="s">
        <v>221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336</v>
      </c>
      <c r="D79" s="145" t="s">
        <v>221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337</v>
      </c>
      <c r="D80" s="145" t="s">
        <v>221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338</v>
      </c>
      <c r="D81" s="145" t="s">
        <v>221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345</v>
      </c>
      <c r="D82" s="145" t="s">
        <v>221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339</v>
      </c>
      <c r="D83" s="145" t="s">
        <v>221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318" t="s">
        <v>22</v>
      </c>
      <c r="B85" s="318"/>
      <c r="C85" s="318"/>
      <c r="D85" s="318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224</v>
      </c>
    </row>
    <row r="88" spans="1:10" s="141" customFormat="1" ht="14.25">
      <c r="A88" s="141" t="s">
        <v>225</v>
      </c>
    </row>
    <row r="89" spans="1:10" s="141" customFormat="1" ht="14.25">
      <c r="A89" s="141" t="s">
        <v>226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TD-TQ</vt:lpstr>
      <vt:lpstr>19-10</vt:lpstr>
      <vt:lpstr>GC - TQ (T8)</vt:lpstr>
      <vt:lpstr>BS - CARTON</vt:lpstr>
      <vt:lpstr>'19-10'!Print_Area</vt:lpstr>
      <vt:lpstr>'BS - CARTON'!Print_Area</vt:lpstr>
      <vt:lpstr>'TD-TQ'!Print_Titles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2017-02-28T07:52:10Z</cp:lastPrinted>
  <dcterms:created xsi:type="dcterms:W3CDTF">2016-10-31T06:49:38Z</dcterms:created>
  <dcterms:modified xsi:type="dcterms:W3CDTF">2017-02-28T07:54:42Z</dcterms:modified>
</cp:coreProperties>
</file>