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2145" windowWidth="21840" windowHeight="7935"/>
  </bookViews>
  <sheets>
    <sheet name="TH" sheetId="5" r:id="rId1"/>
    <sheet name="UNC - EIB" sheetId="6" r:id="rId2"/>
    <sheet name="UNC - PV" sheetId="2" r:id="rId3"/>
    <sheet name="LC - PV" sheetId="4" r:id="rId4"/>
    <sheet name="LC - EIB" sheetId="7" r:id="rId5"/>
    <sheet name="MAU" sheetId="18" r:id="rId6"/>
    <sheet name="U&amp;P" sheetId="8" r:id="rId7"/>
    <sheet name="01-17" sheetId="16" r:id="rId8"/>
    <sheet name="02-17" sheetId="17" r:id="rId9"/>
  </sheets>
  <externalReferences>
    <externalReference r:id="rId10"/>
  </externalReferences>
  <definedNames>
    <definedName name="_Fill" localSheetId="7" hidden="1">#REF!</definedName>
    <definedName name="_Fill" localSheetId="8" hidden="1">#REF!</definedName>
    <definedName name="_Fill" localSheetId="5" hidden="1">#REF!</definedName>
    <definedName name="_Fill" localSheetId="6" hidden="1">#REF!</definedName>
    <definedName name="_Fill" hidden="1">#REF!</definedName>
    <definedName name="_xlnm._FilterDatabase" localSheetId="7" hidden="1">'01-17'!$A$3:$R$27</definedName>
    <definedName name="_xlnm._FilterDatabase" localSheetId="8" hidden="1">'02-17'!$A$3:$S$22</definedName>
    <definedName name="_xlnm._FilterDatabase" localSheetId="0" hidden="1">TH!$B$3:$X$214</definedName>
    <definedName name="Dong">IF(Loai="p1",ROW(Loai)-1,"")</definedName>
    <definedName name="DS">TH!$A$4:$Q$213</definedName>
    <definedName name="Loai">OFFSET(TH!$R$4,,,COUNTA(TH!$R$4:$R$39784))</definedName>
    <definedName name="N_1">TH!$R$4:$R$213</definedName>
    <definedName name="_xlnm.Print_Area" localSheetId="4">'LC - EIB'!$A$1:$Q$33</definedName>
    <definedName name="_xlnm.Print_Area" localSheetId="3">'LC - PV'!$A$1:$N$18</definedName>
    <definedName name="_xlnm.Print_Area" localSheetId="1">'UNC - EIB'!$A$1:$P$32</definedName>
    <definedName name="_xlnm.Print_Area" localSheetId="2">'UNC - PV'!$A$1:$M$18</definedName>
    <definedName name="_xlnm.Print_Titles" localSheetId="7">'01-17'!$2:$3</definedName>
    <definedName name="_xlnm.Print_Titles" localSheetId="8">'02-17'!$2:$3</definedName>
  </definedNames>
  <calcPr calcId="144525"/>
</workbook>
</file>

<file path=xl/calcChain.xml><?xml version="1.0" encoding="utf-8"?>
<calcChain xmlns="http://schemas.openxmlformats.org/spreadsheetml/2006/main">
  <c r="P202" i="5" l="1"/>
  <c r="A20" i="17" l="1"/>
  <c r="L20" i="17"/>
  <c r="R195" i="5"/>
  <c r="B195" i="5"/>
  <c r="A195" i="5"/>
  <c r="R194" i="5"/>
  <c r="B194" i="5"/>
  <c r="A194" i="5"/>
  <c r="R193" i="5"/>
  <c r="B193" i="5"/>
  <c r="A193" i="5"/>
  <c r="R192" i="5"/>
  <c r="B192" i="5"/>
  <c r="A192" i="5"/>
  <c r="R191" i="5"/>
  <c r="B191" i="5"/>
  <c r="A191" i="5"/>
  <c r="R190" i="5"/>
  <c r="B190" i="5"/>
  <c r="A190" i="5"/>
  <c r="R189" i="5"/>
  <c r="B189" i="5"/>
  <c r="A189" i="5"/>
  <c r="R188" i="5"/>
  <c r="B188" i="5"/>
  <c r="A188" i="5"/>
  <c r="R187" i="5"/>
  <c r="B187" i="5"/>
  <c r="A187" i="5"/>
  <c r="R204" i="5"/>
  <c r="B204" i="5"/>
  <c r="A204" i="5"/>
  <c r="R203" i="5"/>
  <c r="B203" i="5"/>
  <c r="A203" i="5"/>
  <c r="R202" i="5"/>
  <c r="B202" i="5"/>
  <c r="A202" i="5"/>
  <c r="R201" i="5"/>
  <c r="B201" i="5"/>
  <c r="A201" i="5"/>
  <c r="R200" i="5"/>
  <c r="B200" i="5"/>
  <c r="A200" i="5"/>
  <c r="R199" i="5"/>
  <c r="B199" i="5"/>
  <c r="A199" i="5"/>
  <c r="R198" i="5"/>
  <c r="B198" i="5"/>
  <c r="A198" i="5"/>
  <c r="R197" i="5"/>
  <c r="B197" i="5"/>
  <c r="A197" i="5"/>
  <c r="R196" i="5"/>
  <c r="B196" i="5"/>
  <c r="A196" i="5"/>
  <c r="A29" i="16"/>
  <c r="A30" i="16"/>
  <c r="A31" i="16"/>
  <c r="A32" i="16"/>
  <c r="A33" i="16"/>
  <c r="A34" i="16"/>
  <c r="A35" i="16"/>
  <c r="A36" i="16"/>
  <c r="A37" i="16"/>
  <c r="A38" i="16"/>
  <c r="A39" i="16"/>
  <c r="A40" i="16"/>
  <c r="A41" i="16"/>
  <c r="A42" i="16"/>
  <c r="A28" i="16"/>
  <c r="O11" i="16"/>
  <c r="O12" i="16"/>
  <c r="O13" i="16"/>
  <c r="O14" i="16"/>
  <c r="O15" i="16"/>
  <c r="O16" i="16"/>
  <c r="O17" i="16"/>
  <c r="O18" i="16"/>
  <c r="O19" i="16"/>
  <c r="O20" i="16"/>
  <c r="O21" i="16"/>
  <c r="O22" i="16"/>
  <c r="O23" i="16"/>
  <c r="O24" i="16"/>
  <c r="O25" i="16"/>
  <c r="O10" i="16"/>
  <c r="N11" i="16"/>
  <c r="N12" i="16"/>
  <c r="N13" i="16"/>
  <c r="N14" i="16"/>
  <c r="N15" i="16"/>
  <c r="N16" i="16"/>
  <c r="N17" i="16"/>
  <c r="N18" i="16"/>
  <c r="N19" i="16"/>
  <c r="N20" i="16"/>
  <c r="N21" i="16"/>
  <c r="N22" i="16"/>
  <c r="N23" i="16"/>
  <c r="N24" i="16"/>
  <c r="N25" i="16"/>
  <c r="L24" i="16"/>
  <c r="A22" i="16"/>
  <c r="A23" i="16"/>
  <c r="A24" i="16"/>
  <c r="A25" i="16"/>
  <c r="L21" i="16"/>
  <c r="L22" i="16"/>
  <c r="L23" i="16"/>
  <c r="L25" i="16"/>
  <c r="A21" i="16"/>
  <c r="J9" i="16"/>
  <c r="J27" i="16"/>
  <c r="J44" i="16"/>
  <c r="P42" i="16"/>
  <c r="P29" i="16"/>
  <c r="M29" i="16"/>
  <c r="P30" i="16"/>
  <c r="M30" i="16"/>
  <c r="P31" i="16"/>
  <c r="M31" i="16"/>
  <c r="P32" i="16"/>
  <c r="M32" i="16"/>
  <c r="P33" i="16"/>
  <c r="M33" i="16"/>
  <c r="P34" i="16"/>
  <c r="M34" i="16"/>
  <c r="P35" i="16"/>
  <c r="M35" i="16"/>
  <c r="P36" i="16"/>
  <c r="M36" i="16"/>
  <c r="P37" i="16"/>
  <c r="M37" i="16"/>
  <c r="P38" i="16"/>
  <c r="M38" i="16"/>
  <c r="P39" i="16"/>
  <c r="M39" i="16"/>
  <c r="P40" i="16"/>
  <c r="M40" i="16"/>
  <c r="P41" i="16"/>
  <c r="M41" i="16"/>
  <c r="P28" i="16"/>
  <c r="M28" i="16"/>
  <c r="R178" i="5"/>
  <c r="R179" i="5"/>
  <c r="R180" i="5"/>
  <c r="R181" i="5"/>
  <c r="R182" i="5"/>
  <c r="R183" i="5"/>
  <c r="R184" i="5"/>
  <c r="R185" i="5"/>
  <c r="R186" i="5"/>
  <c r="R205" i="5"/>
  <c r="R206" i="5"/>
  <c r="R207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3" i="5"/>
  <c r="R24" i="5"/>
  <c r="R25" i="5"/>
  <c r="R26" i="5"/>
  <c r="R27" i="5"/>
  <c r="R28" i="5"/>
  <c r="R29" i="5"/>
  <c r="R30" i="5"/>
  <c r="R31" i="5"/>
  <c r="R32" i="5"/>
  <c r="R33" i="5"/>
  <c r="R34" i="5"/>
  <c r="R35" i="5"/>
  <c r="R36" i="5"/>
  <c r="R37" i="5"/>
  <c r="R38" i="5"/>
  <c r="R39" i="5"/>
  <c r="R40" i="5"/>
  <c r="R41" i="5"/>
  <c r="R42" i="5"/>
  <c r="R43" i="5"/>
  <c r="R44" i="5"/>
  <c r="R45" i="5"/>
  <c r="R46" i="5"/>
  <c r="R47" i="5"/>
  <c r="R48" i="5"/>
  <c r="R49" i="5"/>
  <c r="R50" i="5"/>
  <c r="R51" i="5"/>
  <c r="R52" i="5"/>
  <c r="R53" i="5"/>
  <c r="R54" i="5"/>
  <c r="R55" i="5"/>
  <c r="R56" i="5"/>
  <c r="R57" i="5"/>
  <c r="R58" i="5"/>
  <c r="R59" i="5"/>
  <c r="R60" i="5"/>
  <c r="R61" i="5"/>
  <c r="R63" i="5"/>
  <c r="R64" i="5"/>
  <c r="R65" i="5"/>
  <c r="R68" i="5"/>
  <c r="R69" i="5"/>
  <c r="R70" i="5"/>
  <c r="R71" i="5"/>
  <c r="R72" i="5"/>
  <c r="R73" i="5"/>
  <c r="R74" i="5"/>
  <c r="R75" i="5"/>
  <c r="R76" i="5"/>
  <c r="R77" i="5"/>
  <c r="R78" i="5"/>
  <c r="R79" i="5"/>
  <c r="R80" i="5"/>
  <c r="R81" i="5"/>
  <c r="R82" i="5"/>
  <c r="R83" i="5"/>
  <c r="R84" i="5"/>
  <c r="R85" i="5"/>
  <c r="R86" i="5"/>
  <c r="R87" i="5"/>
  <c r="R88" i="5"/>
  <c r="R89" i="5"/>
  <c r="R90" i="5"/>
  <c r="R91" i="5"/>
  <c r="R93" i="5"/>
  <c r="R94" i="5"/>
  <c r="R95" i="5"/>
  <c r="R97" i="5"/>
  <c r="R98" i="5"/>
  <c r="R99" i="5"/>
  <c r="R100" i="5"/>
  <c r="R101" i="5"/>
  <c r="R102" i="5"/>
  <c r="R103" i="5"/>
  <c r="R104" i="5"/>
  <c r="R105" i="5"/>
  <c r="R106" i="5"/>
  <c r="R107" i="5"/>
  <c r="R108" i="5"/>
  <c r="R109" i="5"/>
  <c r="R110" i="5"/>
  <c r="R111" i="5"/>
  <c r="R112" i="5"/>
  <c r="R113" i="5"/>
  <c r="R114" i="5"/>
  <c r="R115" i="5"/>
  <c r="R116" i="5"/>
  <c r="R117" i="5"/>
  <c r="R118" i="5"/>
  <c r="R119" i="5"/>
  <c r="R120" i="5"/>
  <c r="R122" i="5"/>
  <c r="R123" i="5"/>
  <c r="R124" i="5"/>
  <c r="R125" i="5"/>
  <c r="R126" i="5"/>
  <c r="R127" i="5"/>
  <c r="R128" i="5"/>
  <c r="R129" i="5"/>
  <c r="R130" i="5"/>
  <c r="R131" i="5"/>
  <c r="R132" i="5"/>
  <c r="R133" i="5"/>
  <c r="R134" i="5"/>
  <c r="R135" i="5"/>
  <c r="R136" i="5"/>
  <c r="R137" i="5"/>
  <c r="R138" i="5"/>
  <c r="R139" i="5"/>
  <c r="R140" i="5"/>
  <c r="R141" i="5"/>
  <c r="R142" i="5"/>
  <c r="R143" i="5"/>
  <c r="R144" i="5"/>
  <c r="R145" i="5"/>
  <c r="R146" i="5"/>
  <c r="R147" i="5"/>
  <c r="R148" i="5"/>
  <c r="R149" i="5"/>
  <c r="R150" i="5"/>
  <c r="R151" i="5"/>
  <c r="R152" i="5"/>
  <c r="R153" i="5"/>
  <c r="R154" i="5"/>
  <c r="R155" i="5"/>
  <c r="R156" i="5"/>
  <c r="R158" i="5"/>
  <c r="R159" i="5"/>
  <c r="R160" i="5"/>
  <c r="R161" i="5"/>
  <c r="R162" i="5"/>
  <c r="R163" i="5"/>
  <c r="R164" i="5"/>
  <c r="R165" i="5"/>
  <c r="R166" i="5"/>
  <c r="R167" i="5"/>
  <c r="R168" i="5"/>
  <c r="R170" i="5"/>
  <c r="R171" i="5"/>
  <c r="R172" i="5"/>
  <c r="R173" i="5"/>
  <c r="R174" i="5"/>
  <c r="R175" i="5"/>
  <c r="R176" i="5"/>
  <c r="R177" i="5"/>
  <c r="R208" i="5"/>
  <c r="R209" i="5"/>
  <c r="R210" i="5"/>
  <c r="R211" i="5"/>
  <c r="R212" i="5"/>
  <c r="R213" i="5"/>
  <c r="B185" i="5"/>
  <c r="A185" i="5"/>
  <c r="B184" i="5"/>
  <c r="A184" i="5"/>
  <c r="B182" i="5"/>
  <c r="A182" i="5"/>
  <c r="B183" i="5"/>
  <c r="A183" i="5"/>
  <c r="B181" i="5"/>
  <c r="A181" i="5"/>
  <c r="B180" i="5"/>
  <c r="A180" i="5"/>
  <c r="B179" i="5"/>
  <c r="A179" i="5"/>
  <c r="B174" i="5"/>
  <c r="A174" i="5"/>
  <c r="B173" i="5"/>
  <c r="A173" i="5"/>
  <c r="B172" i="5"/>
  <c r="A172" i="5"/>
  <c r="B208" i="5"/>
  <c r="A208" i="5"/>
  <c r="B207" i="5"/>
  <c r="A207" i="5"/>
  <c r="B206" i="5"/>
  <c r="A206" i="5"/>
  <c r="B205" i="5"/>
  <c r="A205" i="5"/>
  <c r="B186" i="5"/>
  <c r="A186" i="5"/>
  <c r="B171" i="5"/>
  <c r="A171" i="5"/>
  <c r="P169" i="5"/>
  <c r="R169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8" i="5"/>
  <c r="B169" i="5"/>
  <c r="B167" i="5"/>
  <c r="B170" i="5"/>
  <c r="B175" i="5"/>
  <c r="A170" i="5"/>
  <c r="A167" i="5"/>
  <c r="A169" i="5"/>
  <c r="A168" i="5"/>
  <c r="B178" i="5"/>
  <c r="A178" i="5"/>
  <c r="B177" i="5"/>
  <c r="A177" i="5"/>
  <c r="B176" i="5"/>
  <c r="A176" i="5"/>
  <c r="A175" i="5"/>
  <c r="R5" i="5"/>
  <c r="P22" i="5"/>
  <c r="R22" i="5"/>
  <c r="P62" i="5"/>
  <c r="R62" i="5"/>
  <c r="P66" i="5"/>
  <c r="R66" i="5" s="1"/>
  <c r="P67" i="5"/>
  <c r="R67" i="5"/>
  <c r="P92" i="5"/>
  <c r="R92" i="5"/>
  <c r="P96" i="5"/>
  <c r="R96" i="5"/>
  <c r="P121" i="5"/>
  <c r="R121" i="5"/>
  <c r="P157" i="5"/>
  <c r="R157" i="5"/>
  <c r="N40" i="17"/>
  <c r="J40" i="17"/>
  <c r="I40" i="17"/>
  <c r="G40" i="17"/>
  <c r="F40" i="17"/>
  <c r="P37" i="17"/>
  <c r="O37" i="17"/>
  <c r="L37" i="17"/>
  <c r="L40" i="17"/>
  <c r="K37" i="17"/>
  <c r="A37" i="17"/>
  <c r="P36" i="17"/>
  <c r="O36" i="17"/>
  <c r="A36" i="17"/>
  <c r="P35" i="17"/>
  <c r="O35" i="17"/>
  <c r="A35" i="17"/>
  <c r="P34" i="17"/>
  <c r="O34" i="17"/>
  <c r="A34" i="17"/>
  <c r="P33" i="17"/>
  <c r="O33" i="17"/>
  <c r="A33" i="17"/>
  <c r="P32" i="17"/>
  <c r="O32" i="17"/>
  <c r="A32" i="17"/>
  <c r="P31" i="17"/>
  <c r="O31" i="17"/>
  <c r="A31" i="17"/>
  <c r="P30" i="17"/>
  <c r="O30" i="17"/>
  <c r="A30" i="17"/>
  <c r="P29" i="17"/>
  <c r="O29" i="17"/>
  <c r="A29" i="17"/>
  <c r="P28" i="17"/>
  <c r="O28" i="17"/>
  <c r="A28" i="17"/>
  <c r="P27" i="17"/>
  <c r="O27" i="17"/>
  <c r="A27" i="17"/>
  <c r="P26" i="17"/>
  <c r="O26" i="17"/>
  <c r="A26" i="17"/>
  <c r="P25" i="17"/>
  <c r="O25" i="17"/>
  <c r="A25" i="17"/>
  <c r="P24" i="17"/>
  <c r="O24" i="17"/>
  <c r="A24" i="17"/>
  <c r="P23" i="17"/>
  <c r="O23" i="17"/>
  <c r="A23" i="17"/>
  <c r="M22" i="17"/>
  <c r="K22" i="17"/>
  <c r="J22" i="17"/>
  <c r="I22" i="17"/>
  <c r="F22" i="17"/>
  <c r="E22" i="17"/>
  <c r="P19" i="17"/>
  <c r="N19" i="17"/>
  <c r="O19" i="17"/>
  <c r="L19" i="17"/>
  <c r="A19" i="17"/>
  <c r="P18" i="17"/>
  <c r="P22" i="17" s="1"/>
  <c r="O18" i="17"/>
  <c r="L18" i="17"/>
  <c r="A18" i="17"/>
  <c r="P17" i="17"/>
  <c r="O17" i="17"/>
  <c r="L17" i="17"/>
  <c r="A17" i="17"/>
  <c r="P16" i="17"/>
  <c r="O16" i="17"/>
  <c r="L16" i="17"/>
  <c r="A16" i="17"/>
  <c r="P15" i="17"/>
  <c r="O15" i="17"/>
  <c r="L15" i="17"/>
  <c r="A15" i="17"/>
  <c r="T14" i="17"/>
  <c r="P14" i="17"/>
  <c r="O14" i="17"/>
  <c r="L14" i="17"/>
  <c r="A14" i="17"/>
  <c r="P13" i="17"/>
  <c r="O13" i="17"/>
  <c r="L13" i="17"/>
  <c r="A13" i="17"/>
  <c r="P12" i="17"/>
  <c r="O12" i="17"/>
  <c r="L12" i="17"/>
  <c r="A12" i="17"/>
  <c r="P11" i="17"/>
  <c r="O11" i="17"/>
  <c r="L11" i="17"/>
  <c r="A11" i="17"/>
  <c r="P10" i="17"/>
  <c r="O10" i="17"/>
  <c r="L10" i="17"/>
  <c r="A10" i="17"/>
  <c r="N9" i="17"/>
  <c r="J9" i="17"/>
  <c r="G9" i="17"/>
  <c r="G22" i="17"/>
  <c r="F9" i="17"/>
  <c r="P7" i="17"/>
  <c r="O7" i="17"/>
  <c r="L7" i="17"/>
  <c r="A7" i="17"/>
  <c r="P6" i="17"/>
  <c r="O6" i="17"/>
  <c r="L6" i="17"/>
  <c r="A6" i="17"/>
  <c r="P5" i="17"/>
  <c r="O5" i="17"/>
  <c r="L5" i="17"/>
  <c r="A5" i="17"/>
  <c r="P4" i="17"/>
  <c r="P9" i="17" s="1"/>
  <c r="O4" i="17"/>
  <c r="O9" i="17" s="1"/>
  <c r="L4" i="17"/>
  <c r="L9" i="17"/>
  <c r="A4" i="17"/>
  <c r="A165" i="5"/>
  <c r="A160" i="5"/>
  <c r="A159" i="5"/>
  <c r="A158" i="5"/>
  <c r="A164" i="5"/>
  <c r="A163" i="5"/>
  <c r="A162" i="5"/>
  <c r="A161" i="5"/>
  <c r="B149" i="5"/>
  <c r="A149" i="5"/>
  <c r="B148" i="5"/>
  <c r="A148" i="5"/>
  <c r="A156" i="5"/>
  <c r="A155" i="5"/>
  <c r="B153" i="5"/>
  <c r="A153" i="5"/>
  <c r="B152" i="5"/>
  <c r="A152" i="5"/>
  <c r="B151" i="5"/>
  <c r="A151" i="5"/>
  <c r="B150" i="5"/>
  <c r="A150" i="5"/>
  <c r="B209" i="5"/>
  <c r="A209" i="5"/>
  <c r="A166" i="5"/>
  <c r="A157" i="5"/>
  <c r="A154" i="5"/>
  <c r="L17" i="16"/>
  <c r="E7" i="2"/>
  <c r="F27" i="16"/>
  <c r="I44" i="16"/>
  <c r="G44" i="16"/>
  <c r="F44" i="16"/>
  <c r="E44" i="16"/>
  <c r="O42" i="16"/>
  <c r="N42" i="16"/>
  <c r="L42" i="16"/>
  <c r="L44" i="16"/>
  <c r="K42" i="16"/>
  <c r="O41" i="16"/>
  <c r="N41" i="16"/>
  <c r="K41" i="16"/>
  <c r="E36" i="17"/>
  <c r="O40" i="16"/>
  <c r="N40" i="16"/>
  <c r="K40" i="16"/>
  <c r="E35" i="17"/>
  <c r="O39" i="16"/>
  <c r="N39" i="16"/>
  <c r="K39" i="16"/>
  <c r="E34" i="17"/>
  <c r="O38" i="16"/>
  <c r="N38" i="16"/>
  <c r="K38" i="16"/>
  <c r="E33" i="17"/>
  <c r="O37" i="16"/>
  <c r="N37" i="16"/>
  <c r="K37" i="16"/>
  <c r="E32" i="17"/>
  <c r="O36" i="16"/>
  <c r="N36" i="16"/>
  <c r="K36" i="16"/>
  <c r="E31" i="17"/>
  <c r="O35" i="16"/>
  <c r="N35" i="16"/>
  <c r="K35" i="16"/>
  <c r="E30" i="17"/>
  <c r="O34" i="16"/>
  <c r="N34" i="16"/>
  <c r="K34" i="16"/>
  <c r="E29" i="17"/>
  <c r="O33" i="16"/>
  <c r="N33" i="16"/>
  <c r="K33" i="16"/>
  <c r="E28" i="17"/>
  <c r="O32" i="16"/>
  <c r="N32" i="16"/>
  <c r="K32" i="16"/>
  <c r="E27" i="17"/>
  <c r="O31" i="16"/>
  <c r="N31" i="16"/>
  <c r="K31" i="16"/>
  <c r="E26" i="17"/>
  <c r="O30" i="16"/>
  <c r="N30" i="16"/>
  <c r="K30" i="16"/>
  <c r="E25" i="17"/>
  <c r="O29" i="16"/>
  <c r="N29" i="16"/>
  <c r="K29" i="16"/>
  <c r="E24" i="17"/>
  <c r="O28" i="16"/>
  <c r="N28" i="16"/>
  <c r="K28" i="16"/>
  <c r="E23" i="17"/>
  <c r="M27" i="16"/>
  <c r="K27" i="16"/>
  <c r="I27" i="16"/>
  <c r="E27" i="16"/>
  <c r="A17" i="16"/>
  <c r="L12" i="16"/>
  <c r="A12" i="16"/>
  <c r="L11" i="16"/>
  <c r="A11" i="16"/>
  <c r="N10" i="16"/>
  <c r="L10" i="16"/>
  <c r="A10" i="16"/>
  <c r="L20" i="16"/>
  <c r="A20" i="16"/>
  <c r="L19" i="16"/>
  <c r="A19" i="16"/>
  <c r="S18" i="16"/>
  <c r="L18" i="16"/>
  <c r="A18" i="16"/>
  <c r="L13" i="16"/>
  <c r="A13" i="16"/>
  <c r="L14" i="16"/>
  <c r="A14" i="16"/>
  <c r="L15" i="16"/>
  <c r="A15" i="16"/>
  <c r="L16" i="16"/>
  <c r="A16" i="16"/>
  <c r="G9" i="16"/>
  <c r="G27" i="16"/>
  <c r="F9" i="16"/>
  <c r="O7" i="16"/>
  <c r="N7" i="16"/>
  <c r="L7" i="16"/>
  <c r="A7" i="16"/>
  <c r="O6" i="16"/>
  <c r="N6" i="16"/>
  <c r="L6" i="16"/>
  <c r="A6" i="16"/>
  <c r="O5" i="16"/>
  <c r="N5" i="16"/>
  <c r="L5" i="16"/>
  <c r="A5" i="16"/>
  <c r="O4" i="16"/>
  <c r="N4" i="16"/>
  <c r="L4" i="16"/>
  <c r="L9" i="16"/>
  <c r="A4" i="16"/>
  <c r="B128" i="5"/>
  <c r="B124" i="5"/>
  <c r="B123" i="5"/>
  <c r="B122" i="5"/>
  <c r="B121" i="5"/>
  <c r="B120" i="5"/>
  <c r="B119" i="5"/>
  <c r="B118" i="5"/>
  <c r="B117" i="5"/>
  <c r="B116" i="5"/>
  <c r="B115" i="5"/>
  <c r="B136" i="5"/>
  <c r="B135" i="5"/>
  <c r="B134" i="5"/>
  <c r="B133" i="5"/>
  <c r="B132" i="5"/>
  <c r="B131" i="5"/>
  <c r="B130" i="5"/>
  <c r="B127" i="5"/>
  <c r="B126" i="5"/>
  <c r="B125" i="5"/>
  <c r="B129" i="5"/>
  <c r="B143" i="5"/>
  <c r="B142" i="5"/>
  <c r="B141" i="5"/>
  <c r="B140" i="5"/>
  <c r="B139" i="5"/>
  <c r="B138" i="5"/>
  <c r="B137" i="5"/>
  <c r="A124" i="5"/>
  <c r="A120" i="5"/>
  <c r="A116" i="5"/>
  <c r="A121" i="5"/>
  <c r="A128" i="5"/>
  <c r="A122" i="5"/>
  <c r="A118" i="5"/>
  <c r="A123" i="5"/>
  <c r="A119" i="5"/>
  <c r="A115" i="5"/>
  <c r="A117" i="5"/>
  <c r="A132" i="5"/>
  <c r="A126" i="5"/>
  <c r="A127" i="5"/>
  <c r="A136" i="5"/>
  <c r="A130" i="5"/>
  <c r="A129" i="5"/>
  <c r="A134" i="5"/>
  <c r="A131" i="5"/>
  <c r="A125" i="5"/>
  <c r="A135" i="5"/>
  <c r="A133" i="5"/>
  <c r="A141" i="5"/>
  <c r="A142" i="5"/>
  <c r="A138" i="5"/>
  <c r="A143" i="5"/>
  <c r="A139" i="5"/>
  <c r="A137" i="5"/>
  <c r="A140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44" i="5"/>
  <c r="B145" i="5"/>
  <c r="B146" i="5"/>
  <c r="B147" i="5"/>
  <c r="B210" i="5"/>
  <c r="B211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44" i="5"/>
  <c r="A145" i="5"/>
  <c r="A146" i="5"/>
  <c r="A147" i="5"/>
  <c r="A210" i="5"/>
  <c r="A211" i="5"/>
  <c r="A212" i="5"/>
  <c r="A213" i="5"/>
  <c r="B85" i="5"/>
  <c r="B86" i="5"/>
  <c r="B87" i="5"/>
  <c r="B88" i="5"/>
  <c r="B89" i="5"/>
  <c r="B90" i="5"/>
  <c r="B91" i="5"/>
  <c r="B92" i="5"/>
  <c r="B71" i="5"/>
  <c r="B70" i="5"/>
  <c r="B57" i="5"/>
  <c r="B56" i="5"/>
  <c r="B55" i="5"/>
  <c r="B54" i="5"/>
  <c r="B53" i="5"/>
  <c r="B52" i="5"/>
  <c r="B65" i="5"/>
  <c r="B64" i="5"/>
  <c r="B63" i="5"/>
  <c r="B62" i="5"/>
  <c r="B61" i="5"/>
  <c r="B60" i="5"/>
  <c r="B59" i="5"/>
  <c r="B58" i="5"/>
  <c r="B75" i="5"/>
  <c r="B74" i="5"/>
  <c r="B73" i="5"/>
  <c r="B72" i="5"/>
  <c r="B69" i="5"/>
  <c r="B68" i="5"/>
  <c r="B67" i="5"/>
  <c r="B66" i="5"/>
  <c r="B79" i="5"/>
  <c r="B78" i="5"/>
  <c r="B77" i="5"/>
  <c r="B76" i="5"/>
  <c r="B83" i="5"/>
  <c r="B82" i="5"/>
  <c r="B81" i="5"/>
  <c r="B80" i="5"/>
  <c r="R4" i="5"/>
  <c r="A4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A1" i="6"/>
  <c r="O22" i="6"/>
  <c r="B5" i="5"/>
  <c r="B6" i="5"/>
  <c r="B7" i="5"/>
  <c r="B8" i="5"/>
  <c r="B9" i="5"/>
  <c r="B10" i="5"/>
  <c r="B41" i="5"/>
  <c r="B42" i="5"/>
  <c r="B43" i="5"/>
  <c r="B44" i="5"/>
  <c r="B45" i="5"/>
  <c r="B46" i="5"/>
  <c r="B47" i="5"/>
  <c r="B48" i="5"/>
  <c r="B49" i="5"/>
  <c r="B50" i="5"/>
  <c r="B51" i="5"/>
  <c r="B84" i="5"/>
  <c r="B212" i="5"/>
  <c r="B213" i="5"/>
  <c r="B4" i="5"/>
  <c r="A1" i="2"/>
  <c r="K8" i="2"/>
  <c r="L8" i="2"/>
  <c r="O22" i="17"/>
  <c r="L22" i="17"/>
  <c r="P40" i="17"/>
  <c r="O9" i="16"/>
  <c r="L27" i="16"/>
  <c r="N27" i="16"/>
  <c r="O27" i="16"/>
  <c r="N9" i="16"/>
  <c r="O44" i="16"/>
  <c r="K24" i="17"/>
  <c r="M24" i="17"/>
  <c r="K28" i="17"/>
  <c r="M28" i="17"/>
  <c r="M23" i="17"/>
  <c r="E40" i="17"/>
  <c r="K23" i="17"/>
  <c r="M27" i="17"/>
  <c r="K27" i="17"/>
  <c r="M31" i="17"/>
  <c r="K31" i="17"/>
  <c r="K35" i="17"/>
  <c r="M35" i="17"/>
  <c r="M26" i="17"/>
  <c r="K26" i="17"/>
  <c r="M30" i="17"/>
  <c r="K30" i="17"/>
  <c r="M34" i="17"/>
  <c r="K34" i="17"/>
  <c r="M25" i="17"/>
  <c r="K25" i="17"/>
  <c r="K29" i="17"/>
  <c r="M29" i="17"/>
  <c r="K33" i="17"/>
  <c r="M33" i="17"/>
  <c r="M36" i="17"/>
  <c r="K36" i="17"/>
  <c r="K32" i="17"/>
  <c r="M32" i="17"/>
  <c r="K44" i="16"/>
  <c r="M44" i="16"/>
  <c r="N44" i="16"/>
  <c r="O40" i="17"/>
  <c r="M40" i="17"/>
  <c r="K40" i="17"/>
  <c r="C18" i="6" l="1"/>
  <c r="E17" i="2"/>
  <c r="J13" i="4"/>
  <c r="H10" i="6"/>
  <c r="L19" i="7"/>
  <c r="H16" i="4"/>
  <c r="C12" i="6"/>
  <c r="E16" i="2"/>
  <c r="E14" i="4"/>
  <c r="N22" i="6"/>
  <c r="C24" i="7"/>
  <c r="C13" i="7"/>
  <c r="C7" i="7"/>
  <c r="N13" i="4"/>
  <c r="E13" i="4"/>
  <c r="O23" i="7"/>
  <c r="L17" i="7"/>
  <c r="C23" i="6"/>
  <c r="F12" i="4"/>
  <c r="L15" i="7"/>
  <c r="C6" i="6"/>
  <c r="C8" i="6"/>
  <c r="C9" i="7"/>
  <c r="E8" i="4"/>
  <c r="C14" i="6"/>
  <c r="H11" i="7"/>
  <c r="F13" i="2"/>
  <c r="F11" i="2"/>
  <c r="H13" i="4"/>
  <c r="F8" i="2"/>
  <c r="C16" i="6"/>
  <c r="I13" i="4"/>
  <c r="C20" i="6"/>
  <c r="F9" i="2"/>
  <c r="C21" i="7"/>
  <c r="F9" i="4"/>
</calcChain>
</file>

<file path=xl/comments1.xml><?xml version="1.0" encoding="utf-8"?>
<comments xmlns="http://schemas.openxmlformats.org/spreadsheetml/2006/main">
  <authors>
    <author>User 1</author>
  </authors>
  <commentList>
    <comment ref="Q4" authorId="0">
      <text>
        <r>
          <rPr>
            <sz val="9"/>
            <color indexed="81"/>
            <rFont val="Tahoma"/>
            <family val="2"/>
          </rPr>
          <t>3 Tháng sau 3%</t>
        </r>
      </text>
    </comment>
  </commentList>
</comments>
</file>

<file path=xl/comments2.xml><?xml version="1.0" encoding="utf-8"?>
<comments xmlns="http://schemas.openxmlformats.org/spreadsheetml/2006/main">
  <authors>
    <author>User 1</author>
  </authors>
  <commentList>
    <comment ref="R4" authorId="0">
      <text>
        <r>
          <rPr>
            <sz val="9"/>
            <color indexed="81"/>
            <rFont val="Tahoma"/>
            <family val="2"/>
          </rPr>
          <t>3 Tháng sau 3%</t>
        </r>
      </text>
    </comment>
  </commentList>
</comments>
</file>

<file path=xl/sharedStrings.xml><?xml version="1.0" encoding="utf-8"?>
<sst xmlns="http://schemas.openxmlformats.org/spreadsheetml/2006/main" count="2073" uniqueCount="499">
  <si>
    <t>NỘI DUNG</t>
  </si>
  <si>
    <t>STT</t>
  </si>
  <si>
    <t>CÔNG TY TNHH HẢI SẢN AN LẠC</t>
  </si>
  <si>
    <t>x</t>
  </si>
  <si>
    <t>CÔNG TY TNHH HẢI SƠN</t>
  </si>
  <si>
    <t>2103 148 5100 8898</t>
  </si>
  <si>
    <t>Eximbank - CN Bình Tân</t>
  </si>
  <si>
    <t>CN - Gia Định</t>
  </si>
  <si>
    <t xml:space="preserve"> 0    0    0    0    0   0   0    0   6   0    7    2</t>
  </si>
  <si>
    <t>TPHCM</t>
  </si>
  <si>
    <t>NGÀY TT</t>
  </si>
  <si>
    <t>SỐ PHIẾU</t>
  </si>
  <si>
    <t>NH</t>
  </si>
  <si>
    <t>TÊN</t>
  </si>
  <si>
    <t>CMND</t>
  </si>
  <si>
    <t>NGÀY CẤP</t>
  </si>
  <si>
    <t>NƠI CẤP</t>
  </si>
  <si>
    <t>GIẤY UQ</t>
  </si>
  <si>
    <t>KHÁCH HÀNG / NGƯỜI NHẬN TIỀN</t>
  </si>
  <si>
    <t>SỐ TIỀN</t>
  </si>
  <si>
    <t>GHI CHÚ</t>
  </si>
  <si>
    <t>UNC01</t>
  </si>
  <si>
    <t>UNC02</t>
  </si>
  <si>
    <t>UNC03</t>
  </si>
  <si>
    <t>UNC04</t>
  </si>
  <si>
    <t>LC01</t>
  </si>
  <si>
    <t>USD</t>
  </si>
  <si>
    <t>VNĐ</t>
  </si>
  <si>
    <t>SỐ TK</t>
  </si>
  <si>
    <t>TÊN NGÂN HÀNG</t>
  </si>
  <si>
    <t>6801 0000 318 995</t>
  </si>
  <si>
    <t>BIDV – CHI NHÁNH LONG AN</t>
  </si>
  <si>
    <t>TỈNH</t>
  </si>
  <si>
    <t>LONG AN</t>
  </si>
  <si>
    <t>CTY CP GIẢI PHÁP THANH TOÁN ĐIỆN LỰC VÀ VIỄN THÔNG</t>
  </si>
  <si>
    <t>Orderer’s Name</t>
  </si>
  <si>
    <t>Account number</t>
  </si>
  <si>
    <t>With VIETNAM EXPORT IMPORT BANK - M.T.O/Branch/T.O</t>
  </si>
  <si>
    <t>Beneficiary’s Name</t>
  </si>
  <si>
    <t xml:space="preserve">      Account No.</t>
  </si>
  <si>
    <t xml:space="preserve">     With Bank</t>
  </si>
  <si>
    <t xml:space="preserve">     Province/City</t>
  </si>
  <si>
    <t xml:space="preserve">     </t>
  </si>
  <si>
    <t>Details</t>
  </si>
  <si>
    <r>
      <t>CHUYỂN</t>
    </r>
    <r>
      <rPr>
        <sz val="8"/>
        <color theme="1"/>
        <rFont val="Times New Roman"/>
        <family val="1"/>
      </rPr>
      <t xml:space="preserve"> </t>
    </r>
    <r>
      <rPr>
        <b/>
        <sz val="8"/>
        <color theme="1"/>
        <rFont val="Times New Roman"/>
        <family val="1"/>
      </rPr>
      <t>KHOẢN/</t>
    </r>
    <r>
      <rPr>
        <b/>
        <i/>
        <sz val="6"/>
        <color theme="1"/>
        <rFont val="Times New Roman"/>
        <family val="1"/>
      </rPr>
      <t>Transfer</t>
    </r>
  </si>
  <si>
    <r>
      <t>Đơn vị trả tiền</t>
    </r>
    <r>
      <rPr>
        <i/>
        <sz val="5"/>
        <color theme="1"/>
        <rFont val="Times New Roman"/>
        <family val="1"/>
      </rPr>
      <t xml:space="preserve">: </t>
    </r>
  </si>
  <si>
    <r>
      <t>Số tài khoản</t>
    </r>
    <r>
      <rPr>
        <i/>
        <sz val="6"/>
        <color theme="1"/>
        <rFont val="Times New Roman"/>
        <family val="1"/>
      </rPr>
      <t>:</t>
    </r>
  </si>
  <si>
    <r>
      <t>Đơn vị nhận tiền</t>
    </r>
    <r>
      <rPr>
        <i/>
        <sz val="6"/>
        <color theme="1"/>
        <rFont val="Times New Roman"/>
        <family val="1"/>
      </rPr>
      <t>:</t>
    </r>
  </si>
  <si>
    <r>
      <t xml:space="preserve">    Tại Ngân hàng</t>
    </r>
    <r>
      <rPr>
        <sz val="6"/>
        <color theme="1"/>
        <rFont val="Times New Roman"/>
        <family val="1"/>
      </rPr>
      <t>:</t>
    </r>
  </si>
  <si>
    <r>
      <t xml:space="preserve">    Tỉnh/TP</t>
    </r>
    <r>
      <rPr>
        <i/>
        <sz val="6"/>
        <color theme="1"/>
        <rFont val="Times New Roman"/>
        <family val="1"/>
      </rPr>
      <t>:</t>
    </r>
  </si>
  <si>
    <r>
      <t>Amount in words</t>
    </r>
    <r>
      <rPr>
        <sz val="5"/>
        <color theme="1"/>
        <rFont val="Times New Roman"/>
        <family val="1"/>
      </rPr>
      <t xml:space="preserve">                   </t>
    </r>
  </si>
  <si>
    <r>
      <t>Ordered on</t>
    </r>
    <r>
      <rPr>
        <sz val="6"/>
        <color theme="1"/>
        <rFont val="Times New Roman"/>
        <family val="1"/>
      </rPr>
      <t xml:space="preserve">        </t>
    </r>
  </si>
  <si>
    <r>
      <rPr>
        <b/>
        <sz val="18"/>
        <color rgb="FF00B0F0"/>
        <rFont val="Times New Roman"/>
        <family val="1"/>
      </rPr>
      <t>ỦY NHIỆM CHI</t>
    </r>
    <r>
      <rPr>
        <b/>
        <sz val="18"/>
        <color rgb="FF0868AC"/>
        <rFont val="Times New Roman"/>
        <family val="1"/>
      </rPr>
      <t xml:space="preserve">  </t>
    </r>
  </si>
  <si>
    <t>PAYMENT ORDER</t>
  </si>
  <si>
    <t>□</t>
  </si>
  <si>
    <r>
      <t>Số tài khoản</t>
    </r>
    <r>
      <rPr>
        <sz val="8"/>
        <color theme="1"/>
        <rFont val="Times New Roman"/>
        <family val="1"/>
      </rPr>
      <t>:</t>
    </r>
  </si>
  <si>
    <t>Tại Ngân hàng Xuất Nhập Khẩu Việt Nam - SGD/Chi nhánh/PGD:</t>
  </si>
  <si>
    <t>I.D No./PP No.</t>
  </si>
  <si>
    <t>Issued date</t>
  </si>
  <si>
    <t>Issued place</t>
  </si>
  <si>
    <r>
      <t>Số tiền bằng chữ:</t>
    </r>
    <r>
      <rPr>
        <sz val="8"/>
        <color theme="1"/>
        <rFont val="Times New Roman"/>
        <family val="1"/>
      </rPr>
      <t xml:space="preserve"> </t>
    </r>
  </si>
  <si>
    <t>Số tiền bằng số</t>
  </si>
  <si>
    <t>Amount in figures</t>
  </si>
  <si>
    <r>
      <t>Nội dung</t>
    </r>
    <r>
      <rPr>
        <i/>
        <sz val="6"/>
        <color theme="1"/>
        <rFont val="Times New Roman"/>
        <family val="1"/>
      </rPr>
      <t xml:space="preserve">: </t>
    </r>
  </si>
  <si>
    <t>Kế toán trưởng</t>
  </si>
  <si>
    <t>Chief Accountant</t>
  </si>
  <si>
    <t>Chủ tài khoản</t>
  </si>
  <si>
    <t>Account holder</t>
  </si>
  <si>
    <t>Registered by Bank A (Eximbank) on</t>
  </si>
  <si>
    <t>Giao dịch viên</t>
  </si>
  <si>
    <t>Teller</t>
  </si>
  <si>
    <t>Kiểm soát</t>
  </si>
  <si>
    <t>Verifier</t>
  </si>
  <si>
    <t>Registered by Bank B on</t>
  </si>
  <si>
    <r>
      <t xml:space="preserve">NH A </t>
    </r>
    <r>
      <rPr>
        <i/>
        <sz val="6"/>
        <color theme="1"/>
        <rFont val="Times New Roman"/>
        <family val="1"/>
      </rPr>
      <t>(Eximbank)</t>
    </r>
    <r>
      <rPr>
        <b/>
        <sz val="8"/>
        <color theme="1"/>
        <rFont val="Times New Roman"/>
        <family val="1"/>
      </rPr>
      <t xml:space="preserve"> ghi sổ ngày</t>
    </r>
    <r>
      <rPr>
        <sz val="6"/>
        <color theme="1"/>
        <rFont val="Times New Roman"/>
        <family val="1"/>
      </rPr>
      <t>……………………………………</t>
    </r>
  </si>
  <si>
    <r>
      <t xml:space="preserve">NH B </t>
    </r>
    <r>
      <rPr>
        <i/>
        <sz val="6"/>
        <color theme="1"/>
        <rFont val="Times New Roman"/>
        <family val="1"/>
      </rPr>
      <t>(Beneficiary’s Bank)</t>
    </r>
    <r>
      <rPr>
        <b/>
        <sz val="8"/>
        <color theme="1"/>
        <rFont val="Times New Roman"/>
        <family val="1"/>
      </rPr>
      <t xml:space="preserve"> ghi sổ ngày</t>
    </r>
    <r>
      <rPr>
        <sz val="6"/>
        <color theme="1"/>
        <rFont val="Times New Roman"/>
        <family val="1"/>
      </rPr>
      <t>………………………</t>
    </r>
  </si>
  <si>
    <t>LC03</t>
  </si>
  <si>
    <r>
      <t>CMND/Hộ chiếu</t>
    </r>
    <r>
      <rPr>
        <sz val="8"/>
        <color theme="1"/>
        <rFont val="Times New Roman"/>
        <family val="1"/>
      </rPr>
      <t>:</t>
    </r>
    <r>
      <rPr>
        <sz val="6"/>
        <color theme="1"/>
        <rFont val="Times New Roman"/>
        <family val="1"/>
      </rPr>
      <t>…………………………………………………………………………………………………………..</t>
    </r>
  </si>
  <si>
    <r>
      <rPr>
        <b/>
        <sz val="8"/>
        <color theme="1"/>
        <rFont val="Times New Roman"/>
        <family val="1"/>
      </rPr>
      <t>Nơi cấp</t>
    </r>
    <r>
      <rPr>
        <sz val="8"/>
        <color theme="1"/>
        <rFont val="Times New Roman"/>
        <family val="1"/>
      </rPr>
      <t>:</t>
    </r>
    <r>
      <rPr>
        <sz val="6"/>
        <color theme="1"/>
        <rFont val="Times New Roman"/>
        <family val="1"/>
      </rPr>
      <t>………………………………………………………………………………………………………………………………….</t>
    </r>
  </si>
  <si>
    <r>
      <rPr>
        <b/>
        <sz val="8"/>
        <color theme="1"/>
        <rFont val="Times New Roman"/>
        <family val="1"/>
      </rPr>
      <t>Ngày cấp</t>
    </r>
    <r>
      <rPr>
        <sz val="8"/>
        <color theme="1"/>
        <rFont val="Times New Roman"/>
        <family val="1"/>
      </rPr>
      <t>:</t>
    </r>
    <r>
      <rPr>
        <sz val="6"/>
        <color theme="1"/>
        <rFont val="Times New Roman"/>
        <family val="1"/>
      </rPr>
      <t>……………………………………………………………………………………………………………………………..</t>
    </r>
  </si>
  <si>
    <t>EIB-Q11</t>
  </si>
  <si>
    <t>Thanh toán tiền nước - Hải Sơn</t>
  </si>
  <si>
    <t>UNC05</t>
  </si>
  <si>
    <t>UNC06</t>
  </si>
  <si>
    <t>MKH: PB06030022841- Tiền điện kỳ 2&amp;3 tháng 06 năm 2016</t>
  </si>
  <si>
    <t>CÔNG TY TNHH TỐC ĐỘ</t>
  </si>
  <si>
    <t>0181 000 276 710</t>
  </si>
  <si>
    <t>Vietcombank - CN Bình Thạnh</t>
  </si>
  <si>
    <t>Thanh toán cước vận chuyển &amp; phí liên quan - Tốc Độ</t>
  </si>
  <si>
    <t>BẢO HIỂM XÃ HỘI TỈNH LONG AN</t>
  </si>
  <si>
    <t>6600 202 939 015</t>
  </si>
  <si>
    <t>NN &amp; PTNT - Tỉnh Long An</t>
  </si>
  <si>
    <t>Nộp tiền BHXH (MÃ ĐƠN VỊ : TZ0250Z)</t>
  </si>
  <si>
    <t>CTY TNHH TM DV SX BAO BÌ GIẤY TÂN MINH THƯ</t>
  </si>
  <si>
    <t>ACB – CN PHÚ THỌ</t>
  </si>
  <si>
    <t>Thanh toán tiền hang – Tân Minh Thư</t>
  </si>
  <si>
    <t>8168 219</t>
  </si>
  <si>
    <t>CTY TNHH SẢN XUẤT THƯƠNG MẠI NGHỊ HÒA</t>
  </si>
  <si>
    <t>0600 0597 7811</t>
  </si>
  <si>
    <t>Sacombank – CN Ông Tạ</t>
  </si>
  <si>
    <t>Thanh toán tiền bao bì - Nghị Hòa</t>
  </si>
  <si>
    <r>
      <t>ĐV trả tiền ngày</t>
    </r>
    <r>
      <rPr>
        <sz val="8"/>
        <color theme="1"/>
        <rFont val="Times New Roman"/>
        <family val="1"/>
      </rPr>
      <t xml:space="preserve"> </t>
    </r>
    <r>
      <rPr>
        <sz val="6"/>
        <color theme="1"/>
        <rFont val="Times New Roman"/>
        <family val="1"/>
      </rPr>
      <t>…………………………………………</t>
    </r>
  </si>
  <si>
    <t>EIB-TV</t>
  </si>
  <si>
    <t>LỆNH CHI</t>
  </si>
  <si>
    <r>
      <t>Yeâu caàu</t>
    </r>
    <r>
      <rPr>
        <b/>
        <sz val="8"/>
        <color theme="1"/>
        <rFont val="VNI-Times"/>
      </rPr>
      <t>:</t>
    </r>
  </si>
  <si>
    <t>Request</t>
  </si>
  <si>
    <t>Chuyeån khoaûn</t>
  </si>
  <si>
    <t>Ruùt tieàn maët</t>
  </si>
  <si>
    <t>Transfer</t>
  </si>
  <si>
    <t>Cash withdrawal</t>
  </si>
  <si>
    <r>
      <t>Số tài khoản</t>
    </r>
    <r>
      <rPr>
        <sz val="8"/>
        <color theme="1"/>
        <rFont val="Times New Roman"/>
        <family val="1"/>
      </rPr>
      <t>:</t>
    </r>
    <r>
      <rPr>
        <sz val="6"/>
        <color theme="1"/>
        <rFont val="Times New Roman"/>
        <family val="1"/>
      </rPr>
      <t>…………………………………………………………………………</t>
    </r>
  </si>
  <si>
    <r>
      <t xml:space="preserve">    Tại Ngân hàng</t>
    </r>
    <r>
      <rPr>
        <sz val="6"/>
        <color theme="1"/>
        <rFont val="Times New Roman"/>
        <family val="1"/>
      </rPr>
      <t>:…………………………………………………………………………</t>
    </r>
  </si>
  <si>
    <r>
      <rPr>
        <b/>
        <sz val="8"/>
        <color theme="1"/>
        <rFont val="Times New Roman"/>
        <family val="1"/>
      </rPr>
      <t>Ngày cấp</t>
    </r>
    <r>
      <rPr>
        <sz val="8"/>
        <color theme="1"/>
        <rFont val="Times New Roman"/>
        <family val="1"/>
      </rPr>
      <t>:</t>
    </r>
  </si>
  <si>
    <r>
      <rPr>
        <b/>
        <sz val="8"/>
        <color theme="1"/>
        <rFont val="Times New Roman"/>
        <family val="1"/>
      </rPr>
      <t>Nơi cấp</t>
    </r>
    <r>
      <rPr>
        <sz val="8"/>
        <color theme="1"/>
        <rFont val="Times New Roman"/>
        <family val="1"/>
      </rPr>
      <t>:</t>
    </r>
  </si>
  <si>
    <r>
      <t>CMND/Hộ chiếu</t>
    </r>
    <r>
      <rPr>
        <sz val="8"/>
        <color theme="1"/>
        <rFont val="Times New Roman"/>
        <family val="1"/>
      </rPr>
      <t>:</t>
    </r>
  </si>
  <si>
    <t>Thuû quyõ</t>
  </si>
  <si>
    <t xml:space="preserve">Paid </t>
  </si>
  <si>
    <t>Received on</t>
  </si>
  <si>
    <t>Chöõ kyù ngöôøi nhaän tieàn</t>
  </si>
  <si>
    <t>Beneficiary’s Signature</t>
  </si>
  <si>
    <r>
      <t>ÑV nhaän tieàn ngaøy:</t>
    </r>
    <r>
      <rPr>
        <sz val="6"/>
        <color theme="1"/>
        <rFont val="Times New Roman"/>
        <family val="1"/>
      </rPr>
      <t>………………………………………..</t>
    </r>
  </si>
  <si>
    <r>
      <t xml:space="preserve">    Tỉnh/TP</t>
    </r>
    <r>
      <rPr>
        <i/>
        <sz val="6"/>
        <color theme="1"/>
        <rFont val="Times New Roman"/>
        <family val="1"/>
      </rPr>
      <t>:</t>
    </r>
    <r>
      <rPr>
        <sz val="6"/>
        <color theme="1"/>
        <rFont val="Times New Roman"/>
        <family val="1"/>
      </rPr>
      <t>………………………………………………………………………………………………</t>
    </r>
  </si>
  <si>
    <r>
      <t>Số</t>
    </r>
    <r>
      <rPr>
        <sz val="8"/>
        <color theme="1"/>
        <rFont val="Times New Roman"/>
        <family val="1"/>
      </rPr>
      <t>/</t>
    </r>
    <r>
      <rPr>
        <i/>
        <sz val="6"/>
        <color theme="1"/>
        <rFont val="Times New Roman"/>
        <family val="1"/>
      </rPr>
      <t xml:space="preserve">No: </t>
    </r>
    <r>
      <rPr>
        <sz val="6"/>
        <color theme="1"/>
        <rFont val="Times New Roman"/>
        <family val="1"/>
      </rPr>
      <t>……………………………………………………………………….</t>
    </r>
  </si>
  <si>
    <r>
      <t>Ngày</t>
    </r>
    <r>
      <rPr>
        <sz val="8"/>
        <color theme="1"/>
        <rFont val="Times New Roman"/>
        <family val="1"/>
      </rPr>
      <t>/</t>
    </r>
    <r>
      <rPr>
        <i/>
        <sz val="6"/>
        <color theme="1"/>
        <rFont val="Times New Roman"/>
        <family val="1"/>
      </rPr>
      <t>Date</t>
    </r>
    <r>
      <rPr>
        <i/>
        <sz val="8"/>
        <color theme="1"/>
        <rFont val="Times New Roman"/>
        <family val="1"/>
      </rPr>
      <t xml:space="preserve">: </t>
    </r>
    <r>
      <rPr>
        <sz val="6"/>
        <color theme="1"/>
        <rFont val="Times New Roman"/>
        <family val="1"/>
      </rPr>
      <t>………………………………………………………….</t>
    </r>
  </si>
  <si>
    <t>EIB-Q4</t>
  </si>
  <si>
    <t>BÁN NT</t>
  </si>
  <si>
    <t>Eximbank - CN Q4</t>
  </si>
  <si>
    <t>1402 148 5100 9465</t>
  </si>
  <si>
    <t>CTY TNHH HẢI SẢN AN LẠC</t>
  </si>
  <si>
    <t>CTY TNHH HẢI SẢN AN LẠC TRÀ VINH</t>
  </si>
  <si>
    <t>1402 148 5100 7445</t>
  </si>
  <si>
    <t>Ứng vốn</t>
  </si>
  <si>
    <t>CTY TNHH MTV CÔNG NGHỆ MÔI TRƯỜNG CDM</t>
  </si>
  <si>
    <t>128 196 099</t>
  </si>
  <si>
    <t>CẦN THƠ</t>
  </si>
  <si>
    <t>NGÂN HÀNG ACB – CHI NHÁNH CẦN THƠ</t>
  </si>
  <si>
    <t>Tạm ứng đợt 2 dự án Trà Vinh</t>
  </si>
  <si>
    <t>ACB – CN CHỢ LỚN</t>
  </si>
  <si>
    <t>179 248 999</t>
  </si>
  <si>
    <t>CÔNG TY TNHH CƠ KHÍ XÂY DỰNG Đ &amp; T</t>
  </si>
  <si>
    <t>Thanh toán tiền thi công công trình</t>
  </si>
  <si>
    <t>PV</t>
  </si>
  <si>
    <t>R</t>
  </si>
  <si>
    <t>Ko</t>
  </si>
  <si>
    <t>e2</t>
  </si>
  <si>
    <t>018 100 342 4743</t>
  </si>
  <si>
    <t>VCB - CN NAM SÀI GÒN</t>
  </si>
  <si>
    <t>Thanh toán cước vận chuyển &amp; phí liên quan</t>
  </si>
  <si>
    <t>CÔNG TY TNHH NYD LOGISTICS</t>
  </si>
  <si>
    <t>CTY TNHH HÓA CHẤT THÀNH PHƯƠNG</t>
  </si>
  <si>
    <t>0600 0595 4609</t>
  </si>
  <si>
    <t>Sacombank – CN Tân Bình</t>
  </si>
  <si>
    <t>Thanh toán tiền Sorbitol - Thành Phương</t>
  </si>
  <si>
    <t>CTY CP TƯ VẤN XÂY DỰNG MINH HÒA</t>
  </si>
  <si>
    <t>1020 1000 220 8383</t>
  </si>
  <si>
    <t>VietinBank - CN Trà Vinh</t>
  </si>
  <si>
    <t>Trà Vinh</t>
  </si>
  <si>
    <t>Thanh toán tiền tư vấn khảo sát công trình</t>
  </si>
  <si>
    <t>0000 0000 6072</t>
  </si>
  <si>
    <t>PVCombank - CN Gia Định</t>
  </si>
  <si>
    <t>Chuyển VNĐ</t>
  </si>
  <si>
    <t>MKH: PB06030022841- Tiền điện kỳ 1 tháng 07 năm 2016</t>
  </si>
  <si>
    <t>ĐIỆN LỰC THÀNH PHỐ TRÀ VINH – CÔNG TY ĐIỆN LỰC TRÀ VINH</t>
  </si>
  <si>
    <t>VIETINBANK– CHI NHÁNH TRÀ VINH</t>
  </si>
  <si>
    <t>PVCOMBANK – CHI NHÁNH GIA ĐỊNH</t>
  </si>
  <si>
    <t>370000006072</t>
  </si>
  <si>
    <t>Chuyển NT</t>
  </si>
  <si>
    <t>UNC07</t>
  </si>
  <si>
    <t>MKH: PB06030022841- Tiền điện kỳ 2 tháng 07 năm 2016</t>
  </si>
  <si>
    <t>CTY TNHH ASIA SHIPPING LOGISTICS AND WAREHOUSE VIETNAM</t>
  </si>
  <si>
    <t>0251 0027 16735</t>
  </si>
  <si>
    <t>Vietcombank - CN Bình Tây</t>
  </si>
  <si>
    <t>Thanh toán tiền cước vận chuyển &amp; phí liên quan</t>
  </si>
  <si>
    <t>TRUNG TÂM CHẤT LƯỢNG NÔNG LÂM THUỶ SẢN VÙNG 4</t>
  </si>
  <si>
    <t>102010000081797</t>
  </si>
  <si>
    <t>TMCP CÔNG THƯƠNG VIỆT NAM – CHI NHÁNH TP.HCM</t>
  </si>
  <si>
    <t>3511.0.1053950</t>
  </si>
  <si>
    <t>KHO BẠC NHÀ NƯỚC QUẬN 1</t>
  </si>
  <si>
    <t>Thanh toán phí kiểm nghiệm T05 &amp; 06/2016</t>
  </si>
  <si>
    <t>Thanh toán phí kiểm nghiệm T05/2016</t>
  </si>
  <si>
    <t>CHI NHÁNH CÔNG TY TNHH TÂN HY XÍ NGHIỆP IN &amp; BAO BÌ DUY NHẬT</t>
  </si>
  <si>
    <t>032 100 081 1345</t>
  </si>
  <si>
    <t>VIETCOMBANK – CN Sóc Trăng</t>
  </si>
  <si>
    <t>Sóc Trăng</t>
  </si>
  <si>
    <t>Thanh toán tiền bao bì – Duy Nhật</t>
  </si>
  <si>
    <t>CTY TNHH THƯƠNG MẠI DỊCH VỤ HẢI TRUNG ANH</t>
  </si>
  <si>
    <t>EXIMBANK - CN Quận 7</t>
  </si>
  <si>
    <t>Thanh toán tiền chlorine dioxide - Hải Trung Anh</t>
  </si>
  <si>
    <t>PB16010048099 - Thanh toán tiền điện kỳ 1 &amp; 2 tháng 07 năm 2016</t>
  </si>
  <si>
    <t>C. Duy</t>
  </si>
  <si>
    <t>C. Hoa</t>
  </si>
  <si>
    <t>1403 148 5101 7230</t>
  </si>
  <si>
    <t>CTY TNHH MỘT THÀNH VIÊN QUẢNG CÁO TẤN PHONG</t>
  </si>
  <si>
    <t>0700 2797 9139</t>
  </si>
  <si>
    <t>SACOMBANK – CN Tỉnh Trà Vinh</t>
  </si>
  <si>
    <t>Thanh toán tiền mica bảng hiệu - Tấn Phong</t>
  </si>
  <si>
    <t>CTY CỔ PHẦN CÔNG TRÌNH ĐÔ THỊ TRÀ VINH</t>
  </si>
  <si>
    <t>1020 1000 0319 782</t>
  </si>
  <si>
    <t>1020 1000 0319 461</t>
  </si>
  <si>
    <t>Thanh toán tiền cân xanh &amp; 50% Hợp đồng vận chuyển rác thải</t>
  </si>
  <si>
    <t>DNTN SX TM NGUYỄN TRÌNH</t>
  </si>
  <si>
    <t>1020 1000 0712 510</t>
  </si>
  <si>
    <t>Thanh toán tiền VLXD – Nguyễn Trình</t>
  </si>
  <si>
    <t>Eximbank - CN Q11</t>
  </si>
  <si>
    <t>Hoàn vốn</t>
  </si>
  <si>
    <t>MKH: PB06030022841- Tiền điện kỳ 3 tháng 07 năm 2016</t>
  </si>
  <si>
    <t>1015 148 5100 9180</t>
  </si>
  <si>
    <t>CTY TNHH MTV XD TM DV KHÁNH TRÂN</t>
  </si>
  <si>
    <t>070 004 137 327</t>
  </si>
  <si>
    <t>NH Sacombank – CN Tỉnh Trà Vinh</t>
  </si>
  <si>
    <t>Tạm ứng tiền thi công công trình – Khánh Trân</t>
  </si>
  <si>
    <t>CÔNG TY TNHH MỘT THÀNH VIÊN MUỐI TÂN THÀNH</t>
  </si>
  <si>
    <t>5583 2169</t>
  </si>
  <si>
    <t>ACB – PGD NGUYỄN SƠN</t>
  </si>
  <si>
    <t>Thanh toán tiền muối - Tân Thành</t>
  </si>
  <si>
    <t>MKH: PB06030022841- Tiền điện kỳ 1 tháng 08 năm 2016</t>
  </si>
  <si>
    <t>Thanh toán tiền nước, phí CSHT  T6 &amp; T7 năm 2016 - Hải Sơn</t>
  </si>
  <si>
    <t>UNC08</t>
  </si>
  <si>
    <t>CƠ QUAN QUẢN LÝ CHẤT LƯỢNG NÔNG LÂM SẢN VÀ THỦY SẢN NAM BỘ</t>
  </si>
  <si>
    <t>007 100 539 7409</t>
  </si>
  <si>
    <t>Vietcombank - CN TPHCM</t>
  </si>
  <si>
    <t xml:space="preserve">Chi phí kiểm tra HACCP </t>
  </si>
  <si>
    <t>CTY XĂNG DẦU TRÀ VINH</t>
  </si>
  <si>
    <t>102 010 000 319 614</t>
  </si>
  <si>
    <t>VIETINBANK – CN TRÀ VINH</t>
  </si>
  <si>
    <t>Thanh toán tiền gas</t>
  </si>
  <si>
    <t>PB16010048099 - Thanh toán tiền điện kỳ 1 tháng 08 năm 2016</t>
  </si>
  <si>
    <t>UNC09</t>
  </si>
  <si>
    <t>UNC10</t>
  </si>
  <si>
    <t>CTY TNHH SX TM ÁNH DƯƠNG VINA</t>
  </si>
  <si>
    <t>198 027 079</t>
  </si>
  <si>
    <t>Thanh toán tiền hộp ghẹ</t>
  </si>
  <si>
    <t>VIỄN THÔNG LONG AN</t>
  </si>
  <si>
    <t>ĐIỆN LỰC LONG AN</t>
  </si>
  <si>
    <t>ĐIỆN LỰC TRÀ VINH</t>
  </si>
  <si>
    <t>Url : http://cuoc.vnptlongan.vn/</t>
  </si>
  <si>
    <t>Url : http://cskh.evnspc.vn/CSKHEVN/</t>
  </si>
  <si>
    <t xml:space="preserve">Url : </t>
  </si>
  <si>
    <t>User : LAN-352-012072</t>
  </si>
  <si>
    <t>User : PB06030022841</t>
  </si>
  <si>
    <t>User : PB16010048099</t>
  </si>
  <si>
    <t xml:space="preserve">User : </t>
  </si>
  <si>
    <t>Pass : Abc@1234</t>
  </si>
  <si>
    <t>Pass : 22841</t>
  </si>
  <si>
    <t>Pass : 48099</t>
  </si>
  <si>
    <t xml:space="preserve">Pass : </t>
  </si>
  <si>
    <t>THUẾ LONG AN</t>
  </si>
  <si>
    <t>THUẾ TRÀ VINH</t>
  </si>
  <si>
    <t>Url : https://nhantokhai.gdt.gov.vn/ihtkk_nnt/loginForm.jsp</t>
  </si>
  <si>
    <t>User : 1100878093</t>
  </si>
  <si>
    <t>User : 2100346855</t>
  </si>
  <si>
    <t>Pass : anlacla093</t>
  </si>
  <si>
    <t>Pass : anlactv855</t>
  </si>
  <si>
    <t>EXIMBANK LONG AN</t>
  </si>
  <si>
    <t>EXIMBANK TRA VINH</t>
  </si>
  <si>
    <t>Url : https://ebanking.eximbank.vn/ib/faces/login.jspx?_adf.ctrl-state=ja52pdo9m_62&amp;_afrLoop=675998425255000</t>
  </si>
  <si>
    <t>User : 103960638DN3443</t>
  </si>
  <si>
    <t>User : 106824043</t>
  </si>
  <si>
    <t>EIB</t>
  </si>
  <si>
    <t>Stt</t>
  </si>
  <si>
    <t>Số khế ước</t>
  </si>
  <si>
    <t>Thời gian</t>
  </si>
  <si>
    <t xml:space="preserve"> Gốc vay đầu kỳ </t>
  </si>
  <si>
    <t>Traû goác</t>
  </si>
  <si>
    <t xml:space="preserve"> Gốc vay cuối kỳ </t>
  </si>
  <si>
    <t>Traû laõi</t>
  </si>
  <si>
    <t>Laõi suaát</t>
  </si>
  <si>
    <t>Ghi chuù</t>
  </si>
  <si>
    <t>Ngày vay</t>
  </si>
  <si>
    <t>Ngày tới hạn</t>
  </si>
  <si>
    <t>VND</t>
  </si>
  <si>
    <t>Ngày trả</t>
  </si>
  <si>
    <t>USD Q11</t>
  </si>
  <si>
    <t>VND Q4</t>
  </si>
  <si>
    <t>VND Q11</t>
  </si>
  <si>
    <t>USD Q4</t>
  </si>
  <si>
    <t>Ngaøy tính laõi</t>
  </si>
  <si>
    <t>LA</t>
  </si>
  <si>
    <t>3C 01</t>
  </si>
  <si>
    <t>TC: Q4 - LA</t>
  </si>
  <si>
    <t>1402LDS201401630</t>
  </si>
  <si>
    <t xml:space="preserve"> nhà xưởng TV </t>
  </si>
  <si>
    <t>1402LDS201402000</t>
  </si>
  <si>
    <t>1402LDS201402374</t>
  </si>
  <si>
    <t>1402LDS201402740</t>
  </si>
  <si>
    <t>1402LDS201403045</t>
  </si>
  <si>
    <t>1402LDS201500362</t>
  </si>
  <si>
    <t>1402LDS201500909</t>
  </si>
  <si>
    <t>1402LDS201501248</t>
  </si>
  <si>
    <t>1402LDS201501494</t>
  </si>
  <si>
    <t>1402LDS201501796</t>
  </si>
  <si>
    <t>1402LDS201502113</t>
  </si>
  <si>
    <t>1402LDS201502211</t>
  </si>
  <si>
    <t>1402LDS201502415</t>
  </si>
  <si>
    <t>1402LDS201502591</t>
  </si>
  <si>
    <t>TC: Q4 - TV</t>
  </si>
  <si>
    <t>1402 148 5100 9479</t>
  </si>
  <si>
    <t>Tỷ giá</t>
  </si>
  <si>
    <t>1025 000021 6241</t>
  </si>
  <si>
    <t>1025 000021 6265</t>
  </si>
  <si>
    <t>1025 037000 1485</t>
  </si>
  <si>
    <t>1025 037000 1526</t>
  </si>
  <si>
    <t>PB16010048099 - Thanh toán tiền điện kỳ 2 tháng 08 năm 2016</t>
  </si>
  <si>
    <t>1402LDS201601563</t>
  </si>
  <si>
    <t>1402LDS201601331</t>
  </si>
  <si>
    <t>TC: PVcombank - LA</t>
  </si>
  <si>
    <t>1025 037000 1629</t>
  </si>
  <si>
    <t>PVCombank</t>
  </si>
  <si>
    <t>CTY TNHH TM THỦY GIANG SƠN</t>
  </si>
  <si>
    <t>1020 10000 618 618</t>
  </si>
  <si>
    <t>VIETINBANK– CHI NHÁNH 11</t>
  </si>
  <si>
    <t>Thanh toán tiền túi PP, màng PA</t>
  </si>
  <si>
    <t>1020 10000 319 461</t>
  </si>
  <si>
    <t>MKH: PB06030022841- Tiền điện kỳ 3 tháng 08 năm 2016</t>
  </si>
  <si>
    <t>1025 037000 1643</t>
  </si>
  <si>
    <t>MKH: PB06030022841- Tiền điện kỳ 1 tháng 09 năm 2016</t>
  </si>
  <si>
    <t>Thanh toán phí kiểm nghiệm T07/2016</t>
  </si>
  <si>
    <t>1020 1000 0081 797</t>
  </si>
  <si>
    <t>Thanh toán phí kiểm nghiệm T07&amp;08/2016</t>
  </si>
  <si>
    <t>PB16010048099 - Thanh toán tiền điện kỳ 1&amp;2 tháng 09 năm 2016</t>
  </si>
  <si>
    <t>Thanh toán tiền xử lý cá khô</t>
  </si>
  <si>
    <t>CTY CỔ PHẦN CHIẾU XẠ AN PHÚ</t>
  </si>
  <si>
    <t>0411 001 004 118</t>
  </si>
  <si>
    <t>VCB- CN Nam Bình Dương</t>
  </si>
  <si>
    <t>BÌNH DƯƠNG</t>
  </si>
  <si>
    <t>MKH: PB06030022841- Tiền điện kỳ 2 tháng 09 năm 2016</t>
  </si>
  <si>
    <t>CÔNG TY BẢO VIỆT SÀI GÒN</t>
  </si>
  <si>
    <t>TMCP BẢO VIỆT – CN TPHCM</t>
  </si>
  <si>
    <t>0031 077 077 008</t>
  </si>
  <si>
    <t xml:space="preserve">Thanh toán phí TNDS của đơn bảo hiểm: 400649 (0444 -6228) </t>
  </si>
  <si>
    <t xml:space="preserve">Thanh toán phí VCX &amp; Người ngồi trên xe của đơn bảo hiểm: 400649 (0444 -6228) </t>
  </si>
  <si>
    <t>CTY CỔ PHẦN KINH DOANH THỦY HẢI SẢN SÀI GÒN</t>
  </si>
  <si>
    <t>102.01.0000.133490</t>
  </si>
  <si>
    <t>NH CÔNG THƯƠNG – CN 6</t>
  </si>
  <si>
    <t xml:space="preserve">Hải Sản An Lạc - Thanh toán tiền hoa hồng UTXK </t>
  </si>
  <si>
    <t>CTY TNHH KỸ THUẬT CƠ ĐIỆN M&amp;E</t>
  </si>
  <si>
    <t>6 2222 0100 8322</t>
  </si>
  <si>
    <t>NH AGRIBANK – CN Q5</t>
  </si>
  <si>
    <t>CTY TNHH THƯƠNG MẠI TRANG TRÍ NỘI THẤT KIẾN HƯNG</t>
  </si>
  <si>
    <t>025 100 267 8925</t>
  </si>
  <si>
    <t>NGÂN HÀNG VIETCOMBANK – CN. BÌNH TÂY</t>
  </si>
  <si>
    <t>Thanh toán tiền HĐ:0001388</t>
  </si>
  <si>
    <t>CTY TNHH XD VÀ PHÒNG CHÁY CHỮA CHÁY TRUNG NAM</t>
  </si>
  <si>
    <t>060 029 031 048</t>
  </si>
  <si>
    <t>NH Sacombank – CN Chợ Lớn</t>
  </si>
  <si>
    <t xml:space="preserve">Tiền lắp đặt PCCC </t>
  </si>
  <si>
    <t>CTY TNHH XÂY DỰNG HOÀN CẦU</t>
  </si>
  <si>
    <t>7411 201 000 285</t>
  </si>
  <si>
    <t>AGRIBANK – CN Huyện Càng Long</t>
  </si>
  <si>
    <t>Thanh toán tiền thi công trình – Toàn Cầu</t>
  </si>
  <si>
    <t>BẢO HIỂM XÃ HỘI TP.TRÀ VINH</t>
  </si>
  <si>
    <t>7406 202 959 035</t>
  </si>
  <si>
    <t>AGRIBANK – CN TP.TRÀ VINH</t>
  </si>
  <si>
    <t>MKH: PB06030022841- Tiền điện kỳ 3 tháng 09 năm 2016</t>
  </si>
  <si>
    <t>Nộp tiền BHXH (MÃ ĐƠN VỊ : TA0315A)</t>
  </si>
  <si>
    <t>Thanh toán tiền nước, phí CSHT  T8 &amp; T9 năm 2016 - Hải Sơn</t>
  </si>
  <si>
    <t>MKH: PB06030022841- Tiền điện kỳ 1 tháng 10 năm 2016</t>
  </si>
  <si>
    <t>CTY TNHH KOOLMAN VIỆT NAM</t>
  </si>
  <si>
    <t>060 119 400 832</t>
  </si>
  <si>
    <t>Tạm ứng 30% - Koolman</t>
  </si>
  <si>
    <t>Sacombank-CN Phương Nam,PGD Tân Sơn Nhất</t>
  </si>
  <si>
    <t>CÔNG TY TNHH DỊCH VỤ GIAO NHẬN AAAS</t>
  </si>
  <si>
    <t>007 100 1293855</t>
  </si>
  <si>
    <t>VIETCOMBANK – HCM</t>
  </si>
  <si>
    <t>Thanh toán cước vận chuyển và phí liên quan</t>
  </si>
  <si>
    <t>MKH: PB06030022841- Tiền điện kỳ 2 tháng 10 năm 2016</t>
  </si>
  <si>
    <t>PB16010048099 - Thanh toán tiền điện kỳ 1&amp;2 tháng 10 năm 2016</t>
  </si>
  <si>
    <t>1015 148 5100 9193</t>
  </si>
  <si>
    <t>CTY QUẢN LÝ VÀ PHÁT TRIỂN HẠ TẦNG KHU KINH TẾ VÀ CÁC KHU CÔNG NGHIỆP</t>
  </si>
  <si>
    <t>3751 0 1031156</t>
  </si>
  <si>
    <t>Kho Bạc Nhà Nước Trà Vinh</t>
  </si>
  <si>
    <t>Phí hạ tầng từ 15/09/16 đến 31/12/16</t>
  </si>
  <si>
    <t>CTY TNHH THƯƠNG MẠI DỊCH VỤ TOÀN NGUYỄN</t>
  </si>
  <si>
    <t>977 18569</t>
  </si>
  <si>
    <t>Thương Mại Á Châu – PGD Maximark 2</t>
  </si>
  <si>
    <t>Thanh toán tiền BHLĐ – Toàn Nguyễn</t>
  </si>
  <si>
    <t>MKH: PB06030022841- Tiền điện kỳ 3 tháng 10 năm 2016</t>
  </si>
  <si>
    <t>Tạm ứng  - Koolman</t>
  </si>
  <si>
    <t>1025 037000 1791</t>
  </si>
  <si>
    <t>1025 037000 1863</t>
  </si>
  <si>
    <t>ZhouHan</t>
  </si>
  <si>
    <t>Flak Vostok LCC</t>
  </si>
  <si>
    <t>Tokai</t>
  </si>
  <si>
    <t>DNTN HẢI SẢN KIM CHÂU</t>
  </si>
  <si>
    <t>050 039 699 831</t>
  </si>
  <si>
    <t>Sacombank-PGD Lagi</t>
  </si>
  <si>
    <t>Bình Thuận</t>
  </si>
  <si>
    <t>Thanh toán tiền hàng</t>
  </si>
  <si>
    <t>MKH: PB06030022841- Tiền điện kỳ 1 tháng 11 năm 2016</t>
  </si>
  <si>
    <t>Thanh toán phí kiểm nghiệm T09/2016</t>
  </si>
  <si>
    <t>DNTN THỦY ĐỒNG</t>
  </si>
  <si>
    <t>0500 3899 2421</t>
  </si>
  <si>
    <t>DNTN THỦY SẢN PHƯƠNG MAI</t>
  </si>
  <si>
    <t>7504 201 003 221</t>
  </si>
  <si>
    <t>Cà Mau</t>
  </si>
  <si>
    <t>Thanh toán phí kiểm nghiệm T10/2016</t>
  </si>
  <si>
    <t>Agribank - Sông Đốc, Trần Văn Thời</t>
  </si>
  <si>
    <t>PB16010048099 - Thanh toán tiền điện kỳ 1&amp;2 tháng 11 năm 2016</t>
  </si>
  <si>
    <t>MKH: PB06030022841- Tiền điện kỳ 2 tháng 11 năm 2016</t>
  </si>
  <si>
    <t>TÀI KHOẢN CHUYÊN THU NGÂN SÁCH NHÀ NƯỚC</t>
  </si>
  <si>
    <t>TRUNG TÂM CHẤT LƯỢNG NÔNG LÂM THUỶ SẢN VÙNG 6</t>
  </si>
  <si>
    <t>4102 02 003</t>
  </si>
  <si>
    <t>NH Công Thương – CN Cần Thơ</t>
  </si>
  <si>
    <t>Cần Thơ</t>
  </si>
  <si>
    <t>Thanh toán phí kiểm nghiệm cho TTCLNLTS 6 nộp vào TK 3511.0.1054053.00000</t>
  </si>
  <si>
    <t>3712 1 1054053 00000</t>
  </si>
  <si>
    <t>KHO BẠC NHÀ NƯỚC CẦN THƠ</t>
  </si>
  <si>
    <t>Thanh toán kiểm dịch vụ đợt ngày 10, 19 &amp; 25 tháng 11 năm 2016</t>
  </si>
  <si>
    <t>Thanh toán phí kiểm nghiệm cho TTCLNLTS 6 nộp vào TK 3511.0.1054053.00000 - KBNN Cần Thơ</t>
  </si>
  <si>
    <t>CTY TNHH DỊCH VỤ VẬN CHUYỂN QUỐC TẾ HOÀNG ANH</t>
  </si>
  <si>
    <t>802 62 809</t>
  </si>
  <si>
    <t>NH Á CHÂU - CN TP.HCM</t>
  </si>
  <si>
    <t>Thanh toán tiền cước vận chuyển</t>
  </si>
  <si>
    <t>CTY TNHH IFB INTERNATIONAL FREIGHTBRIDGE VIỆT NAM</t>
  </si>
  <si>
    <t>6017 0406 0168 152</t>
  </si>
  <si>
    <t>NGÂN HÀNG VIB - CN TPHCM</t>
  </si>
  <si>
    <t>Thanh toán tiền nước, phí CSHT  T10 &amp; T11 năm 2016 - Hải Sơn</t>
  </si>
  <si>
    <t>MKH: PB06030022841- Tiền điện kỳ 3 tháng 11 năm 2016</t>
  </si>
  <si>
    <t>MKH: PB06030022841- Tiền điện kỳ 1 tháng 12 năm 2016</t>
  </si>
  <si>
    <t>CTY TNHH MTV THIỆN TÀI</t>
  </si>
  <si>
    <t>7341 0000 0026 34</t>
  </si>
  <si>
    <t>BIDV – CHI NHÁNH TRÀ VINH</t>
  </si>
  <si>
    <t>Thanh toán tiền máy lạnh</t>
  </si>
  <si>
    <t>0500 3969 9831</t>
  </si>
  <si>
    <t>PB16010048099 - Thanh toán tiền điện kỳ 1&amp;2 tháng 12 năm 2016</t>
  </si>
  <si>
    <t>MKH: PB06030022841- Tiền điện kỳ 2 tháng 12 năm 2016</t>
  </si>
  <si>
    <t>1025 037000 2013</t>
  </si>
  <si>
    <t>1402LDS201602725</t>
  </si>
  <si>
    <t>1402LDS201602654</t>
  </si>
  <si>
    <t>1402LDS201602853</t>
  </si>
  <si>
    <t>EXIMBANK Chi Nhánh Quận 4</t>
  </si>
  <si>
    <t>Địa chỉ: Tòa Nhà H2, 196 Hoàng Diệu, P.8, Q.4, TP HCM</t>
  </si>
  <si>
    <t>Chi Nhánh PVcombank Gia Định</t>
  </si>
  <si>
    <t>Địa chỉ: 495-497 An Dương Vương, P.8, Q.5, TP HCM</t>
  </si>
  <si>
    <t>ĐTDĐ: 0909 616 559 - Nguyễn Thị Thanh Thảo</t>
  </si>
  <si>
    <t>Địa chỉ: Lô A14, Đường 4A, KCN Hải Sơn, Huyện Đức Hòa, Tỉnh Long An</t>
  </si>
  <si>
    <t>Điện thoại: +08 39414947 - Fax: +848 39414950</t>
  </si>
  <si>
    <t>Điện thoại: +072 3850 606 (EXT: 12) - Fax: +072 3850 608</t>
  </si>
  <si>
    <t>Điện thoại: +08 35207168 (EXT: 3086)</t>
  </si>
  <si>
    <t>VPBank - Chi Nhánh Long An</t>
  </si>
  <si>
    <t>Địa chỉ: Số 6, Lê Cao Dõng, P.2, Tân An, Long An</t>
  </si>
  <si>
    <t>Điện thoại: 072 3524 524 (EXT: 129)</t>
  </si>
  <si>
    <t>ĐTDĐ: 0934 665 358 - Dương Quốc Vũ</t>
  </si>
  <si>
    <t>Thanh toán phí kiểm nghiệm T11/2016</t>
  </si>
  <si>
    <t>MKH: PB06030022841- Tiền điện kỳ 3 tháng 12 năm 2016</t>
  </si>
  <si>
    <t>Thanh toán phí kiểm nghiệm T12/2016</t>
  </si>
  <si>
    <t>1020 1000 0545 109</t>
  </si>
  <si>
    <t>TRÀ VINH</t>
  </si>
  <si>
    <t>TRUNG TÂM KỸ THUẬT TÀI NGUYÊN VÀ MÔI TRƯỜNG</t>
  </si>
  <si>
    <t>Thanh toán tiền môi trường</t>
  </si>
  <si>
    <t>PB16010048099 - Thanh toán tiền điện kỳ 1 tháng 1 năm 2017</t>
  </si>
  <si>
    <t>CTY CỔ PHẦN THỦY SẢN HIỆP PHÁT</t>
  </si>
  <si>
    <t>0700 0544 7400</t>
  </si>
  <si>
    <t>SACOMBANK - PGD MINH LƯƠNG</t>
  </si>
  <si>
    <t>KIÊN GIANG</t>
  </si>
  <si>
    <t>VIETINBANK – CN TP.HCM</t>
  </si>
  <si>
    <t>CÔNG TY TNHH THƯƠNG MẠI XUẤT NHẬP KHẨU VẬN TẢI VĨNH PHÁT</t>
  </si>
  <si>
    <t>0421 000 457 457</t>
  </si>
  <si>
    <t>Vietcombank CN Phú Thọ</t>
  </si>
  <si>
    <t>Thanh toán tiền vận tải - Vĩnh Phát</t>
  </si>
  <si>
    <t>LC- Chung Haewon</t>
  </si>
  <si>
    <t>CK-Kojubu (Ghẹ)</t>
  </si>
  <si>
    <t>CK-Kojubu (Cá bò)</t>
  </si>
  <si>
    <t>CK-Tokai</t>
  </si>
  <si>
    <t>CK-Michang</t>
  </si>
  <si>
    <t>1025 037000 2068</t>
  </si>
  <si>
    <t>1025 037000 1959</t>
  </si>
  <si>
    <t>1025 037000 1973</t>
  </si>
  <si>
    <t>1025 037000 2006</t>
  </si>
  <si>
    <t>1025 037000 2130</t>
  </si>
  <si>
    <t>1025 037000 2147</t>
  </si>
  <si>
    <t>1025 037000 2226</t>
  </si>
  <si>
    <t>1025 037000 2219</t>
  </si>
  <si>
    <t>1025 037000 2233</t>
  </si>
  <si>
    <t>Thanh toán dự án Trà Vinh</t>
  </si>
  <si>
    <t>CTY TNHH MTV THANH HOÀNG THANH</t>
  </si>
  <si>
    <t>017 100 325 7097</t>
  </si>
  <si>
    <t>NH TMCP An Bình – PGD Khánh Hội</t>
  </si>
  <si>
    <t>Thanh toán tiền thi công công trình - Thanh Hoàng Thanh</t>
  </si>
  <si>
    <t>VIETCOMBANK – CN. BÌNH TÂY</t>
  </si>
  <si>
    <t>Thanh toán VLXD Trà Vinh</t>
  </si>
  <si>
    <t>CTY TNHH PHI HẢI</t>
  </si>
  <si>
    <t>07 000 443 4690</t>
  </si>
  <si>
    <t>NH Sacombank – CN Sóc Trăng</t>
  </si>
  <si>
    <t>1025 037000 2116</t>
  </si>
  <si>
    <t>MKH: PB06030022841- Tiền điện kỳ 1&amp;2 tháng 01 năm 2017</t>
  </si>
  <si>
    <t>CÔNG TY TNHH GIAO NHẬN VẬN CHUYỂN ÁNH DƯƠNG</t>
  </si>
  <si>
    <t>053 100 250 3669</t>
  </si>
  <si>
    <t>Vietcombank – CN Đông Sài Gòn</t>
  </si>
  <si>
    <t>Thanh toán cước vận chuyển và phí liên quan – Ánh Dương</t>
  </si>
  <si>
    <t>Thanh toán tiền cước vận chuyển &amp; phí liên quan - asia</t>
  </si>
  <si>
    <t>CTY CỔ PHẦN BẢO HIỂM VIỄN ĐÔNG-SỞ GIAO DỊCH TPHCM</t>
  </si>
  <si>
    <t>0600 0598 0634</t>
  </si>
  <si>
    <t>Sacombank - CN Trung Tân</t>
  </si>
  <si>
    <t>Thanh toán tiền BH của HĐ: 16-99-11-020303-0056862</t>
  </si>
  <si>
    <t>Thanh toán tiền hàng - Trà Vinh</t>
  </si>
  <si>
    <t>PB16010048099 - Thanh toán tiền điện kỳ 2/T1 &amp; kỳ 1,2/T2 năm 2017</t>
  </si>
  <si>
    <t>MKH: PB06030022841- Tiền điện kỳ 3/T1 &amp; kỳ 1,2/T2 năm 2017</t>
  </si>
  <si>
    <t>1402LDS201700049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</si>
</sst>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3" formatCode="_(* #,##0.00_);_(* \(#,##0.00\);_(* &quot;-&quot;??_);_(@_)"/>
    <numFmt numFmtId="164" formatCode="_(* #,##0_);_(* \(#,##0\);_(* &quot;-&quot;??_);_(@_)"/>
    <numFmt numFmtId="165" formatCode="#,###"/>
    <numFmt numFmtId="166" formatCode="_-* #,##0.00_-;\-* #,##0.00_-;_-* &quot;-&quot;??_-;_-@_-"/>
    <numFmt numFmtId="167" formatCode="\$#,##0\ ;\(\$#,##0\)"/>
    <numFmt numFmtId="168" formatCode="&quot;\&quot;#,##0;[Red]&quot;\&quot;&quot;\&quot;\-#,##0"/>
    <numFmt numFmtId="169" formatCode="&quot;\&quot;#,##0.00;[Red]&quot;\&quot;&quot;\&quot;&quot;\&quot;&quot;\&quot;&quot;\&quot;&quot;\&quot;\-#,##0.00"/>
    <numFmt numFmtId="170" formatCode="&quot;\&quot;#,##0.00;[Red]&quot;\&quot;\-#,##0.00"/>
    <numFmt numFmtId="171" formatCode="&quot;\&quot;#,##0;[Red]&quot;\&quot;\-#,##0"/>
    <numFmt numFmtId="172" formatCode="0.0%"/>
  </numFmts>
  <fonts count="69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Times New Roman"/>
      <family val="1"/>
    </font>
    <font>
      <sz val="10"/>
      <color theme="1"/>
      <name val="Times New Roman"/>
      <family val="1"/>
    </font>
    <font>
      <sz val="11"/>
      <color theme="0"/>
      <name val="Times New Roman"/>
      <family val="1"/>
    </font>
    <font>
      <sz val="8"/>
      <color theme="1"/>
      <name val="Times New Roman"/>
      <family val="1"/>
    </font>
    <font>
      <sz val="10.5"/>
      <color theme="1"/>
      <name val="Times New Roman"/>
      <family val="1"/>
    </font>
    <font>
      <sz val="12"/>
      <color theme="1"/>
      <name val="Times New Roman"/>
      <family val="1"/>
    </font>
    <font>
      <b/>
      <sz val="18"/>
      <color rgb="FF00B0F0"/>
      <name val="Times New Roman"/>
      <family val="1"/>
    </font>
    <font>
      <b/>
      <sz val="18"/>
      <color rgb="FF0868AC"/>
      <name val="Times New Roman"/>
      <family val="1"/>
    </font>
    <font>
      <b/>
      <sz val="8"/>
      <color theme="1"/>
      <name val="Times New Roman"/>
      <family val="1"/>
    </font>
    <font>
      <i/>
      <sz val="6"/>
      <color theme="1"/>
      <name val="Times New Roman"/>
      <family val="1"/>
    </font>
    <font>
      <b/>
      <sz val="10"/>
      <color theme="1"/>
      <name val="Times New Roman"/>
      <family val="1"/>
    </font>
    <font>
      <b/>
      <sz val="10"/>
      <color rgb="FF00B0F0"/>
      <name val="Times New Roman"/>
      <family val="1"/>
    </font>
    <font>
      <i/>
      <sz val="8"/>
      <color theme="1"/>
      <name val="Times New Roman"/>
      <family val="1"/>
    </font>
    <font>
      <b/>
      <i/>
      <sz val="6"/>
      <color theme="1"/>
      <name val="Times New Roman"/>
      <family val="1"/>
    </font>
    <font>
      <i/>
      <sz val="5"/>
      <color theme="1"/>
      <name val="Times New Roman"/>
      <family val="1"/>
    </font>
    <font>
      <sz val="6"/>
      <color theme="1"/>
      <name val="Times New Roman"/>
      <family val="1"/>
    </font>
    <font>
      <sz val="5"/>
      <color theme="1"/>
      <name val="Times New Roman"/>
      <family val="1"/>
    </font>
    <font>
      <b/>
      <sz val="18"/>
      <color theme="1"/>
      <name val="Times New Roman"/>
      <family val="1"/>
    </font>
    <font>
      <b/>
      <sz val="11"/>
      <color theme="1"/>
      <name val="Calibri"/>
      <family val="2"/>
    </font>
    <font>
      <sz val="9.5"/>
      <color theme="1"/>
      <name val="Times New Roman"/>
      <family val="1"/>
    </font>
    <font>
      <sz val="10.5"/>
      <color theme="0"/>
      <name val="Times New Roman"/>
      <family val="1"/>
    </font>
    <font>
      <b/>
      <sz val="10.5"/>
      <color theme="0"/>
      <name val="Times New Roman"/>
      <family val="1"/>
    </font>
    <font>
      <b/>
      <sz val="10.5"/>
      <color theme="1"/>
      <name val="Times New Roman"/>
      <family val="1"/>
    </font>
    <font>
      <b/>
      <u/>
      <sz val="8"/>
      <color theme="1"/>
      <name val="VNI-Times"/>
    </font>
    <font>
      <b/>
      <sz val="8"/>
      <color theme="1"/>
      <name val="VNI-Times"/>
    </font>
    <font>
      <i/>
      <sz val="6"/>
      <color theme="1"/>
      <name val="VNI-Times"/>
    </font>
    <font>
      <sz val="10.5"/>
      <color rgb="FFFF0000"/>
      <name val="Times New Roman"/>
      <family val="1"/>
    </font>
    <font>
      <sz val="10.5"/>
      <name val="Times New Roman"/>
      <family val="1"/>
    </font>
    <font>
      <sz val="11"/>
      <color theme="1"/>
      <name val="Calibri"/>
      <family val="2"/>
      <scheme val="minor"/>
    </font>
    <font>
      <b/>
      <sz val="10.5"/>
      <name val="Times New Roman"/>
      <family val="1"/>
    </font>
    <font>
      <sz val="11"/>
      <name val="Arial"/>
      <family val="2"/>
    </font>
    <font>
      <sz val="11"/>
      <name val="Times New Roman"/>
      <family val="1"/>
    </font>
    <font>
      <sz val="12"/>
      <name val="VNI-Times"/>
    </font>
    <font>
      <b/>
      <sz val="10"/>
      <name val="VNI-Times"/>
    </font>
    <font>
      <b/>
      <sz val="12"/>
      <name val="VNI-Times"/>
    </font>
    <font>
      <b/>
      <sz val="10"/>
      <color indexed="12"/>
      <name val="VNI-Times"/>
    </font>
    <font>
      <sz val="10"/>
      <color indexed="21"/>
      <name val="Times New Roman"/>
      <family val="1"/>
    </font>
    <font>
      <b/>
      <sz val="10"/>
      <color indexed="21"/>
      <name val="VNI-Times"/>
    </font>
    <font>
      <b/>
      <sz val="10.5"/>
      <name val="VNI-Times"/>
    </font>
    <font>
      <b/>
      <sz val="10.5"/>
      <color indexed="12"/>
      <name val="VNI-Times"/>
    </font>
    <font>
      <b/>
      <sz val="10.5"/>
      <color indexed="21"/>
      <name val="VNI-Times"/>
    </font>
    <font>
      <b/>
      <sz val="10.5"/>
      <color indexed="12"/>
      <name val="Times New Roman"/>
      <family val="1"/>
    </font>
    <font>
      <sz val="10"/>
      <name val="Times New Roman"/>
      <family val="1"/>
    </font>
    <font>
      <sz val="10"/>
      <color indexed="12"/>
      <name val="Times New Roman"/>
      <family val="1"/>
    </font>
    <font>
      <b/>
      <sz val="9.5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b/>
      <sz val="9"/>
      <color indexed="21"/>
      <name val="Times New Roman"/>
      <family val="1"/>
    </font>
    <font>
      <b/>
      <sz val="10"/>
      <name val="Times New Roman"/>
      <family val="1"/>
    </font>
    <font>
      <sz val="10"/>
      <name val="VNI-Times"/>
    </font>
    <font>
      <sz val="10"/>
      <color indexed="12"/>
      <name val="VNI-Times"/>
    </font>
    <font>
      <sz val="10"/>
      <color indexed="21"/>
      <name val="VNI-Times"/>
    </font>
    <font>
      <b/>
      <sz val="9"/>
      <name val="VNI-Times"/>
    </font>
    <font>
      <sz val="11"/>
      <color indexed="8"/>
      <name val="Calibri"/>
      <family val="2"/>
    </font>
    <font>
      <b/>
      <sz val="12"/>
      <name val="Arial"/>
      <family val="2"/>
    </font>
    <font>
      <sz val="9"/>
      <name val="VNI-Times"/>
    </font>
    <font>
      <sz val="10"/>
      <name val=".VnAvant"/>
      <family val="2"/>
    </font>
    <font>
      <b/>
      <sz val="12"/>
      <name val="VNI-Cooper"/>
    </font>
    <font>
      <sz val="14"/>
      <name val="뼻뮝"/>
      <family val="3"/>
      <charset val="129"/>
    </font>
    <font>
      <sz val="12"/>
      <name val="뼻뮝"/>
      <family val="1"/>
      <charset val="129"/>
    </font>
    <font>
      <sz val="12"/>
      <name val="바탕체"/>
      <family val="1"/>
      <charset val="129"/>
    </font>
    <font>
      <sz val="10"/>
      <name val="굴림체"/>
      <family val="3"/>
      <charset val="129"/>
    </font>
    <font>
      <sz val="9"/>
      <color indexed="81"/>
      <name val="Tahoma"/>
      <family val="2"/>
    </font>
    <font>
      <sz val="10.5"/>
      <color rgb="FF0000FF"/>
      <name val="Times New Roman"/>
      <family val="1"/>
    </font>
    <font>
      <sz val="10"/>
      <name val="Arial"/>
      <family val="2"/>
    </font>
    <font>
      <b/>
      <sz val="14"/>
      <name val="Times New Roman"/>
      <family val="1"/>
    </font>
    <font>
      <b/>
      <sz val="12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2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8">
    <xf numFmtId="0" fontId="0" fillId="0" borderId="0"/>
    <xf numFmtId="43" fontId="1" fillId="0" borderId="0" applyFont="0" applyFill="0" applyBorder="0" applyAlignment="0" applyProtection="0"/>
    <xf numFmtId="0" fontId="1" fillId="0" borderId="0"/>
    <xf numFmtId="0" fontId="34" fillId="0" borderId="0"/>
    <xf numFmtId="43" fontId="34" fillId="0" borderId="0" applyFont="0" applyFill="0" applyBorder="0" applyAlignment="0" applyProtection="0"/>
    <xf numFmtId="3" fontId="54" fillId="5" borderId="1"/>
    <xf numFmtId="43" fontId="51" fillId="0" borderId="0" applyFont="0" applyFill="0" applyBorder="0" applyAlignment="0" applyProtection="0"/>
    <xf numFmtId="43" fontId="55" fillId="0" borderId="0" applyFont="0" applyFill="0" applyBorder="0" applyAlignment="0" applyProtection="0"/>
    <xf numFmtId="165" fontId="34" fillId="0" borderId="0" applyFont="0" applyFill="0" applyBorder="0" applyAlignment="0" applyProtection="0"/>
    <xf numFmtId="166" fontId="34" fillId="0" borderId="0" applyFont="0" applyFill="0" applyBorder="0" applyAlignment="0" applyProtection="0"/>
    <xf numFmtId="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54" fillId="5" borderId="1">
      <alignment horizontal="centerContinuous" vertical="center" wrapText="1"/>
    </xf>
    <xf numFmtId="3" fontId="54" fillId="5" borderId="1">
      <alignment horizontal="center" vertical="center" wrapText="1"/>
    </xf>
    <xf numFmtId="2" fontId="1" fillId="0" borderId="0" applyFont="0" applyFill="0" applyBorder="0" applyAlignment="0" applyProtection="0"/>
    <xf numFmtId="0" fontId="56" fillId="0" borderId="20" applyNumberFormat="0" applyAlignment="0" applyProtection="0">
      <alignment horizontal="left" vertical="center"/>
    </xf>
    <xf numFmtId="0" fontId="56" fillId="0" borderId="6">
      <alignment horizontal="left" vertical="center"/>
    </xf>
    <xf numFmtId="3" fontId="54" fillId="0" borderId="21"/>
    <xf numFmtId="3" fontId="57" fillId="0" borderId="22"/>
    <xf numFmtId="3" fontId="54" fillId="0" borderId="1">
      <alignment horizontal="center" vertical="center" wrapText="1"/>
    </xf>
    <xf numFmtId="3" fontId="54" fillId="0" borderId="1">
      <alignment horizontal="centerContinuous" vertical="center"/>
    </xf>
    <xf numFmtId="165" fontId="58" fillId="0" borderId="19"/>
    <xf numFmtId="0" fontId="51" fillId="0" borderId="0"/>
    <xf numFmtId="0" fontId="30" fillId="0" borderId="0"/>
    <xf numFmtId="0" fontId="59" fillId="0" borderId="0">
      <alignment horizontal="centerContinuous"/>
    </xf>
    <xf numFmtId="40" fontId="60" fillId="0" borderId="0" applyFont="0" applyFill="0" applyBorder="0" applyAlignment="0" applyProtection="0"/>
    <xf numFmtId="38" fontId="60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0" fillId="0" borderId="0" applyFont="0" applyFill="0" applyBorder="0" applyAlignment="0" applyProtection="0"/>
    <xf numFmtId="10" fontId="1" fillId="0" borderId="0" applyFont="0" applyFill="0" applyBorder="0" applyAlignment="0" applyProtection="0"/>
    <xf numFmtId="0" fontId="61" fillId="0" borderId="0"/>
    <xf numFmtId="168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70" fontId="62" fillId="0" borderId="0" applyFont="0" applyFill="0" applyBorder="0" applyAlignment="0" applyProtection="0"/>
    <xf numFmtId="171" fontId="62" fillId="0" borderId="0" applyFont="0" applyFill="0" applyBorder="0" applyAlignment="0" applyProtection="0"/>
    <xf numFmtId="0" fontId="63" fillId="0" borderId="0"/>
    <xf numFmtId="0" fontId="66" fillId="0" borderId="0"/>
  </cellStyleXfs>
  <cellXfs count="258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quotePrefix="1" applyFont="1"/>
    <xf numFmtId="14" fontId="2" fillId="0" borderId="0" xfId="0" applyNumberFormat="1" applyFont="1"/>
    <xf numFmtId="164" fontId="2" fillId="0" borderId="0" xfId="1" applyNumberFormat="1" applyFont="1" applyAlignment="1"/>
    <xf numFmtId="0" fontId="2" fillId="0" borderId="0" xfId="0" applyFont="1" applyAlignment="1">
      <alignment horizontal="center"/>
    </xf>
    <xf numFmtId="0" fontId="2" fillId="0" borderId="0" xfId="0" applyFont="1" applyAlignment="1">
      <alignment vertical="center"/>
    </xf>
    <xf numFmtId="0" fontId="4" fillId="0" borderId="0" xfId="0" applyFont="1"/>
    <xf numFmtId="0" fontId="2" fillId="0" borderId="0" xfId="0" applyFont="1" applyFill="1" applyBorder="1" applyAlignment="1">
      <alignment horizontal="center"/>
    </xf>
    <xf numFmtId="14" fontId="2" fillId="3" borderId="11" xfId="0" applyNumberFormat="1" applyFont="1" applyFill="1" applyBorder="1" applyAlignment="1">
      <alignment horizontal="center" vertical="center"/>
    </xf>
    <xf numFmtId="14" fontId="2" fillId="0" borderId="0" xfId="0" applyNumberFormat="1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6" fillId="0" borderId="0" xfId="0" applyFont="1"/>
    <xf numFmtId="0" fontId="2" fillId="0" borderId="0" xfId="0" applyFont="1" applyAlignment="1">
      <alignment horizontal="left" vertical="center" indent="15"/>
    </xf>
    <xf numFmtId="0" fontId="7" fillId="0" borderId="0" xfId="0" applyFont="1" applyAlignment="1">
      <alignment horizontal="left" vertical="center" indent="5"/>
    </xf>
    <xf numFmtId="0" fontId="10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10" fillId="0" borderId="0" xfId="0" applyFont="1" applyAlignment="1">
      <alignment horizontal="justify" vertical="center"/>
    </xf>
    <xf numFmtId="0" fontId="11" fillId="0" borderId="0" xfId="0" applyFont="1" applyAlignment="1">
      <alignment horizontal="justify" vertical="center"/>
    </xf>
    <xf numFmtId="0" fontId="5" fillId="0" borderId="0" xfId="0" applyFont="1" applyAlignment="1">
      <alignment horizontal="justify" vertical="center"/>
    </xf>
    <xf numFmtId="0" fontId="19" fillId="0" borderId="0" xfId="0" applyFont="1" applyAlignment="1">
      <alignment horizontal="center"/>
    </xf>
    <xf numFmtId="0" fontId="12" fillId="0" borderId="0" xfId="0" applyFont="1" applyAlignment="1">
      <alignment vertical="center"/>
    </xf>
    <xf numFmtId="0" fontId="13" fillId="0" borderId="0" xfId="0" applyFont="1" applyAlignment="1">
      <alignment horizontal="center" vertical="center"/>
    </xf>
    <xf numFmtId="0" fontId="10" fillId="0" borderId="0" xfId="0" applyFont="1"/>
    <xf numFmtId="0" fontId="11" fillId="0" borderId="0" xfId="0" applyFont="1" applyAlignment="1">
      <alignment vertical="top"/>
    </xf>
    <xf numFmtId="0" fontId="10" fillId="0" borderId="0" xfId="0" applyFont="1" applyAlignment="1"/>
    <xf numFmtId="0" fontId="20" fillId="0" borderId="0" xfId="0" applyFont="1"/>
    <xf numFmtId="0" fontId="2" fillId="0" borderId="12" xfId="0" applyFont="1" applyBorder="1"/>
    <xf numFmtId="0" fontId="2" fillId="0" borderId="13" xfId="0" applyFont="1" applyBorder="1"/>
    <xf numFmtId="0" fontId="10" fillId="0" borderId="14" xfId="0" applyFont="1" applyBorder="1" applyAlignment="1">
      <alignment vertical="center"/>
    </xf>
    <xf numFmtId="0" fontId="18" fillId="0" borderId="14" xfId="0" applyFont="1" applyBorder="1" applyAlignment="1">
      <alignment vertical="center"/>
    </xf>
    <xf numFmtId="0" fontId="2" fillId="0" borderId="14" xfId="0" applyFont="1" applyBorder="1"/>
    <xf numFmtId="0" fontId="2" fillId="0" borderId="9" xfId="0" applyFont="1" applyBorder="1"/>
    <xf numFmtId="0" fontId="2" fillId="0" borderId="10" xfId="0" applyFont="1" applyBorder="1"/>
    <xf numFmtId="0" fontId="17" fillId="0" borderId="15" xfId="0" applyFont="1" applyBorder="1" applyAlignment="1">
      <alignment vertical="top"/>
    </xf>
    <xf numFmtId="0" fontId="2" fillId="0" borderId="15" xfId="0" applyFont="1" applyBorder="1"/>
    <xf numFmtId="0" fontId="2" fillId="0" borderId="16" xfId="0" applyFont="1" applyBorder="1"/>
    <xf numFmtId="0" fontId="5" fillId="0" borderId="12" xfId="0" applyFont="1" applyBorder="1" applyAlignment="1">
      <alignment horizontal="justify" vertical="center"/>
    </xf>
    <xf numFmtId="0" fontId="11" fillId="0" borderId="0" xfId="0" applyFont="1" applyAlignment="1">
      <alignment horizontal="left" vertical="top"/>
    </xf>
    <xf numFmtId="0" fontId="12" fillId="0" borderId="0" xfId="0" applyFont="1"/>
    <xf numFmtId="0" fontId="3" fillId="0" borderId="7" xfId="0" applyFont="1" applyBorder="1"/>
    <xf numFmtId="0" fontId="2" fillId="0" borderId="12" xfId="0" applyFont="1" applyBorder="1" applyAlignment="1">
      <alignment vertical="center"/>
    </xf>
    <xf numFmtId="0" fontId="12" fillId="0" borderId="0" xfId="0" applyFont="1" applyAlignment="1"/>
    <xf numFmtId="0" fontId="2" fillId="0" borderId="0" xfId="0" applyFont="1" applyAlignment="1"/>
    <xf numFmtId="0" fontId="2" fillId="0" borderId="0" xfId="0" applyFont="1" applyBorder="1"/>
    <xf numFmtId="0" fontId="17" fillId="0" borderId="0" xfId="0" applyFont="1" applyAlignment="1"/>
    <xf numFmtId="164" fontId="3" fillId="0" borderId="5" xfId="1" applyNumberFormat="1" applyFont="1" applyBorder="1" applyAlignment="1"/>
    <xf numFmtId="0" fontId="19" fillId="0" borderId="0" xfId="0" applyFont="1" applyAlignment="1">
      <alignment horizontal="center" vertical="center"/>
    </xf>
    <xf numFmtId="0" fontId="21" fillId="0" borderId="0" xfId="0" applyFont="1"/>
    <xf numFmtId="0" fontId="21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22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23" fillId="0" borderId="0" xfId="0" applyFont="1" applyAlignment="1">
      <alignment horizontal="center" vertical="center" wrapText="1"/>
    </xf>
    <xf numFmtId="0" fontId="24" fillId="0" borderId="0" xfId="0" applyFont="1" applyAlignment="1">
      <alignment horizontal="center" vertical="center" wrapText="1"/>
    </xf>
    <xf numFmtId="0" fontId="24" fillId="3" borderId="1" xfId="0" applyFont="1" applyFill="1" applyBorder="1" applyAlignment="1">
      <alignment horizontal="center" vertical="center" wrapText="1"/>
    </xf>
    <xf numFmtId="0" fontId="24" fillId="3" borderId="8" xfId="0" applyFont="1" applyFill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14" fontId="6" fillId="0" borderId="3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vertical="center"/>
    </xf>
    <xf numFmtId="0" fontId="6" fillId="0" borderId="2" xfId="0" applyFont="1" applyBorder="1" applyAlignment="1">
      <alignment horizontal="center" vertical="center"/>
    </xf>
    <xf numFmtId="49" fontId="6" fillId="0" borderId="2" xfId="0" applyNumberFormat="1" applyFont="1" applyBorder="1" applyAlignment="1">
      <alignment horizontal="center" vertical="center"/>
    </xf>
    <xf numFmtId="14" fontId="6" fillId="0" borderId="2" xfId="0" applyNumberFormat="1" applyFont="1" applyBorder="1" applyAlignment="1">
      <alignment horizontal="center" vertical="center"/>
    </xf>
    <xf numFmtId="43" fontId="6" fillId="0" borderId="2" xfId="1" applyFont="1" applyBorder="1" applyAlignment="1">
      <alignment vertical="center"/>
    </xf>
    <xf numFmtId="164" fontId="6" fillId="0" borderId="2" xfId="1" applyNumberFormat="1" applyFont="1" applyBorder="1" applyAlignment="1">
      <alignment vertical="center"/>
    </xf>
    <xf numFmtId="0" fontId="6" fillId="0" borderId="3" xfId="0" applyFont="1" applyBorder="1" applyAlignment="1">
      <alignment vertical="center"/>
    </xf>
    <xf numFmtId="0" fontId="6" fillId="0" borderId="2" xfId="0" quotePrefix="1" applyFont="1" applyBorder="1" applyAlignment="1">
      <alignment vertical="center"/>
    </xf>
    <xf numFmtId="49" fontId="6" fillId="0" borderId="3" xfId="0" applyNumberFormat="1" applyFont="1" applyBorder="1" applyAlignment="1">
      <alignment horizontal="center" vertical="center"/>
    </xf>
    <xf numFmtId="43" fontId="6" fillId="0" borderId="3" xfId="1" applyFont="1" applyBorder="1" applyAlignment="1">
      <alignment vertical="center"/>
    </xf>
    <xf numFmtId="164" fontId="6" fillId="0" borderId="3" xfId="1" applyNumberFormat="1" applyFont="1" applyBorder="1" applyAlignment="1">
      <alignment vertical="center"/>
    </xf>
    <xf numFmtId="0" fontId="8" fillId="0" borderId="0" xfId="0" applyFont="1" applyAlignment="1">
      <alignment horizontal="center" vertical="center"/>
    </xf>
    <xf numFmtId="0" fontId="27" fillId="0" borderId="0" xfId="0" applyFont="1" applyAlignment="1">
      <alignment vertical="center"/>
    </xf>
    <xf numFmtId="0" fontId="27" fillId="0" borderId="0" xfId="0" applyFont="1" applyAlignment="1">
      <alignment vertical="top"/>
    </xf>
    <xf numFmtId="0" fontId="25" fillId="0" borderId="0" xfId="0" applyFont="1" applyAlignment="1">
      <alignment vertical="center"/>
    </xf>
    <xf numFmtId="0" fontId="26" fillId="0" borderId="0" xfId="0" applyFont="1"/>
    <xf numFmtId="0" fontId="2" fillId="0" borderId="1" xfId="0" applyFont="1" applyBorder="1" applyAlignment="1">
      <alignment vertical="center"/>
    </xf>
    <xf numFmtId="0" fontId="26" fillId="0" borderId="0" xfId="0" applyFont="1" applyAlignment="1">
      <alignment vertical="center"/>
    </xf>
    <xf numFmtId="14" fontId="3" fillId="0" borderId="0" xfId="0" applyNumberFormat="1" applyFont="1" applyAlignment="1">
      <alignment vertical="center"/>
    </xf>
    <xf numFmtId="0" fontId="2" fillId="0" borderId="0" xfId="0" applyFont="1" applyBorder="1" applyAlignment="1">
      <alignment vertical="center"/>
    </xf>
    <xf numFmtId="164" fontId="3" fillId="0" borderId="12" xfId="1" applyNumberFormat="1" applyFont="1" applyBorder="1" applyAlignment="1"/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13" xfId="0" applyFont="1" applyBorder="1" applyAlignment="1">
      <alignment vertical="center"/>
    </xf>
    <xf numFmtId="0" fontId="20" fillId="0" borderId="0" xfId="0" applyFont="1" applyAlignment="1">
      <alignment vertical="center"/>
    </xf>
    <xf numFmtId="0" fontId="28" fillId="0" borderId="0" xfId="0" applyFont="1" applyAlignment="1">
      <alignment vertical="center"/>
    </xf>
    <xf numFmtId="49" fontId="6" fillId="0" borderId="0" xfId="0" applyNumberFormat="1" applyFont="1" applyAlignment="1">
      <alignment horizontal="center" vertical="center"/>
    </xf>
    <xf numFmtId="49" fontId="6" fillId="0" borderId="3" xfId="0" applyNumberFormat="1" applyFont="1" applyBorder="1" applyAlignment="1">
      <alignment vertical="center"/>
    </xf>
    <xf numFmtId="49" fontId="6" fillId="0" borderId="2" xfId="0" applyNumberFormat="1" applyFont="1" applyBorder="1" applyAlignment="1">
      <alignment vertical="center"/>
    </xf>
    <xf numFmtId="49" fontId="6" fillId="0" borderId="0" xfId="0" applyNumberFormat="1" applyFont="1" applyAlignment="1">
      <alignment vertical="center"/>
    </xf>
    <xf numFmtId="0" fontId="29" fillId="0" borderId="3" xfId="0" applyFont="1" applyBorder="1" applyAlignment="1">
      <alignment horizontal="center" vertical="center"/>
    </xf>
    <xf numFmtId="14" fontId="29" fillId="0" borderId="3" xfId="0" applyNumberFormat="1" applyFont="1" applyBorder="1" applyAlignment="1">
      <alignment horizontal="center" vertical="center"/>
    </xf>
    <xf numFmtId="0" fontId="29" fillId="0" borderId="2" xfId="0" applyFont="1" applyBorder="1" applyAlignment="1">
      <alignment vertical="center"/>
    </xf>
    <xf numFmtId="49" fontId="29" fillId="0" borderId="2" xfId="0" applyNumberFormat="1" applyFont="1" applyBorder="1" applyAlignment="1">
      <alignment horizontal="center" vertical="center"/>
    </xf>
    <xf numFmtId="14" fontId="29" fillId="0" borderId="2" xfId="0" applyNumberFormat="1" applyFont="1" applyBorder="1" applyAlignment="1">
      <alignment horizontal="center" vertical="center"/>
    </xf>
    <xf numFmtId="0" fontId="29" fillId="0" borderId="2" xfId="0" applyFont="1" applyBorder="1" applyAlignment="1">
      <alignment horizontal="center" vertical="center"/>
    </xf>
    <xf numFmtId="43" fontId="29" fillId="0" borderId="2" xfId="1" applyFont="1" applyBorder="1" applyAlignment="1">
      <alignment vertical="center"/>
    </xf>
    <xf numFmtId="164" fontId="29" fillId="0" borderId="2" xfId="1" applyNumberFormat="1" applyFont="1" applyBorder="1" applyAlignment="1">
      <alignment vertical="center"/>
    </xf>
    <xf numFmtId="49" fontId="29" fillId="0" borderId="2" xfId="0" applyNumberFormat="1" applyFont="1" applyBorder="1" applyAlignment="1">
      <alignment vertical="center"/>
    </xf>
    <xf numFmtId="0" fontId="29" fillId="0" borderId="2" xfId="0" quotePrefix="1" applyFont="1" applyBorder="1" applyAlignment="1">
      <alignment vertical="center"/>
    </xf>
    <xf numFmtId="0" fontId="29" fillId="0" borderId="3" xfId="0" applyFont="1" applyBorder="1" applyAlignment="1">
      <alignment horizontal="left" vertical="center"/>
    </xf>
    <xf numFmtId="0" fontId="31" fillId="0" borderId="4" xfId="2" applyFont="1" applyBorder="1" applyAlignment="1">
      <alignment horizontal="center" vertical="center"/>
    </xf>
    <xf numFmtId="0" fontId="32" fillId="0" borderId="0" xfId="2" applyFont="1" applyAlignment="1">
      <alignment vertical="center"/>
    </xf>
    <xf numFmtId="0" fontId="29" fillId="0" borderId="17" xfId="2" applyFont="1" applyBorder="1" applyAlignment="1">
      <alignment horizontal="left" vertical="center"/>
    </xf>
    <xf numFmtId="0" fontId="33" fillId="0" borderId="17" xfId="2" applyFont="1" applyBorder="1" applyAlignment="1">
      <alignment vertical="center"/>
    </xf>
    <xf numFmtId="0" fontId="33" fillId="0" borderId="8" xfId="2" applyFont="1" applyBorder="1" applyAlignment="1">
      <alignment vertical="center"/>
    </xf>
    <xf numFmtId="0" fontId="32" fillId="0" borderId="0" xfId="2" applyFont="1"/>
    <xf numFmtId="0" fontId="35" fillId="4" borderId="0" xfId="3" applyFont="1" applyFill="1" applyAlignment="1">
      <alignment horizontal="center" vertical="center"/>
    </xf>
    <xf numFmtId="0" fontId="36" fillId="4" borderId="0" xfId="3" applyFont="1" applyFill="1" applyAlignment="1">
      <alignment vertical="center"/>
    </xf>
    <xf numFmtId="14" fontId="36" fillId="4" borderId="0" xfId="3" applyNumberFormat="1" applyFont="1" applyFill="1" applyAlignment="1">
      <alignment horizontal="center" vertical="center"/>
    </xf>
    <xf numFmtId="14" fontId="35" fillId="4" borderId="0" xfId="3" applyNumberFormat="1" applyFont="1" applyFill="1" applyAlignment="1">
      <alignment horizontal="center" vertical="center"/>
    </xf>
    <xf numFmtId="164" fontId="35" fillId="4" borderId="0" xfId="4" applyNumberFormat="1" applyFont="1" applyFill="1" applyAlignment="1">
      <alignment vertical="center"/>
    </xf>
    <xf numFmtId="43" fontId="35" fillId="4" borderId="0" xfId="4" applyFont="1" applyFill="1" applyAlignment="1">
      <alignment vertical="center"/>
    </xf>
    <xf numFmtId="14" fontId="37" fillId="4" borderId="0" xfId="4" applyNumberFormat="1" applyFont="1" applyFill="1" applyAlignment="1">
      <alignment horizontal="center" vertical="center"/>
    </xf>
    <xf numFmtId="164" fontId="37" fillId="4" borderId="0" xfId="4" applyNumberFormat="1" applyFont="1" applyFill="1" applyAlignment="1">
      <alignment vertical="center"/>
    </xf>
    <xf numFmtId="14" fontId="38" fillId="4" borderId="15" xfId="3" applyNumberFormat="1" applyFont="1" applyFill="1" applyBorder="1" applyAlignment="1">
      <alignment horizontal="center"/>
    </xf>
    <xf numFmtId="0" fontId="39" fillId="4" borderId="0" xfId="3" applyFont="1" applyFill="1" applyAlignment="1">
      <alignment horizontal="center" vertical="center"/>
    </xf>
    <xf numFmtId="0" fontId="35" fillId="4" borderId="0" xfId="3" applyFont="1" applyFill="1" applyAlignment="1">
      <alignment vertical="center"/>
    </xf>
    <xf numFmtId="0" fontId="40" fillId="4" borderId="0" xfId="3" applyFont="1" applyFill="1" applyAlignment="1">
      <alignment horizontal="center" vertical="center"/>
    </xf>
    <xf numFmtId="14" fontId="31" fillId="4" borderId="1" xfId="3" applyNumberFormat="1" applyFont="1" applyFill="1" applyBorder="1" applyAlignment="1">
      <alignment horizontal="center" vertical="center" wrapText="1"/>
    </xf>
    <xf numFmtId="164" fontId="40" fillId="4" borderId="1" xfId="4" applyNumberFormat="1" applyFont="1" applyFill="1" applyBorder="1" applyAlignment="1">
      <alignment horizontal="center" vertical="center" wrapText="1"/>
    </xf>
    <xf numFmtId="43" fontId="40" fillId="4" borderId="1" xfId="4" applyFont="1" applyFill="1" applyBorder="1" applyAlignment="1">
      <alignment horizontal="center" vertical="center"/>
    </xf>
    <xf numFmtId="14" fontId="43" fillId="4" borderId="1" xfId="4" applyNumberFormat="1" applyFont="1" applyFill="1" applyBorder="1" applyAlignment="1">
      <alignment horizontal="center" vertical="center" wrapText="1"/>
    </xf>
    <xf numFmtId="0" fontId="42" fillId="4" borderId="1" xfId="3" applyFont="1" applyFill="1" applyBorder="1" applyAlignment="1">
      <alignment horizontal="center" vertical="center"/>
    </xf>
    <xf numFmtId="0" fontId="44" fillId="4" borderId="3" xfId="4" applyNumberFormat="1" applyFont="1" applyFill="1" applyBorder="1" applyAlignment="1">
      <alignment horizontal="center" vertical="center"/>
    </xf>
    <xf numFmtId="14" fontId="44" fillId="4" borderId="3" xfId="3" applyNumberFormat="1" applyFont="1" applyFill="1" applyBorder="1" applyAlignment="1">
      <alignment horizontal="center" vertical="center" wrapText="1"/>
    </xf>
    <xf numFmtId="43" fontId="44" fillId="4" borderId="3" xfId="4" applyFont="1" applyFill="1" applyBorder="1" applyAlignment="1">
      <alignment vertical="center"/>
    </xf>
    <xf numFmtId="43" fontId="45" fillId="4" borderId="3" xfId="4" applyFont="1" applyFill="1" applyBorder="1" applyAlignment="1">
      <alignment vertical="center"/>
    </xf>
    <xf numFmtId="43" fontId="44" fillId="4" borderId="0" xfId="4" applyFont="1" applyFill="1" applyBorder="1" applyAlignment="1">
      <alignment vertical="center"/>
    </xf>
    <xf numFmtId="49" fontId="44" fillId="4" borderId="2" xfId="4" applyNumberFormat="1" applyFont="1" applyFill="1" applyBorder="1" applyAlignment="1">
      <alignment vertical="center"/>
    </xf>
    <xf numFmtId="14" fontId="44" fillId="4" borderId="2" xfId="3" applyNumberFormat="1" applyFont="1" applyFill="1" applyBorder="1" applyAlignment="1">
      <alignment horizontal="center" vertical="center" wrapText="1"/>
    </xf>
    <xf numFmtId="43" fontId="44" fillId="4" borderId="2" xfId="4" applyFont="1" applyFill="1" applyBorder="1" applyAlignment="1">
      <alignment vertical="center"/>
    </xf>
    <xf numFmtId="164" fontId="44" fillId="4" borderId="2" xfId="4" applyNumberFormat="1" applyFont="1" applyFill="1" applyBorder="1" applyAlignment="1">
      <alignment vertical="center"/>
    </xf>
    <xf numFmtId="43" fontId="45" fillId="4" borderId="2" xfId="4" applyFont="1" applyFill="1" applyBorder="1" applyAlignment="1">
      <alignment vertical="center"/>
    </xf>
    <xf numFmtId="43" fontId="44" fillId="4" borderId="2" xfId="4" applyFont="1" applyFill="1" applyBorder="1" applyAlignment="1">
      <alignment horizontal="center" vertical="center"/>
    </xf>
    <xf numFmtId="14" fontId="47" fillId="4" borderId="1" xfId="3" applyNumberFormat="1" applyFont="1" applyFill="1" applyBorder="1" applyAlignment="1">
      <alignment horizontal="center" vertical="center" wrapText="1"/>
    </xf>
    <xf numFmtId="164" fontId="48" fillId="4" borderId="1" xfId="4" applyNumberFormat="1" applyFont="1" applyFill="1" applyBorder="1" applyAlignment="1">
      <alignment vertical="center"/>
    </xf>
    <xf numFmtId="43" fontId="48" fillId="4" borderId="1" xfId="4" applyFont="1" applyFill="1" applyBorder="1" applyAlignment="1">
      <alignment vertical="center"/>
    </xf>
    <xf numFmtId="10" fontId="49" fillId="4" borderId="1" xfId="4" applyNumberFormat="1" applyFont="1" applyFill="1" applyBorder="1" applyAlignment="1">
      <alignment horizontal="center" vertical="center"/>
    </xf>
    <xf numFmtId="43" fontId="48" fillId="4" borderId="1" xfId="4" applyFont="1" applyFill="1" applyBorder="1" applyAlignment="1">
      <alignment horizontal="center" vertical="center"/>
    </xf>
    <xf numFmtId="43" fontId="46" fillId="4" borderId="0" xfId="4" applyFont="1" applyFill="1" applyAlignment="1">
      <alignment vertical="center"/>
    </xf>
    <xf numFmtId="0" fontId="45" fillId="4" borderId="3" xfId="4" applyNumberFormat="1" applyFont="1" applyFill="1" applyBorder="1" applyAlignment="1">
      <alignment horizontal="center" vertical="center"/>
    </xf>
    <xf numFmtId="49" fontId="45" fillId="4" borderId="3" xfId="4" applyNumberFormat="1" applyFont="1" applyFill="1" applyBorder="1" applyAlignment="1">
      <alignment vertical="center"/>
    </xf>
    <xf numFmtId="43" fontId="45" fillId="4" borderId="0" xfId="4" applyFont="1" applyFill="1" applyBorder="1" applyAlignment="1">
      <alignment vertical="center"/>
    </xf>
    <xf numFmtId="49" fontId="45" fillId="4" borderId="2" xfId="4" applyNumberFormat="1" applyFont="1" applyFill="1" applyBorder="1" applyAlignment="1">
      <alignment vertical="center"/>
    </xf>
    <xf numFmtId="14" fontId="45" fillId="4" borderId="2" xfId="3" applyNumberFormat="1" applyFont="1" applyFill="1" applyBorder="1" applyAlignment="1">
      <alignment horizontal="center" vertical="center" wrapText="1"/>
    </xf>
    <xf numFmtId="164" fontId="45" fillId="4" borderId="2" xfId="4" applyNumberFormat="1" applyFont="1" applyFill="1" applyBorder="1" applyAlignment="1">
      <alignment vertical="center"/>
    </xf>
    <xf numFmtId="10" fontId="45" fillId="4" borderId="2" xfId="4" applyNumberFormat="1" applyFont="1" applyFill="1" applyBorder="1" applyAlignment="1">
      <alignment horizontal="center" vertical="center"/>
    </xf>
    <xf numFmtId="43" fontId="45" fillId="4" borderId="2" xfId="4" applyFont="1" applyFill="1" applyBorder="1" applyAlignment="1">
      <alignment horizontal="center" vertical="center"/>
    </xf>
    <xf numFmtId="0" fontId="45" fillId="4" borderId="17" xfId="4" applyNumberFormat="1" applyFont="1" applyFill="1" applyBorder="1" applyAlignment="1">
      <alignment horizontal="center" vertical="center"/>
    </xf>
    <xf numFmtId="49" fontId="45" fillId="4" borderId="17" xfId="4" applyNumberFormat="1" applyFont="1" applyFill="1" applyBorder="1" applyAlignment="1">
      <alignment vertical="center"/>
    </xf>
    <xf numFmtId="14" fontId="45" fillId="4" borderId="17" xfId="3" applyNumberFormat="1" applyFont="1" applyFill="1" applyBorder="1" applyAlignment="1">
      <alignment horizontal="center" vertical="center" wrapText="1"/>
    </xf>
    <xf numFmtId="43" fontId="45" fillId="4" borderId="17" xfId="4" applyFont="1" applyFill="1" applyBorder="1" applyAlignment="1">
      <alignment vertical="center"/>
    </xf>
    <xf numFmtId="164" fontId="45" fillId="4" borderId="17" xfId="4" applyNumberFormat="1" applyFont="1" applyFill="1" applyBorder="1" applyAlignment="1">
      <alignment vertical="center"/>
    </xf>
    <xf numFmtId="14" fontId="44" fillId="4" borderId="17" xfId="3" applyNumberFormat="1" applyFont="1" applyFill="1" applyBorder="1" applyAlignment="1">
      <alignment horizontal="center" vertical="center" wrapText="1"/>
    </xf>
    <xf numFmtId="10" fontId="45" fillId="4" borderId="17" xfId="4" applyNumberFormat="1" applyFont="1" applyFill="1" applyBorder="1" applyAlignment="1">
      <alignment horizontal="center" vertical="center"/>
    </xf>
    <xf numFmtId="43" fontId="45" fillId="4" borderId="17" xfId="4" applyFont="1" applyFill="1" applyBorder="1" applyAlignment="1">
      <alignment horizontal="center" vertical="center"/>
    </xf>
    <xf numFmtId="10" fontId="44" fillId="4" borderId="2" xfId="4" applyNumberFormat="1" applyFont="1" applyFill="1" applyBorder="1" applyAlignment="1">
      <alignment horizontal="center" vertical="center"/>
    </xf>
    <xf numFmtId="14" fontId="44" fillId="4" borderId="18" xfId="3" applyNumberFormat="1" applyFont="1" applyFill="1" applyBorder="1" applyAlignment="1">
      <alignment horizontal="center" vertical="center" wrapText="1"/>
    </xf>
    <xf numFmtId="43" fontId="44" fillId="4" borderId="18" xfId="4" applyFont="1" applyFill="1" applyBorder="1" applyAlignment="1">
      <alignment vertical="center"/>
    </xf>
    <xf numFmtId="164" fontId="44" fillId="4" borderId="18" xfId="4" applyNumberFormat="1" applyFont="1" applyFill="1" applyBorder="1" applyAlignment="1">
      <alignment vertical="center"/>
    </xf>
    <xf numFmtId="14" fontId="48" fillId="4" borderId="1" xfId="4" applyNumberFormat="1" applyFont="1" applyFill="1" applyBorder="1" applyAlignment="1">
      <alignment horizontal="center" vertical="center"/>
    </xf>
    <xf numFmtId="43" fontId="49" fillId="4" borderId="1" xfId="4" applyFont="1" applyFill="1" applyBorder="1" applyAlignment="1">
      <alignment vertical="center"/>
    </xf>
    <xf numFmtId="43" fontId="49" fillId="4" borderId="1" xfId="4" applyFont="1" applyFill="1" applyBorder="1" applyAlignment="1">
      <alignment horizontal="center" vertical="center"/>
    </xf>
    <xf numFmtId="43" fontId="50" fillId="4" borderId="0" xfId="4" applyFont="1" applyFill="1" applyAlignment="1">
      <alignment vertical="center"/>
    </xf>
    <xf numFmtId="14" fontId="45" fillId="4" borderId="3" xfId="3" applyNumberFormat="1" applyFont="1" applyFill="1" applyBorder="1" applyAlignment="1">
      <alignment horizontal="center"/>
    </xf>
    <xf numFmtId="43" fontId="45" fillId="4" borderId="19" xfId="4" applyFont="1" applyFill="1" applyBorder="1" applyAlignment="1">
      <alignment horizontal="center" vertical="center"/>
    </xf>
    <xf numFmtId="14" fontId="45" fillId="4" borderId="18" xfId="3" applyNumberFormat="1" applyFont="1" applyFill="1" applyBorder="1" applyAlignment="1">
      <alignment horizontal="center" vertical="center" wrapText="1"/>
    </xf>
    <xf numFmtId="164" fontId="45" fillId="4" borderId="18" xfId="4" applyNumberFormat="1" applyFont="1" applyFill="1" applyBorder="1" applyAlignment="1">
      <alignment vertical="center"/>
    </xf>
    <xf numFmtId="43" fontId="45" fillId="4" borderId="18" xfId="4" applyFont="1" applyFill="1" applyBorder="1" applyAlignment="1">
      <alignment vertical="center"/>
    </xf>
    <xf numFmtId="0" fontId="51" fillId="4" borderId="0" xfId="3" applyFont="1" applyFill="1" applyAlignment="1">
      <alignment horizontal="center"/>
    </xf>
    <xf numFmtId="0" fontId="51" fillId="4" borderId="0" xfId="3" applyFont="1" applyFill="1"/>
    <xf numFmtId="14" fontId="51" fillId="4" borderId="0" xfId="3" applyNumberFormat="1" applyFont="1" applyFill="1" applyAlignment="1">
      <alignment horizontal="center"/>
    </xf>
    <xf numFmtId="164" fontId="51" fillId="4" borderId="0" xfId="4" applyNumberFormat="1" applyFont="1" applyFill="1"/>
    <xf numFmtId="43" fontId="51" fillId="4" borderId="0" xfId="3" applyNumberFormat="1" applyFont="1" applyFill="1"/>
    <xf numFmtId="14" fontId="52" fillId="4" borderId="0" xfId="4" applyNumberFormat="1" applyFont="1" applyFill="1" applyAlignment="1">
      <alignment horizontal="center"/>
    </xf>
    <xf numFmtId="164" fontId="52" fillId="4" borderId="0" xfId="4" applyNumberFormat="1" applyFont="1" applyFill="1"/>
    <xf numFmtId="43" fontId="51" fillId="4" borderId="0" xfId="4" applyFont="1" applyFill="1"/>
    <xf numFmtId="164" fontId="53" fillId="4" borderId="0" xfId="4" applyNumberFormat="1" applyFont="1" applyFill="1"/>
    <xf numFmtId="0" fontId="53" fillId="4" borderId="0" xfId="3" applyFont="1" applyFill="1"/>
    <xf numFmtId="0" fontId="53" fillId="4" borderId="0" xfId="3" applyFont="1" applyFill="1" applyAlignment="1">
      <alignment horizontal="center"/>
    </xf>
    <xf numFmtId="43" fontId="53" fillId="4" borderId="0" xfId="4" applyFont="1" applyFill="1"/>
    <xf numFmtId="164" fontId="31" fillId="4" borderId="1" xfId="4" applyNumberFormat="1" applyFont="1" applyFill="1" applyBorder="1" applyAlignment="1">
      <alignment horizontal="center" vertical="center" wrapText="1"/>
    </xf>
    <xf numFmtId="172" fontId="44" fillId="4" borderId="2" xfId="4" applyNumberFormat="1" applyFont="1" applyFill="1" applyBorder="1" applyAlignment="1">
      <alignment horizontal="center" vertical="center"/>
    </xf>
    <xf numFmtId="172" fontId="45" fillId="4" borderId="2" xfId="4" applyNumberFormat="1" applyFont="1" applyFill="1" applyBorder="1" applyAlignment="1">
      <alignment horizontal="center" vertical="center"/>
    </xf>
    <xf numFmtId="14" fontId="45" fillId="4" borderId="3" xfId="3" applyNumberFormat="1" applyFont="1" applyFill="1" applyBorder="1" applyAlignment="1">
      <alignment horizontal="center" vertical="center"/>
    </xf>
    <xf numFmtId="14" fontId="45" fillId="4" borderId="0" xfId="4" applyNumberFormat="1" applyFont="1" applyFill="1" applyBorder="1" applyAlignment="1">
      <alignment vertical="center"/>
    </xf>
    <xf numFmtId="14" fontId="44" fillId="4" borderId="0" xfId="4" applyNumberFormat="1" applyFont="1" applyFill="1" applyBorder="1" applyAlignment="1">
      <alignment vertical="center"/>
    </xf>
    <xf numFmtId="0" fontId="65" fillId="0" borderId="3" xfId="0" applyFont="1" applyBorder="1" applyAlignment="1">
      <alignment horizontal="center" vertical="center"/>
    </xf>
    <xf numFmtId="14" fontId="65" fillId="0" borderId="2" xfId="0" applyNumberFormat="1" applyFont="1" applyBorder="1" applyAlignment="1">
      <alignment horizontal="center" vertical="center"/>
    </xf>
    <xf numFmtId="0" fontId="65" fillId="0" borderId="2" xfId="0" applyFont="1" applyBorder="1" applyAlignment="1">
      <alignment horizontal="center" vertical="center"/>
    </xf>
    <xf numFmtId="0" fontId="65" fillId="0" borderId="2" xfId="0" applyFont="1" applyBorder="1" applyAlignment="1">
      <alignment vertical="center"/>
    </xf>
    <xf numFmtId="49" fontId="65" fillId="0" borderId="2" xfId="0" applyNumberFormat="1" applyFont="1" applyBorder="1" applyAlignment="1">
      <alignment horizontal="center" vertical="center"/>
    </xf>
    <xf numFmtId="43" fontId="65" fillId="0" borderId="2" xfId="1" applyFont="1" applyBorder="1" applyAlignment="1">
      <alignment vertical="center"/>
    </xf>
    <xf numFmtId="164" fontId="65" fillId="0" borderId="2" xfId="1" applyNumberFormat="1" applyFont="1" applyBorder="1" applyAlignment="1">
      <alignment vertical="center"/>
    </xf>
    <xf numFmtId="49" fontId="65" fillId="0" borderId="2" xfId="0" applyNumberFormat="1" applyFont="1" applyBorder="1" applyAlignment="1">
      <alignment vertical="center"/>
    </xf>
    <xf numFmtId="0" fontId="65" fillId="0" borderId="0" xfId="0" applyFont="1" applyAlignment="1">
      <alignment vertical="center"/>
    </xf>
    <xf numFmtId="43" fontId="44" fillId="4" borderId="0" xfId="1" applyFont="1" applyFill="1" applyBorder="1" applyAlignment="1">
      <alignment vertical="center"/>
    </xf>
    <xf numFmtId="0" fontId="22" fillId="0" borderId="0" xfId="0" applyFont="1" applyAlignment="1">
      <alignment vertical="center"/>
    </xf>
    <xf numFmtId="0" fontId="6" fillId="0" borderId="0" xfId="0" applyFont="1" applyAlignment="1"/>
    <xf numFmtId="164" fontId="42" fillId="4" borderId="1" xfId="4" applyNumberFormat="1" applyFont="1" applyFill="1" applyBorder="1" applyAlignment="1">
      <alignment horizontal="center" vertical="center"/>
    </xf>
    <xf numFmtId="0" fontId="42" fillId="4" borderId="1" xfId="3" applyFont="1" applyFill="1" applyBorder="1" applyAlignment="1">
      <alignment horizontal="center" vertical="center" wrapText="1"/>
    </xf>
    <xf numFmtId="164" fontId="41" fillId="4" borderId="1" xfId="4" applyNumberFormat="1" applyFont="1" applyFill="1" applyBorder="1" applyAlignment="1">
      <alignment horizontal="center" vertical="center"/>
    </xf>
    <xf numFmtId="164" fontId="40" fillId="4" borderId="1" xfId="4" applyNumberFormat="1" applyFont="1" applyFill="1" applyBorder="1" applyAlignment="1">
      <alignment horizontal="center" vertical="center"/>
    </xf>
    <xf numFmtId="0" fontId="67" fillId="0" borderId="23" xfId="37" applyFont="1" applyBorder="1" applyAlignment="1">
      <alignment vertical="center"/>
    </xf>
    <xf numFmtId="0" fontId="44" fillId="0" borderId="0" xfId="37" applyFont="1"/>
    <xf numFmtId="0" fontId="67" fillId="0" borderId="23" xfId="37" applyFont="1" applyBorder="1"/>
    <xf numFmtId="0" fontId="33" fillId="0" borderId="25" xfId="37" applyFont="1" applyBorder="1" applyAlignment="1">
      <alignment vertical="center"/>
    </xf>
    <xf numFmtId="0" fontId="33" fillId="0" borderId="24" xfId="37" applyFont="1" applyBorder="1" applyAlignment="1">
      <alignment vertical="center"/>
    </xf>
    <xf numFmtId="0" fontId="40" fillId="4" borderId="1" xfId="3" applyFont="1" applyFill="1" applyBorder="1" applyAlignment="1">
      <alignment horizontal="center" vertical="center"/>
    </xf>
    <xf numFmtId="164" fontId="40" fillId="4" borderId="1" xfId="4" applyNumberFormat="1" applyFont="1" applyFill="1" applyBorder="1" applyAlignment="1">
      <alignment horizontal="center" vertical="center"/>
    </xf>
    <xf numFmtId="14" fontId="35" fillId="4" borderId="0" xfId="4" applyNumberFormat="1" applyFont="1" applyFill="1" applyAlignment="1">
      <alignment horizontal="center" vertical="center"/>
    </xf>
    <xf numFmtId="14" fontId="44" fillId="4" borderId="15" xfId="3" applyNumberFormat="1" applyFont="1" applyFill="1" applyBorder="1" applyAlignment="1">
      <alignment horizontal="center"/>
    </xf>
    <xf numFmtId="14" fontId="31" fillId="4" borderId="1" xfId="4" applyNumberFormat="1" applyFont="1" applyFill="1" applyBorder="1" applyAlignment="1">
      <alignment horizontal="center" vertical="center" wrapText="1"/>
    </xf>
    <xf numFmtId="0" fontId="40" fillId="4" borderId="1" xfId="3" applyFont="1" applyFill="1" applyBorder="1" applyAlignment="1">
      <alignment horizontal="center" vertical="center" wrapText="1"/>
    </xf>
    <xf numFmtId="49" fontId="44" fillId="4" borderId="3" xfId="4" applyNumberFormat="1" applyFont="1" applyFill="1" applyBorder="1" applyAlignment="1">
      <alignment vertical="center"/>
    </xf>
    <xf numFmtId="0" fontId="44" fillId="4" borderId="17" xfId="4" applyNumberFormat="1" applyFont="1" applyFill="1" applyBorder="1" applyAlignment="1">
      <alignment horizontal="center" vertical="center"/>
    </xf>
    <xf numFmtId="49" fontId="44" fillId="4" borderId="17" xfId="4" applyNumberFormat="1" applyFont="1" applyFill="1" applyBorder="1" applyAlignment="1">
      <alignment vertical="center"/>
    </xf>
    <xf numFmtId="43" fontId="44" fillId="4" borderId="17" xfId="4" applyFont="1" applyFill="1" applyBorder="1" applyAlignment="1">
      <alignment vertical="center"/>
    </xf>
    <xf numFmtId="164" fontId="44" fillId="4" borderId="17" xfId="4" applyNumberFormat="1" applyFont="1" applyFill="1" applyBorder="1" applyAlignment="1">
      <alignment vertical="center"/>
    </xf>
    <xf numFmtId="10" fontId="44" fillId="4" borderId="17" xfId="4" applyNumberFormat="1" applyFont="1" applyFill="1" applyBorder="1" applyAlignment="1">
      <alignment horizontal="center" vertical="center"/>
    </xf>
    <xf numFmtId="43" fontId="44" fillId="4" borderId="17" xfId="4" applyFont="1" applyFill="1" applyBorder="1" applyAlignment="1">
      <alignment horizontal="center" vertical="center"/>
    </xf>
    <xf numFmtId="10" fontId="48" fillId="4" borderId="1" xfId="4" applyNumberFormat="1" applyFont="1" applyFill="1" applyBorder="1" applyAlignment="1">
      <alignment horizontal="center" vertical="center"/>
    </xf>
    <xf numFmtId="14" fontId="44" fillId="4" borderId="3" xfId="3" applyNumberFormat="1" applyFont="1" applyFill="1" applyBorder="1" applyAlignment="1">
      <alignment horizontal="center" vertical="center"/>
    </xf>
    <xf numFmtId="43" fontId="44" fillId="4" borderId="19" xfId="4" applyFont="1" applyFill="1" applyBorder="1" applyAlignment="1">
      <alignment horizontal="center" vertical="center"/>
    </xf>
    <xf numFmtId="14" fontId="51" fillId="4" borderId="0" xfId="4" applyNumberFormat="1" applyFont="1" applyFill="1" applyAlignment="1">
      <alignment horizontal="center"/>
    </xf>
    <xf numFmtId="0" fontId="68" fillId="4" borderId="0" xfId="3" applyFont="1" applyFill="1" applyAlignment="1">
      <alignment vertical="center"/>
    </xf>
    <xf numFmtId="0" fontId="24" fillId="3" borderId="9" xfId="0" applyFont="1" applyFill="1" applyBorder="1" applyAlignment="1">
      <alignment horizontal="center" vertical="center" wrapText="1"/>
    </xf>
    <xf numFmtId="0" fontId="24" fillId="3" borderId="8" xfId="0" applyFont="1" applyFill="1" applyBorder="1" applyAlignment="1">
      <alignment horizontal="center" vertical="center" wrapText="1"/>
    </xf>
    <xf numFmtId="49" fontId="24" fillId="3" borderId="10" xfId="0" applyNumberFormat="1" applyFont="1" applyFill="1" applyBorder="1" applyAlignment="1">
      <alignment horizontal="center" vertical="center" wrapText="1"/>
    </xf>
    <xf numFmtId="49" fontId="24" fillId="3" borderId="8" xfId="0" applyNumberFormat="1" applyFont="1" applyFill="1" applyBorder="1" applyAlignment="1">
      <alignment horizontal="center" vertical="center" wrapText="1"/>
    </xf>
    <xf numFmtId="0" fontId="24" fillId="3" borderId="1" xfId="0" applyFont="1" applyFill="1" applyBorder="1" applyAlignment="1">
      <alignment horizontal="center" vertical="center" wrapText="1"/>
    </xf>
    <xf numFmtId="0" fontId="24" fillId="3" borderId="5" xfId="0" applyFont="1" applyFill="1" applyBorder="1" applyAlignment="1">
      <alignment horizontal="center" vertical="center" wrapText="1"/>
    </xf>
    <xf numFmtId="0" fontId="24" fillId="3" borderId="6" xfId="0" applyFont="1" applyFill="1" applyBorder="1" applyAlignment="1">
      <alignment horizontal="center" vertical="center" wrapText="1"/>
    </xf>
    <xf numFmtId="0" fontId="24" fillId="3" borderId="7" xfId="0" applyFont="1" applyFill="1" applyBorder="1" applyAlignment="1">
      <alignment horizontal="center" vertical="center" wrapText="1"/>
    </xf>
    <xf numFmtId="0" fontId="24" fillId="3" borderId="4" xfId="0" applyFont="1" applyFill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/>
    </xf>
    <xf numFmtId="0" fontId="11" fillId="0" borderId="15" xfId="0" applyFont="1" applyBorder="1" applyAlignment="1">
      <alignment horizontal="center" vertical="top"/>
    </xf>
    <xf numFmtId="164" fontId="2" fillId="0" borderId="0" xfId="1" applyNumberFormat="1" applyFont="1" applyAlignment="1">
      <alignment horizontal="center"/>
    </xf>
    <xf numFmtId="0" fontId="10" fillId="0" borderId="9" xfId="0" applyFont="1" applyBorder="1" applyAlignment="1">
      <alignment horizontal="center"/>
    </xf>
    <xf numFmtId="0" fontId="10" fillId="0" borderId="14" xfId="0" applyFont="1" applyBorder="1" applyAlignment="1">
      <alignment horizontal="center"/>
    </xf>
    <xf numFmtId="0" fontId="11" fillId="0" borderId="12" xfId="0" applyFont="1" applyBorder="1" applyAlignment="1">
      <alignment horizontal="center" vertical="top"/>
    </xf>
    <xf numFmtId="14" fontId="3" fillId="0" borderId="0" xfId="0" applyNumberFormat="1" applyFont="1" applyAlignment="1">
      <alignment horizontal="center" vertical="center"/>
    </xf>
    <xf numFmtId="0" fontId="33" fillId="0" borderId="24" xfId="37" applyFont="1" applyBorder="1" applyAlignment="1">
      <alignment horizontal="left" vertical="center" wrapText="1"/>
    </xf>
    <xf numFmtId="164" fontId="40" fillId="4" borderId="1" xfId="4" applyNumberFormat="1" applyFont="1" applyFill="1" applyBorder="1" applyAlignment="1">
      <alignment horizontal="center" vertical="center"/>
    </xf>
    <xf numFmtId="0" fontId="40" fillId="4" borderId="1" xfId="3" applyFont="1" applyFill="1" applyBorder="1" applyAlignment="1">
      <alignment horizontal="center" vertical="center" wrapText="1"/>
    </xf>
    <xf numFmtId="0" fontId="40" fillId="4" borderId="1" xfId="3" applyFont="1" applyFill="1" applyBorder="1" applyAlignment="1">
      <alignment horizontal="center" vertical="center"/>
    </xf>
    <xf numFmtId="49" fontId="46" fillId="4" borderId="1" xfId="4" applyNumberFormat="1" applyFont="1" applyFill="1" applyBorder="1" applyAlignment="1">
      <alignment horizontal="center" vertical="center"/>
    </xf>
    <xf numFmtId="43" fontId="50" fillId="4" borderId="1" xfId="4" applyFont="1" applyFill="1" applyBorder="1" applyAlignment="1">
      <alignment horizontal="center" vertical="center"/>
    </xf>
    <xf numFmtId="14" fontId="31" fillId="4" borderId="1" xfId="3" applyNumberFormat="1" applyFont="1" applyFill="1" applyBorder="1" applyAlignment="1">
      <alignment horizontal="center" vertical="center"/>
    </xf>
    <xf numFmtId="164" fontId="31" fillId="4" borderId="1" xfId="4" applyNumberFormat="1" applyFont="1" applyFill="1" applyBorder="1" applyAlignment="1">
      <alignment horizontal="center" vertical="center"/>
    </xf>
    <xf numFmtId="164" fontId="42" fillId="4" borderId="1" xfId="4" applyNumberFormat="1" applyFont="1" applyFill="1" applyBorder="1" applyAlignment="1">
      <alignment horizontal="center" vertical="center"/>
    </xf>
    <xf numFmtId="0" fontId="42" fillId="4" borderId="1" xfId="3" applyFont="1" applyFill="1" applyBorder="1" applyAlignment="1">
      <alignment horizontal="center" vertical="center" wrapText="1"/>
    </xf>
    <xf numFmtId="164" fontId="41" fillId="4" borderId="1" xfId="4" applyNumberFormat="1" applyFont="1" applyFill="1" applyBorder="1" applyAlignment="1">
      <alignment horizontal="center" vertical="center"/>
    </xf>
  </cellXfs>
  <cellStyles count="38">
    <cellStyle name="cg" xfId="5"/>
    <cellStyle name="Comma" xfId="1" builtinId="3"/>
    <cellStyle name="Comma 2" xfId="6"/>
    <cellStyle name="Comma 3" xfId="4"/>
    <cellStyle name="Comma 4" xfId="7"/>
    <cellStyle name="Comma 5" xfId="8"/>
    <cellStyle name="Comma 6" xfId="9"/>
    <cellStyle name="Comma0" xfId="10"/>
    <cellStyle name="Currency0" xfId="11"/>
    <cellStyle name="Date" xfId="12"/>
    <cellStyle name="f1" xfId="13"/>
    <cellStyle name="f2" xfId="14"/>
    <cellStyle name="Fixed" xfId="15"/>
    <cellStyle name="Header1" xfId="16"/>
    <cellStyle name="Header2" xfId="17"/>
    <cellStyle name="k0" xfId="18"/>
    <cellStyle name="k1" xfId="19"/>
    <cellStyle name="k2" xfId="20"/>
    <cellStyle name="k3" xfId="21"/>
    <cellStyle name="moi" xfId="22"/>
    <cellStyle name="Normal" xfId="0" builtinId="0"/>
    <cellStyle name="Normal 2" xfId="23"/>
    <cellStyle name="Normal 3" xfId="3"/>
    <cellStyle name="Normal 4" xfId="24"/>
    <cellStyle name="Normal 5" xfId="2"/>
    <cellStyle name="Normal 6" xfId="37"/>
    <cellStyle name="TD1" xfId="25"/>
    <cellStyle name="똿뗦먛귟 [0.00]_PRODUCT DETAIL Q1" xfId="26"/>
    <cellStyle name="똿뗦먛귟_PRODUCT DETAIL Q1" xfId="27"/>
    <cellStyle name="믅됞 [0.00]_PRODUCT DETAIL Q1" xfId="28"/>
    <cellStyle name="믅됞_PRODUCT DETAIL Q1" xfId="29"/>
    <cellStyle name="백분율_HOBONG" xfId="30"/>
    <cellStyle name="뷭?_BOOKSHIP" xfId="31"/>
    <cellStyle name="콤마 [0]_1202" xfId="32"/>
    <cellStyle name="콤마_1202" xfId="33"/>
    <cellStyle name="통화 [0]_1202" xfId="34"/>
    <cellStyle name="통화_1202" xfId="35"/>
    <cellStyle name="표준_(정보부문)월별인원계획" xfId="36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Program%20Files\vnTools\Ufunctions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niBase"/>
      <sheetName val="vniBase"/>
      <sheetName val="abcBase"/>
    </sheetNames>
    <definedNames>
      <definedName name="VND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R213"/>
  <sheetViews>
    <sheetView tabSelected="1" topLeftCell="B1" workbookViewId="0">
      <pane xSplit="5" ySplit="3" topLeftCell="G189" activePane="bottomRight" state="frozen"/>
      <selection activeCell="B1" sqref="B1"/>
      <selection pane="topRight" activeCell="G1" sqref="G1"/>
      <selection pane="bottomLeft" activeCell="B4" sqref="B4"/>
      <selection pane="bottomRight" activeCell="N201" sqref="N201"/>
    </sheetView>
  </sheetViews>
  <sheetFormatPr defaultRowHeight="18.75" customHeight="1"/>
  <cols>
    <col min="1" max="1" width="2.140625" style="55" customWidth="1"/>
    <col min="2" max="2" width="4.5703125" style="56" customWidth="1"/>
    <col min="3" max="3" width="7.85546875" style="56" customWidth="1"/>
    <col min="4" max="4" width="8.42578125" style="56" customWidth="1"/>
    <col min="5" max="5" width="7.5703125" style="56" customWidth="1"/>
    <col min="6" max="6" width="49.28515625" style="57" customWidth="1"/>
    <col min="7" max="7" width="18.42578125" style="57" customWidth="1"/>
    <col min="8" max="8" width="26.5703125" style="57" customWidth="1"/>
    <col min="9" max="9" width="13.85546875" style="56" customWidth="1"/>
    <col min="10" max="10" width="11" style="56" customWidth="1"/>
    <col min="11" max="12" width="8.42578125" style="56" customWidth="1"/>
    <col min="13" max="13" width="7" style="56" customWidth="1"/>
    <col min="14" max="14" width="21.140625" style="57" customWidth="1"/>
    <col min="15" max="15" width="12.28515625" style="57" customWidth="1"/>
    <col min="16" max="16" width="14" style="57" customWidth="1"/>
    <col min="17" max="17" width="9.140625" style="93"/>
    <col min="18" max="18" width="4.42578125" style="202" customWidth="1"/>
    <col min="19" max="16384" width="9.140625" style="57"/>
  </cols>
  <sheetData>
    <row r="1" spans="1:18" ht="10.5" customHeight="1">
      <c r="A1" s="55">
        <v>1</v>
      </c>
      <c r="B1" s="56">
        <v>2</v>
      </c>
      <c r="C1" s="56">
        <v>3</v>
      </c>
      <c r="D1" s="56">
        <v>4</v>
      </c>
      <c r="E1" s="56">
        <v>5</v>
      </c>
      <c r="F1" s="56">
        <v>6</v>
      </c>
      <c r="G1" s="56">
        <v>7</v>
      </c>
      <c r="H1" s="56">
        <v>8</v>
      </c>
      <c r="I1" s="56">
        <v>9</v>
      </c>
      <c r="J1" s="56">
        <v>10</v>
      </c>
      <c r="K1" s="56">
        <v>11</v>
      </c>
      <c r="L1" s="56">
        <v>12</v>
      </c>
      <c r="M1" s="56">
        <v>13</v>
      </c>
      <c r="N1" s="56">
        <v>14</v>
      </c>
      <c r="O1" s="56">
        <v>15</v>
      </c>
      <c r="P1" s="56">
        <v>16</v>
      </c>
      <c r="Q1" s="90">
        <v>17</v>
      </c>
    </row>
    <row r="2" spans="1:18" s="59" customFormat="1" ht="24" customHeight="1">
      <c r="A2" s="58"/>
      <c r="B2" s="239" t="s">
        <v>1</v>
      </c>
      <c r="C2" s="236" t="s">
        <v>10</v>
      </c>
      <c r="D2" s="237"/>
      <c r="E2" s="238"/>
      <c r="F2" s="236" t="s">
        <v>18</v>
      </c>
      <c r="G2" s="237"/>
      <c r="H2" s="237"/>
      <c r="I2" s="237"/>
      <c r="J2" s="237"/>
      <c r="K2" s="237"/>
      <c r="L2" s="237"/>
      <c r="M2" s="238"/>
      <c r="N2" s="231" t="s">
        <v>0</v>
      </c>
      <c r="O2" s="235" t="s">
        <v>19</v>
      </c>
      <c r="P2" s="235"/>
      <c r="Q2" s="233" t="s">
        <v>20</v>
      </c>
      <c r="R2" s="58"/>
    </row>
    <row r="3" spans="1:18" s="59" customFormat="1" ht="36.75" customHeight="1">
      <c r="A3" s="58"/>
      <c r="B3" s="232"/>
      <c r="C3" s="60" t="s">
        <v>12</v>
      </c>
      <c r="D3" s="60" t="s">
        <v>10</v>
      </c>
      <c r="E3" s="60" t="s">
        <v>11</v>
      </c>
      <c r="F3" s="60" t="s">
        <v>13</v>
      </c>
      <c r="G3" s="60" t="s">
        <v>28</v>
      </c>
      <c r="H3" s="60" t="s">
        <v>29</v>
      </c>
      <c r="I3" s="60" t="s">
        <v>32</v>
      </c>
      <c r="J3" s="60" t="s">
        <v>14</v>
      </c>
      <c r="K3" s="60" t="s">
        <v>15</v>
      </c>
      <c r="L3" s="60" t="s">
        <v>16</v>
      </c>
      <c r="M3" s="60" t="s">
        <v>17</v>
      </c>
      <c r="N3" s="232"/>
      <c r="O3" s="61" t="s">
        <v>26</v>
      </c>
      <c r="P3" s="61" t="s">
        <v>27</v>
      </c>
      <c r="Q3" s="234"/>
      <c r="R3" s="58"/>
    </row>
    <row r="4" spans="1:18" ht="18.75" customHeight="1">
      <c r="A4" s="55" t="str">
        <f>IF(AND(C4="pv",E4='UNC - PV'!$S$2,D4='UNC - PV'!$Q$2),"x",IF(AND(LEFT(C4,3)="eib",E4='UNC - EIB'!$V$2,D4='UNC - EIB'!$T$2),"x1",IF(AND(C4="pv",E4='LC - PV'!$R$2,D4='LC - PV'!$P$2),"x2",IF(AND(LEFT(C4,3)="eib",E4='LC - EIB'!$U$2,D4='LC - EIB'!$S$2),"x3",""))))</f>
        <v/>
      </c>
      <c r="B4" s="62">
        <f>IF(C4&lt;&gt;"",ROW()-3,"")</f>
        <v>1</v>
      </c>
      <c r="C4" s="62" t="s">
        <v>80</v>
      </c>
      <c r="D4" s="63">
        <v>42556</v>
      </c>
      <c r="E4" s="62" t="s">
        <v>21</v>
      </c>
      <c r="F4" s="64" t="s">
        <v>34</v>
      </c>
      <c r="G4" s="64" t="s">
        <v>30</v>
      </c>
      <c r="H4" s="64" t="s">
        <v>31</v>
      </c>
      <c r="I4" s="65" t="s">
        <v>33</v>
      </c>
      <c r="J4" s="66"/>
      <c r="K4" s="67"/>
      <c r="L4" s="65"/>
      <c r="M4" s="65"/>
      <c r="N4" s="64" t="s">
        <v>84</v>
      </c>
      <c r="O4" s="68"/>
      <c r="P4" s="69">
        <v>57018720</v>
      </c>
      <c r="Q4" s="91" t="s">
        <v>142</v>
      </c>
      <c r="R4" s="202" t="str">
        <f>IF(AND(C4="pv",D4='UNC - PV'!$Q$2,LEFT(E4,1)="u",'UNC - PV'!$O$2="vnđ",TH!P4&lt;&gt;""),"p",IF(AND(C4="pv",D4='UNC - PV'!$Q$2,LEFT(E4,1)="u",'UNC - PV'!$O$2="usd",TH!O4&lt;&gt;""),"p1",IF(AND(C4="pv",D4='LC - PV'!$P$2,LEFT(E4,1)="l"),"p2",IF(AND(LEFT(C4,3)="EIB",D4='UNC - EIB'!$T$2,LEFT(E4,1)="u",'UNC - EIB'!$R$2="vnđ",TH!P4&lt;&gt;""),"e",IF(AND(LEFT(C4,3)="EIB",D4='UNC - EIB'!$T$2,LEFT(E4,1)="U",'UNC - EIB'!$R$2="usd",TH!O4&lt;&gt;""),"e1",IF(AND(LEFT(C4,3)="EIB",D4='LC - EIB'!$S$2,LEFT(E4,1)="l"),"e2",""))))))</f>
        <v/>
      </c>
    </row>
    <row r="5" spans="1:18" ht="18.75" customHeight="1">
      <c r="A5" s="55" t="str">
        <f>IF(AND(C5="pv",E5='UNC - PV'!$S$2,D5='UNC - PV'!$Q$2),"x",IF(AND(LEFT(C5,3)="eib",E5='UNC - EIB'!$V$2,D5='UNC - EIB'!$T$2),"x1",IF(AND(C5="pv",E5='LC - PV'!$R$2,D5='LC - PV'!$P$2),"x2",IF(AND(LEFT(C5,3)="eib",E5='LC - EIB'!$U$2,D5='LC - EIB'!$S$2),"x3",""))))</f>
        <v/>
      </c>
      <c r="B5" s="62">
        <f t="shared" ref="B5:B213" si="0">IF(C5&lt;&gt;"",ROW()-3,"")</f>
        <v>2</v>
      </c>
      <c r="C5" s="62" t="s">
        <v>80</v>
      </c>
      <c r="D5" s="63">
        <v>42556</v>
      </c>
      <c r="E5" s="62" t="s">
        <v>22</v>
      </c>
      <c r="F5" s="64" t="s">
        <v>85</v>
      </c>
      <c r="G5" s="71" t="s">
        <v>86</v>
      </c>
      <c r="H5" s="64" t="s">
        <v>87</v>
      </c>
      <c r="I5" s="62" t="s">
        <v>9</v>
      </c>
      <c r="J5" s="66"/>
      <c r="K5" s="67"/>
      <c r="L5" s="65"/>
      <c r="M5" s="65"/>
      <c r="N5" s="64" t="s">
        <v>88</v>
      </c>
      <c r="O5" s="68"/>
      <c r="P5" s="69">
        <v>32574576</v>
      </c>
      <c r="Q5" s="91" t="s">
        <v>142</v>
      </c>
      <c r="R5" s="202" t="str">
        <f>IF(AND(C5="pv",D5='UNC - PV'!$Q$2,LEFT(E5,1)="u",'UNC - PV'!$O$2="vnđ",TH!P5&lt;&gt;""),"p",IF(AND(C5="pv",D5='UNC - PV'!$Q$2,LEFT(E5,1)="u",'UNC - PV'!$O$2="usd",TH!O5&lt;&gt;""),"p1",IF(AND(C5="pv",D5='LC - PV'!$P$2,LEFT(E5,1)="l"),"p2",IF(AND(LEFT(C5,3)="EIB",D5='UNC - EIB'!$T$2,LEFT(E5,1)="u",'UNC - EIB'!$R$2="vnđ",TH!P5&lt;&gt;""),"e",IF(AND(LEFT(C5,3)="EIB",D5='UNC - EIB'!$T$2,LEFT(E5,1)="U",'UNC - EIB'!$R$2="usd",TH!O5&lt;&gt;""),"e1",IF(AND(LEFT(C5,3)="EIB",D5='LC - EIB'!$S$2,LEFT(E5,1)="l"),"e2",""))))))</f>
        <v/>
      </c>
    </row>
    <row r="6" spans="1:18" ht="18.75" customHeight="1">
      <c r="A6" s="55" t="str">
        <f>IF(AND(C6="pv",E6='UNC - PV'!$S$2,D6='UNC - PV'!$Q$2),"x",IF(AND(LEFT(C6,3)="eib",E6='UNC - EIB'!$V$2,D6='UNC - EIB'!$T$2),"x1",IF(AND(C6="pv",E6='LC - PV'!$R$2,D6='LC - PV'!$P$2),"x2",IF(AND(LEFT(C6,3)="eib",E6='LC - EIB'!$U$2,D6='LC - EIB'!$S$2),"x3",""))))</f>
        <v/>
      </c>
      <c r="B6" s="62">
        <f t="shared" si="0"/>
        <v>3</v>
      </c>
      <c r="C6" s="62" t="s">
        <v>80</v>
      </c>
      <c r="D6" s="63">
        <v>42556</v>
      </c>
      <c r="E6" s="62" t="s">
        <v>23</v>
      </c>
      <c r="F6" s="64" t="s">
        <v>89</v>
      </c>
      <c r="G6" s="64" t="s">
        <v>90</v>
      </c>
      <c r="H6" s="64" t="s">
        <v>91</v>
      </c>
      <c r="I6" s="65" t="s">
        <v>33</v>
      </c>
      <c r="J6" s="66"/>
      <c r="K6" s="67"/>
      <c r="L6" s="65"/>
      <c r="M6" s="65"/>
      <c r="N6" s="64" t="s">
        <v>92</v>
      </c>
      <c r="O6" s="68"/>
      <c r="P6" s="69">
        <v>80000000</v>
      </c>
      <c r="Q6" s="91" t="s">
        <v>142</v>
      </c>
      <c r="R6" s="202" t="str">
        <f>IF(AND(C6="pv",D6='UNC - PV'!$Q$2,LEFT(E6,1)="u",'UNC - PV'!$O$2="vnđ",TH!P6&lt;&gt;""),"p",IF(AND(C6="pv",D6='UNC - PV'!$Q$2,LEFT(E6,1)="u",'UNC - PV'!$O$2="usd",TH!O6&lt;&gt;""),"p1",IF(AND(C6="pv",D6='LC - PV'!$P$2,LEFT(E6,1)="l"),"p2",IF(AND(LEFT(C6,3)="EIB",D6='UNC - EIB'!$T$2,LEFT(E6,1)="u",'UNC - EIB'!$R$2="vnđ",TH!P6&lt;&gt;""),"e",IF(AND(LEFT(C6,3)="EIB",D6='UNC - EIB'!$T$2,LEFT(E6,1)="U",'UNC - EIB'!$R$2="usd",TH!O6&lt;&gt;""),"e1",IF(AND(LEFT(C6,3)="EIB",D6='LC - EIB'!$S$2,LEFT(E6,1)="l"),"e2",""))))))</f>
        <v/>
      </c>
    </row>
    <row r="7" spans="1:18" ht="18.75" customHeight="1">
      <c r="A7" s="55" t="str">
        <f>IF(AND(C7="pv",E7='UNC - PV'!$S$2,D7='UNC - PV'!$Q$2),"x",IF(AND(LEFT(C7,3)="eib",E7='UNC - EIB'!$V$2,D7='UNC - EIB'!$T$2),"x1",IF(AND(C7="pv",E7='LC - PV'!$R$2,D7='LC - PV'!$P$2),"x2",IF(AND(LEFT(C7,3)="eib",E7='LC - EIB'!$U$2,D7='LC - EIB'!$S$2),"x3",""))))</f>
        <v/>
      </c>
      <c r="B7" s="62">
        <f t="shared" si="0"/>
        <v>4</v>
      </c>
      <c r="C7" s="62" t="s">
        <v>80</v>
      </c>
      <c r="D7" s="63">
        <v>42556</v>
      </c>
      <c r="E7" s="62" t="s">
        <v>24</v>
      </c>
      <c r="F7" s="64" t="s">
        <v>93</v>
      </c>
      <c r="G7" s="71" t="s">
        <v>96</v>
      </c>
      <c r="H7" s="64" t="s">
        <v>94</v>
      </c>
      <c r="I7" s="62" t="s">
        <v>9</v>
      </c>
      <c r="J7" s="66"/>
      <c r="K7" s="67"/>
      <c r="L7" s="65"/>
      <c r="M7" s="65"/>
      <c r="N7" s="64" t="s">
        <v>95</v>
      </c>
      <c r="O7" s="68"/>
      <c r="P7" s="69">
        <v>50000000</v>
      </c>
      <c r="Q7" s="91" t="s">
        <v>142</v>
      </c>
      <c r="R7" s="202" t="str">
        <f>IF(AND(C7="pv",D7='UNC - PV'!$Q$2,LEFT(E7,1)="u",'UNC - PV'!$O$2="vnđ",TH!P7&lt;&gt;""),"p",IF(AND(C7="pv",D7='UNC - PV'!$Q$2,LEFT(E7,1)="u",'UNC - PV'!$O$2="usd",TH!O7&lt;&gt;""),"p1",IF(AND(C7="pv",D7='LC - PV'!$P$2,LEFT(E7,1)="l"),"p2",IF(AND(LEFT(C7,3)="EIB",D7='UNC - EIB'!$T$2,LEFT(E7,1)="u",'UNC - EIB'!$R$2="vnđ",TH!P7&lt;&gt;""),"e",IF(AND(LEFT(C7,3)="EIB",D7='UNC - EIB'!$T$2,LEFT(E7,1)="U",'UNC - EIB'!$R$2="usd",TH!O7&lt;&gt;""),"e1",IF(AND(LEFT(C7,3)="EIB",D7='LC - EIB'!$S$2,LEFT(E7,1)="l"),"e2",""))))))</f>
        <v/>
      </c>
    </row>
    <row r="8" spans="1:18" ht="18.75" customHeight="1">
      <c r="A8" s="55" t="str">
        <f>IF(AND(C8="pv",E8='UNC - PV'!$S$2,D8='UNC - PV'!$Q$2),"x",IF(AND(LEFT(C8,3)="eib",E8='UNC - EIB'!$V$2,D8='UNC - EIB'!$T$2),"x1",IF(AND(C8="pv",E8='LC - PV'!$R$2,D8='LC - PV'!$P$2),"x2",IF(AND(LEFT(C8,3)="eib",E8='LC - EIB'!$U$2,D8='LC - EIB'!$S$2),"x3",""))))</f>
        <v/>
      </c>
      <c r="B8" s="62">
        <f t="shared" si="0"/>
        <v>5</v>
      </c>
      <c r="C8" s="62" t="s">
        <v>80</v>
      </c>
      <c r="D8" s="63">
        <v>42556</v>
      </c>
      <c r="E8" s="62" t="s">
        <v>82</v>
      </c>
      <c r="F8" s="64" t="s">
        <v>97</v>
      </c>
      <c r="G8" s="64" t="s">
        <v>98</v>
      </c>
      <c r="H8" s="64" t="s">
        <v>99</v>
      </c>
      <c r="I8" s="62" t="s">
        <v>9</v>
      </c>
      <c r="J8" s="66"/>
      <c r="K8" s="67"/>
      <c r="L8" s="65"/>
      <c r="M8" s="65"/>
      <c r="N8" s="64" t="s">
        <v>100</v>
      </c>
      <c r="O8" s="68"/>
      <c r="P8" s="69">
        <v>50000000</v>
      </c>
      <c r="Q8" s="91" t="s">
        <v>142</v>
      </c>
      <c r="R8" s="202" t="str">
        <f>IF(AND(C8="pv",D8='UNC - PV'!$Q$2,LEFT(E8,1)="u",'UNC - PV'!$O$2="vnđ",TH!P8&lt;&gt;""),"p",IF(AND(C8="pv",D8='UNC - PV'!$Q$2,LEFT(E8,1)="u",'UNC - PV'!$O$2="usd",TH!O8&lt;&gt;""),"p1",IF(AND(C8="pv",D8='LC - PV'!$P$2,LEFT(E8,1)="l"),"p2",IF(AND(LEFT(C8,3)="EIB",D8='UNC - EIB'!$T$2,LEFT(E8,1)="u",'UNC - EIB'!$R$2="vnđ",TH!P8&lt;&gt;""),"e",IF(AND(LEFT(C8,3)="EIB",D8='UNC - EIB'!$T$2,LEFT(E8,1)="U",'UNC - EIB'!$R$2="usd",TH!O8&lt;&gt;""),"e1",IF(AND(LEFT(C8,3)="EIB",D8='LC - EIB'!$S$2,LEFT(E8,1)="l"),"e2",""))))))</f>
        <v/>
      </c>
    </row>
    <row r="9" spans="1:18" ht="18.75" customHeight="1">
      <c r="A9" s="55" t="str">
        <f>IF(AND(C9="pv",E9='UNC - PV'!$S$2,D9='UNC - PV'!$Q$2),"x",IF(AND(LEFT(C9,3)="eib",E9='UNC - EIB'!$V$2,D9='UNC - EIB'!$T$2),"x1",IF(AND(C9="pv",E9='LC - PV'!$R$2,D9='LC - PV'!$P$2),"x2",IF(AND(LEFT(C9,3)="eib",E9='LC - EIB'!$U$2,D9='LC - EIB'!$S$2),"x3",""))))</f>
        <v/>
      </c>
      <c r="B9" s="62">
        <f t="shared" si="0"/>
        <v>6</v>
      </c>
      <c r="C9" s="62" t="s">
        <v>80</v>
      </c>
      <c r="D9" s="63">
        <v>42556</v>
      </c>
      <c r="E9" s="62" t="s">
        <v>83</v>
      </c>
      <c r="F9" s="70" t="s">
        <v>4</v>
      </c>
      <c r="G9" s="70" t="s">
        <v>5</v>
      </c>
      <c r="H9" s="70" t="s">
        <v>6</v>
      </c>
      <c r="I9" s="62" t="s">
        <v>9</v>
      </c>
      <c r="J9" s="72"/>
      <c r="K9" s="63"/>
      <c r="L9" s="62"/>
      <c r="M9" s="62"/>
      <c r="N9" s="70" t="s">
        <v>81</v>
      </c>
      <c r="O9" s="73"/>
      <c r="P9" s="74">
        <v>28078550</v>
      </c>
      <c r="Q9" s="91" t="s">
        <v>142</v>
      </c>
      <c r="R9" s="202" t="str">
        <f>IF(AND(C9="pv",D9='UNC - PV'!$Q$2,LEFT(E9,1)="u",'UNC - PV'!$O$2="vnđ",TH!P9&lt;&gt;""),"p",IF(AND(C9="pv",D9='UNC - PV'!$Q$2,LEFT(E9,1)="u",'UNC - PV'!$O$2="usd",TH!O9&lt;&gt;""),"p1",IF(AND(C9="pv",D9='LC - PV'!$P$2,LEFT(E9,1)="l"),"p2",IF(AND(LEFT(C9,3)="EIB",D9='UNC - EIB'!$T$2,LEFT(E9,1)="u",'UNC - EIB'!$R$2="vnđ",TH!P9&lt;&gt;""),"e",IF(AND(LEFT(C9,3)="EIB",D9='UNC - EIB'!$T$2,LEFT(E9,1)="U",'UNC - EIB'!$R$2="usd",TH!O9&lt;&gt;""),"e1",IF(AND(LEFT(C9,3)="EIB",D9='LC - EIB'!$S$2,LEFT(E9,1)="l"),"e2",""))))))</f>
        <v/>
      </c>
    </row>
    <row r="10" spans="1:18" ht="18.75" customHeight="1">
      <c r="A10" s="55" t="str">
        <f>IF(AND(C10="pv",E10='UNC - PV'!$S$2,D10='UNC - PV'!$Q$2),"x",IF(AND(LEFT(C10,3)="eib",E10='UNC - EIB'!$V$2,D10='UNC - EIB'!$T$2),"x1",IF(AND(C10="pv",E10='LC - PV'!$R$2,D10='LC - PV'!$P$2),"x2",IF(AND(LEFT(C10,3)="eib",E10='LC - EIB'!$U$2,D10='LC - EIB'!$S$2),"x3",""))))</f>
        <v/>
      </c>
      <c r="B10" s="94">
        <f t="shared" si="0"/>
        <v>7</v>
      </c>
      <c r="C10" s="94" t="s">
        <v>124</v>
      </c>
      <c r="D10" s="95">
        <v>42559</v>
      </c>
      <c r="E10" s="94" t="s">
        <v>21</v>
      </c>
      <c r="F10" s="96" t="s">
        <v>128</v>
      </c>
      <c r="G10" s="96" t="s">
        <v>127</v>
      </c>
      <c r="H10" s="96" t="s">
        <v>126</v>
      </c>
      <c r="I10" s="94" t="s">
        <v>9</v>
      </c>
      <c r="J10" s="97"/>
      <c r="K10" s="98"/>
      <c r="L10" s="99"/>
      <c r="M10" s="99"/>
      <c r="N10" s="96" t="s">
        <v>125</v>
      </c>
      <c r="O10" s="100">
        <v>39600</v>
      </c>
      <c r="P10" s="101"/>
      <c r="Q10" s="102" t="s">
        <v>142</v>
      </c>
      <c r="R10" s="202" t="str">
        <f>IF(AND(C10="pv",D10='UNC - PV'!$Q$2,LEFT(E10,1)="u",'UNC - PV'!$O$2="vnđ",TH!P10&lt;&gt;""),"p",IF(AND(C10="pv",D10='UNC - PV'!$Q$2,LEFT(E10,1)="u",'UNC - PV'!$O$2="usd",TH!O10&lt;&gt;""),"p1",IF(AND(C10="pv",D10='LC - PV'!$P$2,LEFT(E10,1)="l"),"p2",IF(AND(LEFT(C10,3)="EIB",D10='UNC - EIB'!$T$2,LEFT(E10,1)="u",'UNC - EIB'!$R$2="vnđ",TH!P10&lt;&gt;""),"e",IF(AND(LEFT(C10,3)="EIB",D10='UNC - EIB'!$T$2,LEFT(E10,1)="U",'UNC - EIB'!$R$2="usd",TH!O10&lt;&gt;""),"e1",IF(AND(LEFT(C10,3)="EIB",D10='LC - EIB'!$S$2,LEFT(E10,1)="l"),"e2",""))))))</f>
        <v/>
      </c>
    </row>
    <row r="11" spans="1:18" s="89" customFormat="1" ht="18.75" customHeight="1">
      <c r="A11" s="55" t="str">
        <f>IF(AND(C11="pv",E11='UNC - PV'!$S$2,D11='UNC - PV'!$Q$2),"x",IF(AND(LEFT(C11,3)="eib",E11='UNC - EIB'!$V$2,D11='UNC - EIB'!$T$2),"x1",IF(AND(C11="pv",E11='LC - PV'!$R$2,D11='LC - PV'!$P$2),"x2",IF(AND(LEFT(C11,3)="eib",E11='LC - EIB'!$U$2,D11='LC - EIB'!$S$2),"x3",""))))</f>
        <v/>
      </c>
      <c r="B11" s="94">
        <f t="shared" si="0"/>
        <v>8</v>
      </c>
      <c r="C11" s="94" t="s">
        <v>124</v>
      </c>
      <c r="D11" s="95">
        <v>42562</v>
      </c>
      <c r="E11" s="94" t="s">
        <v>21</v>
      </c>
      <c r="F11" s="96" t="s">
        <v>129</v>
      </c>
      <c r="G11" s="96" t="s">
        <v>130</v>
      </c>
      <c r="H11" s="96" t="s">
        <v>126</v>
      </c>
      <c r="I11" s="94" t="s">
        <v>9</v>
      </c>
      <c r="J11" s="97"/>
      <c r="K11" s="98"/>
      <c r="L11" s="99"/>
      <c r="M11" s="99"/>
      <c r="N11" s="96" t="s">
        <v>131</v>
      </c>
      <c r="O11" s="100"/>
      <c r="P11" s="101">
        <v>100000000</v>
      </c>
      <c r="Q11" s="102" t="s">
        <v>143</v>
      </c>
      <c r="R11" s="202" t="str">
        <f>IF(AND(C11="pv",D11='UNC - PV'!$Q$2,LEFT(E11,1)="u",'UNC - PV'!$O$2="vnđ",TH!P11&lt;&gt;""),"p",IF(AND(C11="pv",D11='UNC - PV'!$Q$2,LEFT(E11,1)="u",'UNC - PV'!$O$2="usd",TH!O11&lt;&gt;""),"p1",IF(AND(C11="pv",D11='LC - PV'!$P$2,LEFT(E11,1)="l"),"p2",IF(AND(LEFT(C11,3)="EIB",D11='UNC - EIB'!$T$2,LEFT(E11,1)="u",'UNC - EIB'!$R$2="vnđ",TH!P11&lt;&gt;""),"e",IF(AND(LEFT(C11,3)="EIB",D11='UNC - EIB'!$T$2,LEFT(E11,1)="U",'UNC - EIB'!$R$2="usd",TH!O11&lt;&gt;""),"e1",IF(AND(LEFT(C11,3)="EIB",D11='LC - EIB'!$S$2,LEFT(E11,1)="l"),"e2",""))))))</f>
        <v/>
      </c>
    </row>
    <row r="12" spans="1:18" ht="18.75" customHeight="1">
      <c r="A12" s="55" t="str">
        <f>IF(AND(C12="pv",E12='UNC - PV'!$S$2,D12='UNC - PV'!$Q$2),"x",IF(AND(LEFT(C12,3)="eib",E12='UNC - EIB'!$V$2,D12='UNC - EIB'!$T$2),"x1",IF(AND(C12="pv",E12='LC - PV'!$R$2,D12='LC - PV'!$P$2),"x2",IF(AND(LEFT(C12,3)="eib",E12='LC - EIB'!$U$2,D12='LC - EIB'!$S$2),"x3",""))))</f>
        <v/>
      </c>
      <c r="B12" s="94">
        <f t="shared" si="0"/>
        <v>9</v>
      </c>
      <c r="C12" s="94" t="s">
        <v>102</v>
      </c>
      <c r="D12" s="95">
        <v>42562</v>
      </c>
      <c r="E12" s="94" t="s">
        <v>22</v>
      </c>
      <c r="F12" s="96" t="s">
        <v>132</v>
      </c>
      <c r="G12" s="96" t="s">
        <v>133</v>
      </c>
      <c r="H12" s="96" t="s">
        <v>135</v>
      </c>
      <c r="I12" s="99" t="s">
        <v>134</v>
      </c>
      <c r="J12" s="97"/>
      <c r="K12" s="98"/>
      <c r="L12" s="99"/>
      <c r="M12" s="99"/>
      <c r="N12" s="96" t="s">
        <v>136</v>
      </c>
      <c r="O12" s="100"/>
      <c r="P12" s="101">
        <v>100000000</v>
      </c>
      <c r="Q12" s="102" t="s">
        <v>142</v>
      </c>
      <c r="R12" s="202" t="str">
        <f>IF(AND(C12="pv",D12='UNC - PV'!$Q$2,LEFT(E12,1)="u",'UNC - PV'!$O$2="vnđ",TH!P12&lt;&gt;""),"p",IF(AND(C12="pv",D12='UNC - PV'!$Q$2,LEFT(E12,1)="u",'UNC - PV'!$O$2="usd",TH!O12&lt;&gt;""),"p1",IF(AND(C12="pv",D12='LC - PV'!$P$2,LEFT(E12,1)="l"),"p2",IF(AND(LEFT(C12,3)="EIB",D12='UNC - EIB'!$T$2,LEFT(E12,1)="u",'UNC - EIB'!$R$2="vnđ",TH!P12&lt;&gt;""),"e",IF(AND(LEFT(C12,3)="EIB",D12='UNC - EIB'!$T$2,LEFT(E12,1)="U",'UNC - EIB'!$R$2="usd",TH!O12&lt;&gt;""),"e1",IF(AND(LEFT(C12,3)="EIB",D12='LC - EIB'!$S$2,LEFT(E12,1)="l"),"e2",""))))))</f>
        <v/>
      </c>
    </row>
    <row r="13" spans="1:18" s="89" customFormat="1" ht="18.75" customHeight="1">
      <c r="A13" s="55" t="str">
        <f>IF(AND(C13="pv",E13='UNC - PV'!$S$2,D13='UNC - PV'!$Q$2),"x",IF(AND(LEFT(C13,3)="eib",E13='UNC - EIB'!$V$2,D13='UNC - EIB'!$T$2),"x1",IF(AND(C13="pv",E13='LC - PV'!$R$2,D13='LC - PV'!$P$2),"x2",IF(AND(LEFT(C13,3)="eib",E13='LC - EIB'!$U$2,D13='LC - EIB'!$S$2),"x3",""))))</f>
        <v/>
      </c>
      <c r="B13" s="94">
        <f t="shared" si="0"/>
        <v>10</v>
      </c>
      <c r="C13" s="94" t="s">
        <v>124</v>
      </c>
      <c r="D13" s="95">
        <v>42562</v>
      </c>
      <c r="E13" s="94" t="s">
        <v>23</v>
      </c>
      <c r="F13" s="96" t="s">
        <v>139</v>
      </c>
      <c r="G13" s="96" t="s">
        <v>138</v>
      </c>
      <c r="H13" s="96" t="s">
        <v>137</v>
      </c>
      <c r="I13" s="94" t="s">
        <v>9</v>
      </c>
      <c r="J13" s="97"/>
      <c r="K13" s="98"/>
      <c r="L13" s="99"/>
      <c r="M13" s="99"/>
      <c r="N13" s="96" t="s">
        <v>140</v>
      </c>
      <c r="O13" s="100"/>
      <c r="P13" s="101">
        <v>77480000</v>
      </c>
      <c r="Q13" s="102" t="s">
        <v>143</v>
      </c>
      <c r="R13" s="202" t="str">
        <f>IF(AND(C13="pv",D13='UNC - PV'!$Q$2,LEFT(E13,1)="u",'UNC - PV'!$O$2="vnđ",TH!P13&lt;&gt;""),"p",IF(AND(C13="pv",D13='UNC - PV'!$Q$2,LEFT(E13,1)="u",'UNC - PV'!$O$2="usd",TH!O13&lt;&gt;""),"p1",IF(AND(C13="pv",D13='LC - PV'!$P$2,LEFT(E13,1)="l"),"p2",IF(AND(LEFT(C13,3)="EIB",D13='UNC - EIB'!$T$2,LEFT(E13,1)="u",'UNC - EIB'!$R$2="vnđ",TH!P13&lt;&gt;""),"e",IF(AND(LEFT(C13,3)="EIB",D13='UNC - EIB'!$T$2,LEFT(E13,1)="U",'UNC - EIB'!$R$2="usd",TH!O13&lt;&gt;""),"e1",IF(AND(LEFT(C13,3)="EIB",D13='LC - EIB'!$S$2,LEFT(E13,1)="l"),"e2",""))))))</f>
        <v/>
      </c>
    </row>
    <row r="14" spans="1:18" ht="18.75" customHeight="1">
      <c r="A14" s="55" t="str">
        <f>IF(AND(C14="pv",E14='UNC - PV'!$S$2,D14='UNC - PV'!$Q$2),"x",IF(AND(LEFT(C14,3)="eib",E14='UNC - EIB'!$V$2,D14='UNC - EIB'!$T$2),"x1",IF(AND(C14="pv",E14='LC - PV'!$R$2,D14='LC - PV'!$P$2),"x2",IF(AND(LEFT(C14,3)="eib",E14='LC - EIB'!$U$2,D14='LC - EIB'!$S$2),"x3",""))))</f>
        <v/>
      </c>
      <c r="B14" s="94">
        <f t="shared" si="0"/>
        <v>11</v>
      </c>
      <c r="C14" s="94" t="s">
        <v>80</v>
      </c>
      <c r="D14" s="95">
        <v>42564</v>
      </c>
      <c r="E14" s="94" t="s">
        <v>21</v>
      </c>
      <c r="F14" s="96" t="s">
        <v>148</v>
      </c>
      <c r="G14" s="103" t="s">
        <v>145</v>
      </c>
      <c r="H14" s="96" t="s">
        <v>146</v>
      </c>
      <c r="I14" s="99" t="s">
        <v>9</v>
      </c>
      <c r="J14" s="97"/>
      <c r="K14" s="98"/>
      <c r="L14" s="99"/>
      <c r="M14" s="99"/>
      <c r="N14" s="96" t="s">
        <v>147</v>
      </c>
      <c r="O14" s="100"/>
      <c r="P14" s="101">
        <v>11852379</v>
      </c>
      <c r="Q14" s="102" t="s">
        <v>142</v>
      </c>
      <c r="R14" s="202" t="str">
        <f>IF(AND(C14="pv",D14='UNC - PV'!$Q$2,LEFT(E14,1)="u",'UNC - PV'!$O$2="vnđ",TH!P14&lt;&gt;""),"p",IF(AND(C14="pv",D14='UNC - PV'!$Q$2,LEFT(E14,1)="u",'UNC - PV'!$O$2="usd",TH!O14&lt;&gt;""),"p1",IF(AND(C14="pv",D14='LC - PV'!$P$2,LEFT(E14,1)="l"),"p2",IF(AND(LEFT(C14,3)="EIB",D14='UNC - EIB'!$T$2,LEFT(E14,1)="u",'UNC - EIB'!$R$2="vnđ",TH!P14&lt;&gt;""),"e",IF(AND(LEFT(C14,3)="EIB",D14='UNC - EIB'!$T$2,LEFT(E14,1)="U",'UNC - EIB'!$R$2="usd",TH!O14&lt;&gt;""),"e1",IF(AND(LEFT(C14,3)="EIB",D14='LC - EIB'!$S$2,LEFT(E14,1)="l"),"e2",""))))))</f>
        <v/>
      </c>
    </row>
    <row r="15" spans="1:18" ht="18.75" customHeight="1">
      <c r="A15" s="55" t="str">
        <f>IF(AND(C15="pv",E15='UNC - PV'!$S$2,D15='UNC - PV'!$Q$2),"x",IF(AND(LEFT(C15,3)="eib",E15='UNC - EIB'!$V$2,D15='UNC - EIB'!$T$2),"x1",IF(AND(C15="pv",E15='LC - PV'!$R$2,D15='LC - PV'!$P$2),"x2",IF(AND(LEFT(C15,3)="eib",E15='LC - EIB'!$U$2,D15='LC - EIB'!$S$2),"x3",""))))</f>
        <v/>
      </c>
      <c r="B15" s="94">
        <f t="shared" si="0"/>
        <v>12</v>
      </c>
      <c r="C15" s="94" t="s">
        <v>80</v>
      </c>
      <c r="D15" s="95">
        <v>42566</v>
      </c>
      <c r="E15" s="94" t="s">
        <v>21</v>
      </c>
      <c r="F15" s="96" t="s">
        <v>149</v>
      </c>
      <c r="G15" s="96" t="s">
        <v>150</v>
      </c>
      <c r="H15" s="96" t="s">
        <v>151</v>
      </c>
      <c r="I15" s="99" t="s">
        <v>9</v>
      </c>
      <c r="J15" s="97"/>
      <c r="K15" s="98"/>
      <c r="L15" s="99"/>
      <c r="M15" s="99"/>
      <c r="N15" s="96" t="s">
        <v>152</v>
      </c>
      <c r="O15" s="100"/>
      <c r="P15" s="101">
        <v>50000000</v>
      </c>
      <c r="Q15" s="102" t="s">
        <v>142</v>
      </c>
      <c r="R15" s="202" t="str">
        <f>IF(AND(C15="pv",D15='UNC - PV'!$Q$2,LEFT(E15,1)="u",'UNC - PV'!$O$2="vnđ",TH!P15&lt;&gt;""),"p",IF(AND(C15="pv",D15='UNC - PV'!$Q$2,LEFT(E15,1)="u",'UNC - PV'!$O$2="usd",TH!O15&lt;&gt;""),"p1",IF(AND(C15="pv",D15='LC - PV'!$P$2,LEFT(E15,1)="l"),"p2",IF(AND(LEFT(C15,3)="EIB",D15='UNC - EIB'!$T$2,LEFT(E15,1)="u",'UNC - EIB'!$R$2="vnđ",TH!P15&lt;&gt;""),"e",IF(AND(LEFT(C15,3)="EIB",D15='UNC - EIB'!$T$2,LEFT(E15,1)="U",'UNC - EIB'!$R$2="usd",TH!O15&lt;&gt;""),"e1",IF(AND(LEFT(C15,3)="EIB",D15='LC - EIB'!$S$2,LEFT(E15,1)="l"),"e2",""))))))</f>
        <v/>
      </c>
    </row>
    <row r="16" spans="1:18" ht="18.75" customHeight="1">
      <c r="A16" s="55" t="str">
        <f>IF(AND(C16="pv",E16='UNC - PV'!$S$2,D16='UNC - PV'!$Q$2),"x",IF(AND(LEFT(C16,3)="eib",E16='UNC - EIB'!$V$2,D16='UNC - EIB'!$T$2),"x1",IF(AND(C16="pv",E16='LC - PV'!$R$2,D16='LC - PV'!$P$2),"x2",IF(AND(LEFT(C16,3)="eib",E16='LC - EIB'!$U$2,D16='LC - EIB'!$S$2),"x3",""))))</f>
        <v/>
      </c>
      <c r="B16" s="94">
        <f t="shared" si="0"/>
        <v>13</v>
      </c>
      <c r="C16" s="94" t="s">
        <v>80</v>
      </c>
      <c r="D16" s="95">
        <v>42566</v>
      </c>
      <c r="E16" s="94" t="s">
        <v>22</v>
      </c>
      <c r="F16" s="96" t="s">
        <v>129</v>
      </c>
      <c r="G16" s="96" t="s">
        <v>130</v>
      </c>
      <c r="H16" s="96" t="s">
        <v>126</v>
      </c>
      <c r="I16" s="94" t="s">
        <v>9</v>
      </c>
      <c r="J16" s="97"/>
      <c r="K16" s="98"/>
      <c r="L16" s="99"/>
      <c r="M16" s="99"/>
      <c r="N16" s="96" t="s">
        <v>131</v>
      </c>
      <c r="O16" s="100"/>
      <c r="P16" s="101">
        <v>29000000</v>
      </c>
      <c r="Q16" s="102" t="s">
        <v>142</v>
      </c>
      <c r="R16" s="202" t="str">
        <f>IF(AND(C16="pv",D16='UNC - PV'!$Q$2,LEFT(E16,1)="u",'UNC - PV'!$O$2="vnđ",TH!P16&lt;&gt;""),"p",IF(AND(C16="pv",D16='UNC - PV'!$Q$2,LEFT(E16,1)="u",'UNC - PV'!$O$2="usd",TH!O16&lt;&gt;""),"p1",IF(AND(C16="pv",D16='LC - PV'!$P$2,LEFT(E16,1)="l"),"p2",IF(AND(LEFT(C16,3)="EIB",D16='UNC - EIB'!$T$2,LEFT(E16,1)="u",'UNC - EIB'!$R$2="vnđ",TH!P16&lt;&gt;""),"e",IF(AND(LEFT(C16,3)="EIB",D16='UNC - EIB'!$T$2,LEFT(E16,1)="U",'UNC - EIB'!$R$2="usd",TH!O16&lt;&gt;""),"e1",IF(AND(LEFT(C16,3)="EIB",D16='LC - EIB'!$S$2,LEFT(E16,1)="l"),"e2",""))))))</f>
        <v/>
      </c>
    </row>
    <row r="17" spans="1:18" ht="18.75" customHeight="1">
      <c r="A17" s="55" t="str">
        <f>IF(AND(C17="pv",E17='UNC - PV'!$S$2,D17='UNC - PV'!$Q$2),"x",IF(AND(LEFT(C17,3)="eib",E17='UNC - EIB'!$V$2,D17='UNC - EIB'!$T$2),"x1",IF(AND(C17="pv",E17='LC - PV'!$R$2,D17='LC - PV'!$P$2),"x2",IF(AND(LEFT(C17,3)="eib",E17='LC - EIB'!$U$2,D17='LC - EIB'!$S$2),"x3",""))))</f>
        <v/>
      </c>
      <c r="B17" s="94">
        <f t="shared" si="0"/>
        <v>14</v>
      </c>
      <c r="C17" s="94" t="s">
        <v>102</v>
      </c>
      <c r="D17" s="95">
        <v>42566</v>
      </c>
      <c r="E17" s="94" t="s">
        <v>23</v>
      </c>
      <c r="F17" s="96" t="s">
        <v>153</v>
      </c>
      <c r="G17" s="96" t="s">
        <v>154</v>
      </c>
      <c r="H17" s="96" t="s">
        <v>155</v>
      </c>
      <c r="I17" s="99" t="s">
        <v>156</v>
      </c>
      <c r="J17" s="97"/>
      <c r="K17" s="98"/>
      <c r="L17" s="99"/>
      <c r="M17" s="99"/>
      <c r="N17" s="96" t="s">
        <v>157</v>
      </c>
      <c r="O17" s="100"/>
      <c r="P17" s="101">
        <v>28700000</v>
      </c>
      <c r="Q17" s="102" t="s">
        <v>142</v>
      </c>
      <c r="R17" s="202" t="str">
        <f>IF(AND(C17="pv",D17='UNC - PV'!$Q$2,LEFT(E17,1)="u",'UNC - PV'!$O$2="vnđ",TH!P17&lt;&gt;""),"p",IF(AND(C17="pv",D17='UNC - PV'!$Q$2,LEFT(E17,1)="u",'UNC - PV'!$O$2="usd",TH!O17&lt;&gt;""),"p1",IF(AND(C17="pv",D17='LC - PV'!$P$2,LEFT(E17,1)="l"),"p2",IF(AND(LEFT(C17,3)="EIB",D17='UNC - EIB'!$T$2,LEFT(E17,1)="u",'UNC - EIB'!$R$2="vnđ",TH!P17&lt;&gt;""),"e",IF(AND(LEFT(C17,3)="EIB",D17='UNC - EIB'!$T$2,LEFT(E17,1)="U",'UNC - EIB'!$R$2="usd",TH!O17&lt;&gt;""),"e1",IF(AND(LEFT(C17,3)="EIB",D17='LC - EIB'!$S$2,LEFT(E17,1)="l"),"e2",""))))))</f>
        <v/>
      </c>
    </row>
    <row r="18" spans="1:18" ht="18.75" customHeight="1">
      <c r="A18" s="55" t="str">
        <f>IF(AND(C18="pv",E18='UNC - PV'!$S$2,D18='UNC - PV'!$Q$2),"x",IF(AND(LEFT(C18,3)="eib",E18='UNC - EIB'!$V$2,D18='UNC - EIB'!$T$2),"x1",IF(AND(C18="pv",E18='LC - PV'!$R$2,D18='LC - PV'!$P$2),"x2",IF(AND(LEFT(C18,3)="eib",E18='LC - EIB'!$U$2,D18='LC - EIB'!$S$2),"x3",""))))</f>
        <v/>
      </c>
      <c r="B18" s="62">
        <f t="shared" si="0"/>
        <v>15</v>
      </c>
      <c r="C18" s="62" t="s">
        <v>80</v>
      </c>
      <c r="D18" s="63">
        <v>42573</v>
      </c>
      <c r="E18" s="94" t="s">
        <v>21</v>
      </c>
      <c r="F18" s="96" t="s">
        <v>128</v>
      </c>
      <c r="G18" s="71" t="s">
        <v>158</v>
      </c>
      <c r="H18" s="64" t="s">
        <v>159</v>
      </c>
      <c r="I18" s="94" t="s">
        <v>9</v>
      </c>
      <c r="J18" s="66"/>
      <c r="K18" s="67"/>
      <c r="L18" s="65"/>
      <c r="M18" s="65"/>
      <c r="N18" s="64" t="s">
        <v>160</v>
      </c>
      <c r="O18" s="68"/>
      <c r="P18" s="69">
        <v>32000000</v>
      </c>
      <c r="Q18" s="102" t="s">
        <v>142</v>
      </c>
      <c r="R18" s="202" t="str">
        <f>IF(AND(C18="pv",D18='UNC - PV'!$Q$2,LEFT(E18,1)="u",'UNC - PV'!$O$2="vnđ",TH!P18&lt;&gt;""),"p",IF(AND(C18="pv",D18='UNC - PV'!$Q$2,LEFT(E18,1)="u",'UNC - PV'!$O$2="usd",TH!O18&lt;&gt;""),"p1",IF(AND(C18="pv",D18='LC - PV'!$P$2,LEFT(E18,1)="l"),"p2",IF(AND(LEFT(C18,3)="EIB",D18='UNC - EIB'!$T$2,LEFT(E18,1)="u",'UNC - EIB'!$R$2="vnđ",TH!P18&lt;&gt;""),"e",IF(AND(LEFT(C18,3)="EIB",D18='UNC - EIB'!$T$2,LEFT(E18,1)="U",'UNC - EIB'!$R$2="usd",TH!O18&lt;&gt;""),"e1",IF(AND(LEFT(C18,3)="EIB",D18='LC - EIB'!$S$2,LEFT(E18,1)="l"),"e2",""))))))</f>
        <v/>
      </c>
    </row>
    <row r="19" spans="1:18" ht="18.75" customHeight="1">
      <c r="A19" s="55" t="str">
        <f>IF(AND(C19="pv",E19='UNC - PV'!$S$2,D19='UNC - PV'!$Q$2),"x",IF(AND(LEFT(C19,3)="eib",E19='UNC - EIB'!$V$2,D19='UNC - EIB'!$T$2),"x1",IF(AND(C19="pv",E19='LC - PV'!$R$2,D19='LC - PV'!$P$2),"x2",IF(AND(LEFT(C19,3)="eib",E19='LC - EIB'!$U$2,D19='LC - EIB'!$S$2),"x3",""))))</f>
        <v/>
      </c>
      <c r="B19" s="62">
        <f t="shared" si="0"/>
        <v>16</v>
      </c>
      <c r="C19" s="62" t="s">
        <v>80</v>
      </c>
      <c r="D19" s="63">
        <v>42573</v>
      </c>
      <c r="E19" s="94" t="s">
        <v>22</v>
      </c>
      <c r="F19" s="96" t="s">
        <v>129</v>
      </c>
      <c r="G19" s="96" t="s">
        <v>130</v>
      </c>
      <c r="H19" s="96" t="s">
        <v>126</v>
      </c>
      <c r="I19" s="94" t="s">
        <v>9</v>
      </c>
      <c r="J19" s="66"/>
      <c r="K19" s="67"/>
      <c r="L19" s="65"/>
      <c r="M19" s="65"/>
      <c r="N19" s="96" t="s">
        <v>131</v>
      </c>
      <c r="O19" s="68"/>
      <c r="P19" s="69">
        <v>160000000</v>
      </c>
      <c r="Q19" s="102" t="s">
        <v>142</v>
      </c>
      <c r="R19" s="202" t="str">
        <f>IF(AND(C19="pv",D19='UNC - PV'!$Q$2,LEFT(E19,1)="u",'UNC - PV'!$O$2="vnđ",TH!P19&lt;&gt;""),"p",IF(AND(C19="pv",D19='UNC - PV'!$Q$2,LEFT(E19,1)="u",'UNC - PV'!$O$2="usd",TH!O19&lt;&gt;""),"p1",IF(AND(C19="pv",D19='LC - PV'!$P$2,LEFT(E19,1)="l"),"p2",IF(AND(LEFT(C19,3)="EIB",D19='UNC - EIB'!$T$2,LEFT(E19,1)="u",'UNC - EIB'!$R$2="vnđ",TH!P19&lt;&gt;""),"e",IF(AND(LEFT(C19,3)="EIB",D19='UNC - EIB'!$T$2,LEFT(E19,1)="U",'UNC - EIB'!$R$2="usd",TH!O19&lt;&gt;""),"e1",IF(AND(LEFT(C19,3)="EIB",D19='LC - EIB'!$S$2,LEFT(E19,1)="l"),"e2",""))))))</f>
        <v/>
      </c>
    </row>
    <row r="20" spans="1:18" ht="18.75" customHeight="1">
      <c r="A20" s="55" t="str">
        <f>IF(AND(C20="pv",E20='UNC - PV'!$S$2,D20='UNC - PV'!$Q$2),"x",IF(AND(LEFT(C20,3)="eib",E20='UNC - EIB'!$V$2,D20='UNC - EIB'!$T$2),"x1",IF(AND(C20="pv",E20='LC - PV'!$R$2,D20='LC - PV'!$P$2),"x2",IF(AND(LEFT(C20,3)="eib",E20='LC - EIB'!$U$2,D20='LC - EIB'!$S$2),"x3",""))))</f>
        <v/>
      </c>
      <c r="B20" s="62">
        <f t="shared" si="0"/>
        <v>17</v>
      </c>
      <c r="C20" s="62" t="s">
        <v>80</v>
      </c>
      <c r="D20" s="63">
        <v>42573</v>
      </c>
      <c r="E20" s="94" t="s">
        <v>23</v>
      </c>
      <c r="F20" s="96" t="s">
        <v>139</v>
      </c>
      <c r="G20" s="96" t="s">
        <v>138</v>
      </c>
      <c r="H20" s="96" t="s">
        <v>137</v>
      </c>
      <c r="I20" s="94" t="s">
        <v>9</v>
      </c>
      <c r="J20" s="97"/>
      <c r="K20" s="98"/>
      <c r="L20" s="99"/>
      <c r="M20" s="99"/>
      <c r="N20" s="96" t="s">
        <v>140</v>
      </c>
      <c r="O20" s="100"/>
      <c r="P20" s="101">
        <v>40000000</v>
      </c>
      <c r="Q20" s="102" t="s">
        <v>142</v>
      </c>
      <c r="R20" s="202" t="str">
        <f>IF(AND(C20="pv",D20='UNC - PV'!$Q$2,LEFT(E20,1)="u",'UNC - PV'!$O$2="vnđ",TH!P20&lt;&gt;""),"p",IF(AND(C20="pv",D20='UNC - PV'!$Q$2,LEFT(E20,1)="u",'UNC - PV'!$O$2="usd",TH!O20&lt;&gt;""),"p1",IF(AND(C20="pv",D20='LC - PV'!$P$2,LEFT(E20,1)="l"),"p2",IF(AND(LEFT(C20,3)="EIB",D20='UNC - EIB'!$T$2,LEFT(E20,1)="u",'UNC - EIB'!$R$2="vnđ",TH!P20&lt;&gt;""),"e",IF(AND(LEFT(C20,3)="EIB",D20='UNC - EIB'!$T$2,LEFT(E20,1)="U",'UNC - EIB'!$R$2="usd",TH!O20&lt;&gt;""),"e1",IF(AND(LEFT(C20,3)="EIB",D20='LC - EIB'!$S$2,LEFT(E20,1)="l"),"e2",""))))))</f>
        <v/>
      </c>
    </row>
    <row r="21" spans="1:18" ht="18.75" customHeight="1">
      <c r="A21" s="55" t="str">
        <f>IF(AND(C21="pv",E21='UNC - PV'!$S$2,D21='UNC - PV'!$Q$2),"x",IF(AND(LEFT(C21,3)="eib",E21='UNC - EIB'!$V$2,D21='UNC - EIB'!$T$2),"x1",IF(AND(C21="pv",E21='LC - PV'!$R$2,D21='LC - PV'!$P$2),"x2",IF(AND(LEFT(C21,3)="eib",E21='LC - EIB'!$U$2,D21='LC - EIB'!$S$2),"x3",""))))</f>
        <v/>
      </c>
      <c r="B21" s="62">
        <f t="shared" si="0"/>
        <v>18</v>
      </c>
      <c r="C21" s="62" t="s">
        <v>80</v>
      </c>
      <c r="D21" s="63">
        <v>42573</v>
      </c>
      <c r="E21" s="94" t="s">
        <v>24</v>
      </c>
      <c r="F21" s="64" t="s">
        <v>34</v>
      </c>
      <c r="G21" s="64" t="s">
        <v>30</v>
      </c>
      <c r="H21" s="64" t="s">
        <v>31</v>
      </c>
      <c r="I21" s="65" t="s">
        <v>33</v>
      </c>
      <c r="J21" s="66"/>
      <c r="K21" s="67"/>
      <c r="L21" s="65"/>
      <c r="M21" s="65"/>
      <c r="N21" s="64" t="s">
        <v>161</v>
      </c>
      <c r="O21" s="68"/>
      <c r="P21" s="69">
        <v>20769870</v>
      </c>
      <c r="Q21" s="102" t="s">
        <v>142</v>
      </c>
      <c r="R21" s="202" t="str">
        <f>IF(AND(C21="pv",D21='UNC - PV'!$Q$2,LEFT(E21,1)="u",'UNC - PV'!$O$2="vnđ",TH!P21&lt;&gt;""),"p",IF(AND(C21="pv",D21='UNC - PV'!$Q$2,LEFT(E21,1)="u",'UNC - PV'!$O$2="usd",TH!O21&lt;&gt;""),"p1",IF(AND(C21="pv",D21='LC - PV'!$P$2,LEFT(E21,1)="l"),"p2",IF(AND(LEFT(C21,3)="EIB",D21='UNC - EIB'!$T$2,LEFT(E21,1)="u",'UNC - EIB'!$R$2="vnđ",TH!P21&lt;&gt;""),"e",IF(AND(LEFT(C21,3)="EIB",D21='UNC - EIB'!$T$2,LEFT(E21,1)="U",'UNC - EIB'!$R$2="usd",TH!O21&lt;&gt;""),"e1",IF(AND(LEFT(C21,3)="EIB",D21='LC - EIB'!$S$2,LEFT(E21,1)="l"),"e2",""))))))</f>
        <v/>
      </c>
    </row>
    <row r="22" spans="1:18" ht="18.75" customHeight="1">
      <c r="A22" s="55" t="str">
        <f>IF(AND(C22="pv",E22='UNC - PV'!$S$2,D22='UNC - PV'!$Q$2),"x",IF(AND(LEFT(C22,3)="eib",E22='UNC - EIB'!$V$2,D22='UNC - EIB'!$T$2),"x1",IF(AND(C22="pv",E22='LC - PV'!$R$2,D22='LC - PV'!$P$2),"x2",IF(AND(LEFT(C22,3)="eib",E22='LC - EIB'!$U$2,D22='LC - EIB'!$S$2),"x3",""))))</f>
        <v/>
      </c>
      <c r="B22" s="62">
        <f t="shared" si="0"/>
        <v>19</v>
      </c>
      <c r="C22" s="62" t="s">
        <v>102</v>
      </c>
      <c r="D22" s="67">
        <v>42580</v>
      </c>
      <c r="E22" s="94" t="s">
        <v>21</v>
      </c>
      <c r="F22" s="64" t="s">
        <v>162</v>
      </c>
      <c r="G22" s="64" t="s">
        <v>198</v>
      </c>
      <c r="H22" s="64" t="s">
        <v>163</v>
      </c>
      <c r="I22" s="99" t="s">
        <v>156</v>
      </c>
      <c r="J22" s="66"/>
      <c r="K22" s="67"/>
      <c r="L22" s="65"/>
      <c r="M22" s="65"/>
      <c r="N22" s="104" t="s">
        <v>188</v>
      </c>
      <c r="O22" s="68"/>
      <c r="P22" s="69">
        <f>26959790+26175600</f>
        <v>53135390</v>
      </c>
      <c r="Q22" s="102" t="s">
        <v>189</v>
      </c>
      <c r="R22" s="202" t="str">
        <f>IF(AND(C22="pv",D22='UNC - PV'!$Q$2,LEFT(E22,1)="u",'UNC - PV'!$O$2="vnđ",TH!P22&lt;&gt;""),"p",IF(AND(C22="pv",D22='UNC - PV'!$Q$2,LEFT(E22,1)="u",'UNC - PV'!$O$2="usd",TH!O22&lt;&gt;""),"p1",IF(AND(C22="pv",D22='LC - PV'!$P$2,LEFT(E22,1)="l"),"p2",IF(AND(LEFT(C22,3)="EIB",D22='UNC - EIB'!$T$2,LEFT(E22,1)="u",'UNC - EIB'!$R$2="vnđ",TH!P22&lt;&gt;""),"e",IF(AND(LEFT(C22,3)="EIB",D22='UNC - EIB'!$T$2,LEFT(E22,1)="U",'UNC - EIB'!$R$2="usd",TH!O22&lt;&gt;""),"e1",IF(AND(LEFT(C22,3)="EIB",D22='LC - EIB'!$S$2,LEFT(E22,1)="l"),"e2",""))))))</f>
        <v/>
      </c>
    </row>
    <row r="23" spans="1:18" ht="18.75" customHeight="1">
      <c r="A23" s="55" t="str">
        <f>IF(AND(C23="pv",E23='UNC - PV'!$S$2,D23='UNC - PV'!$Q$2),"x",IF(AND(LEFT(C23,3)="eib",E23='UNC - EIB'!$V$2,D23='UNC - EIB'!$T$2),"x1",IF(AND(C23="pv",E23='LC - PV'!$R$2,D23='LC - PV'!$P$2),"x2",IF(AND(LEFT(C23,3)="eib",E23='LC - EIB'!$U$2,D23='LC - EIB'!$S$2),"x3",""))))</f>
        <v/>
      </c>
      <c r="B23" s="62">
        <f t="shared" si="0"/>
        <v>20</v>
      </c>
      <c r="C23" s="62" t="s">
        <v>124</v>
      </c>
      <c r="D23" s="67">
        <v>42583</v>
      </c>
      <c r="E23" s="94" t="s">
        <v>21</v>
      </c>
      <c r="F23" s="96" t="s">
        <v>128</v>
      </c>
      <c r="G23" s="71" t="s">
        <v>165</v>
      </c>
      <c r="H23" s="64" t="s">
        <v>164</v>
      </c>
      <c r="I23" s="94" t="s">
        <v>9</v>
      </c>
      <c r="J23" s="66"/>
      <c r="K23" s="67"/>
      <c r="L23" s="65"/>
      <c r="M23" s="65"/>
      <c r="N23" s="64" t="s">
        <v>166</v>
      </c>
      <c r="O23" s="68">
        <v>500</v>
      </c>
      <c r="P23" s="69"/>
      <c r="Q23" s="102" t="s">
        <v>190</v>
      </c>
      <c r="R23" s="202" t="str">
        <f>IF(AND(C23="pv",D23='UNC - PV'!$Q$2,LEFT(E23,1)="u",'UNC - PV'!$O$2="vnđ",TH!P23&lt;&gt;""),"p",IF(AND(C23="pv",D23='UNC - PV'!$Q$2,LEFT(E23,1)="u",'UNC - PV'!$O$2="usd",TH!O23&lt;&gt;""),"p1",IF(AND(C23="pv",D23='LC - PV'!$P$2,LEFT(E23,1)="l"),"p2",IF(AND(LEFT(C23,3)="EIB",D23='UNC - EIB'!$T$2,LEFT(E23,1)="u",'UNC - EIB'!$R$2="vnđ",TH!P23&lt;&gt;""),"e",IF(AND(LEFT(C23,3)="EIB",D23='UNC - EIB'!$T$2,LEFT(E23,1)="U",'UNC - EIB'!$R$2="usd",TH!O23&lt;&gt;""),"e1",IF(AND(LEFT(C23,3)="EIB",D23='LC - EIB'!$S$2,LEFT(E23,1)="l"),"e2",""))))))</f>
        <v/>
      </c>
    </row>
    <row r="24" spans="1:18" ht="18.75" customHeight="1">
      <c r="A24" s="55" t="str">
        <f>IF(AND(C24="pv",E24='UNC - PV'!$S$2,D24='UNC - PV'!$Q$2),"x",IF(AND(LEFT(C24,3)="eib",E24='UNC - EIB'!$V$2,D24='UNC - EIB'!$T$2),"x1",IF(AND(C24="pv",E24='LC - PV'!$R$2,D24='LC - PV'!$P$2),"x2",IF(AND(LEFT(C24,3)="eib",E24='LC - EIB'!$U$2,D24='LC - EIB'!$S$2),"x3",""))))</f>
        <v/>
      </c>
      <c r="B24" s="62">
        <f t="shared" si="0"/>
        <v>21</v>
      </c>
      <c r="C24" s="62" t="s">
        <v>80</v>
      </c>
      <c r="D24" s="67">
        <v>42586</v>
      </c>
      <c r="E24" s="94" t="s">
        <v>21</v>
      </c>
      <c r="F24" s="64" t="s">
        <v>34</v>
      </c>
      <c r="G24" s="64" t="s">
        <v>30</v>
      </c>
      <c r="H24" s="64" t="s">
        <v>31</v>
      </c>
      <c r="I24" s="65" t="s">
        <v>33</v>
      </c>
      <c r="J24" s="66"/>
      <c r="K24" s="67"/>
      <c r="L24" s="65"/>
      <c r="M24" s="65"/>
      <c r="N24" s="64" t="s">
        <v>168</v>
      </c>
      <c r="O24" s="68"/>
      <c r="P24" s="69">
        <v>23985830</v>
      </c>
      <c r="Q24" s="102" t="s">
        <v>190</v>
      </c>
      <c r="R24" s="202" t="str">
        <f>IF(AND(C24="pv",D24='UNC - PV'!$Q$2,LEFT(E24,1)="u",'UNC - PV'!$O$2="vnđ",TH!P24&lt;&gt;""),"p",IF(AND(C24="pv",D24='UNC - PV'!$Q$2,LEFT(E24,1)="u",'UNC - PV'!$O$2="usd",TH!O24&lt;&gt;""),"p1",IF(AND(C24="pv",D24='LC - PV'!$P$2,LEFT(E24,1)="l"),"p2",IF(AND(LEFT(C24,3)="EIB",D24='UNC - EIB'!$T$2,LEFT(E24,1)="u",'UNC - EIB'!$R$2="vnđ",TH!P24&lt;&gt;""),"e",IF(AND(LEFT(C24,3)="EIB",D24='UNC - EIB'!$T$2,LEFT(E24,1)="U",'UNC - EIB'!$R$2="usd",TH!O24&lt;&gt;""),"e1",IF(AND(LEFT(C24,3)="EIB",D24='LC - EIB'!$S$2,LEFT(E24,1)="l"),"e2",""))))))</f>
        <v/>
      </c>
    </row>
    <row r="25" spans="1:18" ht="18.75" customHeight="1">
      <c r="A25" s="55" t="str">
        <f>IF(AND(C25="pv",E25='UNC - PV'!$S$2,D25='UNC - PV'!$Q$2),"x",IF(AND(LEFT(C25,3)="eib",E25='UNC - EIB'!$V$2,D25='UNC - EIB'!$T$2),"x1",IF(AND(C25="pv",E25='LC - PV'!$R$2,D25='LC - PV'!$P$2),"x2",IF(AND(LEFT(C25,3)="eib",E25='LC - EIB'!$U$2,D25='LC - EIB'!$S$2),"x3",""))))</f>
        <v/>
      </c>
      <c r="B25" s="62">
        <f t="shared" si="0"/>
        <v>22</v>
      </c>
      <c r="C25" s="62" t="s">
        <v>80</v>
      </c>
      <c r="D25" s="67">
        <v>42586</v>
      </c>
      <c r="E25" s="94" t="s">
        <v>22</v>
      </c>
      <c r="F25" s="64" t="s">
        <v>169</v>
      </c>
      <c r="G25" s="71" t="s">
        <v>170</v>
      </c>
      <c r="H25" s="64" t="s">
        <v>171</v>
      </c>
      <c r="I25" s="94" t="s">
        <v>9</v>
      </c>
      <c r="J25" s="66"/>
      <c r="K25" s="67"/>
      <c r="L25" s="65"/>
      <c r="M25" s="65"/>
      <c r="N25" s="64" t="s">
        <v>172</v>
      </c>
      <c r="O25" s="68"/>
      <c r="P25" s="69">
        <v>64375104</v>
      </c>
      <c r="Q25" s="102" t="s">
        <v>190</v>
      </c>
      <c r="R25" s="202" t="str">
        <f>IF(AND(C25="pv",D25='UNC - PV'!$Q$2,LEFT(E25,1)="u",'UNC - PV'!$O$2="vnđ",TH!P25&lt;&gt;""),"p",IF(AND(C25="pv",D25='UNC - PV'!$Q$2,LEFT(E25,1)="u",'UNC - PV'!$O$2="usd",TH!O25&lt;&gt;""),"p1",IF(AND(C25="pv",D25='LC - PV'!$P$2,LEFT(E25,1)="l"),"p2",IF(AND(LEFT(C25,3)="EIB",D25='UNC - EIB'!$T$2,LEFT(E25,1)="u",'UNC - EIB'!$R$2="vnđ",TH!P25&lt;&gt;""),"e",IF(AND(LEFT(C25,3)="EIB",D25='UNC - EIB'!$T$2,LEFT(E25,1)="U",'UNC - EIB'!$R$2="usd",TH!O25&lt;&gt;""),"e1",IF(AND(LEFT(C25,3)="EIB",D25='LC - EIB'!$S$2,LEFT(E25,1)="l"),"e2",""))))))</f>
        <v/>
      </c>
    </row>
    <row r="26" spans="1:18" ht="18.75" customHeight="1">
      <c r="A26" s="55" t="str">
        <f>IF(AND(C26="pv",E26='UNC - PV'!$S$2,D26='UNC - PV'!$Q$2),"x",IF(AND(LEFT(C26,3)="eib",E26='UNC - EIB'!$V$2,D26='UNC - EIB'!$T$2),"x1",IF(AND(C26="pv",E26='LC - PV'!$R$2,D26='LC - PV'!$P$2),"x2",IF(AND(LEFT(C26,3)="eib",E26='LC - EIB'!$U$2,D26='LC - EIB'!$S$2),"x3",""))))</f>
        <v/>
      </c>
      <c r="B26" s="62">
        <f t="shared" ref="B26:B40" si="1">IF(C26&lt;&gt;"",ROW()-3,"")</f>
        <v>23</v>
      </c>
      <c r="C26" s="62" t="s">
        <v>80</v>
      </c>
      <c r="D26" s="67">
        <v>42586</v>
      </c>
      <c r="E26" s="94" t="s">
        <v>23</v>
      </c>
      <c r="F26" s="64" t="s">
        <v>173</v>
      </c>
      <c r="G26" s="71" t="s">
        <v>174</v>
      </c>
      <c r="H26" s="64" t="s">
        <v>175</v>
      </c>
      <c r="I26" s="94" t="s">
        <v>9</v>
      </c>
      <c r="J26" s="66"/>
      <c r="K26" s="67"/>
      <c r="L26" s="65"/>
      <c r="M26" s="65"/>
      <c r="N26" s="64" t="s">
        <v>179</v>
      </c>
      <c r="O26" s="68"/>
      <c r="P26" s="69">
        <v>420000</v>
      </c>
      <c r="Q26" s="102" t="s">
        <v>190</v>
      </c>
      <c r="R26" s="202" t="str">
        <f>IF(AND(C26="pv",D26='UNC - PV'!$Q$2,LEFT(E26,1)="u",'UNC - PV'!$O$2="vnđ",TH!P26&lt;&gt;""),"p",IF(AND(C26="pv",D26='UNC - PV'!$Q$2,LEFT(E26,1)="u",'UNC - PV'!$O$2="usd",TH!O26&lt;&gt;""),"p1",IF(AND(C26="pv",D26='LC - PV'!$P$2,LEFT(E26,1)="l"),"p2",IF(AND(LEFT(C26,3)="EIB",D26='UNC - EIB'!$T$2,LEFT(E26,1)="u",'UNC - EIB'!$R$2="vnđ",TH!P26&lt;&gt;""),"e",IF(AND(LEFT(C26,3)="EIB",D26='UNC - EIB'!$T$2,LEFT(E26,1)="U",'UNC - EIB'!$R$2="usd",TH!O26&lt;&gt;""),"e1",IF(AND(LEFT(C26,3)="EIB",D26='LC - EIB'!$S$2,LEFT(E26,1)="l"),"e2",""))))))</f>
        <v/>
      </c>
    </row>
    <row r="27" spans="1:18" ht="18.75" customHeight="1">
      <c r="A27" s="55" t="str">
        <f>IF(AND(C27="pv",E27='UNC - PV'!$S$2,D27='UNC - PV'!$Q$2),"x",IF(AND(LEFT(C27,3)="eib",E27='UNC - EIB'!$V$2,D27='UNC - EIB'!$T$2),"x1",IF(AND(C27="pv",E27='LC - PV'!$R$2,D27='LC - PV'!$P$2),"x2",IF(AND(LEFT(C27,3)="eib",E27='LC - EIB'!$U$2,D27='LC - EIB'!$S$2),"x3",""))))</f>
        <v/>
      </c>
      <c r="B27" s="62">
        <f t="shared" si="1"/>
        <v>24</v>
      </c>
      <c r="C27" s="62" t="s">
        <v>80</v>
      </c>
      <c r="D27" s="67">
        <v>42586</v>
      </c>
      <c r="E27" s="94" t="s">
        <v>24</v>
      </c>
      <c r="F27" s="64" t="s">
        <v>173</v>
      </c>
      <c r="G27" s="71" t="s">
        <v>176</v>
      </c>
      <c r="H27" s="64" t="s">
        <v>177</v>
      </c>
      <c r="I27" s="94" t="s">
        <v>9</v>
      </c>
      <c r="J27" s="66"/>
      <c r="K27" s="67"/>
      <c r="L27" s="65"/>
      <c r="M27" s="65"/>
      <c r="N27" s="64" t="s">
        <v>178</v>
      </c>
      <c r="O27" s="68"/>
      <c r="P27" s="69">
        <v>9215000</v>
      </c>
      <c r="Q27" s="102" t="s">
        <v>190</v>
      </c>
      <c r="R27" s="202" t="str">
        <f>IF(AND(C27="pv",D27='UNC - PV'!$Q$2,LEFT(E27,1)="u",'UNC - PV'!$O$2="vnđ",TH!P27&lt;&gt;""),"p",IF(AND(C27="pv",D27='UNC - PV'!$Q$2,LEFT(E27,1)="u",'UNC - PV'!$O$2="usd",TH!O27&lt;&gt;""),"p1",IF(AND(C27="pv",D27='LC - PV'!$P$2,LEFT(E27,1)="l"),"p2",IF(AND(LEFT(C27,3)="EIB",D27='UNC - EIB'!$T$2,LEFT(E27,1)="u",'UNC - EIB'!$R$2="vnđ",TH!P27&lt;&gt;""),"e",IF(AND(LEFT(C27,3)="EIB",D27='UNC - EIB'!$T$2,LEFT(E27,1)="U",'UNC - EIB'!$R$2="usd",TH!O27&lt;&gt;""),"e1",IF(AND(LEFT(C27,3)="EIB",D27='LC - EIB'!$S$2,LEFT(E27,1)="l"),"e2",""))))))</f>
        <v/>
      </c>
    </row>
    <row r="28" spans="1:18" ht="18.75" customHeight="1">
      <c r="A28" s="55" t="str">
        <f>IF(AND(C28="pv",E28='UNC - PV'!$S$2,D28='UNC - PV'!$Q$2),"x",IF(AND(LEFT(C28,3)="eib",E28='UNC - EIB'!$V$2,D28='UNC - EIB'!$T$2),"x1",IF(AND(C28="pv",E28='LC - PV'!$R$2,D28='LC - PV'!$P$2),"x2",IF(AND(LEFT(C28,3)="eib",E28='LC - EIB'!$U$2,D28='LC - EIB'!$S$2),"x3",""))))</f>
        <v/>
      </c>
      <c r="B28" s="62">
        <f t="shared" si="1"/>
        <v>25</v>
      </c>
      <c r="C28" s="62" t="s">
        <v>80</v>
      </c>
      <c r="D28" s="67">
        <v>42586</v>
      </c>
      <c r="E28" s="94" t="s">
        <v>82</v>
      </c>
      <c r="F28" s="96" t="s">
        <v>129</v>
      </c>
      <c r="G28" s="96" t="s">
        <v>130</v>
      </c>
      <c r="H28" s="96" t="s">
        <v>126</v>
      </c>
      <c r="I28" s="94" t="s">
        <v>9</v>
      </c>
      <c r="J28" s="66"/>
      <c r="K28" s="67"/>
      <c r="L28" s="65"/>
      <c r="M28" s="65"/>
      <c r="N28" s="96" t="s">
        <v>131</v>
      </c>
      <c r="O28" s="68"/>
      <c r="P28" s="69">
        <v>61000000</v>
      </c>
      <c r="Q28" s="102" t="s">
        <v>190</v>
      </c>
      <c r="R28" s="202" t="str">
        <f>IF(AND(C28="pv",D28='UNC - PV'!$Q$2,LEFT(E28,1)="u",'UNC - PV'!$O$2="vnđ",TH!P28&lt;&gt;""),"p",IF(AND(C28="pv",D28='UNC - PV'!$Q$2,LEFT(E28,1)="u",'UNC - PV'!$O$2="usd",TH!O28&lt;&gt;""),"p1",IF(AND(C28="pv",D28='LC - PV'!$P$2,LEFT(E28,1)="l"),"p2",IF(AND(LEFT(C28,3)="EIB",D28='UNC - EIB'!$T$2,LEFT(E28,1)="u",'UNC - EIB'!$R$2="vnđ",TH!P28&lt;&gt;""),"e",IF(AND(LEFT(C28,3)="EIB",D28='UNC - EIB'!$T$2,LEFT(E28,1)="U",'UNC - EIB'!$R$2="usd",TH!O28&lt;&gt;""),"e1",IF(AND(LEFT(C28,3)="EIB",D28='LC - EIB'!$S$2,LEFT(E28,1)="l"),"e2",""))))))</f>
        <v/>
      </c>
    </row>
    <row r="29" spans="1:18" ht="18.75" customHeight="1">
      <c r="A29" s="55" t="str">
        <f>IF(AND(C29="pv",E29='UNC - PV'!$S$2,D29='UNC - PV'!$Q$2),"x",IF(AND(LEFT(C29,3)="eib",E29='UNC - EIB'!$V$2,D29='UNC - EIB'!$T$2),"x1",IF(AND(C29="pv",E29='LC - PV'!$R$2,D29='LC - PV'!$P$2),"x2",IF(AND(LEFT(C29,3)="eib",E29='LC - EIB'!$U$2,D29='LC - EIB'!$S$2),"x3",""))))</f>
        <v/>
      </c>
      <c r="B29" s="62">
        <f t="shared" si="1"/>
        <v>26</v>
      </c>
      <c r="C29" s="62" t="s">
        <v>102</v>
      </c>
      <c r="D29" s="67">
        <v>42587</v>
      </c>
      <c r="E29" s="94" t="s">
        <v>83</v>
      </c>
      <c r="F29" s="64" t="s">
        <v>185</v>
      </c>
      <c r="G29" s="64" t="s">
        <v>191</v>
      </c>
      <c r="H29" s="64" t="s">
        <v>186</v>
      </c>
      <c r="I29" s="94" t="s">
        <v>9</v>
      </c>
      <c r="J29" s="66"/>
      <c r="K29" s="67"/>
      <c r="L29" s="65"/>
      <c r="M29" s="65"/>
      <c r="N29" s="64" t="s">
        <v>187</v>
      </c>
      <c r="O29" s="68"/>
      <c r="P29" s="69">
        <v>21000000</v>
      </c>
      <c r="Q29" s="102" t="s">
        <v>190</v>
      </c>
      <c r="R29" s="202" t="str">
        <f>IF(AND(C29="pv",D29='UNC - PV'!$Q$2,LEFT(E29,1)="u",'UNC - PV'!$O$2="vnđ",TH!P29&lt;&gt;""),"p",IF(AND(C29="pv",D29='UNC - PV'!$Q$2,LEFT(E29,1)="u",'UNC - PV'!$O$2="usd",TH!O29&lt;&gt;""),"p1",IF(AND(C29="pv",D29='LC - PV'!$P$2,LEFT(E29,1)="l"),"p2",IF(AND(LEFT(C29,3)="EIB",D29='UNC - EIB'!$T$2,LEFT(E29,1)="u",'UNC - EIB'!$R$2="vnđ",TH!P29&lt;&gt;""),"e",IF(AND(LEFT(C29,3)="EIB",D29='UNC - EIB'!$T$2,LEFT(E29,1)="U",'UNC - EIB'!$R$2="usd",TH!O29&lt;&gt;""),"e1",IF(AND(LEFT(C29,3)="EIB",D29='LC - EIB'!$S$2,LEFT(E29,1)="l"),"e2",""))))))</f>
        <v/>
      </c>
    </row>
    <row r="30" spans="1:18" ht="18.75" customHeight="1">
      <c r="A30" s="55" t="str">
        <f>IF(AND(C30="pv",E30='UNC - PV'!$S$2,D30='UNC - PV'!$Q$2),"x",IF(AND(LEFT(C30,3)="eib",E30='UNC - EIB'!$V$2,D30='UNC - EIB'!$T$2),"x1",IF(AND(C30="pv",E30='LC - PV'!$R$2,D30='LC - PV'!$P$2),"x2",IF(AND(LEFT(C30,3)="eib",E30='LC - EIB'!$U$2,D30='LC - EIB'!$S$2),"x3",""))))</f>
        <v/>
      </c>
      <c r="B30" s="62">
        <f t="shared" si="1"/>
        <v>27</v>
      </c>
      <c r="C30" s="62" t="s">
        <v>102</v>
      </c>
      <c r="D30" s="67">
        <v>42586</v>
      </c>
      <c r="E30" s="94" t="s">
        <v>167</v>
      </c>
      <c r="F30" s="64" t="s">
        <v>180</v>
      </c>
      <c r="G30" s="64" t="s">
        <v>181</v>
      </c>
      <c r="H30" s="64" t="s">
        <v>182</v>
      </c>
      <c r="I30" s="65" t="s">
        <v>183</v>
      </c>
      <c r="J30" s="66"/>
      <c r="K30" s="67"/>
      <c r="L30" s="65"/>
      <c r="M30" s="65"/>
      <c r="N30" s="64" t="s">
        <v>184</v>
      </c>
      <c r="O30" s="68"/>
      <c r="P30" s="69">
        <v>40920000</v>
      </c>
      <c r="Q30" s="102" t="s">
        <v>190</v>
      </c>
      <c r="R30" s="202" t="str">
        <f>IF(AND(C30="pv",D30='UNC - PV'!$Q$2,LEFT(E30,1)="u",'UNC - PV'!$O$2="vnđ",TH!P30&lt;&gt;""),"p",IF(AND(C30="pv",D30='UNC - PV'!$Q$2,LEFT(E30,1)="u",'UNC - PV'!$O$2="usd",TH!O30&lt;&gt;""),"p1",IF(AND(C30="pv",D30='LC - PV'!$P$2,LEFT(E30,1)="l"),"p2",IF(AND(LEFT(C30,3)="EIB",D30='UNC - EIB'!$T$2,LEFT(E30,1)="u",'UNC - EIB'!$R$2="vnđ",TH!P30&lt;&gt;""),"e",IF(AND(LEFT(C30,3)="EIB",D30='UNC - EIB'!$T$2,LEFT(E30,1)="U",'UNC - EIB'!$R$2="usd",TH!O30&lt;&gt;""),"e1",IF(AND(LEFT(C30,3)="EIB",D30='LC - EIB'!$S$2,LEFT(E30,1)="l"),"e2",""))))))</f>
        <v/>
      </c>
    </row>
    <row r="31" spans="1:18" ht="18.75" customHeight="1">
      <c r="A31" s="55" t="str">
        <f>IF(AND(C31="pv",E31='UNC - PV'!$S$2,D31='UNC - PV'!$Q$2),"x",IF(AND(LEFT(C31,3)="eib",E31='UNC - EIB'!$V$2,D31='UNC - EIB'!$T$2),"x1",IF(AND(C31="pv",E31='LC - PV'!$R$2,D31='LC - PV'!$P$2),"x2",IF(AND(LEFT(C31,3)="eib",E31='LC - EIB'!$U$2,D31='LC - EIB'!$S$2),"x3",""))))</f>
        <v/>
      </c>
      <c r="B31" s="62">
        <f t="shared" si="1"/>
        <v>28</v>
      </c>
      <c r="C31" s="62" t="s">
        <v>102</v>
      </c>
      <c r="D31" s="67">
        <v>42593</v>
      </c>
      <c r="E31" s="94" t="s">
        <v>21</v>
      </c>
      <c r="F31" s="64" t="s">
        <v>192</v>
      </c>
      <c r="G31" s="64" t="s">
        <v>193</v>
      </c>
      <c r="H31" s="64" t="s">
        <v>194</v>
      </c>
      <c r="I31" s="99" t="s">
        <v>156</v>
      </c>
      <c r="J31" s="66"/>
      <c r="K31" s="67"/>
      <c r="L31" s="65"/>
      <c r="M31" s="65"/>
      <c r="N31" s="64" t="s">
        <v>195</v>
      </c>
      <c r="O31" s="68"/>
      <c r="P31" s="69">
        <v>31034850</v>
      </c>
      <c r="Q31" s="102" t="s">
        <v>190</v>
      </c>
      <c r="R31" s="202" t="str">
        <f>IF(AND(C31="pv",D31='UNC - PV'!$Q$2,LEFT(E31,1)="u",'UNC - PV'!$O$2="vnđ",TH!P31&lt;&gt;""),"p",IF(AND(C31="pv",D31='UNC - PV'!$Q$2,LEFT(E31,1)="u",'UNC - PV'!$O$2="usd",TH!O31&lt;&gt;""),"p1",IF(AND(C31="pv",D31='LC - PV'!$P$2,LEFT(E31,1)="l"),"p2",IF(AND(LEFT(C31,3)="EIB",D31='UNC - EIB'!$T$2,LEFT(E31,1)="u",'UNC - EIB'!$R$2="vnđ",TH!P31&lt;&gt;""),"e",IF(AND(LEFT(C31,3)="EIB",D31='UNC - EIB'!$T$2,LEFT(E31,1)="U",'UNC - EIB'!$R$2="usd",TH!O31&lt;&gt;""),"e1",IF(AND(LEFT(C31,3)="EIB",D31='LC - EIB'!$S$2,LEFT(E31,1)="l"),"e2",""))))))</f>
        <v/>
      </c>
    </row>
    <row r="32" spans="1:18" ht="18.75" customHeight="1">
      <c r="A32" s="55" t="str">
        <f>IF(AND(C32="pv",E32='UNC - PV'!$S$2,D32='UNC - PV'!$Q$2),"x",IF(AND(LEFT(C32,3)="eib",E32='UNC - EIB'!$V$2,D32='UNC - EIB'!$T$2),"x1",IF(AND(C32="pv",E32='LC - PV'!$R$2,D32='LC - PV'!$P$2),"x2",IF(AND(LEFT(C32,3)="eib",E32='LC - EIB'!$U$2,D32='LC - EIB'!$S$2),"x3",""))))</f>
        <v/>
      </c>
      <c r="B32" s="62">
        <f t="shared" si="1"/>
        <v>29</v>
      </c>
      <c r="C32" s="62" t="s">
        <v>102</v>
      </c>
      <c r="D32" s="67">
        <v>42593</v>
      </c>
      <c r="E32" s="94" t="s">
        <v>22</v>
      </c>
      <c r="F32" s="64" t="s">
        <v>196</v>
      </c>
      <c r="G32" s="64" t="s">
        <v>197</v>
      </c>
      <c r="H32" s="64" t="s">
        <v>163</v>
      </c>
      <c r="I32" s="99" t="s">
        <v>156</v>
      </c>
      <c r="J32" s="66"/>
      <c r="K32" s="67"/>
      <c r="L32" s="65"/>
      <c r="M32" s="65"/>
      <c r="N32" s="64" t="s">
        <v>199</v>
      </c>
      <c r="O32" s="68"/>
      <c r="P32" s="69">
        <v>17500000</v>
      </c>
      <c r="Q32" s="102" t="s">
        <v>190</v>
      </c>
      <c r="R32" s="202" t="str">
        <f>IF(AND(C32="pv",D32='UNC - PV'!$Q$2,LEFT(E32,1)="u",'UNC - PV'!$O$2="vnđ",TH!P32&lt;&gt;""),"p",IF(AND(C32="pv",D32='UNC - PV'!$Q$2,LEFT(E32,1)="u",'UNC - PV'!$O$2="usd",TH!O32&lt;&gt;""),"p1",IF(AND(C32="pv",D32='LC - PV'!$P$2,LEFT(E32,1)="l"),"p2",IF(AND(LEFT(C32,3)="EIB",D32='UNC - EIB'!$T$2,LEFT(E32,1)="u",'UNC - EIB'!$R$2="vnđ",TH!P32&lt;&gt;""),"e",IF(AND(LEFT(C32,3)="EIB",D32='UNC - EIB'!$T$2,LEFT(E32,1)="U",'UNC - EIB'!$R$2="usd",TH!O32&lt;&gt;""),"e1",IF(AND(LEFT(C32,3)="EIB",D32='LC - EIB'!$S$2,LEFT(E32,1)="l"),"e2",""))))))</f>
        <v/>
      </c>
    </row>
    <row r="33" spans="1:18" ht="18.75" customHeight="1">
      <c r="A33" s="55" t="str">
        <f>IF(AND(C33="pv",E33='UNC - PV'!$S$2,D33='UNC - PV'!$Q$2),"x",IF(AND(LEFT(C33,3)="eib",E33='UNC - EIB'!$V$2,D33='UNC - EIB'!$T$2),"x1",IF(AND(C33="pv",E33='LC - PV'!$R$2,D33='LC - PV'!$P$2),"x2",IF(AND(LEFT(C33,3)="eib",E33='LC - EIB'!$U$2,D33='LC - EIB'!$S$2),"x3",""))))</f>
        <v/>
      </c>
      <c r="B33" s="62">
        <f t="shared" si="1"/>
        <v>30</v>
      </c>
      <c r="C33" s="62" t="s">
        <v>102</v>
      </c>
      <c r="D33" s="67">
        <v>42594</v>
      </c>
      <c r="E33" s="94" t="s">
        <v>21</v>
      </c>
      <c r="F33" s="64" t="s">
        <v>200</v>
      </c>
      <c r="G33" s="64" t="s">
        <v>201</v>
      </c>
      <c r="H33" s="64" t="s">
        <v>163</v>
      </c>
      <c r="I33" s="99" t="s">
        <v>156</v>
      </c>
      <c r="J33" s="66"/>
      <c r="K33" s="67"/>
      <c r="L33" s="65"/>
      <c r="M33" s="65"/>
      <c r="N33" s="64" t="s">
        <v>202</v>
      </c>
      <c r="O33" s="68"/>
      <c r="P33" s="69">
        <v>62466820</v>
      </c>
      <c r="Q33" s="102" t="s">
        <v>190</v>
      </c>
      <c r="R33" s="202" t="str">
        <f>IF(AND(C33="pv",D33='UNC - PV'!$Q$2,LEFT(E33,1)="u",'UNC - PV'!$O$2="vnđ",TH!P33&lt;&gt;""),"p",IF(AND(C33="pv",D33='UNC - PV'!$Q$2,LEFT(E33,1)="u",'UNC - PV'!$O$2="usd",TH!O33&lt;&gt;""),"p1",IF(AND(C33="pv",D33='LC - PV'!$P$2,LEFT(E33,1)="l"),"p2",IF(AND(LEFT(C33,3)="EIB",D33='UNC - EIB'!$T$2,LEFT(E33,1)="u",'UNC - EIB'!$R$2="vnđ",TH!P33&lt;&gt;""),"e",IF(AND(LEFT(C33,3)="EIB",D33='UNC - EIB'!$T$2,LEFT(E33,1)="U",'UNC - EIB'!$R$2="usd",TH!O33&lt;&gt;""),"e1",IF(AND(LEFT(C33,3)="EIB",D33='LC - EIB'!$S$2,LEFT(E33,1)="l"),"e2",""))))))</f>
        <v/>
      </c>
    </row>
    <row r="34" spans="1:18" ht="18.75" customHeight="1">
      <c r="A34" s="55" t="str">
        <f>IF(AND(C34="pv",E34='UNC - PV'!$S$2,D34='UNC - PV'!$Q$2),"x",IF(AND(LEFT(C34,3)="eib",E34='UNC - EIB'!$V$2,D34='UNC - EIB'!$T$2),"x1",IF(AND(C34="pv",E34='LC - PV'!$R$2,D34='LC - PV'!$P$2),"x2",IF(AND(LEFT(C34,3)="eib",E34='LC - EIB'!$U$2,D34='LC - EIB'!$S$2),"x3",""))))</f>
        <v/>
      </c>
      <c r="B34" s="62">
        <f t="shared" si="1"/>
        <v>31</v>
      </c>
      <c r="C34" s="62" t="s">
        <v>102</v>
      </c>
      <c r="D34" s="67">
        <v>42594</v>
      </c>
      <c r="E34" s="94" t="s">
        <v>22</v>
      </c>
      <c r="F34" s="96" t="s">
        <v>128</v>
      </c>
      <c r="G34" s="64" t="s">
        <v>206</v>
      </c>
      <c r="H34" s="64" t="s">
        <v>203</v>
      </c>
      <c r="I34" s="65" t="s">
        <v>9</v>
      </c>
      <c r="J34" s="66"/>
      <c r="K34" s="67"/>
      <c r="L34" s="65"/>
      <c r="M34" s="65"/>
      <c r="N34" s="64" t="s">
        <v>204</v>
      </c>
      <c r="O34" s="68"/>
      <c r="P34" s="69">
        <v>18000000</v>
      </c>
      <c r="Q34" s="102" t="s">
        <v>190</v>
      </c>
      <c r="R34" s="202" t="str">
        <f>IF(AND(C34="pv",D34='UNC - PV'!$Q$2,LEFT(E34,1)="u",'UNC - PV'!$O$2="vnđ",TH!P34&lt;&gt;""),"p",IF(AND(C34="pv",D34='UNC - PV'!$Q$2,LEFT(E34,1)="u",'UNC - PV'!$O$2="usd",TH!O34&lt;&gt;""),"p1",IF(AND(C34="pv",D34='LC - PV'!$P$2,LEFT(E34,1)="l"),"p2",IF(AND(LEFT(C34,3)="EIB",D34='UNC - EIB'!$T$2,LEFT(E34,1)="u",'UNC - EIB'!$R$2="vnđ",TH!P34&lt;&gt;""),"e",IF(AND(LEFT(C34,3)="EIB",D34='UNC - EIB'!$T$2,LEFT(E34,1)="U",'UNC - EIB'!$R$2="usd",TH!O34&lt;&gt;""),"e1",IF(AND(LEFT(C34,3)="EIB",D34='LC - EIB'!$S$2,LEFT(E34,1)="l"),"e2",""))))))</f>
        <v/>
      </c>
    </row>
    <row r="35" spans="1:18" ht="18.75" customHeight="1">
      <c r="A35" s="55" t="str">
        <f>IF(AND(C35="pv",E35='UNC - PV'!$S$2,D35='UNC - PV'!$Q$2),"x",IF(AND(LEFT(C35,3)="eib",E35='UNC - EIB'!$V$2,D35='UNC - EIB'!$T$2),"x1",IF(AND(C35="pv",E35='LC - PV'!$R$2,D35='LC - PV'!$P$2),"x2",IF(AND(LEFT(C35,3)="eib",E35='LC - EIB'!$U$2,D35='LC - EIB'!$S$2),"x3",""))))</f>
        <v/>
      </c>
      <c r="B35" s="62">
        <f t="shared" si="1"/>
        <v>32</v>
      </c>
      <c r="C35" s="62" t="s">
        <v>80</v>
      </c>
      <c r="D35" s="67">
        <v>42594</v>
      </c>
      <c r="E35" s="94" t="s">
        <v>23</v>
      </c>
      <c r="F35" s="64" t="s">
        <v>34</v>
      </c>
      <c r="G35" s="64" t="s">
        <v>30</v>
      </c>
      <c r="H35" s="64" t="s">
        <v>31</v>
      </c>
      <c r="I35" s="65" t="s">
        <v>33</v>
      </c>
      <c r="J35" s="66"/>
      <c r="K35" s="67"/>
      <c r="L35" s="65"/>
      <c r="M35" s="65"/>
      <c r="N35" s="64" t="s">
        <v>205</v>
      </c>
      <c r="O35" s="68"/>
      <c r="P35" s="69">
        <v>17432580</v>
      </c>
      <c r="Q35" s="102" t="s">
        <v>190</v>
      </c>
      <c r="R35" s="202" t="str">
        <f>IF(AND(C35="pv",D35='UNC - PV'!$Q$2,LEFT(E35,1)="u",'UNC - PV'!$O$2="vnđ",TH!P35&lt;&gt;""),"p",IF(AND(C35="pv",D35='UNC - PV'!$Q$2,LEFT(E35,1)="u",'UNC - PV'!$O$2="usd",TH!O35&lt;&gt;""),"p1",IF(AND(C35="pv",D35='LC - PV'!$P$2,LEFT(E35,1)="l"),"p2",IF(AND(LEFT(C35,3)="EIB",D35='UNC - EIB'!$T$2,LEFT(E35,1)="u",'UNC - EIB'!$R$2="vnđ",TH!P35&lt;&gt;""),"e",IF(AND(LEFT(C35,3)="EIB",D35='UNC - EIB'!$T$2,LEFT(E35,1)="U",'UNC - EIB'!$R$2="usd",TH!O35&lt;&gt;""),"e1",IF(AND(LEFT(C35,3)="EIB",D35='LC - EIB'!$S$2,LEFT(E35,1)="l"),"e2",""))))))</f>
        <v/>
      </c>
    </row>
    <row r="36" spans="1:18" ht="18.75" customHeight="1">
      <c r="A36" s="55" t="str">
        <f>IF(AND(C36="pv",E36='UNC - PV'!$S$2,D36='UNC - PV'!$Q$2),"x",IF(AND(LEFT(C36,3)="eib",E36='UNC - EIB'!$V$2,D36='UNC - EIB'!$T$2),"x1",IF(AND(C36="pv",E36='LC - PV'!$R$2,D36='LC - PV'!$P$2),"x2",IF(AND(LEFT(C36,3)="eib",E36='LC - EIB'!$U$2,D36='LC - EIB'!$S$2),"x3",""))))</f>
        <v/>
      </c>
      <c r="B36" s="62">
        <f t="shared" si="1"/>
        <v>33</v>
      </c>
      <c r="C36" s="62" t="s">
        <v>102</v>
      </c>
      <c r="D36" s="67">
        <v>42594</v>
      </c>
      <c r="E36" s="94" t="s">
        <v>24</v>
      </c>
      <c r="F36" s="64" t="s">
        <v>207</v>
      </c>
      <c r="G36" s="64" t="s">
        <v>208</v>
      </c>
      <c r="H36" s="64" t="s">
        <v>209</v>
      </c>
      <c r="I36" s="99" t="s">
        <v>156</v>
      </c>
      <c r="J36" s="66"/>
      <c r="K36" s="67"/>
      <c r="L36" s="65"/>
      <c r="M36" s="65"/>
      <c r="N36" s="64" t="s">
        <v>210</v>
      </c>
      <c r="O36" s="68"/>
      <c r="P36" s="69">
        <v>200000000</v>
      </c>
      <c r="Q36" s="102" t="s">
        <v>190</v>
      </c>
      <c r="R36" s="202" t="str">
        <f>IF(AND(C36="pv",D36='UNC - PV'!$Q$2,LEFT(E36,1)="u",'UNC - PV'!$O$2="vnđ",TH!P36&lt;&gt;""),"p",IF(AND(C36="pv",D36='UNC - PV'!$Q$2,LEFT(E36,1)="u",'UNC - PV'!$O$2="usd",TH!O36&lt;&gt;""),"p1",IF(AND(C36="pv",D36='LC - PV'!$P$2,LEFT(E36,1)="l"),"p2",IF(AND(LEFT(C36,3)="EIB",D36='UNC - EIB'!$T$2,LEFT(E36,1)="u",'UNC - EIB'!$R$2="vnđ",TH!P36&lt;&gt;""),"e",IF(AND(LEFT(C36,3)="EIB",D36='UNC - EIB'!$T$2,LEFT(E36,1)="U",'UNC - EIB'!$R$2="usd",TH!O36&lt;&gt;""),"e1",IF(AND(LEFT(C36,3)="EIB",D36='LC - EIB'!$S$2,LEFT(E36,1)="l"),"e2",""))))))</f>
        <v/>
      </c>
    </row>
    <row r="37" spans="1:18" ht="18.75" customHeight="1">
      <c r="A37" s="55" t="str">
        <f>IF(AND(C37="pv",E37='UNC - PV'!$S$2,D37='UNC - PV'!$Q$2),"x",IF(AND(LEFT(C37,3)="eib",E37='UNC - EIB'!$V$2,D37='UNC - EIB'!$T$2),"x1",IF(AND(C37="pv",E37='LC - PV'!$R$2,D37='LC - PV'!$P$2),"x2",IF(AND(LEFT(C37,3)="eib",E37='LC - EIB'!$U$2,D37='LC - EIB'!$S$2),"x3",""))))</f>
        <v/>
      </c>
      <c r="B37" s="62">
        <f t="shared" si="1"/>
        <v>34</v>
      </c>
      <c r="C37" s="62" t="s">
        <v>124</v>
      </c>
      <c r="D37" s="67">
        <v>42598</v>
      </c>
      <c r="E37" s="94" t="s">
        <v>21</v>
      </c>
      <c r="F37" s="96" t="s">
        <v>128</v>
      </c>
      <c r="G37" s="96" t="s">
        <v>127</v>
      </c>
      <c r="H37" s="96" t="s">
        <v>126</v>
      </c>
      <c r="I37" s="94" t="s">
        <v>9</v>
      </c>
      <c r="J37" s="97"/>
      <c r="K37" s="98"/>
      <c r="L37" s="99"/>
      <c r="M37" s="99"/>
      <c r="N37" s="96" t="s">
        <v>125</v>
      </c>
      <c r="O37" s="100">
        <v>1600</v>
      </c>
      <c r="P37" s="69"/>
      <c r="Q37" s="102" t="s">
        <v>190</v>
      </c>
      <c r="R37" s="202" t="str">
        <f>IF(AND(C37="pv",D37='UNC - PV'!$Q$2,LEFT(E37,1)="u",'UNC - PV'!$O$2="vnđ",TH!P37&lt;&gt;""),"p",IF(AND(C37="pv",D37='UNC - PV'!$Q$2,LEFT(E37,1)="u",'UNC - PV'!$O$2="usd",TH!O37&lt;&gt;""),"p1",IF(AND(C37="pv",D37='LC - PV'!$P$2,LEFT(E37,1)="l"),"p2",IF(AND(LEFT(C37,3)="EIB",D37='UNC - EIB'!$T$2,LEFT(E37,1)="u",'UNC - EIB'!$R$2="vnđ",TH!P37&lt;&gt;""),"e",IF(AND(LEFT(C37,3)="EIB",D37='UNC - EIB'!$T$2,LEFT(E37,1)="U",'UNC - EIB'!$R$2="usd",TH!O37&lt;&gt;""),"e1",IF(AND(LEFT(C37,3)="EIB",D37='LC - EIB'!$S$2,LEFT(E37,1)="l"),"e2",""))))))</f>
        <v/>
      </c>
    </row>
    <row r="38" spans="1:18" ht="18.75" customHeight="1">
      <c r="A38" s="55" t="str">
        <f>IF(AND(C38="pv",E38='UNC - PV'!$S$2,D38='UNC - PV'!$Q$2),"x",IF(AND(LEFT(C38,3)="eib",E38='UNC - EIB'!$V$2,D38='UNC - EIB'!$T$2),"x1",IF(AND(C38="pv",E38='LC - PV'!$R$2,D38='LC - PV'!$P$2),"x2",IF(AND(LEFT(C38,3)="eib",E38='LC - EIB'!$U$2,D38='LC - EIB'!$S$2),"x3",""))))</f>
        <v/>
      </c>
      <c r="B38" s="62">
        <f t="shared" si="1"/>
        <v>35</v>
      </c>
      <c r="C38" s="62" t="s">
        <v>141</v>
      </c>
      <c r="D38" s="67">
        <v>42600</v>
      </c>
      <c r="E38" s="94" t="s">
        <v>21</v>
      </c>
      <c r="F38" s="96" t="s">
        <v>128</v>
      </c>
      <c r="G38" s="64" t="s">
        <v>206</v>
      </c>
      <c r="H38" s="96" t="s">
        <v>203</v>
      </c>
      <c r="I38" s="94" t="s">
        <v>9</v>
      </c>
      <c r="J38" s="66"/>
      <c r="K38" s="67"/>
      <c r="L38" s="65"/>
      <c r="M38" s="65"/>
      <c r="N38" s="64" t="s">
        <v>160</v>
      </c>
      <c r="O38" s="68"/>
      <c r="P38" s="69">
        <v>500000000</v>
      </c>
      <c r="Q38" s="92" t="s">
        <v>189</v>
      </c>
      <c r="R38" s="202" t="str">
        <f>IF(AND(C38="pv",D38='UNC - PV'!$Q$2,LEFT(E38,1)="u",'UNC - PV'!$O$2="vnđ",TH!P38&lt;&gt;""),"p",IF(AND(C38="pv",D38='UNC - PV'!$Q$2,LEFT(E38,1)="u",'UNC - PV'!$O$2="usd",TH!O38&lt;&gt;""),"p1",IF(AND(C38="pv",D38='LC - PV'!$P$2,LEFT(E38,1)="l"),"p2",IF(AND(LEFT(C38,3)="EIB",D38='UNC - EIB'!$T$2,LEFT(E38,1)="u",'UNC - EIB'!$R$2="vnđ",TH!P38&lt;&gt;""),"e",IF(AND(LEFT(C38,3)="EIB",D38='UNC - EIB'!$T$2,LEFT(E38,1)="U",'UNC - EIB'!$R$2="usd",TH!O38&lt;&gt;""),"e1",IF(AND(LEFT(C38,3)="EIB",D38='LC - EIB'!$S$2,LEFT(E38,1)="l"),"e2",""))))))</f>
        <v/>
      </c>
    </row>
    <row r="39" spans="1:18" ht="18.75" customHeight="1">
      <c r="A39" s="55" t="str">
        <f>IF(AND(C39="pv",E39='UNC - PV'!$S$2,D39='UNC - PV'!$Q$2),"x",IF(AND(LEFT(C39,3)="eib",E39='UNC - EIB'!$V$2,D39='UNC - EIB'!$T$2),"x1",IF(AND(C39="pv",E39='LC - PV'!$R$2,D39='LC - PV'!$P$2),"x2",IF(AND(LEFT(C39,3)="eib",E39='LC - EIB'!$U$2,D39='LC - EIB'!$S$2),"x3",""))))</f>
        <v/>
      </c>
      <c r="B39" s="62">
        <f t="shared" si="1"/>
        <v>36</v>
      </c>
      <c r="C39" s="62" t="s">
        <v>141</v>
      </c>
      <c r="D39" s="67">
        <v>42600</v>
      </c>
      <c r="E39" s="94" t="s">
        <v>22</v>
      </c>
      <c r="F39" s="96" t="s">
        <v>129</v>
      </c>
      <c r="G39" s="96" t="s">
        <v>130</v>
      </c>
      <c r="H39" s="96" t="s">
        <v>126</v>
      </c>
      <c r="I39" s="94" t="s">
        <v>9</v>
      </c>
      <c r="J39" s="66"/>
      <c r="K39" s="67"/>
      <c r="L39" s="65"/>
      <c r="M39" s="65"/>
      <c r="N39" s="96" t="s">
        <v>131</v>
      </c>
      <c r="O39" s="68"/>
      <c r="P39" s="69">
        <v>20000000</v>
      </c>
      <c r="Q39" s="92" t="s">
        <v>189</v>
      </c>
      <c r="R39" s="202" t="str">
        <f>IF(AND(C39="pv",D39='UNC - PV'!$Q$2,LEFT(E39,1)="u",'UNC - PV'!$O$2="vnđ",TH!P39&lt;&gt;""),"p",IF(AND(C39="pv",D39='UNC - PV'!$Q$2,LEFT(E39,1)="u",'UNC - PV'!$O$2="usd",TH!O39&lt;&gt;""),"p1",IF(AND(C39="pv",D39='LC - PV'!$P$2,LEFT(E39,1)="l"),"p2",IF(AND(LEFT(C39,3)="EIB",D39='UNC - EIB'!$T$2,LEFT(E39,1)="u",'UNC - EIB'!$R$2="vnđ",TH!P39&lt;&gt;""),"e",IF(AND(LEFT(C39,3)="EIB",D39='UNC - EIB'!$T$2,LEFT(E39,1)="U",'UNC - EIB'!$R$2="usd",TH!O39&lt;&gt;""),"e1",IF(AND(LEFT(C39,3)="EIB",D39='LC - EIB'!$S$2,LEFT(E39,1)="l"),"e2",""))))))</f>
        <v/>
      </c>
    </row>
    <row r="40" spans="1:18" ht="18.75" customHeight="1">
      <c r="A40" s="55" t="str">
        <f>IF(AND(C40="pv",E40='UNC - PV'!$S$2,D40='UNC - PV'!$Q$2),"x",IF(AND(LEFT(C40,3)="eib",E40='UNC - EIB'!$V$2,D40='UNC - EIB'!$T$2),"x1",IF(AND(C40="pv",E40='LC - PV'!$R$2,D40='LC - PV'!$P$2),"x2",IF(AND(LEFT(C40,3)="eib",E40='LC - EIB'!$U$2,D40='LC - EIB'!$S$2),"x3",""))))</f>
        <v/>
      </c>
      <c r="B40" s="62">
        <f t="shared" si="1"/>
        <v>37</v>
      </c>
      <c r="C40" s="62" t="s">
        <v>80</v>
      </c>
      <c r="D40" s="67">
        <v>42600</v>
      </c>
      <c r="E40" s="94" t="s">
        <v>21</v>
      </c>
      <c r="F40" s="96" t="s">
        <v>149</v>
      </c>
      <c r="G40" s="96" t="s">
        <v>150</v>
      </c>
      <c r="H40" s="96" t="s">
        <v>151</v>
      </c>
      <c r="I40" s="99" t="s">
        <v>9</v>
      </c>
      <c r="J40" s="97"/>
      <c r="K40" s="98"/>
      <c r="L40" s="99"/>
      <c r="M40" s="99"/>
      <c r="N40" s="96" t="s">
        <v>152</v>
      </c>
      <c r="O40" s="100"/>
      <c r="P40" s="101">
        <v>59355400</v>
      </c>
      <c r="Q40" s="102" t="s">
        <v>190</v>
      </c>
      <c r="R40" s="202" t="str">
        <f>IF(AND(C40="pv",D40='UNC - PV'!$Q$2,LEFT(E40,1)="u",'UNC - PV'!$O$2="vnđ",TH!P40&lt;&gt;""),"p",IF(AND(C40="pv",D40='UNC - PV'!$Q$2,LEFT(E40,1)="u",'UNC - PV'!$O$2="usd",TH!O40&lt;&gt;""),"p1",IF(AND(C40="pv",D40='LC - PV'!$P$2,LEFT(E40,1)="l"),"p2",IF(AND(LEFT(C40,3)="EIB",D40='UNC - EIB'!$T$2,LEFT(E40,1)="u",'UNC - EIB'!$R$2="vnđ",TH!P40&lt;&gt;""),"e",IF(AND(LEFT(C40,3)="EIB",D40='UNC - EIB'!$T$2,LEFT(E40,1)="U",'UNC - EIB'!$R$2="usd",TH!O40&lt;&gt;""),"e1",IF(AND(LEFT(C40,3)="EIB",D40='LC - EIB'!$S$2,LEFT(E40,1)="l"),"e2",""))))))</f>
        <v/>
      </c>
    </row>
    <row r="41" spans="1:18" ht="18.75" customHeight="1">
      <c r="A41" s="55" t="str">
        <f>IF(AND(C41="pv",E41='UNC - PV'!$S$2,D41='UNC - PV'!$Q$2),"x",IF(AND(LEFT(C41,3)="eib",E41='UNC - EIB'!$V$2,D41='UNC - EIB'!$T$2),"x1",IF(AND(C41="pv",E41='LC - PV'!$R$2,D41='LC - PV'!$P$2),"x2",IF(AND(LEFT(C41,3)="eib",E41='LC - EIB'!$U$2,D41='LC - EIB'!$S$2),"x3",""))))</f>
        <v/>
      </c>
      <c r="B41" s="62">
        <f t="shared" si="0"/>
        <v>38</v>
      </c>
      <c r="C41" s="62" t="s">
        <v>80</v>
      </c>
      <c r="D41" s="67">
        <v>42600</v>
      </c>
      <c r="E41" s="94" t="s">
        <v>22</v>
      </c>
      <c r="F41" s="64" t="s">
        <v>93</v>
      </c>
      <c r="G41" s="71" t="s">
        <v>96</v>
      </c>
      <c r="H41" s="64" t="s">
        <v>94</v>
      </c>
      <c r="I41" s="62" t="s">
        <v>9</v>
      </c>
      <c r="J41" s="66"/>
      <c r="K41" s="67"/>
      <c r="L41" s="65"/>
      <c r="M41" s="65"/>
      <c r="N41" s="64" t="s">
        <v>95</v>
      </c>
      <c r="O41" s="68"/>
      <c r="P41" s="69">
        <v>50100000</v>
      </c>
      <c r="Q41" s="102" t="s">
        <v>190</v>
      </c>
      <c r="R41" s="202" t="str">
        <f>IF(AND(C41="pv",D41='UNC - PV'!$Q$2,LEFT(E41,1)="u",'UNC - PV'!$O$2="vnđ",TH!P41&lt;&gt;""),"p",IF(AND(C41="pv",D41='UNC - PV'!$Q$2,LEFT(E41,1)="u",'UNC - PV'!$O$2="usd",TH!O41&lt;&gt;""),"p1",IF(AND(C41="pv",D41='LC - PV'!$P$2,LEFT(E41,1)="l"),"p2",IF(AND(LEFT(C41,3)="EIB",D41='UNC - EIB'!$T$2,LEFT(E41,1)="u",'UNC - EIB'!$R$2="vnđ",TH!P41&lt;&gt;""),"e",IF(AND(LEFT(C41,3)="EIB",D41='UNC - EIB'!$T$2,LEFT(E41,1)="U",'UNC - EIB'!$R$2="usd",TH!O41&lt;&gt;""),"e1",IF(AND(LEFT(C41,3)="EIB",D41='LC - EIB'!$S$2,LEFT(E41,1)="l"),"e2",""))))))</f>
        <v/>
      </c>
    </row>
    <row r="42" spans="1:18" ht="18.75" customHeight="1">
      <c r="A42" s="55" t="str">
        <f>IF(AND(C42="pv",E42='UNC - PV'!$S$2,D42='UNC - PV'!$Q$2),"x",IF(AND(LEFT(C42,3)="eib",E42='UNC - EIB'!$V$2,D42='UNC - EIB'!$T$2),"x1",IF(AND(C42="pv",E42='LC - PV'!$R$2,D42='LC - PV'!$P$2),"x2",IF(AND(LEFT(C42,3)="eib",E42='LC - EIB'!$U$2,D42='LC - EIB'!$S$2),"x3",""))))</f>
        <v/>
      </c>
      <c r="B42" s="62">
        <f t="shared" si="0"/>
        <v>39</v>
      </c>
      <c r="C42" s="62" t="s">
        <v>80</v>
      </c>
      <c r="D42" s="67">
        <v>42600</v>
      </c>
      <c r="E42" s="94" t="s">
        <v>23</v>
      </c>
      <c r="F42" s="64" t="s">
        <v>97</v>
      </c>
      <c r="G42" s="64" t="s">
        <v>98</v>
      </c>
      <c r="H42" s="64" t="s">
        <v>99</v>
      </c>
      <c r="I42" s="62" t="s">
        <v>9</v>
      </c>
      <c r="J42" s="66"/>
      <c r="K42" s="67"/>
      <c r="L42" s="65"/>
      <c r="M42" s="65"/>
      <c r="N42" s="64" t="s">
        <v>100</v>
      </c>
      <c r="O42" s="68"/>
      <c r="P42" s="69">
        <v>50000000</v>
      </c>
      <c r="Q42" s="102" t="s">
        <v>190</v>
      </c>
      <c r="R42" s="202" t="str">
        <f>IF(AND(C42="pv",D42='UNC - PV'!$Q$2,LEFT(E42,1)="u",'UNC - PV'!$O$2="vnđ",TH!P42&lt;&gt;""),"p",IF(AND(C42="pv",D42='UNC - PV'!$Q$2,LEFT(E42,1)="u",'UNC - PV'!$O$2="usd",TH!O42&lt;&gt;""),"p1",IF(AND(C42="pv",D42='LC - PV'!$P$2,LEFT(E42,1)="l"),"p2",IF(AND(LEFT(C42,3)="EIB",D42='UNC - EIB'!$T$2,LEFT(E42,1)="u",'UNC - EIB'!$R$2="vnđ",TH!P42&lt;&gt;""),"e",IF(AND(LEFT(C42,3)="EIB",D42='UNC - EIB'!$T$2,LEFT(E42,1)="U",'UNC - EIB'!$R$2="usd",TH!O42&lt;&gt;""),"e1",IF(AND(LEFT(C42,3)="EIB",D42='LC - EIB'!$S$2,LEFT(E42,1)="l"),"e2",""))))))</f>
        <v/>
      </c>
    </row>
    <row r="43" spans="1:18" ht="18.75" customHeight="1">
      <c r="A43" s="55" t="str">
        <f>IF(AND(C43="pv",E43='UNC - PV'!$S$2,D43='UNC - PV'!$Q$2),"x",IF(AND(LEFT(C43,3)="eib",E43='UNC - EIB'!$V$2,D43='UNC - EIB'!$T$2),"x1",IF(AND(C43="pv",E43='LC - PV'!$R$2,D43='LC - PV'!$P$2),"x2",IF(AND(LEFT(C43,3)="eib",E43='LC - EIB'!$U$2,D43='LC - EIB'!$S$2),"x3",""))))</f>
        <v/>
      </c>
      <c r="B43" s="62">
        <f t="shared" si="0"/>
        <v>40</v>
      </c>
      <c r="C43" s="62" t="s">
        <v>80</v>
      </c>
      <c r="D43" s="67">
        <v>42600</v>
      </c>
      <c r="E43" s="94" t="s">
        <v>24</v>
      </c>
      <c r="F43" s="96" t="s">
        <v>211</v>
      </c>
      <c r="G43" s="64" t="s">
        <v>212</v>
      </c>
      <c r="H43" s="64" t="s">
        <v>213</v>
      </c>
      <c r="I43" s="62" t="s">
        <v>9</v>
      </c>
      <c r="J43" s="66"/>
      <c r="K43" s="67"/>
      <c r="L43" s="65"/>
      <c r="M43" s="65"/>
      <c r="N43" s="64" t="s">
        <v>214</v>
      </c>
      <c r="O43" s="68"/>
      <c r="P43" s="69">
        <v>6400000</v>
      </c>
      <c r="Q43" s="102" t="s">
        <v>190</v>
      </c>
      <c r="R43" s="202" t="str">
        <f>IF(AND(C43="pv",D43='UNC - PV'!$Q$2,LEFT(E43,1)="u",'UNC - PV'!$O$2="vnđ",TH!P43&lt;&gt;""),"p",IF(AND(C43="pv",D43='UNC - PV'!$Q$2,LEFT(E43,1)="u",'UNC - PV'!$O$2="usd",TH!O43&lt;&gt;""),"p1",IF(AND(C43="pv",D43='LC - PV'!$P$2,LEFT(E43,1)="l"),"p2",IF(AND(LEFT(C43,3)="EIB",D43='UNC - EIB'!$T$2,LEFT(E43,1)="u",'UNC - EIB'!$R$2="vnđ",TH!P43&lt;&gt;""),"e",IF(AND(LEFT(C43,3)="EIB",D43='UNC - EIB'!$T$2,LEFT(E43,1)="U",'UNC - EIB'!$R$2="usd",TH!O43&lt;&gt;""),"e1",IF(AND(LEFT(C43,3)="EIB",D43='LC - EIB'!$S$2,LEFT(E43,1)="l"),"e2",""))))))</f>
        <v/>
      </c>
    </row>
    <row r="44" spans="1:18" ht="18.75" customHeight="1">
      <c r="A44" s="55" t="str">
        <f>IF(AND(C44="pv",E44='UNC - PV'!$S$2,D44='UNC - PV'!$Q$2),"x",IF(AND(LEFT(C44,3)="eib",E44='UNC - EIB'!$V$2,D44='UNC - EIB'!$T$2),"x1",IF(AND(C44="pv",E44='LC - PV'!$R$2,D44='LC - PV'!$P$2),"x2",IF(AND(LEFT(C44,3)="eib",E44='LC - EIB'!$U$2,D44='LC - EIB'!$S$2),"x3",""))))</f>
        <v/>
      </c>
      <c r="B44" s="62">
        <f t="shared" si="0"/>
        <v>41</v>
      </c>
      <c r="C44" s="62" t="s">
        <v>80</v>
      </c>
      <c r="D44" s="67">
        <v>42600</v>
      </c>
      <c r="E44" s="94" t="s">
        <v>82</v>
      </c>
      <c r="F44" s="64" t="s">
        <v>34</v>
      </c>
      <c r="G44" s="64" t="s">
        <v>30</v>
      </c>
      <c r="H44" s="64" t="s">
        <v>31</v>
      </c>
      <c r="I44" s="65" t="s">
        <v>33</v>
      </c>
      <c r="J44" s="66"/>
      <c r="K44" s="67"/>
      <c r="L44" s="65"/>
      <c r="M44" s="65"/>
      <c r="N44" s="64" t="s">
        <v>215</v>
      </c>
      <c r="O44" s="68"/>
      <c r="P44" s="69">
        <v>32480910</v>
      </c>
      <c r="Q44" s="102" t="s">
        <v>190</v>
      </c>
      <c r="R44" s="202" t="str">
        <f>IF(AND(C44="pv",D44='UNC - PV'!$Q$2,LEFT(E44,1)="u",'UNC - PV'!$O$2="vnđ",TH!P44&lt;&gt;""),"p",IF(AND(C44="pv",D44='UNC - PV'!$Q$2,LEFT(E44,1)="u",'UNC - PV'!$O$2="usd",TH!O44&lt;&gt;""),"p1",IF(AND(C44="pv",D44='LC - PV'!$P$2,LEFT(E44,1)="l"),"p2",IF(AND(LEFT(C44,3)="EIB",D44='UNC - EIB'!$T$2,LEFT(E44,1)="u",'UNC - EIB'!$R$2="vnđ",TH!P44&lt;&gt;""),"e",IF(AND(LEFT(C44,3)="EIB",D44='UNC - EIB'!$T$2,LEFT(E44,1)="U",'UNC - EIB'!$R$2="usd",TH!O44&lt;&gt;""),"e1",IF(AND(LEFT(C44,3)="EIB",D44='LC - EIB'!$S$2,LEFT(E44,1)="l"),"e2",""))))))</f>
        <v/>
      </c>
    </row>
    <row r="45" spans="1:18" ht="18.75" customHeight="1">
      <c r="A45" s="55" t="str">
        <f>IF(AND(C45="pv",E45='UNC - PV'!$S$2,D45='UNC - PV'!$Q$2),"x",IF(AND(LEFT(C45,3)="eib",E45='UNC - EIB'!$V$2,D45='UNC - EIB'!$T$2),"x1",IF(AND(C45="pv",E45='LC - PV'!$R$2,D45='LC - PV'!$P$2),"x2",IF(AND(LEFT(C45,3)="eib",E45='LC - EIB'!$U$2,D45='LC - EIB'!$S$2),"x3",""))))</f>
        <v/>
      </c>
      <c r="B45" s="62">
        <f t="shared" si="0"/>
        <v>42</v>
      </c>
      <c r="C45" s="62" t="s">
        <v>80</v>
      </c>
      <c r="D45" s="67">
        <v>42600</v>
      </c>
      <c r="E45" s="94" t="s">
        <v>83</v>
      </c>
      <c r="F45" s="70" t="s">
        <v>4</v>
      </c>
      <c r="G45" s="70" t="s">
        <v>5</v>
      </c>
      <c r="H45" s="70" t="s">
        <v>6</v>
      </c>
      <c r="I45" s="62" t="s">
        <v>9</v>
      </c>
      <c r="J45" s="72"/>
      <c r="K45" s="63"/>
      <c r="L45" s="62"/>
      <c r="M45" s="62"/>
      <c r="N45" s="70" t="s">
        <v>216</v>
      </c>
      <c r="O45" s="68"/>
      <c r="P45" s="69">
        <v>17842328</v>
      </c>
      <c r="Q45" s="102" t="s">
        <v>190</v>
      </c>
      <c r="R45" s="202" t="str">
        <f>IF(AND(C45="pv",D45='UNC - PV'!$Q$2,LEFT(E45,1)="u",'UNC - PV'!$O$2="vnđ",TH!P45&lt;&gt;""),"p",IF(AND(C45="pv",D45='UNC - PV'!$Q$2,LEFT(E45,1)="u",'UNC - PV'!$O$2="usd",TH!O45&lt;&gt;""),"p1",IF(AND(C45="pv",D45='LC - PV'!$P$2,LEFT(E45,1)="l"),"p2",IF(AND(LEFT(C45,3)="EIB",D45='UNC - EIB'!$T$2,LEFT(E45,1)="u",'UNC - EIB'!$R$2="vnđ",TH!P45&lt;&gt;""),"e",IF(AND(LEFT(C45,3)="EIB",D45='UNC - EIB'!$T$2,LEFT(E45,1)="U",'UNC - EIB'!$R$2="usd",TH!O45&lt;&gt;""),"e1",IF(AND(LEFT(C45,3)="EIB",D45='LC - EIB'!$S$2,LEFT(E45,1)="l"),"e2",""))))))</f>
        <v/>
      </c>
    </row>
    <row r="46" spans="1:18" ht="18.75" customHeight="1">
      <c r="A46" s="55" t="str">
        <f>IF(AND(C46="pv",E46='UNC - PV'!$S$2,D46='UNC - PV'!$Q$2),"x",IF(AND(LEFT(C46,3)="eib",E46='UNC - EIB'!$V$2,D46='UNC - EIB'!$T$2),"x1",IF(AND(C46="pv",E46='LC - PV'!$R$2,D46='LC - PV'!$P$2),"x2",IF(AND(LEFT(C46,3)="eib",E46='LC - EIB'!$U$2,D46='LC - EIB'!$S$2),"x3",""))))</f>
        <v/>
      </c>
      <c r="B46" s="62">
        <f t="shared" si="0"/>
        <v>43</v>
      </c>
      <c r="C46" s="62" t="s">
        <v>102</v>
      </c>
      <c r="D46" s="67">
        <v>42600</v>
      </c>
      <c r="E46" s="94" t="s">
        <v>167</v>
      </c>
      <c r="F46" s="64" t="s">
        <v>218</v>
      </c>
      <c r="G46" s="64" t="s">
        <v>219</v>
      </c>
      <c r="H46" s="64" t="s">
        <v>220</v>
      </c>
      <c r="I46" s="62" t="s">
        <v>9</v>
      </c>
      <c r="J46" s="66"/>
      <c r="K46" s="67"/>
      <c r="L46" s="65"/>
      <c r="M46" s="65"/>
      <c r="N46" s="64" t="s">
        <v>221</v>
      </c>
      <c r="O46" s="68"/>
      <c r="P46" s="69">
        <v>9487000</v>
      </c>
      <c r="Q46" s="102" t="s">
        <v>190</v>
      </c>
      <c r="R46" s="202" t="str">
        <f>IF(AND(C46="pv",D46='UNC - PV'!$Q$2,LEFT(E46,1)="u",'UNC - PV'!$O$2="vnđ",TH!P46&lt;&gt;""),"p",IF(AND(C46="pv",D46='UNC - PV'!$Q$2,LEFT(E46,1)="u",'UNC - PV'!$O$2="usd",TH!O46&lt;&gt;""),"p1",IF(AND(C46="pv",D46='LC - PV'!$P$2,LEFT(E46,1)="l"),"p2",IF(AND(LEFT(C46,3)="EIB",D46='UNC - EIB'!$T$2,LEFT(E46,1)="u",'UNC - EIB'!$R$2="vnđ",TH!P46&lt;&gt;""),"e",IF(AND(LEFT(C46,3)="EIB",D46='UNC - EIB'!$T$2,LEFT(E46,1)="U",'UNC - EIB'!$R$2="usd",TH!O46&lt;&gt;""),"e1",IF(AND(LEFT(C46,3)="EIB",D46='LC - EIB'!$S$2,LEFT(E46,1)="l"),"e2",""))))))</f>
        <v/>
      </c>
    </row>
    <row r="47" spans="1:18" ht="18.75" customHeight="1">
      <c r="A47" s="55" t="str">
        <f>IF(AND(C47="pv",E47='UNC - PV'!$S$2,D47='UNC - PV'!$Q$2),"x",IF(AND(LEFT(C47,3)="eib",E47='UNC - EIB'!$V$2,D47='UNC - EIB'!$T$2),"x1",IF(AND(C47="pv",E47='LC - PV'!$R$2,D47='LC - PV'!$P$2),"x2",IF(AND(LEFT(C47,3)="eib",E47='LC - EIB'!$U$2,D47='LC - EIB'!$S$2),"x3",""))))</f>
        <v/>
      </c>
      <c r="B47" s="62">
        <f t="shared" si="0"/>
        <v>44</v>
      </c>
      <c r="C47" s="62" t="s">
        <v>102</v>
      </c>
      <c r="D47" s="67">
        <v>42600</v>
      </c>
      <c r="E47" s="94" t="s">
        <v>217</v>
      </c>
      <c r="F47" s="64" t="s">
        <v>222</v>
      </c>
      <c r="G47" s="64" t="s">
        <v>223</v>
      </c>
      <c r="H47" s="64" t="s">
        <v>224</v>
      </c>
      <c r="I47" s="99" t="s">
        <v>156</v>
      </c>
      <c r="J47" s="66"/>
      <c r="K47" s="67"/>
      <c r="L47" s="65"/>
      <c r="M47" s="65"/>
      <c r="N47" s="64" t="s">
        <v>225</v>
      </c>
      <c r="O47" s="68"/>
      <c r="P47" s="69">
        <v>8143872</v>
      </c>
      <c r="Q47" s="102" t="s">
        <v>190</v>
      </c>
      <c r="R47" s="202" t="str">
        <f>IF(AND(C47="pv",D47='UNC - PV'!$Q$2,LEFT(E47,1)="u",'UNC - PV'!$O$2="vnđ",TH!P47&lt;&gt;""),"p",IF(AND(C47="pv",D47='UNC - PV'!$Q$2,LEFT(E47,1)="u",'UNC - PV'!$O$2="usd",TH!O47&lt;&gt;""),"p1",IF(AND(C47="pv",D47='LC - PV'!$P$2,LEFT(E47,1)="l"),"p2",IF(AND(LEFT(C47,3)="EIB",D47='UNC - EIB'!$T$2,LEFT(E47,1)="u",'UNC - EIB'!$R$2="vnđ",TH!P47&lt;&gt;""),"e",IF(AND(LEFT(C47,3)="EIB",D47='UNC - EIB'!$T$2,LEFT(E47,1)="U",'UNC - EIB'!$R$2="usd",TH!O47&lt;&gt;""),"e1",IF(AND(LEFT(C47,3)="EIB",D47='LC - EIB'!$S$2,LEFT(E47,1)="l"),"e2",""))))))</f>
        <v/>
      </c>
    </row>
    <row r="48" spans="1:18" ht="18.75" customHeight="1">
      <c r="A48" s="55" t="str">
        <f>IF(AND(C48="pv",E48='UNC - PV'!$S$2,D48='UNC - PV'!$Q$2),"x",IF(AND(LEFT(C48,3)="eib",E48='UNC - EIB'!$V$2,D48='UNC - EIB'!$T$2),"x1",IF(AND(C48="pv",E48='LC - PV'!$R$2,D48='LC - PV'!$P$2),"x2",IF(AND(LEFT(C48,3)="eib",E48='LC - EIB'!$U$2,D48='LC - EIB'!$S$2),"x3",""))))</f>
        <v/>
      </c>
      <c r="B48" s="62">
        <f t="shared" si="0"/>
        <v>45</v>
      </c>
      <c r="C48" s="62" t="s">
        <v>80</v>
      </c>
      <c r="D48" s="67">
        <v>42600</v>
      </c>
      <c r="E48" s="94" t="s">
        <v>227</v>
      </c>
      <c r="F48" s="96" t="s">
        <v>129</v>
      </c>
      <c r="G48" s="96" t="s">
        <v>130</v>
      </c>
      <c r="H48" s="96" t="s">
        <v>126</v>
      </c>
      <c r="I48" s="94" t="s">
        <v>9</v>
      </c>
      <c r="J48" s="66"/>
      <c r="K48" s="67"/>
      <c r="L48" s="65"/>
      <c r="M48" s="65"/>
      <c r="N48" s="96" t="s">
        <v>131</v>
      </c>
      <c r="O48" s="68"/>
      <c r="P48" s="69">
        <v>30000000</v>
      </c>
      <c r="Q48" s="102" t="s">
        <v>190</v>
      </c>
      <c r="R48" s="202" t="str">
        <f>IF(AND(C48="pv",D48='UNC - PV'!$Q$2,LEFT(E48,1)="u",'UNC - PV'!$O$2="vnđ",TH!P48&lt;&gt;""),"p",IF(AND(C48="pv",D48='UNC - PV'!$Q$2,LEFT(E48,1)="u",'UNC - PV'!$O$2="usd",TH!O48&lt;&gt;""),"p1",IF(AND(C48="pv",D48='LC - PV'!$P$2,LEFT(E48,1)="l"),"p2",IF(AND(LEFT(C48,3)="EIB",D48='UNC - EIB'!$T$2,LEFT(E48,1)="u",'UNC - EIB'!$R$2="vnđ",TH!P48&lt;&gt;""),"e",IF(AND(LEFT(C48,3)="EIB",D48='UNC - EIB'!$T$2,LEFT(E48,1)="U",'UNC - EIB'!$R$2="usd",TH!O48&lt;&gt;""),"e1",IF(AND(LEFT(C48,3)="EIB",D48='LC - EIB'!$S$2,LEFT(E48,1)="l"),"e2",""))))))</f>
        <v/>
      </c>
    </row>
    <row r="49" spans="1:18" ht="18.75" customHeight="1">
      <c r="A49" s="55" t="str">
        <f>IF(AND(C49="pv",E49='UNC - PV'!$S$2,D49='UNC - PV'!$Q$2),"x",IF(AND(LEFT(C49,3)="eib",E49='UNC - EIB'!$V$2,D49='UNC - EIB'!$T$2),"x1",IF(AND(C49="pv",E49='LC - PV'!$R$2,D49='LC - PV'!$P$2),"x2",IF(AND(LEFT(C49,3)="eib",E49='LC - EIB'!$U$2,D49='LC - EIB'!$S$2),"x3",""))))</f>
        <v/>
      </c>
      <c r="B49" s="62">
        <f t="shared" si="0"/>
        <v>46</v>
      </c>
      <c r="C49" s="62" t="s">
        <v>102</v>
      </c>
      <c r="D49" s="67">
        <v>42600</v>
      </c>
      <c r="E49" s="94" t="s">
        <v>228</v>
      </c>
      <c r="F49" s="64" t="s">
        <v>162</v>
      </c>
      <c r="G49" s="64" t="s">
        <v>198</v>
      </c>
      <c r="H49" s="64" t="s">
        <v>163</v>
      </c>
      <c r="I49" s="99" t="s">
        <v>156</v>
      </c>
      <c r="J49" s="66"/>
      <c r="K49" s="67"/>
      <c r="L49" s="65"/>
      <c r="M49" s="65"/>
      <c r="N49" s="104" t="s">
        <v>226</v>
      </c>
      <c r="O49" s="68"/>
      <c r="P49" s="69">
        <v>30533800</v>
      </c>
      <c r="Q49" s="102" t="s">
        <v>190</v>
      </c>
      <c r="R49" s="202" t="str">
        <f>IF(AND(C49="pv",D49='UNC - PV'!$Q$2,LEFT(E49,1)="u",'UNC - PV'!$O$2="vnđ",TH!P49&lt;&gt;""),"p",IF(AND(C49="pv",D49='UNC - PV'!$Q$2,LEFT(E49,1)="u",'UNC - PV'!$O$2="usd",TH!O49&lt;&gt;""),"p1",IF(AND(C49="pv",D49='LC - PV'!$P$2,LEFT(E49,1)="l"),"p2",IF(AND(LEFT(C49,3)="EIB",D49='UNC - EIB'!$T$2,LEFT(E49,1)="u",'UNC - EIB'!$R$2="vnđ",TH!P49&lt;&gt;""),"e",IF(AND(LEFT(C49,3)="EIB",D49='UNC - EIB'!$T$2,LEFT(E49,1)="U",'UNC - EIB'!$R$2="usd",TH!O49&lt;&gt;""),"e1",IF(AND(LEFT(C49,3)="EIB",D49='LC - EIB'!$S$2,LEFT(E49,1)="l"),"e2",""))))))</f>
        <v/>
      </c>
    </row>
    <row r="50" spans="1:18" ht="18.75" customHeight="1">
      <c r="A50" s="55" t="str">
        <f>IF(AND(C50="pv",E50='UNC - PV'!$S$2,D50='UNC - PV'!$Q$2),"x",IF(AND(LEFT(C50,3)="eib",E50='UNC - EIB'!$V$2,D50='UNC - EIB'!$T$2),"x1",IF(AND(C50="pv",E50='LC - PV'!$R$2,D50='LC - PV'!$P$2),"x2",IF(AND(LEFT(C50,3)="eib",E50='LC - EIB'!$U$2,D50='LC - EIB'!$S$2),"x3",""))))</f>
        <v/>
      </c>
      <c r="B50" s="62">
        <f t="shared" si="0"/>
        <v>47</v>
      </c>
      <c r="C50" s="62" t="s">
        <v>124</v>
      </c>
      <c r="D50" s="67">
        <v>42606</v>
      </c>
      <c r="E50" s="94" t="s">
        <v>21</v>
      </c>
      <c r="F50" s="64" t="s">
        <v>229</v>
      </c>
      <c r="G50" s="64" t="s">
        <v>230</v>
      </c>
      <c r="H50" s="64" t="s">
        <v>213</v>
      </c>
      <c r="I50" s="62" t="s">
        <v>9</v>
      </c>
      <c r="J50" s="66"/>
      <c r="K50" s="67"/>
      <c r="L50" s="65"/>
      <c r="M50" s="65"/>
      <c r="N50" s="64" t="s">
        <v>231</v>
      </c>
      <c r="O50" s="68"/>
      <c r="P50" s="69">
        <v>28690200</v>
      </c>
      <c r="Q50" s="92" t="s">
        <v>189</v>
      </c>
      <c r="R50" s="202" t="str">
        <f>IF(AND(C50="pv",D50='UNC - PV'!$Q$2,LEFT(E50,1)="u",'UNC - PV'!$O$2="vnđ",TH!P50&lt;&gt;""),"p",IF(AND(C50="pv",D50='UNC - PV'!$Q$2,LEFT(E50,1)="u",'UNC - PV'!$O$2="usd",TH!O50&lt;&gt;""),"p1",IF(AND(C50="pv",D50='LC - PV'!$P$2,LEFT(E50,1)="l"),"p2",IF(AND(LEFT(C50,3)="EIB",D50='UNC - EIB'!$T$2,LEFT(E50,1)="u",'UNC - EIB'!$R$2="vnđ",TH!P50&lt;&gt;""),"e",IF(AND(LEFT(C50,3)="EIB",D50='UNC - EIB'!$T$2,LEFT(E50,1)="U",'UNC - EIB'!$R$2="usd",TH!O50&lt;&gt;""),"e1",IF(AND(LEFT(C50,3)="EIB",D50='LC - EIB'!$S$2,LEFT(E50,1)="l"),"e2",""))))))</f>
        <v/>
      </c>
    </row>
    <row r="51" spans="1:18" ht="18.75" customHeight="1">
      <c r="A51" s="55" t="str">
        <f>IF(AND(C51="pv",E51='UNC - PV'!$S$2,D51='UNC - PV'!$Q$2),"x",IF(AND(LEFT(C51,3)="eib",E51='UNC - EIB'!$V$2,D51='UNC - EIB'!$T$2),"x1",IF(AND(C51="pv",E51='LC - PV'!$R$2,D51='LC - PV'!$P$2),"x2",IF(AND(LEFT(C51,3)="eib",E51='LC - EIB'!$U$2,D51='LC - EIB'!$S$2),"x3",""))))</f>
        <v/>
      </c>
      <c r="B51" s="62">
        <f t="shared" si="0"/>
        <v>48</v>
      </c>
      <c r="C51" s="62" t="s">
        <v>80</v>
      </c>
      <c r="D51" s="67">
        <v>42611</v>
      </c>
      <c r="E51" s="94" t="s">
        <v>21</v>
      </c>
      <c r="F51" s="96" t="s">
        <v>128</v>
      </c>
      <c r="G51" s="96" t="s">
        <v>127</v>
      </c>
      <c r="H51" s="96" t="s">
        <v>126</v>
      </c>
      <c r="I51" s="94" t="s">
        <v>9</v>
      </c>
      <c r="J51" s="97"/>
      <c r="K51" s="98"/>
      <c r="L51" s="99"/>
      <c r="M51" s="99"/>
      <c r="N51" s="96" t="s">
        <v>125</v>
      </c>
      <c r="O51" s="100">
        <v>8600</v>
      </c>
      <c r="P51" s="69"/>
      <c r="Q51" s="102" t="s">
        <v>190</v>
      </c>
      <c r="R51" s="202" t="str">
        <f>IF(AND(C51="pv",D51='UNC - PV'!$Q$2,LEFT(E51,1)="u",'UNC - PV'!$O$2="vnđ",TH!P51&lt;&gt;""),"p",IF(AND(C51="pv",D51='UNC - PV'!$Q$2,LEFT(E51,1)="u",'UNC - PV'!$O$2="usd",TH!O51&lt;&gt;""),"p1",IF(AND(C51="pv",D51='LC - PV'!$P$2,LEFT(E51,1)="l"),"p2",IF(AND(LEFT(C51,3)="EIB",D51='UNC - EIB'!$T$2,LEFT(E51,1)="u",'UNC - EIB'!$R$2="vnđ",TH!P51&lt;&gt;""),"e",IF(AND(LEFT(C51,3)="EIB",D51='UNC - EIB'!$T$2,LEFT(E51,1)="U",'UNC - EIB'!$R$2="usd",TH!O51&lt;&gt;""),"e1",IF(AND(LEFT(C51,3)="EIB",D51='LC - EIB'!$S$2,LEFT(E51,1)="l"),"e2",""))))))</f>
        <v/>
      </c>
    </row>
    <row r="52" spans="1:18" ht="18.75" customHeight="1">
      <c r="A52" s="55" t="str">
        <f>IF(AND(C52="pv",E52='UNC - PV'!$S$2,D52='UNC - PV'!$Q$2),"x",IF(AND(LEFT(C52,3)="eib",E52='UNC - EIB'!$V$2,D52='UNC - EIB'!$T$2),"x1",IF(AND(C52="pv",E52='LC - PV'!$R$2,D52='LC - PV'!$P$2),"x2",IF(AND(LEFT(C52,3)="eib",E52='LC - EIB'!$U$2,D52='LC - EIB'!$S$2),"x3",""))))</f>
        <v/>
      </c>
      <c r="B52" s="62">
        <f t="shared" ref="B52:B57" si="2">IF(C52&lt;&gt;"",ROW()-3,"")</f>
        <v>49</v>
      </c>
      <c r="C52" s="62" t="s">
        <v>124</v>
      </c>
      <c r="D52" s="67">
        <v>42611</v>
      </c>
      <c r="E52" s="94" t="s">
        <v>22</v>
      </c>
      <c r="F52" s="96" t="s">
        <v>128</v>
      </c>
      <c r="G52" s="71" t="s">
        <v>158</v>
      </c>
      <c r="H52" s="64" t="s">
        <v>159</v>
      </c>
      <c r="I52" s="94" t="s">
        <v>9</v>
      </c>
      <c r="J52" s="66"/>
      <c r="K52" s="67"/>
      <c r="L52" s="65"/>
      <c r="M52" s="65"/>
      <c r="N52" s="64" t="s">
        <v>160</v>
      </c>
      <c r="O52" s="68"/>
      <c r="P52" s="69">
        <v>210000000</v>
      </c>
      <c r="Q52" s="102" t="s">
        <v>190</v>
      </c>
      <c r="R52" s="202" t="str">
        <f>IF(AND(C52="pv",D52='UNC - PV'!$Q$2,LEFT(E52,1)="u",'UNC - PV'!$O$2="vnđ",TH!P52&lt;&gt;""),"p",IF(AND(C52="pv",D52='UNC - PV'!$Q$2,LEFT(E52,1)="u",'UNC - PV'!$O$2="usd",TH!O52&lt;&gt;""),"p1",IF(AND(C52="pv",D52='LC - PV'!$P$2,LEFT(E52,1)="l"),"p2",IF(AND(LEFT(C52,3)="EIB",D52='UNC - EIB'!$T$2,LEFT(E52,1)="u",'UNC - EIB'!$R$2="vnđ",TH!P52&lt;&gt;""),"e",IF(AND(LEFT(C52,3)="EIB",D52='UNC - EIB'!$T$2,LEFT(E52,1)="U",'UNC - EIB'!$R$2="usd",TH!O52&lt;&gt;""),"e1",IF(AND(LEFT(C52,3)="EIB",D52='LC - EIB'!$S$2,LEFT(E52,1)="l"),"e2",""))))))</f>
        <v/>
      </c>
    </row>
    <row r="53" spans="1:18" ht="18.75" customHeight="1">
      <c r="A53" s="55" t="str">
        <f>IF(AND(C53="pv",E53='UNC - PV'!$S$2,D53='UNC - PV'!$Q$2),"x",IF(AND(LEFT(C53,3)="eib",E53='UNC - EIB'!$V$2,D53='UNC - EIB'!$T$2),"x1",IF(AND(C53="pv",E53='LC - PV'!$R$2,D53='LC - PV'!$P$2),"x2",IF(AND(LEFT(C53,3)="eib",E53='LC - EIB'!$U$2,D53='LC - EIB'!$S$2),"x3",""))))</f>
        <v/>
      </c>
      <c r="B53" s="62">
        <f t="shared" si="2"/>
        <v>50</v>
      </c>
      <c r="C53" s="62" t="s">
        <v>141</v>
      </c>
      <c r="D53" s="67">
        <v>42611</v>
      </c>
      <c r="E53" s="94" t="s">
        <v>23</v>
      </c>
      <c r="F53" s="96" t="s">
        <v>128</v>
      </c>
      <c r="G53" s="96" t="s">
        <v>296</v>
      </c>
      <c r="H53" s="96" t="s">
        <v>126</v>
      </c>
      <c r="I53" s="94" t="s">
        <v>9</v>
      </c>
      <c r="J53" s="66"/>
      <c r="K53" s="67"/>
      <c r="L53" s="65"/>
      <c r="M53" s="65"/>
      <c r="N53" s="64" t="s">
        <v>166</v>
      </c>
      <c r="O53" s="68">
        <v>6700</v>
      </c>
      <c r="P53" s="69"/>
      <c r="Q53" s="102" t="s">
        <v>190</v>
      </c>
      <c r="R53" s="202" t="str">
        <f>IF(AND(C53="pv",D53='UNC - PV'!$Q$2,LEFT(E53,1)="u",'UNC - PV'!$O$2="vnđ",TH!P53&lt;&gt;""),"p",IF(AND(C53="pv",D53='UNC - PV'!$Q$2,LEFT(E53,1)="u",'UNC - PV'!$O$2="usd",TH!O53&lt;&gt;""),"p1",IF(AND(C53="pv",D53='LC - PV'!$P$2,LEFT(E53,1)="l"),"p2",IF(AND(LEFT(C53,3)="EIB",D53='UNC - EIB'!$T$2,LEFT(E53,1)="u",'UNC - EIB'!$R$2="vnđ",TH!P53&lt;&gt;""),"e",IF(AND(LEFT(C53,3)="EIB",D53='UNC - EIB'!$T$2,LEFT(E53,1)="U",'UNC - EIB'!$R$2="usd",TH!O53&lt;&gt;""),"e1",IF(AND(LEFT(C53,3)="EIB",D53='LC - EIB'!$S$2,LEFT(E53,1)="l"),"e2",""))))))</f>
        <v/>
      </c>
    </row>
    <row r="54" spans="1:18" ht="18.75" customHeight="1">
      <c r="A54" s="55" t="str">
        <f>IF(AND(C54="pv",E54='UNC - PV'!$S$2,D54='UNC - PV'!$Q$2),"x",IF(AND(LEFT(C54,3)="eib",E54='UNC - EIB'!$V$2,D54='UNC - EIB'!$T$2),"x1",IF(AND(C54="pv",E54='LC - PV'!$R$2,D54='LC - PV'!$P$2),"x2",IF(AND(LEFT(C54,3)="eib",E54='LC - EIB'!$U$2,D54='LC - EIB'!$S$2),"x3",""))))</f>
        <v/>
      </c>
      <c r="B54" s="62">
        <f t="shared" si="2"/>
        <v>51</v>
      </c>
      <c r="C54" s="62" t="s">
        <v>124</v>
      </c>
      <c r="D54" s="67">
        <v>42613</v>
      </c>
      <c r="E54" s="94" t="s">
        <v>21</v>
      </c>
      <c r="F54" s="96" t="s">
        <v>128</v>
      </c>
      <c r="G54" s="64" t="s">
        <v>206</v>
      </c>
      <c r="H54" s="64" t="s">
        <v>203</v>
      </c>
      <c r="I54" s="65" t="s">
        <v>9</v>
      </c>
      <c r="J54" s="66"/>
      <c r="K54" s="67"/>
      <c r="L54" s="65"/>
      <c r="M54" s="65"/>
      <c r="N54" s="96" t="s">
        <v>125</v>
      </c>
      <c r="O54" s="68">
        <v>6700</v>
      </c>
      <c r="P54" s="69"/>
      <c r="Q54" s="102" t="s">
        <v>190</v>
      </c>
      <c r="R54" s="202" t="str">
        <f>IF(AND(C54="pv",D54='UNC - PV'!$Q$2,LEFT(E54,1)="u",'UNC - PV'!$O$2="vnđ",TH!P54&lt;&gt;""),"p",IF(AND(C54="pv",D54='UNC - PV'!$Q$2,LEFT(E54,1)="u",'UNC - PV'!$O$2="usd",TH!O54&lt;&gt;""),"p1",IF(AND(C54="pv",D54='LC - PV'!$P$2,LEFT(E54,1)="l"),"p2",IF(AND(LEFT(C54,3)="EIB",D54='UNC - EIB'!$T$2,LEFT(E54,1)="u",'UNC - EIB'!$R$2="vnđ",TH!P54&lt;&gt;""),"e",IF(AND(LEFT(C54,3)="EIB",D54='UNC - EIB'!$T$2,LEFT(E54,1)="U",'UNC - EIB'!$R$2="usd",TH!O54&lt;&gt;""),"e1",IF(AND(LEFT(C54,3)="EIB",D54='LC - EIB'!$S$2,LEFT(E54,1)="l"),"e2",""))))))</f>
        <v/>
      </c>
    </row>
    <row r="55" spans="1:18" ht="18.75" customHeight="1">
      <c r="A55" s="55" t="str">
        <f>IF(AND(C55="pv",E55='UNC - PV'!$S$2,D55='UNC - PV'!$Q$2),"x",IF(AND(LEFT(C55,3)="eib",E55='UNC - EIB'!$V$2,D55='UNC - EIB'!$T$2),"x1",IF(AND(C55="pv",E55='LC - PV'!$R$2,D55='LC - PV'!$P$2),"x2",IF(AND(LEFT(C55,3)="eib",E55='LC - EIB'!$U$2,D55='LC - EIB'!$S$2),"x3",""))))</f>
        <v/>
      </c>
      <c r="B55" s="62">
        <f t="shared" si="2"/>
        <v>52</v>
      </c>
      <c r="C55" s="62" t="s">
        <v>80</v>
      </c>
      <c r="D55" s="67">
        <v>42613</v>
      </c>
      <c r="E55" s="94" t="s">
        <v>22</v>
      </c>
      <c r="F55" s="96" t="s">
        <v>129</v>
      </c>
      <c r="G55" s="96" t="s">
        <v>130</v>
      </c>
      <c r="H55" s="96" t="s">
        <v>126</v>
      </c>
      <c r="I55" s="94" t="s">
        <v>9</v>
      </c>
      <c r="J55" s="66"/>
      <c r="K55" s="67"/>
      <c r="L55" s="65"/>
      <c r="M55" s="65"/>
      <c r="N55" s="96" t="s">
        <v>131</v>
      </c>
      <c r="O55" s="68"/>
      <c r="P55" s="69">
        <v>23000000</v>
      </c>
      <c r="Q55" s="102" t="s">
        <v>190</v>
      </c>
      <c r="R55" s="202" t="str">
        <f>IF(AND(C55="pv",D55='UNC - PV'!$Q$2,LEFT(E55,1)="u",'UNC - PV'!$O$2="vnđ",TH!P55&lt;&gt;""),"p",IF(AND(C55="pv",D55='UNC - PV'!$Q$2,LEFT(E55,1)="u",'UNC - PV'!$O$2="usd",TH!O55&lt;&gt;""),"p1",IF(AND(C55="pv",D55='LC - PV'!$P$2,LEFT(E55,1)="l"),"p2",IF(AND(LEFT(C55,3)="EIB",D55='UNC - EIB'!$T$2,LEFT(E55,1)="u",'UNC - EIB'!$R$2="vnđ",TH!P55&lt;&gt;""),"e",IF(AND(LEFT(C55,3)="EIB",D55='UNC - EIB'!$T$2,LEFT(E55,1)="U",'UNC - EIB'!$R$2="usd",TH!O55&lt;&gt;""),"e1",IF(AND(LEFT(C55,3)="EIB",D55='LC - EIB'!$S$2,LEFT(E55,1)="l"),"e2",""))))))</f>
        <v/>
      </c>
    </row>
    <row r="56" spans="1:18" ht="18.75" customHeight="1">
      <c r="A56" s="55" t="str">
        <f>IF(AND(C56="pv",E56='UNC - PV'!$S$2,D56='UNC - PV'!$Q$2),"x",IF(AND(LEFT(C56,3)="eib",E56='UNC - EIB'!$V$2,D56='UNC - EIB'!$T$2),"x1",IF(AND(C56="pv",E56='LC - PV'!$R$2,D56='LC - PV'!$P$2),"x2",IF(AND(LEFT(C56,3)="eib",E56='LC - EIB'!$U$2,D56='LC - EIB'!$S$2),"x3",""))))</f>
        <v/>
      </c>
      <c r="B56" s="62">
        <f t="shared" si="2"/>
        <v>53</v>
      </c>
      <c r="C56" s="62" t="s">
        <v>102</v>
      </c>
      <c r="D56" s="67">
        <v>42613</v>
      </c>
      <c r="E56" s="94" t="s">
        <v>24</v>
      </c>
      <c r="F56" s="64" t="s">
        <v>162</v>
      </c>
      <c r="G56" s="64" t="s">
        <v>312</v>
      </c>
      <c r="H56" s="64" t="s">
        <v>224</v>
      </c>
      <c r="I56" s="99" t="s">
        <v>156</v>
      </c>
      <c r="J56" s="66"/>
      <c r="K56" s="67"/>
      <c r="L56" s="65"/>
      <c r="M56" s="65"/>
      <c r="N56" s="104" t="s">
        <v>302</v>
      </c>
      <c r="O56" s="68"/>
      <c r="P56" s="69">
        <v>22821810</v>
      </c>
      <c r="Q56" s="102" t="s">
        <v>190</v>
      </c>
      <c r="R56" s="202" t="str">
        <f>IF(AND(C56="pv",D56='UNC - PV'!$Q$2,LEFT(E56,1)="u",'UNC - PV'!$O$2="vnđ",TH!P56&lt;&gt;""),"p",IF(AND(C56="pv",D56='UNC - PV'!$Q$2,LEFT(E56,1)="u",'UNC - PV'!$O$2="usd",TH!O56&lt;&gt;""),"p1",IF(AND(C56="pv",D56='LC - PV'!$P$2,LEFT(E56,1)="l"),"p2",IF(AND(LEFT(C56,3)="EIB",D56='UNC - EIB'!$T$2,LEFT(E56,1)="u",'UNC - EIB'!$R$2="vnđ",TH!P56&lt;&gt;""),"e",IF(AND(LEFT(C56,3)="EIB",D56='UNC - EIB'!$T$2,LEFT(E56,1)="U",'UNC - EIB'!$R$2="usd",TH!O56&lt;&gt;""),"e1",IF(AND(LEFT(C56,3)="EIB",D56='LC - EIB'!$S$2,LEFT(E56,1)="l"),"e2",""))))))</f>
        <v/>
      </c>
    </row>
    <row r="57" spans="1:18" ht="18.75" customHeight="1">
      <c r="A57" s="55" t="str">
        <f>IF(AND(C57="pv",E57='UNC - PV'!$S$2,D57='UNC - PV'!$Q$2),"x",IF(AND(LEFT(C57,3)="eib",E57='UNC - EIB'!$V$2,D57='UNC - EIB'!$T$2),"x1",IF(AND(C57="pv",E57='LC - PV'!$R$2,D57='LC - PV'!$P$2),"x2",IF(AND(LEFT(C57,3)="eib",E57='LC - EIB'!$U$2,D57='LC - EIB'!$S$2),"x3",""))))</f>
        <v/>
      </c>
      <c r="B57" s="62">
        <f t="shared" si="2"/>
        <v>54</v>
      </c>
      <c r="C57" s="62" t="s">
        <v>141</v>
      </c>
      <c r="D57" s="67">
        <v>42627</v>
      </c>
      <c r="E57" s="94" t="s">
        <v>21</v>
      </c>
      <c r="F57" s="64" t="s">
        <v>34</v>
      </c>
      <c r="G57" s="64" t="s">
        <v>30</v>
      </c>
      <c r="H57" s="64" t="s">
        <v>31</v>
      </c>
      <c r="I57" s="65" t="s">
        <v>33</v>
      </c>
      <c r="J57" s="66"/>
      <c r="K57" s="67"/>
      <c r="L57" s="65"/>
      <c r="M57" s="65"/>
      <c r="N57" s="64" t="s">
        <v>313</v>
      </c>
      <c r="O57" s="68"/>
      <c r="P57" s="69">
        <v>24068550</v>
      </c>
      <c r="Q57" s="92" t="s">
        <v>189</v>
      </c>
      <c r="R57" s="202" t="str">
        <f>IF(AND(C57="pv",D57='UNC - PV'!$Q$2,LEFT(E57,1)="u",'UNC - PV'!$O$2="vnđ",TH!P57&lt;&gt;""),"p",IF(AND(C57="pv",D57='UNC - PV'!$Q$2,LEFT(E57,1)="u",'UNC - PV'!$O$2="usd",TH!O57&lt;&gt;""),"p1",IF(AND(C57="pv",D57='LC - PV'!$P$2,LEFT(E57,1)="l"),"p2",IF(AND(LEFT(C57,3)="EIB",D57='UNC - EIB'!$T$2,LEFT(E57,1)="u",'UNC - EIB'!$R$2="vnđ",TH!P57&lt;&gt;""),"e",IF(AND(LEFT(C57,3)="EIB",D57='UNC - EIB'!$T$2,LEFT(E57,1)="U",'UNC - EIB'!$R$2="usd",TH!O57&lt;&gt;""),"e1",IF(AND(LEFT(C57,3)="EIB",D57='LC - EIB'!$S$2,LEFT(E57,1)="l"),"e2",""))))))</f>
        <v/>
      </c>
    </row>
    <row r="58" spans="1:18" ht="18.75" customHeight="1">
      <c r="A58" s="55" t="str">
        <f>IF(AND(C58="pv",E58='UNC - PV'!$S$2,D58='UNC - PV'!$Q$2),"x",IF(AND(LEFT(C58,3)="eib",E58='UNC - EIB'!$V$2,D58='UNC - EIB'!$T$2),"x1",IF(AND(C58="pv",E58='LC - PV'!$R$2,D58='LC - PV'!$P$2),"x2",IF(AND(LEFT(C58,3)="eib",E58='LC - EIB'!$U$2,D58='LC - EIB'!$S$2),"x3",""))))</f>
        <v/>
      </c>
      <c r="B58" s="62">
        <f t="shared" si="0"/>
        <v>55</v>
      </c>
      <c r="C58" s="62" t="s">
        <v>80</v>
      </c>
      <c r="D58" s="67">
        <v>42635</v>
      </c>
      <c r="E58" s="94" t="s">
        <v>21</v>
      </c>
      <c r="F58" s="64" t="s">
        <v>34</v>
      </c>
      <c r="G58" s="64" t="s">
        <v>30</v>
      </c>
      <c r="H58" s="64" t="s">
        <v>31</v>
      </c>
      <c r="I58" s="65" t="s">
        <v>33</v>
      </c>
      <c r="J58" s="66"/>
      <c r="K58" s="67"/>
      <c r="L58" s="65"/>
      <c r="M58" s="65"/>
      <c r="N58" s="64" t="s">
        <v>315</v>
      </c>
      <c r="O58" s="68"/>
      <c r="P58" s="69">
        <v>21641290</v>
      </c>
      <c r="Q58" s="92" t="s">
        <v>189</v>
      </c>
      <c r="R58" s="202" t="str">
        <f>IF(AND(C58="pv",D58='UNC - PV'!$Q$2,LEFT(E58,1)="u",'UNC - PV'!$O$2="vnđ",TH!P58&lt;&gt;""),"p",IF(AND(C58="pv",D58='UNC - PV'!$Q$2,LEFT(E58,1)="u",'UNC - PV'!$O$2="usd",TH!O58&lt;&gt;""),"p1",IF(AND(C58="pv",D58='LC - PV'!$P$2,LEFT(E58,1)="l"),"p2",IF(AND(LEFT(C58,3)="EIB",D58='UNC - EIB'!$T$2,LEFT(E58,1)="u",'UNC - EIB'!$R$2="vnđ",TH!P58&lt;&gt;""),"e",IF(AND(LEFT(C58,3)="EIB",D58='UNC - EIB'!$T$2,LEFT(E58,1)="U",'UNC - EIB'!$R$2="usd",TH!O58&lt;&gt;""),"e1",IF(AND(LEFT(C58,3)="EIB",D58='LC - EIB'!$S$2,LEFT(E58,1)="l"),"e2",""))))))</f>
        <v/>
      </c>
    </row>
    <row r="59" spans="1:18" ht="18.75" customHeight="1">
      <c r="A59" s="55" t="str">
        <f>IF(AND(C59="pv",E59='UNC - PV'!$S$2,D59='UNC - PV'!$Q$2),"x",IF(AND(LEFT(C59,3)="eib",E59='UNC - EIB'!$V$2,D59='UNC - EIB'!$T$2),"x1",IF(AND(C59="pv",E59='LC - PV'!$R$2,D59='LC - PV'!$P$2),"x2",IF(AND(LEFT(C59,3)="eib",E59='LC - EIB'!$U$2,D59='LC - EIB'!$S$2),"x3",""))))</f>
        <v/>
      </c>
      <c r="B59" s="62">
        <f t="shared" si="0"/>
        <v>56</v>
      </c>
      <c r="C59" s="62" t="s">
        <v>80</v>
      </c>
      <c r="D59" s="67">
        <v>42635</v>
      </c>
      <c r="E59" s="94" t="s">
        <v>22</v>
      </c>
      <c r="F59" s="64" t="s">
        <v>173</v>
      </c>
      <c r="G59" s="71" t="s">
        <v>317</v>
      </c>
      <c r="H59" s="64" t="s">
        <v>175</v>
      </c>
      <c r="I59" s="94" t="s">
        <v>9</v>
      </c>
      <c r="J59" s="66"/>
      <c r="K59" s="67"/>
      <c r="L59" s="65"/>
      <c r="M59" s="65"/>
      <c r="N59" s="64" t="s">
        <v>316</v>
      </c>
      <c r="O59" s="68"/>
      <c r="P59" s="69">
        <v>1663000</v>
      </c>
      <c r="Q59" s="92" t="s">
        <v>189</v>
      </c>
      <c r="R59" s="202" t="str">
        <f>IF(AND(C59="pv",D59='UNC - PV'!$Q$2,LEFT(E59,1)="u",'UNC - PV'!$O$2="vnđ",TH!P59&lt;&gt;""),"p",IF(AND(C59="pv",D59='UNC - PV'!$Q$2,LEFT(E59,1)="u",'UNC - PV'!$O$2="usd",TH!O59&lt;&gt;""),"p1",IF(AND(C59="pv",D59='LC - PV'!$P$2,LEFT(E59,1)="l"),"p2",IF(AND(LEFT(C59,3)="EIB",D59='UNC - EIB'!$T$2,LEFT(E59,1)="u",'UNC - EIB'!$R$2="vnđ",TH!P59&lt;&gt;""),"e",IF(AND(LEFT(C59,3)="EIB",D59='UNC - EIB'!$T$2,LEFT(E59,1)="U",'UNC - EIB'!$R$2="usd",TH!O59&lt;&gt;""),"e1",IF(AND(LEFT(C59,3)="EIB",D59='LC - EIB'!$S$2,LEFT(E59,1)="l"),"e2",""))))))</f>
        <v/>
      </c>
    </row>
    <row r="60" spans="1:18" ht="18.75" customHeight="1">
      <c r="A60" s="55" t="str">
        <f>IF(AND(C60="pv",E60='UNC - PV'!$S$2,D60='UNC - PV'!$Q$2),"x",IF(AND(LEFT(C60,3)="eib",E60='UNC - EIB'!$V$2,D60='UNC - EIB'!$T$2),"x1",IF(AND(C60="pv",E60='LC - PV'!$R$2,D60='LC - PV'!$P$2),"x2",IF(AND(LEFT(C60,3)="eib",E60='LC - EIB'!$U$2,D60='LC - EIB'!$S$2),"x3",""))))</f>
        <v/>
      </c>
      <c r="B60" s="62">
        <f t="shared" si="0"/>
        <v>57</v>
      </c>
      <c r="C60" s="62" t="s">
        <v>80</v>
      </c>
      <c r="D60" s="67">
        <v>42635</v>
      </c>
      <c r="E60" s="94" t="s">
        <v>23</v>
      </c>
      <c r="F60" s="64" t="s">
        <v>173</v>
      </c>
      <c r="G60" s="71" t="s">
        <v>176</v>
      </c>
      <c r="H60" s="64" t="s">
        <v>177</v>
      </c>
      <c r="I60" s="94" t="s">
        <v>9</v>
      </c>
      <c r="J60" s="66"/>
      <c r="K60" s="67"/>
      <c r="L60" s="65"/>
      <c r="M60" s="65"/>
      <c r="N60" s="64" t="s">
        <v>318</v>
      </c>
      <c r="O60" s="68"/>
      <c r="P60" s="69">
        <v>27700000</v>
      </c>
      <c r="Q60" s="92" t="s">
        <v>189</v>
      </c>
      <c r="R60" s="202" t="str">
        <f>IF(AND(C60="pv",D60='UNC - PV'!$Q$2,LEFT(E60,1)="u",'UNC - PV'!$O$2="vnđ",TH!P60&lt;&gt;""),"p",IF(AND(C60="pv",D60='UNC - PV'!$Q$2,LEFT(E60,1)="u",'UNC - PV'!$O$2="usd",TH!O60&lt;&gt;""),"p1",IF(AND(C60="pv",D60='LC - PV'!$P$2,LEFT(E60,1)="l"),"p2",IF(AND(LEFT(C60,3)="EIB",D60='UNC - EIB'!$T$2,LEFT(E60,1)="u",'UNC - EIB'!$R$2="vnđ",TH!P60&lt;&gt;""),"e",IF(AND(LEFT(C60,3)="EIB",D60='UNC - EIB'!$T$2,LEFT(E60,1)="U",'UNC - EIB'!$R$2="usd",TH!O60&lt;&gt;""),"e1",IF(AND(LEFT(C60,3)="EIB",D60='LC - EIB'!$S$2,LEFT(E60,1)="l"),"e2",""))))))</f>
        <v/>
      </c>
    </row>
    <row r="61" spans="1:18" ht="18.75" customHeight="1">
      <c r="A61" s="55" t="str">
        <f>IF(AND(C61="pv",E61='UNC - PV'!$S$2,D61='UNC - PV'!$Q$2),"x",IF(AND(LEFT(C61,3)="eib",E61='UNC - EIB'!$V$2,D61='UNC - EIB'!$T$2),"x1",IF(AND(C61="pv",E61='LC - PV'!$R$2,D61='LC - PV'!$P$2),"x2",IF(AND(LEFT(C61,3)="eib",E61='LC - EIB'!$U$2,D61='LC - EIB'!$S$2),"x3",""))))</f>
        <v/>
      </c>
      <c r="B61" s="62">
        <f t="shared" si="0"/>
        <v>58</v>
      </c>
      <c r="C61" s="62" t="s">
        <v>141</v>
      </c>
      <c r="D61" s="67">
        <v>42642</v>
      </c>
      <c r="E61" s="94" t="s">
        <v>21</v>
      </c>
      <c r="F61" s="96" t="s">
        <v>129</v>
      </c>
      <c r="G61" s="96" t="s">
        <v>130</v>
      </c>
      <c r="H61" s="96" t="s">
        <v>126</v>
      </c>
      <c r="I61" s="94" t="s">
        <v>9</v>
      </c>
      <c r="J61" s="66"/>
      <c r="K61" s="67"/>
      <c r="L61" s="65"/>
      <c r="M61" s="65"/>
      <c r="N61" s="96" t="s">
        <v>131</v>
      </c>
      <c r="O61" s="68"/>
      <c r="P61" s="69">
        <v>60000000</v>
      </c>
      <c r="Q61" s="92" t="s">
        <v>189</v>
      </c>
      <c r="R61" s="202" t="str">
        <f>IF(AND(C61="pv",D61='UNC - PV'!$Q$2,LEFT(E61,1)="u",'UNC - PV'!$O$2="vnđ",TH!P61&lt;&gt;""),"p",IF(AND(C61="pv",D61='UNC - PV'!$Q$2,LEFT(E61,1)="u",'UNC - PV'!$O$2="usd",TH!O61&lt;&gt;""),"p1",IF(AND(C61="pv",D61='LC - PV'!$P$2,LEFT(E61,1)="l"),"p2",IF(AND(LEFT(C61,3)="EIB",D61='UNC - EIB'!$T$2,LEFT(E61,1)="u",'UNC - EIB'!$R$2="vnđ",TH!P61&lt;&gt;""),"e",IF(AND(LEFT(C61,3)="EIB",D61='UNC - EIB'!$T$2,LEFT(E61,1)="U",'UNC - EIB'!$R$2="usd",TH!O61&lt;&gt;""),"e1",IF(AND(LEFT(C61,3)="EIB",D61='LC - EIB'!$S$2,LEFT(E61,1)="l"),"e2",""))))))</f>
        <v/>
      </c>
    </row>
    <row r="62" spans="1:18" ht="18.75" customHeight="1">
      <c r="A62" s="55" t="str">
        <f>IF(AND(C62="pv",E62='UNC - PV'!$S$2,D62='UNC - PV'!$Q$2),"x",IF(AND(LEFT(C62,3)="eib",E62='UNC - EIB'!$V$2,D62='UNC - EIB'!$T$2),"x1",IF(AND(C62="pv",E62='LC - PV'!$R$2,D62='LC - PV'!$P$2),"x2",IF(AND(LEFT(C62,3)="eib",E62='LC - EIB'!$U$2,D62='LC - EIB'!$S$2),"x3",""))))</f>
        <v/>
      </c>
      <c r="B62" s="62">
        <f t="shared" si="0"/>
        <v>59</v>
      </c>
      <c r="C62" s="62" t="s">
        <v>102</v>
      </c>
      <c r="D62" s="67">
        <v>42642</v>
      </c>
      <c r="E62" s="94" t="s">
        <v>22</v>
      </c>
      <c r="F62" s="64" t="s">
        <v>162</v>
      </c>
      <c r="G62" s="64" t="s">
        <v>198</v>
      </c>
      <c r="H62" s="64" t="s">
        <v>163</v>
      </c>
      <c r="I62" s="99" t="s">
        <v>156</v>
      </c>
      <c r="J62" s="66"/>
      <c r="K62" s="67"/>
      <c r="L62" s="65"/>
      <c r="M62" s="65"/>
      <c r="N62" s="104" t="s">
        <v>319</v>
      </c>
      <c r="O62" s="68"/>
      <c r="P62" s="69">
        <f>41688680+46359940</f>
        <v>88048620</v>
      </c>
      <c r="Q62" s="92" t="s">
        <v>189</v>
      </c>
      <c r="R62" s="202" t="str">
        <f>IF(AND(C62="pv",D62='UNC - PV'!$Q$2,LEFT(E62,1)="u",'UNC - PV'!$O$2="vnđ",TH!P62&lt;&gt;""),"p",IF(AND(C62="pv",D62='UNC - PV'!$Q$2,LEFT(E62,1)="u",'UNC - PV'!$O$2="usd",TH!O62&lt;&gt;""),"p1",IF(AND(C62="pv",D62='LC - PV'!$P$2,LEFT(E62,1)="l"),"p2",IF(AND(LEFT(C62,3)="EIB",D62='UNC - EIB'!$T$2,LEFT(E62,1)="u",'UNC - EIB'!$R$2="vnđ",TH!P62&lt;&gt;""),"e",IF(AND(LEFT(C62,3)="EIB",D62='UNC - EIB'!$T$2,LEFT(E62,1)="U",'UNC - EIB'!$R$2="usd",TH!O62&lt;&gt;""),"e1",IF(AND(LEFT(C62,3)="EIB",D62='LC - EIB'!$S$2,LEFT(E62,1)="l"),"e2",""))))))</f>
        <v/>
      </c>
    </row>
    <row r="63" spans="1:18" ht="18.75" customHeight="1">
      <c r="A63" s="55" t="str">
        <f>IF(AND(C63="pv",E63='UNC - PV'!$S$2,D63='UNC - PV'!$Q$2),"x",IF(AND(LEFT(C63,3)="eib",E63='UNC - EIB'!$V$2,D63='UNC - EIB'!$T$2),"x1",IF(AND(C63="pv",E63='LC - PV'!$R$2,D63='LC - PV'!$P$2),"x2",IF(AND(LEFT(C63,3)="eib",E63='LC - EIB'!$U$2,D63='LC - EIB'!$S$2),"x3",""))))</f>
        <v/>
      </c>
      <c r="B63" s="62">
        <f t="shared" si="0"/>
        <v>60</v>
      </c>
      <c r="C63" s="62" t="s">
        <v>124</v>
      </c>
      <c r="D63" s="67">
        <v>42646</v>
      </c>
      <c r="E63" s="94" t="s">
        <v>21</v>
      </c>
      <c r="F63" s="64" t="s">
        <v>321</v>
      </c>
      <c r="G63" s="64" t="s">
        <v>322</v>
      </c>
      <c r="H63" s="64" t="s">
        <v>323</v>
      </c>
      <c r="I63" s="65" t="s">
        <v>324</v>
      </c>
      <c r="J63" s="66"/>
      <c r="K63" s="67"/>
      <c r="L63" s="65"/>
      <c r="M63" s="65"/>
      <c r="N63" s="64" t="s">
        <v>320</v>
      </c>
      <c r="O63" s="68"/>
      <c r="P63" s="69">
        <v>100000000</v>
      </c>
      <c r="Q63" s="102" t="s">
        <v>190</v>
      </c>
      <c r="R63" s="202" t="str">
        <f>IF(AND(C63="pv",D63='UNC - PV'!$Q$2,LEFT(E63,1)="u",'UNC - PV'!$O$2="vnđ",TH!P63&lt;&gt;""),"p",IF(AND(C63="pv",D63='UNC - PV'!$Q$2,LEFT(E63,1)="u",'UNC - PV'!$O$2="usd",TH!O63&lt;&gt;""),"p1",IF(AND(C63="pv",D63='LC - PV'!$P$2,LEFT(E63,1)="l"),"p2",IF(AND(LEFT(C63,3)="EIB",D63='UNC - EIB'!$T$2,LEFT(E63,1)="u",'UNC - EIB'!$R$2="vnđ",TH!P63&lt;&gt;""),"e",IF(AND(LEFT(C63,3)="EIB",D63='UNC - EIB'!$T$2,LEFT(E63,1)="U",'UNC - EIB'!$R$2="usd",TH!O63&lt;&gt;""),"e1",IF(AND(LEFT(C63,3)="EIB",D63='LC - EIB'!$S$2,LEFT(E63,1)="l"),"e2",""))))))</f>
        <v/>
      </c>
    </row>
    <row r="64" spans="1:18" ht="18.75" customHeight="1">
      <c r="A64" s="55" t="str">
        <f>IF(AND(C64="pv",E64='UNC - PV'!$S$2,D64='UNC - PV'!$Q$2),"x",IF(AND(LEFT(C64,3)="eib",E64='UNC - EIB'!$V$2,D64='UNC - EIB'!$T$2),"x1",IF(AND(C64="pv",E64='LC - PV'!$R$2,D64='LC - PV'!$P$2),"x2",IF(AND(LEFT(C64,3)="eib",E64='LC - EIB'!$U$2,D64='LC - EIB'!$S$2),"x3",""))))</f>
        <v/>
      </c>
      <c r="B64" s="62">
        <f t="shared" si="0"/>
        <v>61</v>
      </c>
      <c r="C64" s="62" t="s">
        <v>80</v>
      </c>
      <c r="D64" s="67">
        <v>42647</v>
      </c>
      <c r="E64" s="94" t="s">
        <v>21</v>
      </c>
      <c r="F64" s="64" t="s">
        <v>34</v>
      </c>
      <c r="G64" s="64" t="s">
        <v>30</v>
      </c>
      <c r="H64" s="64" t="s">
        <v>31</v>
      </c>
      <c r="I64" s="65" t="s">
        <v>33</v>
      </c>
      <c r="J64" s="66"/>
      <c r="K64" s="67"/>
      <c r="L64" s="65"/>
      <c r="M64" s="65"/>
      <c r="N64" s="64" t="s">
        <v>325</v>
      </c>
      <c r="O64" s="68"/>
      <c r="P64" s="69">
        <v>24156880</v>
      </c>
      <c r="Q64" s="92" t="s">
        <v>189</v>
      </c>
      <c r="R64" s="202" t="str">
        <f>IF(AND(C64="pv",D64='UNC - PV'!$Q$2,LEFT(E64,1)="u",'UNC - PV'!$O$2="vnđ",TH!P64&lt;&gt;""),"p",IF(AND(C64="pv",D64='UNC - PV'!$Q$2,LEFT(E64,1)="u",'UNC - PV'!$O$2="usd",TH!O64&lt;&gt;""),"p1",IF(AND(C64="pv",D64='LC - PV'!$P$2,LEFT(E64,1)="l"),"p2",IF(AND(LEFT(C64,3)="EIB",D64='UNC - EIB'!$T$2,LEFT(E64,1)="u",'UNC - EIB'!$R$2="vnđ",TH!P64&lt;&gt;""),"e",IF(AND(LEFT(C64,3)="EIB",D64='UNC - EIB'!$T$2,LEFT(E64,1)="U",'UNC - EIB'!$R$2="usd",TH!O64&lt;&gt;""),"e1",IF(AND(LEFT(C64,3)="EIB",D64='LC - EIB'!$S$2,LEFT(E64,1)="l"),"e2",""))))))</f>
        <v/>
      </c>
    </row>
    <row r="65" spans="1:18" ht="18.75" customHeight="1">
      <c r="A65" s="55" t="str">
        <f>IF(AND(C65="pv",E65='UNC - PV'!$S$2,D65='UNC - PV'!$Q$2),"x",IF(AND(LEFT(C65,3)="eib",E65='UNC - EIB'!$V$2,D65='UNC - EIB'!$T$2),"x1",IF(AND(C65="pv",E65='LC - PV'!$R$2,D65='LC - PV'!$P$2),"x2",IF(AND(LEFT(C65,3)="eib",E65='LC - EIB'!$U$2,D65='LC - EIB'!$S$2),"x3",""))))</f>
        <v/>
      </c>
      <c r="B65" s="62">
        <f t="shared" si="0"/>
        <v>62</v>
      </c>
      <c r="C65" s="62" t="s">
        <v>141</v>
      </c>
      <c r="D65" s="67">
        <v>42648</v>
      </c>
      <c r="E65" s="94" t="s">
        <v>21</v>
      </c>
      <c r="F65" s="64" t="s">
        <v>326</v>
      </c>
      <c r="G65" s="64" t="s">
        <v>328</v>
      </c>
      <c r="H65" s="64" t="s">
        <v>327</v>
      </c>
      <c r="I65" s="94" t="s">
        <v>9</v>
      </c>
      <c r="J65" s="66"/>
      <c r="K65" s="67"/>
      <c r="L65" s="65"/>
      <c r="M65" s="65"/>
      <c r="N65" s="64" t="s">
        <v>329</v>
      </c>
      <c r="O65" s="68"/>
      <c r="P65" s="69">
        <v>873400</v>
      </c>
      <c r="Q65" s="92" t="s">
        <v>189</v>
      </c>
      <c r="R65" s="202" t="str">
        <f>IF(AND(C65="pv",D65='UNC - PV'!$Q$2,LEFT(E65,1)="u",'UNC - PV'!$O$2="vnđ",TH!P65&lt;&gt;""),"p",IF(AND(C65="pv",D65='UNC - PV'!$Q$2,LEFT(E65,1)="u",'UNC - PV'!$O$2="usd",TH!O65&lt;&gt;""),"p1",IF(AND(C65="pv",D65='LC - PV'!$P$2,LEFT(E65,1)="l"),"p2",IF(AND(LEFT(C65,3)="EIB",D65='UNC - EIB'!$T$2,LEFT(E65,1)="u",'UNC - EIB'!$R$2="vnđ",TH!P65&lt;&gt;""),"e",IF(AND(LEFT(C65,3)="EIB",D65='UNC - EIB'!$T$2,LEFT(E65,1)="U",'UNC - EIB'!$R$2="usd",TH!O65&lt;&gt;""),"e1",IF(AND(LEFT(C65,3)="EIB",D65='LC - EIB'!$S$2,LEFT(E65,1)="l"),"e2",""))))))</f>
        <v/>
      </c>
    </row>
    <row r="66" spans="1:18" s="200" customFormat="1" ht="18.75" customHeight="1">
      <c r="A66" s="55" t="str">
        <f>IF(AND(C66="pv",E66='UNC - PV'!$S$2,D66='UNC - PV'!$Q$2),"x",IF(AND(LEFT(C66,3)="eib",E66='UNC - EIB'!$V$2,D66='UNC - EIB'!$T$2),"x1",IF(AND(C66="pv",E66='LC - PV'!$R$2,D66='LC - PV'!$P$2),"x2",IF(AND(LEFT(C66,3)="eib",E66='LC - EIB'!$U$2,D66='LC - EIB'!$S$2),"x3",""))))</f>
        <v/>
      </c>
      <c r="B66" s="192">
        <f t="shared" ref="B66:B75" si="3">IF(C66&lt;&gt;"",ROW()-3,"")</f>
        <v>63</v>
      </c>
      <c r="C66" s="192" t="s">
        <v>141</v>
      </c>
      <c r="D66" s="193">
        <v>42650</v>
      </c>
      <c r="E66" s="192" t="s">
        <v>21</v>
      </c>
      <c r="F66" s="195" t="s">
        <v>326</v>
      </c>
      <c r="G66" s="195" t="s">
        <v>328</v>
      </c>
      <c r="H66" s="195" t="s">
        <v>327</v>
      </c>
      <c r="I66" s="192" t="s">
        <v>9</v>
      </c>
      <c r="J66" s="196"/>
      <c r="K66" s="193"/>
      <c r="L66" s="194"/>
      <c r="M66" s="194"/>
      <c r="N66" s="195" t="s">
        <v>330</v>
      </c>
      <c r="O66" s="197"/>
      <c r="P66" s="198">
        <f>13197880-P65</f>
        <v>12324480</v>
      </c>
      <c r="Q66" s="199" t="s">
        <v>189</v>
      </c>
      <c r="R66" s="202" t="str">
        <f>IF(AND(C66="pv",D66='UNC - PV'!$Q$2,LEFT(E66,1)="u",'UNC - PV'!$O$2="vnđ",TH!P66&lt;&gt;""),"p",IF(AND(C66="pv",D66='UNC - PV'!$Q$2,LEFT(E66,1)="u",'UNC - PV'!$O$2="usd",TH!O66&lt;&gt;""),"p1",IF(AND(C66="pv",D66='LC - PV'!$P$2,LEFT(E66,1)="l"),"p2",IF(AND(LEFT(C66,3)="EIB",D66='UNC - EIB'!$T$2,LEFT(E66,1)="u",'UNC - EIB'!$R$2="vnđ",TH!P66&lt;&gt;""),"e",IF(AND(LEFT(C66,3)="EIB",D66='UNC - EIB'!$T$2,LEFT(E66,1)="U",'UNC - EIB'!$R$2="usd",TH!O66&lt;&gt;""),"e1",IF(AND(LEFT(C66,3)="EIB",D66='LC - EIB'!$S$2,LEFT(E66,1)="l"),"e2",""))))))</f>
        <v/>
      </c>
    </row>
    <row r="67" spans="1:18" s="200" customFormat="1" ht="18.75" customHeight="1">
      <c r="A67" s="55" t="str">
        <f>IF(AND(C67="pv",E67='UNC - PV'!$S$2,D67='UNC - PV'!$Q$2),"x",IF(AND(LEFT(C67,3)="eib",E67='UNC - EIB'!$V$2,D67='UNC - EIB'!$T$2),"x1",IF(AND(C67="pv",E67='LC - PV'!$R$2,D67='LC - PV'!$P$2),"x2",IF(AND(LEFT(C67,3)="eib",E67='LC - EIB'!$U$2,D67='LC - EIB'!$S$2),"x3",""))))</f>
        <v/>
      </c>
      <c r="B67" s="192">
        <f t="shared" si="3"/>
        <v>64</v>
      </c>
      <c r="C67" s="192" t="s">
        <v>141</v>
      </c>
      <c r="D67" s="193">
        <v>42650</v>
      </c>
      <c r="E67" s="192" t="s">
        <v>22</v>
      </c>
      <c r="F67" s="195" t="s">
        <v>331</v>
      </c>
      <c r="G67" s="195" t="s">
        <v>332</v>
      </c>
      <c r="H67" s="195" t="s">
        <v>333</v>
      </c>
      <c r="I67" s="192" t="s">
        <v>9</v>
      </c>
      <c r="J67" s="196"/>
      <c r="K67" s="193"/>
      <c r="L67" s="194"/>
      <c r="M67" s="194"/>
      <c r="N67" s="195" t="s">
        <v>334</v>
      </c>
      <c r="O67" s="197"/>
      <c r="P67" s="198">
        <f>51480000+51700000</f>
        <v>103180000</v>
      </c>
      <c r="Q67" s="199" t="s">
        <v>189</v>
      </c>
      <c r="R67" s="202" t="str">
        <f>IF(AND(C67="pv",D67='UNC - PV'!$Q$2,LEFT(E67,1)="u",'UNC - PV'!$O$2="vnđ",TH!P67&lt;&gt;""),"p",IF(AND(C67="pv",D67='UNC - PV'!$Q$2,LEFT(E67,1)="u",'UNC - PV'!$O$2="usd",TH!O67&lt;&gt;""),"p1",IF(AND(C67="pv",D67='LC - PV'!$P$2,LEFT(E67,1)="l"),"p2",IF(AND(LEFT(C67,3)="EIB",D67='UNC - EIB'!$T$2,LEFT(E67,1)="u",'UNC - EIB'!$R$2="vnđ",TH!P67&lt;&gt;""),"e",IF(AND(LEFT(C67,3)="EIB",D67='UNC - EIB'!$T$2,LEFT(E67,1)="U",'UNC - EIB'!$R$2="usd",TH!O67&lt;&gt;""),"e1",IF(AND(LEFT(C67,3)="EIB",D67='LC - EIB'!$S$2,LEFT(E67,1)="l"),"e2",""))))))</f>
        <v/>
      </c>
    </row>
    <row r="68" spans="1:18" ht="18.75" customHeight="1">
      <c r="A68" s="55" t="str">
        <f>IF(AND(C68="pv",E68='UNC - PV'!$S$2,D68='UNC - PV'!$Q$2),"x",IF(AND(LEFT(C68,3)="eib",E68='UNC - EIB'!$V$2,D68='UNC - EIB'!$T$2),"x1",IF(AND(C68="pv",E68='LC - PV'!$R$2,D68='LC - PV'!$P$2),"x2",IF(AND(LEFT(C68,3)="eib",E68='LC - EIB'!$U$2,D68='LC - EIB'!$S$2),"x3",""))))</f>
        <v/>
      </c>
      <c r="B68" s="62">
        <f t="shared" si="3"/>
        <v>65</v>
      </c>
      <c r="C68" s="192" t="s">
        <v>141</v>
      </c>
      <c r="D68" s="193">
        <v>42650</v>
      </c>
      <c r="E68" s="192" t="s">
        <v>23</v>
      </c>
      <c r="F68" s="64" t="s">
        <v>321</v>
      </c>
      <c r="G68" s="64" t="s">
        <v>322</v>
      </c>
      <c r="H68" s="64" t="s">
        <v>323</v>
      </c>
      <c r="I68" s="65" t="s">
        <v>324</v>
      </c>
      <c r="J68" s="66"/>
      <c r="K68" s="67"/>
      <c r="L68" s="65"/>
      <c r="M68" s="65"/>
      <c r="N68" s="64" t="s">
        <v>320</v>
      </c>
      <c r="O68" s="68"/>
      <c r="P68" s="69">
        <v>98056855</v>
      </c>
      <c r="Q68" s="199" t="s">
        <v>189</v>
      </c>
      <c r="R68" s="202" t="str">
        <f>IF(AND(C68="pv",D68='UNC - PV'!$Q$2,LEFT(E68,1)="u",'UNC - PV'!$O$2="vnđ",TH!P68&lt;&gt;""),"p",IF(AND(C68="pv",D68='UNC - PV'!$Q$2,LEFT(E68,1)="u",'UNC - PV'!$O$2="usd",TH!O68&lt;&gt;""),"p1",IF(AND(C68="pv",D68='LC - PV'!$P$2,LEFT(E68,1)="l"),"p2",IF(AND(LEFT(C68,3)="EIB",D68='UNC - EIB'!$T$2,LEFT(E68,1)="u",'UNC - EIB'!$R$2="vnđ",TH!P68&lt;&gt;""),"e",IF(AND(LEFT(C68,3)="EIB",D68='UNC - EIB'!$T$2,LEFT(E68,1)="U",'UNC - EIB'!$R$2="usd",TH!O68&lt;&gt;""),"e1",IF(AND(LEFT(C68,3)="EIB",D68='LC - EIB'!$S$2,LEFT(E68,1)="l"),"e2",""))))))</f>
        <v/>
      </c>
    </row>
    <row r="69" spans="1:18" ht="18.75" customHeight="1">
      <c r="A69" s="55" t="str">
        <f>IF(AND(C69="pv",E69='UNC - PV'!$S$2,D69='UNC - PV'!$Q$2),"x",IF(AND(LEFT(C69,3)="eib",E69='UNC - EIB'!$V$2,D69='UNC - EIB'!$T$2),"x1",IF(AND(C69="pv",E69='LC - PV'!$R$2,D69='LC - PV'!$P$2),"x2",IF(AND(LEFT(C69,3)="eib",E69='LC - EIB'!$U$2,D69='LC - EIB'!$S$2),"x3",""))))</f>
        <v/>
      </c>
      <c r="B69" s="62">
        <f t="shared" si="3"/>
        <v>66</v>
      </c>
      <c r="C69" s="192" t="s">
        <v>141</v>
      </c>
      <c r="D69" s="193">
        <v>42650</v>
      </c>
      <c r="E69" s="192" t="s">
        <v>24</v>
      </c>
      <c r="F69" s="195" t="s">
        <v>308</v>
      </c>
      <c r="G69" s="195" t="s">
        <v>309</v>
      </c>
      <c r="H69" s="195" t="s">
        <v>310</v>
      </c>
      <c r="I69" s="194" t="s">
        <v>9</v>
      </c>
      <c r="J69" s="196"/>
      <c r="K69" s="193"/>
      <c r="L69" s="194"/>
      <c r="M69" s="194"/>
      <c r="N69" s="195" t="s">
        <v>311</v>
      </c>
      <c r="O69" s="197"/>
      <c r="P69" s="198">
        <v>84566900</v>
      </c>
      <c r="Q69" s="199" t="s">
        <v>189</v>
      </c>
      <c r="R69" s="202" t="str">
        <f>IF(AND(C69="pv",D69='UNC - PV'!$Q$2,LEFT(E69,1)="u",'UNC - PV'!$O$2="vnđ",TH!P69&lt;&gt;""),"p",IF(AND(C69="pv",D69='UNC - PV'!$Q$2,LEFT(E69,1)="u",'UNC - PV'!$O$2="usd",TH!O69&lt;&gt;""),"p1",IF(AND(C69="pv",D69='LC - PV'!$P$2,LEFT(E69,1)="l"),"p2",IF(AND(LEFT(C69,3)="EIB",D69='UNC - EIB'!$T$2,LEFT(E69,1)="u",'UNC - EIB'!$R$2="vnđ",TH!P69&lt;&gt;""),"e",IF(AND(LEFT(C69,3)="EIB",D69='UNC - EIB'!$T$2,LEFT(E69,1)="U",'UNC - EIB'!$R$2="usd",TH!O69&lt;&gt;""),"e1",IF(AND(LEFT(C69,3)="EIB",D69='LC - EIB'!$S$2,LEFT(E69,1)="l"),"e2",""))))))</f>
        <v/>
      </c>
    </row>
    <row r="70" spans="1:18" ht="18.75" customHeight="1">
      <c r="A70" s="55" t="str">
        <f>IF(AND(C70="pv",E70='UNC - PV'!$S$2,D70='UNC - PV'!$Q$2),"x",IF(AND(LEFT(C70,3)="eib",E70='UNC - EIB'!$V$2,D70='UNC - EIB'!$T$2),"x1",IF(AND(C70="pv",E70='LC - PV'!$R$2,D70='LC - PV'!$P$2),"x2",IF(AND(LEFT(C70,3)="eib",E70='LC - EIB'!$U$2,D70='LC - EIB'!$S$2),"x3",""))))</f>
        <v/>
      </c>
      <c r="B70" s="62">
        <f t="shared" ref="B70" si="4">IF(C70&lt;&gt;"",ROW()-3,"")</f>
        <v>67</v>
      </c>
      <c r="C70" s="192" t="s">
        <v>141</v>
      </c>
      <c r="D70" s="193">
        <v>42650</v>
      </c>
      <c r="E70" s="192" t="s">
        <v>82</v>
      </c>
      <c r="F70" s="96" t="s">
        <v>139</v>
      </c>
      <c r="G70" s="96" t="s">
        <v>138</v>
      </c>
      <c r="H70" s="96" t="s">
        <v>137</v>
      </c>
      <c r="I70" s="94" t="s">
        <v>9</v>
      </c>
      <c r="J70" s="97"/>
      <c r="K70" s="98"/>
      <c r="L70" s="99"/>
      <c r="M70" s="99"/>
      <c r="N70" s="96" t="s">
        <v>140</v>
      </c>
      <c r="O70" s="100"/>
      <c r="P70" s="101">
        <v>37480000</v>
      </c>
      <c r="Q70" s="199" t="s">
        <v>189</v>
      </c>
      <c r="R70" s="202" t="str">
        <f>IF(AND(C70="pv",D70='UNC - PV'!$Q$2,LEFT(E70,1)="u",'UNC - PV'!$O$2="vnđ",TH!P70&lt;&gt;""),"p",IF(AND(C70="pv",D70='UNC - PV'!$Q$2,LEFT(E70,1)="u",'UNC - PV'!$O$2="usd",TH!O70&lt;&gt;""),"p1",IF(AND(C70="pv",D70='LC - PV'!$P$2,LEFT(E70,1)="l"),"p2",IF(AND(LEFT(C70,3)="EIB",D70='UNC - EIB'!$T$2,LEFT(E70,1)="u",'UNC - EIB'!$R$2="vnđ",TH!P70&lt;&gt;""),"e",IF(AND(LEFT(C70,3)="EIB",D70='UNC - EIB'!$T$2,LEFT(E70,1)="U",'UNC - EIB'!$R$2="usd",TH!O70&lt;&gt;""),"e1",IF(AND(LEFT(C70,3)="EIB",D70='LC - EIB'!$S$2,LEFT(E70,1)="l"),"e2",""))))))</f>
        <v/>
      </c>
    </row>
    <row r="71" spans="1:18" ht="18.75" customHeight="1">
      <c r="A71" s="55" t="str">
        <f>IF(AND(C71="pv",E71='UNC - PV'!$S$2,D71='UNC - PV'!$Q$2),"x",IF(AND(LEFT(C71,3)="eib",E71='UNC - EIB'!$V$2,D71='UNC - EIB'!$T$2),"x1",IF(AND(C71="pv",E71='LC - PV'!$R$2,D71='LC - PV'!$P$2),"x2",IF(AND(LEFT(C71,3)="eib",E71='LC - EIB'!$U$2,D71='LC - EIB'!$S$2),"x3",""))))</f>
        <v/>
      </c>
      <c r="B71" s="62">
        <f t="shared" ref="B71" si="5">IF(C71&lt;&gt;"",ROW()-3,"")</f>
        <v>68</v>
      </c>
      <c r="C71" s="192" t="s">
        <v>141</v>
      </c>
      <c r="D71" s="193">
        <v>42650</v>
      </c>
      <c r="E71" s="192" t="s">
        <v>83</v>
      </c>
      <c r="F71" s="96" t="s">
        <v>128</v>
      </c>
      <c r="G71" s="96" t="s">
        <v>296</v>
      </c>
      <c r="H71" s="96" t="s">
        <v>126</v>
      </c>
      <c r="I71" s="94" t="s">
        <v>9</v>
      </c>
      <c r="J71" s="66"/>
      <c r="K71" s="67"/>
      <c r="L71" s="65"/>
      <c r="M71" s="65"/>
      <c r="N71" s="64" t="s">
        <v>166</v>
      </c>
      <c r="O71" s="68">
        <v>94600</v>
      </c>
      <c r="P71" s="101"/>
      <c r="Q71" s="199" t="s">
        <v>189</v>
      </c>
      <c r="R71" s="202" t="str">
        <f>IF(AND(C71="pv",D71='UNC - PV'!$Q$2,LEFT(E71,1)="u",'UNC - PV'!$O$2="vnđ",TH!P71&lt;&gt;""),"p",IF(AND(C71="pv",D71='UNC - PV'!$Q$2,LEFT(E71,1)="u",'UNC - PV'!$O$2="usd",TH!O71&lt;&gt;""),"p1",IF(AND(C71="pv",D71='LC - PV'!$P$2,LEFT(E71,1)="l"),"p2",IF(AND(LEFT(C71,3)="EIB",D71='UNC - EIB'!$T$2,LEFT(E71,1)="u",'UNC - EIB'!$R$2="vnđ",TH!P71&lt;&gt;""),"e",IF(AND(LEFT(C71,3)="EIB",D71='UNC - EIB'!$T$2,LEFT(E71,1)="U",'UNC - EIB'!$R$2="usd",TH!O71&lt;&gt;""),"e1",IF(AND(LEFT(C71,3)="EIB",D71='LC - EIB'!$S$2,LEFT(E71,1)="l"),"e2",""))))))</f>
        <v/>
      </c>
    </row>
    <row r="72" spans="1:18" ht="18.75" customHeight="1">
      <c r="A72" s="55" t="str">
        <f>IF(AND(C72="pv",E72='UNC - PV'!$S$2,D72='UNC - PV'!$Q$2),"x",IF(AND(LEFT(C72,3)="eib",E72='UNC - EIB'!$V$2,D72='UNC - EIB'!$T$2),"x1",IF(AND(C72="pv",E72='LC - PV'!$R$2,D72='LC - PV'!$P$2),"x2",IF(AND(LEFT(C72,3)="eib",E72='LC - EIB'!$U$2,D72='LC - EIB'!$S$2),"x3",""))))</f>
        <v/>
      </c>
      <c r="B72" s="62">
        <f t="shared" si="3"/>
        <v>69</v>
      </c>
      <c r="C72" s="192" t="s">
        <v>102</v>
      </c>
      <c r="D72" s="193">
        <v>42650</v>
      </c>
      <c r="E72" s="192" t="s">
        <v>21</v>
      </c>
      <c r="F72" s="64" t="s">
        <v>185</v>
      </c>
      <c r="G72" s="64" t="s">
        <v>191</v>
      </c>
      <c r="H72" s="64" t="s">
        <v>186</v>
      </c>
      <c r="I72" s="94" t="s">
        <v>9</v>
      </c>
      <c r="J72" s="66"/>
      <c r="K72" s="67"/>
      <c r="L72" s="65"/>
      <c r="M72" s="65"/>
      <c r="N72" s="64" t="s">
        <v>187</v>
      </c>
      <c r="O72" s="68"/>
      <c r="P72" s="69">
        <v>23500000</v>
      </c>
      <c r="Q72" s="102" t="s">
        <v>190</v>
      </c>
      <c r="R72" s="202" t="str">
        <f>IF(AND(C72="pv",D72='UNC - PV'!$Q$2,LEFT(E72,1)="u",'UNC - PV'!$O$2="vnđ",TH!P72&lt;&gt;""),"p",IF(AND(C72="pv",D72='UNC - PV'!$Q$2,LEFT(E72,1)="u",'UNC - PV'!$O$2="usd",TH!O72&lt;&gt;""),"p1",IF(AND(C72="pv",D72='LC - PV'!$P$2,LEFT(E72,1)="l"),"p2",IF(AND(LEFT(C72,3)="EIB",D72='UNC - EIB'!$T$2,LEFT(E72,1)="u",'UNC - EIB'!$R$2="vnđ",TH!P72&lt;&gt;""),"e",IF(AND(LEFT(C72,3)="EIB",D72='UNC - EIB'!$T$2,LEFT(E72,1)="U",'UNC - EIB'!$R$2="usd",TH!O72&lt;&gt;""),"e1",IF(AND(LEFT(C72,3)="EIB",D72='LC - EIB'!$S$2,LEFT(E72,1)="l"),"e2",""))))))</f>
        <v/>
      </c>
    </row>
    <row r="73" spans="1:18" ht="18.75" customHeight="1">
      <c r="A73" s="55" t="str">
        <f>IF(AND(C73="pv",E73='UNC - PV'!$S$2,D73='UNC - PV'!$Q$2),"x",IF(AND(LEFT(C73,3)="eib",E73='UNC - EIB'!$V$2,D73='UNC - EIB'!$T$2),"x1",IF(AND(C73="pv",E73='LC - PV'!$R$2,D73='LC - PV'!$P$2),"x2",IF(AND(LEFT(C73,3)="eib",E73='LC - EIB'!$U$2,D73='LC - EIB'!$S$2),"x3",""))))</f>
        <v/>
      </c>
      <c r="B73" s="62">
        <f t="shared" si="3"/>
        <v>70</v>
      </c>
      <c r="C73" s="192" t="s">
        <v>102</v>
      </c>
      <c r="D73" s="193">
        <v>42650</v>
      </c>
      <c r="E73" s="192" t="s">
        <v>22</v>
      </c>
      <c r="F73" s="64" t="s">
        <v>207</v>
      </c>
      <c r="G73" s="64" t="s">
        <v>208</v>
      </c>
      <c r="H73" s="64" t="s">
        <v>209</v>
      </c>
      <c r="I73" s="99" t="s">
        <v>156</v>
      </c>
      <c r="J73" s="66"/>
      <c r="K73" s="67"/>
      <c r="L73" s="65"/>
      <c r="M73" s="65"/>
      <c r="N73" s="64" t="s">
        <v>210</v>
      </c>
      <c r="O73" s="68"/>
      <c r="P73" s="69">
        <v>200000000</v>
      </c>
      <c r="Q73" s="102" t="s">
        <v>190</v>
      </c>
      <c r="R73" s="202" t="str">
        <f>IF(AND(C73="pv",D73='UNC - PV'!$Q$2,LEFT(E73,1)="u",'UNC - PV'!$O$2="vnđ",TH!P73&lt;&gt;""),"p",IF(AND(C73="pv",D73='UNC - PV'!$Q$2,LEFT(E73,1)="u",'UNC - PV'!$O$2="usd",TH!O73&lt;&gt;""),"p1",IF(AND(C73="pv",D73='LC - PV'!$P$2,LEFT(E73,1)="l"),"p2",IF(AND(LEFT(C73,3)="EIB",D73='UNC - EIB'!$T$2,LEFT(E73,1)="u",'UNC - EIB'!$R$2="vnđ",TH!P73&lt;&gt;""),"e",IF(AND(LEFT(C73,3)="EIB",D73='UNC - EIB'!$T$2,LEFT(E73,1)="U",'UNC - EIB'!$R$2="usd",TH!O73&lt;&gt;""),"e1",IF(AND(LEFT(C73,3)="EIB",D73='LC - EIB'!$S$2,LEFT(E73,1)="l"),"e2",""))))))</f>
        <v/>
      </c>
    </row>
    <row r="74" spans="1:18" ht="18.75" customHeight="1">
      <c r="A74" s="55" t="str">
        <f>IF(AND(C74="pv",E74='UNC - PV'!$S$2,D74='UNC - PV'!$Q$2),"x",IF(AND(LEFT(C74,3)="eib",E74='UNC - EIB'!$V$2,D74='UNC - EIB'!$T$2),"x1",IF(AND(C74="pv",E74='LC - PV'!$R$2,D74='LC - PV'!$P$2),"x2",IF(AND(LEFT(C74,3)="eib",E74='LC - EIB'!$U$2,D74='LC - EIB'!$S$2),"x3",""))))</f>
        <v/>
      </c>
      <c r="B74" s="62">
        <f t="shared" si="3"/>
        <v>71</v>
      </c>
      <c r="C74" s="192" t="s">
        <v>102</v>
      </c>
      <c r="D74" s="193">
        <v>42650</v>
      </c>
      <c r="E74" s="192" t="s">
        <v>23</v>
      </c>
      <c r="F74" s="64" t="s">
        <v>335</v>
      </c>
      <c r="G74" s="64" t="s">
        <v>336</v>
      </c>
      <c r="H74" s="64" t="s">
        <v>337</v>
      </c>
      <c r="I74" s="94" t="s">
        <v>9</v>
      </c>
      <c r="J74" s="66"/>
      <c r="K74" s="67"/>
      <c r="L74" s="65"/>
      <c r="M74" s="65"/>
      <c r="N74" s="64" t="s">
        <v>140</v>
      </c>
      <c r="O74" s="68"/>
      <c r="P74" s="69">
        <v>200000000</v>
      </c>
      <c r="Q74" s="102" t="s">
        <v>190</v>
      </c>
      <c r="R74" s="202" t="str">
        <f>IF(AND(C74="pv",D74='UNC - PV'!$Q$2,LEFT(E74,1)="u",'UNC - PV'!$O$2="vnđ",TH!P74&lt;&gt;""),"p",IF(AND(C74="pv",D74='UNC - PV'!$Q$2,LEFT(E74,1)="u",'UNC - PV'!$O$2="usd",TH!O74&lt;&gt;""),"p1",IF(AND(C74="pv",D74='LC - PV'!$P$2,LEFT(E74,1)="l"),"p2",IF(AND(LEFT(C74,3)="EIB",D74='UNC - EIB'!$T$2,LEFT(E74,1)="u",'UNC - EIB'!$R$2="vnđ",TH!P74&lt;&gt;""),"e",IF(AND(LEFT(C74,3)="EIB",D74='UNC - EIB'!$T$2,LEFT(E74,1)="U",'UNC - EIB'!$R$2="usd",TH!O74&lt;&gt;""),"e1",IF(AND(LEFT(C74,3)="EIB",D74='LC - EIB'!$S$2,LEFT(E74,1)="l"),"e2",""))))))</f>
        <v/>
      </c>
    </row>
    <row r="75" spans="1:18" ht="18.75" customHeight="1">
      <c r="A75" s="55" t="str">
        <f>IF(AND(C75="pv",E75='UNC - PV'!$S$2,D75='UNC - PV'!$Q$2),"x",IF(AND(LEFT(C75,3)="eib",E75='UNC - EIB'!$V$2,D75='UNC - EIB'!$T$2),"x1",IF(AND(C75="pv",E75='LC - PV'!$R$2,D75='LC - PV'!$P$2),"x2",IF(AND(LEFT(C75,3)="eib",E75='LC - EIB'!$U$2,D75='LC - EIB'!$S$2),"x3",""))))</f>
        <v/>
      </c>
      <c r="B75" s="62">
        <f t="shared" si="3"/>
        <v>72</v>
      </c>
      <c r="C75" s="192" t="s">
        <v>102</v>
      </c>
      <c r="D75" s="193">
        <v>42650</v>
      </c>
      <c r="E75" s="192" t="s">
        <v>24</v>
      </c>
      <c r="F75" s="64" t="s">
        <v>338</v>
      </c>
      <c r="G75" s="64" t="s">
        <v>339</v>
      </c>
      <c r="H75" s="64" t="s">
        <v>340</v>
      </c>
      <c r="I75" s="94" t="s">
        <v>9</v>
      </c>
      <c r="J75" s="66"/>
      <c r="K75" s="67"/>
      <c r="L75" s="65"/>
      <c r="M75" s="65"/>
      <c r="N75" s="64" t="s">
        <v>341</v>
      </c>
      <c r="O75" s="68"/>
      <c r="P75" s="69">
        <v>199632000</v>
      </c>
      <c r="Q75" s="102" t="s">
        <v>190</v>
      </c>
      <c r="R75" s="202" t="str">
        <f>IF(AND(C75="pv",D75='UNC - PV'!$Q$2,LEFT(E75,1)="u",'UNC - PV'!$O$2="vnđ",TH!P75&lt;&gt;""),"p",IF(AND(C75="pv",D75='UNC - PV'!$Q$2,LEFT(E75,1)="u",'UNC - PV'!$O$2="usd",TH!O75&lt;&gt;""),"p1",IF(AND(C75="pv",D75='LC - PV'!$P$2,LEFT(E75,1)="l"),"p2",IF(AND(LEFT(C75,3)="EIB",D75='UNC - EIB'!$T$2,LEFT(E75,1)="u",'UNC - EIB'!$R$2="vnđ",TH!P75&lt;&gt;""),"e",IF(AND(LEFT(C75,3)="EIB",D75='UNC - EIB'!$T$2,LEFT(E75,1)="U",'UNC - EIB'!$R$2="usd",TH!O75&lt;&gt;""),"e1",IF(AND(LEFT(C75,3)="EIB",D75='LC - EIB'!$S$2,LEFT(E75,1)="l"),"e2",""))))))</f>
        <v/>
      </c>
    </row>
    <row r="76" spans="1:18" ht="18.75" customHeight="1">
      <c r="A76" s="55" t="str">
        <f>IF(AND(C76="pv",E76='UNC - PV'!$S$2,D76='UNC - PV'!$Q$2),"x",IF(AND(LEFT(C76,3)="eib",E76='UNC - EIB'!$V$2,D76='UNC - EIB'!$T$2),"x1",IF(AND(C76="pv",E76='LC - PV'!$R$2,D76='LC - PV'!$P$2),"x2",IF(AND(LEFT(C76,3)="eib",E76='LC - EIB'!$U$2,D76='LC - EIB'!$S$2),"x3",""))))</f>
        <v/>
      </c>
      <c r="B76" s="62">
        <f t="shared" si="0"/>
        <v>73</v>
      </c>
      <c r="C76" s="192" t="s">
        <v>102</v>
      </c>
      <c r="D76" s="193">
        <v>42650</v>
      </c>
      <c r="E76" s="192" t="s">
        <v>82</v>
      </c>
      <c r="F76" s="64" t="s">
        <v>342</v>
      </c>
      <c r="G76" s="64" t="s">
        <v>343</v>
      </c>
      <c r="H76" s="64" t="s">
        <v>344</v>
      </c>
      <c r="I76" s="94" t="s">
        <v>9</v>
      </c>
      <c r="J76" s="66"/>
      <c r="K76" s="67"/>
      <c r="L76" s="65"/>
      <c r="M76" s="65"/>
      <c r="N76" s="64" t="s">
        <v>345</v>
      </c>
      <c r="O76" s="68"/>
      <c r="P76" s="69">
        <v>94100000</v>
      </c>
      <c r="Q76" s="102" t="s">
        <v>190</v>
      </c>
      <c r="R76" s="202" t="str">
        <f>IF(AND(C76="pv",D76='UNC - PV'!$Q$2,LEFT(E76,1)="u",'UNC - PV'!$O$2="vnđ",TH!P76&lt;&gt;""),"p",IF(AND(C76="pv",D76='UNC - PV'!$Q$2,LEFT(E76,1)="u",'UNC - PV'!$O$2="usd",TH!O76&lt;&gt;""),"p1",IF(AND(C76="pv",D76='LC - PV'!$P$2,LEFT(E76,1)="l"),"p2",IF(AND(LEFT(C76,3)="EIB",D76='UNC - EIB'!$T$2,LEFT(E76,1)="u",'UNC - EIB'!$R$2="vnđ",TH!P76&lt;&gt;""),"e",IF(AND(LEFT(C76,3)="EIB",D76='UNC - EIB'!$T$2,LEFT(E76,1)="U",'UNC - EIB'!$R$2="usd",TH!O76&lt;&gt;""),"e1",IF(AND(LEFT(C76,3)="EIB",D76='LC - EIB'!$S$2,LEFT(E76,1)="l"),"e2",""))))))</f>
        <v/>
      </c>
    </row>
    <row r="77" spans="1:18" ht="18.75" customHeight="1">
      <c r="A77" s="55" t="str">
        <f>IF(AND(C77="pv",E77='UNC - PV'!$S$2,D77='UNC - PV'!$Q$2),"x",IF(AND(LEFT(C77,3)="eib",E77='UNC - EIB'!$V$2,D77='UNC - EIB'!$T$2),"x1",IF(AND(C77="pv",E77='LC - PV'!$R$2,D77='LC - PV'!$P$2),"x2",IF(AND(LEFT(C77,3)="eib",E77='LC - EIB'!$U$2,D77='LC - EIB'!$S$2),"x3",""))))</f>
        <v/>
      </c>
      <c r="B77" s="62">
        <f t="shared" si="0"/>
        <v>74</v>
      </c>
      <c r="C77" s="192" t="s">
        <v>102</v>
      </c>
      <c r="D77" s="193">
        <v>42650</v>
      </c>
      <c r="E77" s="192" t="s">
        <v>83</v>
      </c>
      <c r="F77" s="64" t="s">
        <v>346</v>
      </c>
      <c r="G77" s="64" t="s">
        <v>347</v>
      </c>
      <c r="H77" s="64" t="s">
        <v>348</v>
      </c>
      <c r="I77" s="99" t="s">
        <v>156</v>
      </c>
      <c r="J77" s="66"/>
      <c r="K77" s="67"/>
      <c r="L77" s="65"/>
      <c r="M77" s="65"/>
      <c r="N77" s="64" t="s">
        <v>349</v>
      </c>
      <c r="O77" s="68"/>
      <c r="P77" s="69">
        <v>25850000</v>
      </c>
      <c r="Q77" s="102" t="s">
        <v>190</v>
      </c>
      <c r="R77" s="202" t="str">
        <f>IF(AND(C77="pv",D77='UNC - PV'!$Q$2,LEFT(E77,1)="u",'UNC - PV'!$O$2="vnđ",TH!P77&lt;&gt;""),"p",IF(AND(C77="pv",D77='UNC - PV'!$Q$2,LEFT(E77,1)="u",'UNC - PV'!$O$2="usd",TH!O77&lt;&gt;""),"p1",IF(AND(C77="pv",D77='LC - PV'!$P$2,LEFT(E77,1)="l"),"p2",IF(AND(LEFT(C77,3)="EIB",D77='UNC - EIB'!$T$2,LEFT(E77,1)="u",'UNC - EIB'!$R$2="vnđ",TH!P77&lt;&gt;""),"e",IF(AND(LEFT(C77,3)="EIB",D77='UNC - EIB'!$T$2,LEFT(E77,1)="U",'UNC - EIB'!$R$2="usd",TH!O77&lt;&gt;""),"e1",IF(AND(LEFT(C77,3)="EIB",D77='LC - EIB'!$S$2,LEFT(E77,1)="l"),"e2",""))))))</f>
        <v/>
      </c>
    </row>
    <row r="78" spans="1:18" ht="18.75" customHeight="1">
      <c r="A78" s="55" t="str">
        <f>IF(AND(C78="pv",E78='UNC - PV'!$S$2,D78='UNC - PV'!$Q$2),"x",IF(AND(LEFT(C78,3)="eib",E78='UNC - EIB'!$V$2,D78='UNC - EIB'!$T$2),"x1",IF(AND(C78="pv",E78='LC - PV'!$R$2,D78='LC - PV'!$P$2),"x2",IF(AND(LEFT(C78,3)="eib",E78='LC - EIB'!$U$2,D78='LC - EIB'!$S$2),"x3",""))))</f>
        <v/>
      </c>
      <c r="B78" s="62">
        <f t="shared" si="0"/>
        <v>75</v>
      </c>
      <c r="C78" s="192" t="s">
        <v>102</v>
      </c>
      <c r="D78" s="193">
        <v>42650</v>
      </c>
      <c r="E78" s="192" t="s">
        <v>167</v>
      </c>
      <c r="F78" s="64" t="s">
        <v>350</v>
      </c>
      <c r="G78" s="64" t="s">
        <v>351</v>
      </c>
      <c r="H78" s="64" t="s">
        <v>352</v>
      </c>
      <c r="I78" s="99" t="s">
        <v>156</v>
      </c>
      <c r="J78" s="66"/>
      <c r="K78" s="67"/>
      <c r="L78" s="65"/>
      <c r="M78" s="65"/>
      <c r="N78" s="64" t="s">
        <v>354</v>
      </c>
      <c r="O78" s="68"/>
      <c r="P78" s="69">
        <v>100000000</v>
      </c>
      <c r="Q78" s="102" t="s">
        <v>190</v>
      </c>
      <c r="R78" s="202" t="str">
        <f>IF(AND(C78="pv",D78='UNC - PV'!$Q$2,LEFT(E78,1)="u",'UNC - PV'!$O$2="vnđ",TH!P78&lt;&gt;""),"p",IF(AND(C78="pv",D78='UNC - PV'!$Q$2,LEFT(E78,1)="u",'UNC - PV'!$O$2="usd",TH!O78&lt;&gt;""),"p1",IF(AND(C78="pv",D78='LC - PV'!$P$2,LEFT(E78,1)="l"),"p2",IF(AND(LEFT(C78,3)="EIB",D78='UNC - EIB'!$T$2,LEFT(E78,1)="u",'UNC - EIB'!$R$2="vnđ",TH!P78&lt;&gt;""),"e",IF(AND(LEFT(C78,3)="EIB",D78='UNC - EIB'!$T$2,LEFT(E78,1)="U",'UNC - EIB'!$R$2="usd",TH!O78&lt;&gt;""),"e1",IF(AND(LEFT(C78,3)="EIB",D78='LC - EIB'!$S$2,LEFT(E78,1)="l"),"e2",""))))))</f>
        <v/>
      </c>
    </row>
    <row r="79" spans="1:18" ht="18.75" customHeight="1">
      <c r="A79" s="55" t="str">
        <f>IF(AND(C79="pv",E79='UNC - PV'!$S$2,D79='UNC - PV'!$Q$2),"x",IF(AND(LEFT(C79,3)="eib",E79='UNC - EIB'!$V$2,D79='UNC - EIB'!$T$2),"x1",IF(AND(C79="pv",E79='LC - PV'!$R$2,D79='LC - PV'!$P$2),"x2",IF(AND(LEFT(C79,3)="eib",E79='LC - EIB'!$U$2,D79='LC - EIB'!$S$2),"x3",""))))</f>
        <v/>
      </c>
      <c r="B79" s="62">
        <f t="shared" si="0"/>
        <v>76</v>
      </c>
      <c r="C79" s="62" t="s">
        <v>124</v>
      </c>
      <c r="D79" s="193">
        <v>42651</v>
      </c>
      <c r="E79" s="192" t="s">
        <v>21</v>
      </c>
      <c r="F79" s="96" t="s">
        <v>128</v>
      </c>
      <c r="G79" s="96" t="s">
        <v>127</v>
      </c>
      <c r="H79" s="96" t="s">
        <v>126</v>
      </c>
      <c r="I79" s="94" t="s">
        <v>9</v>
      </c>
      <c r="J79" s="97"/>
      <c r="K79" s="98"/>
      <c r="L79" s="99"/>
      <c r="M79" s="99"/>
      <c r="N79" s="96" t="s">
        <v>125</v>
      </c>
      <c r="O79" s="100">
        <v>94500</v>
      </c>
      <c r="P79" s="69"/>
      <c r="Q79" s="199" t="s">
        <v>189</v>
      </c>
      <c r="R79" s="202" t="str">
        <f>IF(AND(C79="pv",D79='UNC - PV'!$Q$2,LEFT(E79,1)="u",'UNC - PV'!$O$2="vnđ",TH!P79&lt;&gt;""),"p",IF(AND(C79="pv",D79='UNC - PV'!$Q$2,LEFT(E79,1)="u",'UNC - PV'!$O$2="usd",TH!O79&lt;&gt;""),"p1",IF(AND(C79="pv",D79='LC - PV'!$P$2,LEFT(E79,1)="l"),"p2",IF(AND(LEFT(C79,3)="EIB",D79='UNC - EIB'!$T$2,LEFT(E79,1)="u",'UNC - EIB'!$R$2="vnđ",TH!P79&lt;&gt;""),"e",IF(AND(LEFT(C79,3)="EIB",D79='UNC - EIB'!$T$2,LEFT(E79,1)="U",'UNC - EIB'!$R$2="usd",TH!O79&lt;&gt;""),"e1",IF(AND(LEFT(C79,3)="EIB",D79='LC - EIB'!$S$2,LEFT(E79,1)="l"),"e2",""))))))</f>
        <v/>
      </c>
    </row>
    <row r="80" spans="1:18" ht="18.75" customHeight="1">
      <c r="A80" s="55" t="str">
        <f>IF(AND(C80="pv",E80='UNC - PV'!$S$2,D80='UNC - PV'!$Q$2),"x",IF(AND(LEFT(C80,3)="eib",E80='UNC - EIB'!$V$2,D80='UNC - EIB'!$T$2),"x1",IF(AND(C80="pv",E80='LC - PV'!$R$2,D80='LC - PV'!$P$2),"x2",IF(AND(LEFT(C80,3)="eib",E80='LC - EIB'!$U$2,D80='LC - EIB'!$S$2),"x3",""))))</f>
        <v/>
      </c>
      <c r="B80" s="62">
        <f t="shared" ref="B80:B83" si="6">IF(C80&lt;&gt;"",ROW()-3,"")</f>
        <v>77</v>
      </c>
      <c r="C80" s="62" t="s">
        <v>102</v>
      </c>
      <c r="D80" s="67">
        <v>42654</v>
      </c>
      <c r="E80" s="192" t="s">
        <v>21</v>
      </c>
      <c r="F80" s="64" t="s">
        <v>346</v>
      </c>
      <c r="G80" s="64" t="s">
        <v>347</v>
      </c>
      <c r="H80" s="64" t="s">
        <v>348</v>
      </c>
      <c r="I80" s="99" t="s">
        <v>156</v>
      </c>
      <c r="J80" s="66"/>
      <c r="K80" s="67"/>
      <c r="L80" s="65"/>
      <c r="M80" s="65"/>
      <c r="N80" s="64" t="s">
        <v>349</v>
      </c>
      <c r="O80" s="68"/>
      <c r="P80" s="69">
        <v>49232000</v>
      </c>
      <c r="Q80" s="102" t="s">
        <v>190</v>
      </c>
      <c r="R80" s="202" t="str">
        <f>IF(AND(C80="pv",D80='UNC - PV'!$Q$2,LEFT(E80,1)="u",'UNC - PV'!$O$2="vnđ",TH!P80&lt;&gt;""),"p",IF(AND(C80="pv",D80='UNC - PV'!$Q$2,LEFT(E80,1)="u",'UNC - PV'!$O$2="usd",TH!O80&lt;&gt;""),"p1",IF(AND(C80="pv",D80='LC - PV'!$P$2,LEFT(E80,1)="l"),"p2",IF(AND(LEFT(C80,3)="EIB",D80='UNC - EIB'!$T$2,LEFT(E80,1)="u",'UNC - EIB'!$R$2="vnđ",TH!P80&lt;&gt;""),"e",IF(AND(LEFT(C80,3)="EIB",D80='UNC - EIB'!$T$2,LEFT(E80,1)="U",'UNC - EIB'!$R$2="usd",TH!O80&lt;&gt;""),"e1",IF(AND(LEFT(C80,3)="EIB",D80='LC - EIB'!$S$2,LEFT(E80,1)="l"),"e2",""))))))</f>
        <v/>
      </c>
    </row>
    <row r="81" spans="1:18" ht="18.75" customHeight="1">
      <c r="A81" s="55" t="str">
        <f>IF(AND(C81="pv",E81='UNC - PV'!$S$2,D81='UNC - PV'!$Q$2),"x",IF(AND(LEFT(C81,3)="eib",E81='UNC - EIB'!$V$2,D81='UNC - EIB'!$T$2),"x1",IF(AND(C81="pv",E81='LC - PV'!$R$2,D81='LC - PV'!$P$2),"x2",IF(AND(LEFT(C81,3)="eib",E81='LC - EIB'!$U$2,D81='LC - EIB'!$S$2),"x3",""))))</f>
        <v/>
      </c>
      <c r="B81" s="62">
        <f t="shared" si="6"/>
        <v>78</v>
      </c>
      <c r="C81" s="62" t="s">
        <v>141</v>
      </c>
      <c r="D81" s="67">
        <v>42653</v>
      </c>
      <c r="E81" s="192" t="s">
        <v>21</v>
      </c>
      <c r="F81" s="64" t="s">
        <v>34</v>
      </c>
      <c r="G81" s="64" t="s">
        <v>30</v>
      </c>
      <c r="H81" s="64" t="s">
        <v>31</v>
      </c>
      <c r="I81" s="65" t="s">
        <v>33</v>
      </c>
      <c r="J81" s="66"/>
      <c r="K81" s="67"/>
      <c r="L81" s="65"/>
      <c r="M81" s="65"/>
      <c r="N81" s="64" t="s">
        <v>353</v>
      </c>
      <c r="O81" s="68"/>
      <c r="P81" s="69">
        <v>21023640</v>
      </c>
      <c r="Q81" s="199" t="s">
        <v>189</v>
      </c>
      <c r="R81" s="202" t="str">
        <f>IF(AND(C81="pv",D81='UNC - PV'!$Q$2,LEFT(E81,1)="u",'UNC - PV'!$O$2="vnđ",TH!P81&lt;&gt;""),"p",IF(AND(C81="pv",D81='UNC - PV'!$Q$2,LEFT(E81,1)="u",'UNC - PV'!$O$2="usd",TH!O81&lt;&gt;""),"p1",IF(AND(C81="pv",D81='LC - PV'!$P$2,LEFT(E81,1)="l"),"p2",IF(AND(LEFT(C81,3)="EIB",D81='UNC - EIB'!$T$2,LEFT(E81,1)="u",'UNC - EIB'!$R$2="vnđ",TH!P81&lt;&gt;""),"e",IF(AND(LEFT(C81,3)="EIB",D81='UNC - EIB'!$T$2,LEFT(E81,1)="U",'UNC - EIB'!$R$2="usd",TH!O81&lt;&gt;""),"e1",IF(AND(LEFT(C81,3)="EIB",D81='LC - EIB'!$S$2,LEFT(E81,1)="l"),"e2",""))))))</f>
        <v/>
      </c>
    </row>
    <row r="82" spans="1:18" ht="18.75" customHeight="1">
      <c r="A82" s="55" t="str">
        <f>IF(AND(C82="pv",E82='UNC - PV'!$S$2,D82='UNC - PV'!$Q$2),"x",IF(AND(LEFT(C82,3)="eib",E82='UNC - EIB'!$V$2,D82='UNC - EIB'!$T$2),"x1",IF(AND(C82="pv",E82='LC - PV'!$R$2,D82='LC - PV'!$P$2),"x2",IF(AND(LEFT(C82,3)="eib",E82='LC - EIB'!$U$2,D82='LC - EIB'!$S$2),"x3",""))))</f>
        <v/>
      </c>
      <c r="B82" s="62">
        <f t="shared" si="6"/>
        <v>79</v>
      </c>
      <c r="C82" s="62" t="s">
        <v>141</v>
      </c>
      <c r="D82" s="67">
        <v>42662</v>
      </c>
      <c r="E82" s="192" t="s">
        <v>21</v>
      </c>
      <c r="F82" s="70" t="s">
        <v>4</v>
      </c>
      <c r="G82" s="70" t="s">
        <v>5</v>
      </c>
      <c r="H82" s="70" t="s">
        <v>6</v>
      </c>
      <c r="I82" s="62" t="s">
        <v>9</v>
      </c>
      <c r="J82" s="72"/>
      <c r="K82" s="63"/>
      <c r="L82" s="62"/>
      <c r="M82" s="62"/>
      <c r="N82" s="70" t="s">
        <v>355</v>
      </c>
      <c r="O82" s="68"/>
      <c r="P82" s="69">
        <v>16302356</v>
      </c>
      <c r="Q82" s="199" t="s">
        <v>189</v>
      </c>
      <c r="R82" s="202" t="str">
        <f>IF(AND(C82="pv",D82='UNC - PV'!$Q$2,LEFT(E82,1)="u",'UNC - PV'!$O$2="vnđ",TH!P82&lt;&gt;""),"p",IF(AND(C82="pv",D82='UNC - PV'!$Q$2,LEFT(E82,1)="u",'UNC - PV'!$O$2="usd",TH!O82&lt;&gt;""),"p1",IF(AND(C82="pv",D82='LC - PV'!$P$2,LEFT(E82,1)="l"),"p2",IF(AND(LEFT(C82,3)="EIB",D82='UNC - EIB'!$T$2,LEFT(E82,1)="u",'UNC - EIB'!$R$2="vnđ",TH!P82&lt;&gt;""),"e",IF(AND(LEFT(C82,3)="EIB",D82='UNC - EIB'!$T$2,LEFT(E82,1)="U",'UNC - EIB'!$R$2="usd",TH!O82&lt;&gt;""),"e1",IF(AND(LEFT(C82,3)="EIB",D82='LC - EIB'!$S$2,LEFT(E82,1)="l"),"e2",""))))))</f>
        <v/>
      </c>
    </row>
    <row r="83" spans="1:18" ht="18.75" customHeight="1">
      <c r="A83" s="55" t="str">
        <f>IF(AND(C83="pv",E83='UNC - PV'!$S$2,D83='UNC - PV'!$Q$2),"x",IF(AND(LEFT(C83,3)="eib",E83='UNC - EIB'!$V$2,D83='UNC - EIB'!$T$2),"x1",IF(AND(C83="pv",E83='LC - PV'!$R$2,D83='LC - PV'!$P$2),"x2",IF(AND(LEFT(C83,3)="eib",E83='LC - EIB'!$U$2,D83='LC - EIB'!$S$2),"x3",""))))</f>
        <v/>
      </c>
      <c r="B83" s="62">
        <f t="shared" si="6"/>
        <v>80</v>
      </c>
      <c r="C83" s="62" t="s">
        <v>141</v>
      </c>
      <c r="D83" s="67">
        <v>42662</v>
      </c>
      <c r="E83" s="192" t="s">
        <v>22</v>
      </c>
      <c r="F83" s="64" t="s">
        <v>34</v>
      </c>
      <c r="G83" s="64" t="s">
        <v>30</v>
      </c>
      <c r="H83" s="64" t="s">
        <v>31</v>
      </c>
      <c r="I83" s="65" t="s">
        <v>33</v>
      </c>
      <c r="J83" s="66"/>
      <c r="K83" s="67"/>
      <c r="L83" s="65"/>
      <c r="M83" s="65"/>
      <c r="N83" s="64" t="s">
        <v>356</v>
      </c>
      <c r="O83" s="68"/>
      <c r="P83" s="69">
        <v>20797260</v>
      </c>
      <c r="Q83" s="199" t="s">
        <v>189</v>
      </c>
      <c r="R83" s="202" t="str">
        <f>IF(AND(C83="pv",D83='UNC - PV'!$Q$2,LEFT(E83,1)="u",'UNC - PV'!$O$2="vnđ",TH!P83&lt;&gt;""),"p",IF(AND(C83="pv",D83='UNC - PV'!$Q$2,LEFT(E83,1)="u",'UNC - PV'!$O$2="usd",TH!O83&lt;&gt;""),"p1",IF(AND(C83="pv",D83='LC - PV'!$P$2,LEFT(E83,1)="l"),"p2",IF(AND(LEFT(C83,3)="EIB",D83='UNC - EIB'!$T$2,LEFT(E83,1)="u",'UNC - EIB'!$R$2="vnđ",TH!P83&lt;&gt;""),"e",IF(AND(LEFT(C83,3)="EIB",D83='UNC - EIB'!$T$2,LEFT(E83,1)="U",'UNC - EIB'!$R$2="usd",TH!O83&lt;&gt;""),"e1",IF(AND(LEFT(C83,3)="EIB",D83='LC - EIB'!$S$2,LEFT(E83,1)="l"),"e2",""))))))</f>
        <v/>
      </c>
    </row>
    <row r="84" spans="1:18" ht="18.75" customHeight="1">
      <c r="A84" s="55" t="str">
        <f>IF(AND(C84="pv",E84='UNC - PV'!$S$2,D84='UNC - PV'!$Q$2),"x",IF(AND(LEFT(C84,3)="eib",E84='UNC - EIB'!$V$2,D84='UNC - EIB'!$T$2),"x1",IF(AND(C84="pv",E84='LC - PV'!$R$2,D84='LC - PV'!$P$2),"x2",IF(AND(LEFT(C84,3)="eib",E84='LC - EIB'!$U$2,D84='LC - EIB'!$S$2),"x3",""))))</f>
        <v/>
      </c>
      <c r="B84" s="62">
        <f t="shared" si="0"/>
        <v>81</v>
      </c>
      <c r="C84" s="62" t="s">
        <v>141</v>
      </c>
      <c r="D84" s="67">
        <v>42662</v>
      </c>
      <c r="E84" s="192" t="s">
        <v>23</v>
      </c>
      <c r="F84" s="64" t="s">
        <v>169</v>
      </c>
      <c r="G84" s="71" t="s">
        <v>170</v>
      </c>
      <c r="H84" s="64" t="s">
        <v>171</v>
      </c>
      <c r="I84" s="94" t="s">
        <v>9</v>
      </c>
      <c r="J84" s="66"/>
      <c r="K84" s="67"/>
      <c r="L84" s="65"/>
      <c r="M84" s="65"/>
      <c r="N84" s="64" t="s">
        <v>172</v>
      </c>
      <c r="O84" s="68"/>
      <c r="P84" s="69">
        <v>100000000</v>
      </c>
      <c r="Q84" s="199" t="s">
        <v>189</v>
      </c>
      <c r="R84" s="202" t="str">
        <f>IF(AND(C84="pv",D84='UNC - PV'!$Q$2,LEFT(E84,1)="u",'UNC - PV'!$O$2="vnđ",TH!P84&lt;&gt;""),"p",IF(AND(C84="pv",D84='UNC - PV'!$Q$2,LEFT(E84,1)="u",'UNC - PV'!$O$2="usd",TH!O84&lt;&gt;""),"p1",IF(AND(C84="pv",D84='LC - PV'!$P$2,LEFT(E84,1)="l"),"p2",IF(AND(LEFT(C84,3)="EIB",D84='UNC - EIB'!$T$2,LEFT(E84,1)="u",'UNC - EIB'!$R$2="vnđ",TH!P84&lt;&gt;""),"e",IF(AND(LEFT(C84,3)="EIB",D84='UNC - EIB'!$T$2,LEFT(E84,1)="U",'UNC - EIB'!$R$2="usd",TH!O84&lt;&gt;""),"e1",IF(AND(LEFT(C84,3)="EIB",D84='LC - EIB'!$S$2,LEFT(E84,1)="l"),"e2",""))))))</f>
        <v/>
      </c>
    </row>
    <row r="85" spans="1:18" ht="18.75" customHeight="1">
      <c r="A85" s="55" t="str">
        <f>IF(AND(C85="pv",E85='UNC - PV'!$S$2,D85='UNC - PV'!$Q$2),"x",IF(AND(LEFT(C85,3)="eib",E85='UNC - EIB'!$V$2,D85='UNC - EIB'!$T$2),"x1",IF(AND(C85="pv",E85='LC - PV'!$R$2,D85='LC - PV'!$P$2),"x2",IF(AND(LEFT(C85,3)="eib",E85='LC - EIB'!$U$2,D85='LC - EIB'!$S$2),"x3",""))))</f>
        <v/>
      </c>
      <c r="B85" s="62">
        <f t="shared" si="0"/>
        <v>82</v>
      </c>
      <c r="C85" s="62" t="s">
        <v>141</v>
      </c>
      <c r="D85" s="67">
        <v>42662</v>
      </c>
      <c r="E85" s="192" t="s">
        <v>24</v>
      </c>
      <c r="F85" s="96" t="s">
        <v>129</v>
      </c>
      <c r="G85" s="96" t="s">
        <v>130</v>
      </c>
      <c r="H85" s="96" t="s">
        <v>126</v>
      </c>
      <c r="I85" s="94" t="s">
        <v>9</v>
      </c>
      <c r="J85" s="66"/>
      <c r="K85" s="67"/>
      <c r="L85" s="65"/>
      <c r="M85" s="65"/>
      <c r="N85" s="96" t="s">
        <v>131</v>
      </c>
      <c r="O85" s="68"/>
      <c r="P85" s="69">
        <v>42930000</v>
      </c>
      <c r="Q85" s="199" t="s">
        <v>189</v>
      </c>
      <c r="R85" s="202" t="str">
        <f>IF(AND(C85="pv",D85='UNC - PV'!$Q$2,LEFT(E85,1)="u",'UNC - PV'!$O$2="vnđ",TH!P85&lt;&gt;""),"p",IF(AND(C85="pv",D85='UNC - PV'!$Q$2,LEFT(E85,1)="u",'UNC - PV'!$O$2="usd",TH!O85&lt;&gt;""),"p1",IF(AND(C85="pv",D85='LC - PV'!$P$2,LEFT(E85,1)="l"),"p2",IF(AND(LEFT(C85,3)="EIB",D85='UNC - EIB'!$T$2,LEFT(E85,1)="u",'UNC - EIB'!$R$2="vnđ",TH!P85&lt;&gt;""),"e",IF(AND(LEFT(C85,3)="EIB",D85='UNC - EIB'!$T$2,LEFT(E85,1)="U",'UNC - EIB'!$R$2="usd",TH!O85&lt;&gt;""),"e1",IF(AND(LEFT(C85,3)="EIB",D85='LC - EIB'!$S$2,LEFT(E85,1)="l"),"e2",""))))))</f>
        <v/>
      </c>
    </row>
    <row r="86" spans="1:18" ht="18.75" customHeight="1">
      <c r="A86" s="55" t="str">
        <f>IF(AND(C86="pv",E86='UNC - PV'!$S$2,D86='UNC - PV'!$Q$2),"x",IF(AND(LEFT(C86,3)="eib",E86='UNC - EIB'!$V$2,D86='UNC - EIB'!$T$2),"x1",IF(AND(C86="pv",E86='LC - PV'!$R$2,D86='LC - PV'!$P$2),"x2",IF(AND(LEFT(C86,3)="eib",E86='LC - EIB'!$U$2,D86='LC - EIB'!$S$2),"x3",""))))</f>
        <v/>
      </c>
      <c r="B86" s="62">
        <f t="shared" si="0"/>
        <v>83</v>
      </c>
      <c r="C86" s="62" t="s">
        <v>102</v>
      </c>
      <c r="D86" s="67">
        <v>42662</v>
      </c>
      <c r="E86" s="192" t="s">
        <v>21</v>
      </c>
      <c r="F86" s="64" t="s">
        <v>357</v>
      </c>
      <c r="G86" s="64" t="s">
        <v>358</v>
      </c>
      <c r="H86" s="64" t="s">
        <v>360</v>
      </c>
      <c r="I86" s="94" t="s">
        <v>9</v>
      </c>
      <c r="J86" s="66"/>
      <c r="K86" s="67"/>
      <c r="L86" s="65"/>
      <c r="M86" s="65"/>
      <c r="N86" s="64" t="s">
        <v>359</v>
      </c>
      <c r="O86" s="68"/>
      <c r="P86" s="69">
        <v>42930000</v>
      </c>
      <c r="Q86" s="199" t="s">
        <v>189</v>
      </c>
      <c r="R86" s="202" t="str">
        <f>IF(AND(C86="pv",D86='UNC - PV'!$Q$2,LEFT(E86,1)="u",'UNC - PV'!$O$2="vnđ",TH!P86&lt;&gt;""),"p",IF(AND(C86="pv",D86='UNC - PV'!$Q$2,LEFT(E86,1)="u",'UNC - PV'!$O$2="usd",TH!O86&lt;&gt;""),"p1",IF(AND(C86="pv",D86='LC - PV'!$P$2,LEFT(E86,1)="l"),"p2",IF(AND(LEFT(C86,3)="EIB",D86='UNC - EIB'!$T$2,LEFT(E86,1)="u",'UNC - EIB'!$R$2="vnđ",TH!P86&lt;&gt;""),"e",IF(AND(LEFT(C86,3)="EIB",D86='UNC - EIB'!$T$2,LEFT(E86,1)="U",'UNC - EIB'!$R$2="usd",TH!O86&lt;&gt;""),"e1",IF(AND(LEFT(C86,3)="EIB",D86='LC - EIB'!$S$2,LEFT(E86,1)="l"),"e2",""))))))</f>
        <v/>
      </c>
    </row>
    <row r="87" spans="1:18" ht="18.75" customHeight="1">
      <c r="A87" s="55" t="str">
        <f>IF(AND(C87="pv",E87='UNC - PV'!$S$2,D87='UNC - PV'!$Q$2),"x",IF(AND(LEFT(C87,3)="eib",E87='UNC - EIB'!$V$2,D87='UNC - EIB'!$T$2),"x1",IF(AND(C87="pv",E87='LC - PV'!$R$2,D87='LC - PV'!$P$2),"x2",IF(AND(LEFT(C87,3)="eib",E87='LC - EIB'!$U$2,D87='LC - EIB'!$S$2),"x3",""))))</f>
        <v/>
      </c>
      <c r="B87" s="62">
        <f t="shared" si="0"/>
        <v>84</v>
      </c>
      <c r="C87" s="62" t="s">
        <v>124</v>
      </c>
      <c r="D87" s="67">
        <v>42667</v>
      </c>
      <c r="E87" s="192" t="s">
        <v>21</v>
      </c>
      <c r="F87" s="96" t="s">
        <v>128</v>
      </c>
      <c r="G87" s="96" t="s">
        <v>127</v>
      </c>
      <c r="H87" s="96" t="s">
        <v>126</v>
      </c>
      <c r="I87" s="94" t="s">
        <v>9</v>
      </c>
      <c r="J87" s="97"/>
      <c r="K87" s="98"/>
      <c r="L87" s="99"/>
      <c r="M87" s="99"/>
      <c r="N87" s="96" t="s">
        <v>125</v>
      </c>
      <c r="O87" s="100">
        <v>2300</v>
      </c>
      <c r="P87" s="69"/>
      <c r="Q87" s="199" t="s">
        <v>189</v>
      </c>
      <c r="R87" s="202" t="str">
        <f>IF(AND(C87="pv",D87='UNC - PV'!$Q$2,LEFT(E87,1)="u",'UNC - PV'!$O$2="vnđ",TH!P87&lt;&gt;""),"p",IF(AND(C87="pv",D87='UNC - PV'!$Q$2,LEFT(E87,1)="u",'UNC - PV'!$O$2="usd",TH!O87&lt;&gt;""),"p1",IF(AND(C87="pv",D87='LC - PV'!$P$2,LEFT(E87,1)="l"),"p2",IF(AND(LEFT(C87,3)="EIB",D87='UNC - EIB'!$T$2,LEFT(E87,1)="u",'UNC - EIB'!$R$2="vnđ",TH!P87&lt;&gt;""),"e",IF(AND(LEFT(C87,3)="EIB",D87='UNC - EIB'!$T$2,LEFT(E87,1)="U",'UNC - EIB'!$R$2="usd",TH!O87&lt;&gt;""),"e1",IF(AND(LEFT(C87,3)="EIB",D87='LC - EIB'!$S$2,LEFT(E87,1)="l"),"e2",""))))))</f>
        <v/>
      </c>
    </row>
    <row r="88" spans="1:18" ht="18.75" customHeight="1">
      <c r="A88" s="55" t="str">
        <f>IF(AND(C88="pv",E88='UNC - PV'!$S$2,D88='UNC - PV'!$Q$2),"x",IF(AND(LEFT(C88,3)="eib",E88='UNC - EIB'!$V$2,D88='UNC - EIB'!$T$2),"x1",IF(AND(C88="pv",E88='LC - PV'!$R$2,D88='LC - PV'!$P$2),"x2",IF(AND(LEFT(C88,3)="eib",E88='LC - EIB'!$U$2,D88='LC - EIB'!$S$2),"x3",""))))</f>
        <v/>
      </c>
      <c r="B88" s="62">
        <f t="shared" si="0"/>
        <v>85</v>
      </c>
      <c r="C88" s="62" t="s">
        <v>124</v>
      </c>
      <c r="D88" s="67">
        <v>42667</v>
      </c>
      <c r="E88" s="192" t="s">
        <v>22</v>
      </c>
      <c r="F88" s="96" t="s">
        <v>211</v>
      </c>
      <c r="G88" s="64" t="s">
        <v>212</v>
      </c>
      <c r="H88" s="64" t="s">
        <v>213</v>
      </c>
      <c r="I88" s="62" t="s">
        <v>9</v>
      </c>
      <c r="J88" s="66"/>
      <c r="K88" s="67"/>
      <c r="L88" s="65"/>
      <c r="M88" s="65"/>
      <c r="N88" s="64" t="s">
        <v>214</v>
      </c>
      <c r="O88" s="68"/>
      <c r="P88" s="69">
        <v>19200000</v>
      </c>
      <c r="Q88" s="199" t="s">
        <v>189</v>
      </c>
      <c r="R88" s="202" t="str">
        <f>IF(AND(C88="pv",D88='UNC - PV'!$Q$2,LEFT(E88,1)="u",'UNC - PV'!$O$2="vnđ",TH!P88&lt;&gt;""),"p",IF(AND(C88="pv",D88='UNC - PV'!$Q$2,LEFT(E88,1)="u",'UNC - PV'!$O$2="usd",TH!O88&lt;&gt;""),"p1",IF(AND(C88="pv",D88='LC - PV'!$P$2,LEFT(E88,1)="l"),"p2",IF(AND(LEFT(C88,3)="EIB",D88='UNC - EIB'!$T$2,LEFT(E88,1)="u",'UNC - EIB'!$R$2="vnđ",TH!P88&lt;&gt;""),"e",IF(AND(LEFT(C88,3)="EIB",D88='UNC - EIB'!$T$2,LEFT(E88,1)="U",'UNC - EIB'!$R$2="usd",TH!O88&lt;&gt;""),"e1",IF(AND(LEFT(C88,3)="EIB",D88='LC - EIB'!$S$2,LEFT(E88,1)="l"),"e2",""))))))</f>
        <v/>
      </c>
    </row>
    <row r="89" spans="1:18" ht="18.75" customHeight="1">
      <c r="A89" s="55" t="str">
        <f>IF(AND(C89="pv",E89='UNC - PV'!$S$2,D89='UNC - PV'!$Q$2),"x",IF(AND(LEFT(C89,3)="eib",E89='UNC - EIB'!$V$2,D89='UNC - EIB'!$T$2),"x1",IF(AND(C89="pv",E89='LC - PV'!$R$2,D89='LC - PV'!$P$2),"x2",IF(AND(LEFT(C89,3)="eib",E89='LC - EIB'!$U$2,D89='LC - EIB'!$S$2),"x3",""))))</f>
        <v/>
      </c>
      <c r="B89" s="62">
        <f t="shared" si="0"/>
        <v>86</v>
      </c>
      <c r="C89" s="62" t="s">
        <v>124</v>
      </c>
      <c r="D89" s="67">
        <v>42667</v>
      </c>
      <c r="E89" s="192" t="s">
        <v>23</v>
      </c>
      <c r="F89" s="64" t="s">
        <v>361</v>
      </c>
      <c r="G89" s="64" t="s">
        <v>362</v>
      </c>
      <c r="H89" s="64" t="s">
        <v>363</v>
      </c>
      <c r="I89" s="62" t="s">
        <v>9</v>
      </c>
      <c r="J89" s="66"/>
      <c r="K89" s="67"/>
      <c r="L89" s="65"/>
      <c r="M89" s="65"/>
      <c r="N89" s="64" t="s">
        <v>364</v>
      </c>
      <c r="O89" s="68"/>
      <c r="P89" s="69">
        <v>10803694</v>
      </c>
      <c r="Q89" s="199" t="s">
        <v>189</v>
      </c>
      <c r="R89" s="202" t="str">
        <f>IF(AND(C89="pv",D89='UNC - PV'!$Q$2,LEFT(E89,1)="u",'UNC - PV'!$O$2="vnđ",TH!P89&lt;&gt;""),"p",IF(AND(C89="pv",D89='UNC - PV'!$Q$2,LEFT(E89,1)="u",'UNC - PV'!$O$2="usd",TH!O89&lt;&gt;""),"p1",IF(AND(C89="pv",D89='LC - PV'!$P$2,LEFT(E89,1)="l"),"p2",IF(AND(LEFT(C89,3)="EIB",D89='UNC - EIB'!$T$2,LEFT(E89,1)="u",'UNC - EIB'!$R$2="vnđ",TH!P89&lt;&gt;""),"e",IF(AND(LEFT(C89,3)="EIB",D89='UNC - EIB'!$T$2,LEFT(E89,1)="U",'UNC - EIB'!$R$2="usd",TH!O89&lt;&gt;""),"e1",IF(AND(LEFT(C89,3)="EIB",D89='LC - EIB'!$S$2,LEFT(E89,1)="l"),"e2",""))))))</f>
        <v/>
      </c>
    </row>
    <row r="90" spans="1:18" ht="18.75" customHeight="1">
      <c r="A90" s="55" t="str">
        <f>IF(AND(C90="pv",E90='UNC - PV'!$S$2,D90='UNC - PV'!$Q$2),"x",IF(AND(LEFT(C90,3)="eib",E90='UNC - EIB'!$V$2,D90='UNC - EIB'!$T$2),"x1",IF(AND(C90="pv",E90='LC - PV'!$R$2,D90='LC - PV'!$P$2),"x2",IF(AND(LEFT(C90,3)="eib",E90='LC - EIB'!$U$2,D90='LC - EIB'!$S$2),"x3",""))))</f>
        <v/>
      </c>
      <c r="B90" s="62">
        <f t="shared" si="0"/>
        <v>87</v>
      </c>
      <c r="C90" s="62" t="s">
        <v>80</v>
      </c>
      <c r="D90" s="67">
        <v>42669</v>
      </c>
      <c r="E90" s="192" t="s">
        <v>21</v>
      </c>
      <c r="F90" s="96" t="s">
        <v>128</v>
      </c>
      <c r="G90" s="96" t="s">
        <v>127</v>
      </c>
      <c r="H90" s="96" t="s">
        <v>126</v>
      </c>
      <c r="I90" s="94" t="s">
        <v>9</v>
      </c>
      <c r="J90" s="97"/>
      <c r="K90" s="98"/>
      <c r="L90" s="65"/>
      <c r="M90" s="65"/>
      <c r="N90" s="64" t="s">
        <v>160</v>
      </c>
      <c r="O90" s="68"/>
      <c r="P90" s="69">
        <v>9000000</v>
      </c>
      <c r="Q90" s="199" t="s">
        <v>189</v>
      </c>
      <c r="R90" s="202" t="str">
        <f>IF(AND(C90="pv",D90='UNC - PV'!$Q$2,LEFT(E90,1)="u",'UNC - PV'!$O$2="vnđ",TH!P90&lt;&gt;""),"p",IF(AND(C90="pv",D90='UNC - PV'!$Q$2,LEFT(E90,1)="u",'UNC - PV'!$O$2="usd",TH!O90&lt;&gt;""),"p1",IF(AND(C90="pv",D90='LC - PV'!$P$2,LEFT(E90,1)="l"),"p2",IF(AND(LEFT(C90,3)="EIB",D90='UNC - EIB'!$T$2,LEFT(E90,1)="u",'UNC - EIB'!$R$2="vnđ",TH!P90&lt;&gt;""),"e",IF(AND(LEFT(C90,3)="EIB",D90='UNC - EIB'!$T$2,LEFT(E90,1)="U",'UNC - EIB'!$R$2="usd",TH!O90&lt;&gt;""),"e1",IF(AND(LEFT(C90,3)="EIB",D90='LC - EIB'!$S$2,LEFT(E90,1)="l"),"e2",""))))))</f>
        <v/>
      </c>
    </row>
    <row r="91" spans="1:18" ht="18.75" customHeight="1">
      <c r="A91" s="55" t="str">
        <f>IF(AND(C91="pv",E91='UNC - PV'!$S$2,D91='UNC - PV'!$Q$2),"x",IF(AND(LEFT(C91,3)="eib",E91='UNC - EIB'!$V$2,D91='UNC - EIB'!$T$2),"x1",IF(AND(C91="pv",E91='LC - PV'!$R$2,D91='LC - PV'!$P$2),"x2",IF(AND(LEFT(C91,3)="eib",E91='LC - EIB'!$U$2,D91='LC - EIB'!$S$2),"x3",""))))</f>
        <v/>
      </c>
      <c r="B91" s="62">
        <f t="shared" si="0"/>
        <v>88</v>
      </c>
      <c r="C91" s="62" t="s">
        <v>124</v>
      </c>
      <c r="D91" s="67">
        <v>42669</v>
      </c>
      <c r="E91" s="192" t="s">
        <v>22</v>
      </c>
      <c r="F91" s="96" t="s">
        <v>129</v>
      </c>
      <c r="G91" s="96" t="s">
        <v>130</v>
      </c>
      <c r="H91" s="96" t="s">
        <v>126</v>
      </c>
      <c r="I91" s="94" t="s">
        <v>9</v>
      </c>
      <c r="J91" s="66"/>
      <c r="K91" s="67"/>
      <c r="L91" s="65"/>
      <c r="M91" s="65"/>
      <c r="N91" s="96" t="s">
        <v>131</v>
      </c>
      <c r="O91" s="68"/>
      <c r="P91" s="69">
        <v>25000000</v>
      </c>
      <c r="Q91" s="199" t="s">
        <v>189</v>
      </c>
      <c r="R91" s="202" t="str">
        <f>IF(AND(C91="pv",D91='UNC - PV'!$Q$2,LEFT(E91,1)="u",'UNC - PV'!$O$2="vnđ",TH!P91&lt;&gt;""),"p",IF(AND(C91="pv",D91='UNC - PV'!$Q$2,LEFT(E91,1)="u",'UNC - PV'!$O$2="usd",TH!O91&lt;&gt;""),"p1",IF(AND(C91="pv",D91='LC - PV'!$P$2,LEFT(E91,1)="l"),"p2",IF(AND(LEFT(C91,3)="EIB",D91='UNC - EIB'!$T$2,LEFT(E91,1)="u",'UNC - EIB'!$R$2="vnđ",TH!P91&lt;&gt;""),"e",IF(AND(LEFT(C91,3)="EIB",D91='UNC - EIB'!$T$2,LEFT(E91,1)="U",'UNC - EIB'!$R$2="usd",TH!O91&lt;&gt;""),"e1",IF(AND(LEFT(C91,3)="EIB",D91='LC - EIB'!$S$2,LEFT(E91,1)="l"),"e2",""))))))</f>
        <v/>
      </c>
    </row>
    <row r="92" spans="1:18" ht="18.75" customHeight="1">
      <c r="A92" s="55" t="str">
        <f>IF(AND(C92="pv",E92='UNC - PV'!$S$2,D92='UNC - PV'!$Q$2),"x",IF(AND(LEFT(C92,3)="eib",E92='UNC - EIB'!$V$2,D92='UNC - EIB'!$T$2),"x1",IF(AND(C92="pv",E92='LC - PV'!$R$2,D92='LC - PV'!$P$2),"x2",IF(AND(LEFT(C92,3)="eib",E92='LC - EIB'!$U$2,D92='LC - EIB'!$S$2),"x3",""))))</f>
        <v/>
      </c>
      <c r="B92" s="62">
        <f t="shared" si="0"/>
        <v>89</v>
      </c>
      <c r="C92" s="62" t="s">
        <v>102</v>
      </c>
      <c r="D92" s="67">
        <v>42675</v>
      </c>
      <c r="E92" s="192" t="s">
        <v>21</v>
      </c>
      <c r="F92" s="64" t="s">
        <v>162</v>
      </c>
      <c r="G92" s="64" t="s">
        <v>198</v>
      </c>
      <c r="H92" s="64" t="s">
        <v>163</v>
      </c>
      <c r="I92" s="99" t="s">
        <v>156</v>
      </c>
      <c r="J92" s="66"/>
      <c r="K92" s="67"/>
      <c r="L92" s="65"/>
      <c r="M92" s="65"/>
      <c r="N92" s="104" t="s">
        <v>366</v>
      </c>
      <c r="O92" s="68"/>
      <c r="P92" s="69">
        <f>42659320+37594590</f>
        <v>80253910</v>
      </c>
      <c r="Q92" s="199" t="s">
        <v>189</v>
      </c>
      <c r="R92" s="202" t="str">
        <f>IF(AND(C92="pv",D92='UNC - PV'!$Q$2,LEFT(E92,1)="u",'UNC - PV'!$O$2="vnđ",TH!P92&lt;&gt;""),"p",IF(AND(C92="pv",D92='UNC - PV'!$Q$2,LEFT(E92,1)="u",'UNC - PV'!$O$2="usd",TH!O92&lt;&gt;""),"p1",IF(AND(C92="pv",D92='LC - PV'!$P$2,LEFT(E92,1)="l"),"p2",IF(AND(LEFT(C92,3)="EIB",D92='UNC - EIB'!$T$2,LEFT(E92,1)="u",'UNC - EIB'!$R$2="vnđ",TH!P92&lt;&gt;""),"e",IF(AND(LEFT(C92,3)="EIB",D92='UNC - EIB'!$T$2,LEFT(E92,1)="U",'UNC - EIB'!$R$2="usd",TH!O92&lt;&gt;""),"e1",IF(AND(LEFT(C92,3)="EIB",D92='LC - EIB'!$S$2,LEFT(E92,1)="l"),"e2",""))))))</f>
        <v/>
      </c>
    </row>
    <row r="93" spans="1:18" ht="18.75" customHeight="1">
      <c r="A93" s="55" t="str">
        <f>IF(AND(C93="pv",E93='UNC - PV'!$S$2,D93='UNC - PV'!$Q$2),"x",IF(AND(LEFT(C93,3)="eib",E93='UNC - EIB'!$V$2,D93='UNC - EIB'!$T$2),"x1",IF(AND(C93="pv",E93='LC - PV'!$R$2,D93='LC - PV'!$P$2),"x2",IF(AND(LEFT(C93,3)="eib",E93='LC - EIB'!$U$2,D93='LC - EIB'!$S$2),"x3",""))))</f>
        <v/>
      </c>
      <c r="B93" s="62">
        <f t="shared" si="0"/>
        <v>90</v>
      </c>
      <c r="C93" s="62" t="s">
        <v>141</v>
      </c>
      <c r="D93" s="67">
        <v>42675</v>
      </c>
      <c r="E93" s="192" t="s">
        <v>22</v>
      </c>
      <c r="F93" s="64" t="s">
        <v>34</v>
      </c>
      <c r="G93" s="64" t="s">
        <v>30</v>
      </c>
      <c r="H93" s="64" t="s">
        <v>31</v>
      </c>
      <c r="I93" s="65" t="s">
        <v>33</v>
      </c>
      <c r="J93" s="66"/>
      <c r="K93" s="67"/>
      <c r="L93" s="65"/>
      <c r="M93" s="65"/>
      <c r="N93" s="64" t="s">
        <v>365</v>
      </c>
      <c r="O93" s="68"/>
      <c r="P93" s="69">
        <v>24338820</v>
      </c>
      <c r="Q93" s="199" t="s">
        <v>189</v>
      </c>
      <c r="R93" s="202" t="str">
        <f>IF(AND(C93="pv",D93='UNC - PV'!$Q$2,LEFT(E93,1)="u",'UNC - PV'!$O$2="vnđ",TH!P93&lt;&gt;""),"p",IF(AND(C93="pv",D93='UNC - PV'!$Q$2,LEFT(E93,1)="u",'UNC - PV'!$O$2="usd",TH!O93&lt;&gt;""),"p1",IF(AND(C93="pv",D93='LC - PV'!$P$2,LEFT(E93,1)="l"),"p2",IF(AND(LEFT(C93,3)="EIB",D93='UNC - EIB'!$T$2,LEFT(E93,1)="u",'UNC - EIB'!$R$2="vnđ",TH!P93&lt;&gt;""),"e",IF(AND(LEFT(C93,3)="EIB",D93='UNC - EIB'!$T$2,LEFT(E93,1)="U",'UNC - EIB'!$R$2="usd",TH!O93&lt;&gt;""),"e1",IF(AND(LEFT(C93,3)="EIB",D93='LC - EIB'!$S$2,LEFT(E93,1)="l"),"e2",""))))))</f>
        <v/>
      </c>
    </row>
    <row r="94" spans="1:18" ht="18.75" customHeight="1">
      <c r="A94" s="55" t="str">
        <f>IF(AND(C94="pv",E94='UNC - PV'!$S$2,D94='UNC - PV'!$Q$2),"x",IF(AND(LEFT(C94,3)="eib",E94='UNC - EIB'!$V$2,D94='UNC - EIB'!$T$2),"x1",IF(AND(C94="pv",E94='LC - PV'!$R$2,D94='LC - PV'!$P$2),"x2",IF(AND(LEFT(C94,3)="eib",E94='LC - EIB'!$U$2,D94='LC - EIB'!$S$2),"x3",""))))</f>
        <v/>
      </c>
      <c r="B94" s="62">
        <f t="shared" si="0"/>
        <v>91</v>
      </c>
      <c r="C94" s="62" t="s">
        <v>141</v>
      </c>
      <c r="D94" s="67">
        <v>42675</v>
      </c>
      <c r="E94" s="192" t="s">
        <v>23</v>
      </c>
      <c r="F94" s="96" t="s">
        <v>128</v>
      </c>
      <c r="G94" s="96" t="s">
        <v>367</v>
      </c>
      <c r="H94" s="96" t="s">
        <v>203</v>
      </c>
      <c r="I94" s="94" t="s">
        <v>9</v>
      </c>
      <c r="J94" s="66"/>
      <c r="K94" s="67"/>
      <c r="L94" s="65"/>
      <c r="M94" s="65"/>
      <c r="N94" s="64" t="s">
        <v>166</v>
      </c>
      <c r="O94" s="68">
        <v>87500</v>
      </c>
      <c r="P94" s="69"/>
      <c r="Q94" s="199" t="s">
        <v>189</v>
      </c>
      <c r="R94" s="202" t="str">
        <f>IF(AND(C94="pv",D94='UNC - PV'!$Q$2,LEFT(E94,1)="u",'UNC - PV'!$O$2="vnđ",TH!P94&lt;&gt;""),"p",IF(AND(C94="pv",D94='UNC - PV'!$Q$2,LEFT(E94,1)="u",'UNC - PV'!$O$2="usd",TH!O94&lt;&gt;""),"p1",IF(AND(C94="pv",D94='LC - PV'!$P$2,LEFT(E94,1)="l"),"p2",IF(AND(LEFT(C94,3)="EIB",D94='UNC - EIB'!$T$2,LEFT(E94,1)="u",'UNC - EIB'!$R$2="vnđ",TH!P94&lt;&gt;""),"e",IF(AND(LEFT(C94,3)="EIB",D94='UNC - EIB'!$T$2,LEFT(E94,1)="U",'UNC - EIB'!$R$2="usd",TH!O94&lt;&gt;""),"e1",IF(AND(LEFT(C94,3)="EIB",D94='LC - EIB'!$S$2,LEFT(E94,1)="l"),"e2",""))))))</f>
        <v/>
      </c>
    </row>
    <row r="95" spans="1:18" ht="18.75" customHeight="1">
      <c r="A95" s="55" t="str">
        <f>IF(AND(C95="pv",E95='UNC - PV'!$S$2,D95='UNC - PV'!$Q$2),"x",IF(AND(LEFT(C95,3)="eib",E95='UNC - EIB'!$V$2,D95='UNC - EIB'!$T$2),"x1",IF(AND(C95="pv",E95='LC - PV'!$R$2,D95='LC - PV'!$P$2),"x2",IF(AND(LEFT(C95,3)="eib",E95='LC - EIB'!$U$2,D95='LC - EIB'!$S$2),"x3",""))))</f>
        <v/>
      </c>
      <c r="B95" s="62">
        <f t="shared" si="0"/>
        <v>92</v>
      </c>
      <c r="C95" s="62" t="s">
        <v>80</v>
      </c>
      <c r="D95" s="67">
        <v>42675</v>
      </c>
      <c r="E95" s="192" t="s">
        <v>24</v>
      </c>
      <c r="F95" s="96" t="s">
        <v>128</v>
      </c>
      <c r="G95" s="64" t="s">
        <v>206</v>
      </c>
      <c r="H95" s="64" t="s">
        <v>203</v>
      </c>
      <c r="I95" s="65" t="s">
        <v>9</v>
      </c>
      <c r="J95" s="66"/>
      <c r="K95" s="67"/>
      <c r="L95" s="65"/>
      <c r="M95" s="65"/>
      <c r="N95" s="64" t="s">
        <v>125</v>
      </c>
      <c r="O95" s="68">
        <v>87500</v>
      </c>
      <c r="P95" s="69"/>
      <c r="Q95" s="199" t="s">
        <v>189</v>
      </c>
      <c r="R95" s="202" t="str">
        <f>IF(AND(C95="pv",D95='UNC - PV'!$Q$2,LEFT(E95,1)="u",'UNC - PV'!$O$2="vnđ",TH!P95&lt;&gt;""),"p",IF(AND(C95="pv",D95='UNC - PV'!$Q$2,LEFT(E95,1)="u",'UNC - PV'!$O$2="usd",TH!O95&lt;&gt;""),"p1",IF(AND(C95="pv",D95='LC - PV'!$P$2,LEFT(E95,1)="l"),"p2",IF(AND(LEFT(C95,3)="EIB",D95='UNC - EIB'!$T$2,LEFT(E95,1)="u",'UNC - EIB'!$R$2="vnđ",TH!P95&lt;&gt;""),"e",IF(AND(LEFT(C95,3)="EIB",D95='UNC - EIB'!$T$2,LEFT(E95,1)="U",'UNC - EIB'!$R$2="usd",TH!O95&lt;&gt;""),"e1",IF(AND(LEFT(C95,3)="EIB",D95='LC - EIB'!$S$2,LEFT(E95,1)="l"),"e2",""))))))</f>
        <v/>
      </c>
    </row>
    <row r="96" spans="1:18" ht="18.75" customHeight="1">
      <c r="A96" s="55" t="str">
        <f>IF(AND(C96="pv",E96='UNC - PV'!$S$2,D96='UNC - PV'!$Q$2),"x",IF(AND(LEFT(C96,3)="eib",E96='UNC - EIB'!$V$2,D96='UNC - EIB'!$T$2),"x1",IF(AND(C96="pv",E96='LC - PV'!$R$2,D96='LC - PV'!$P$2),"x2",IF(AND(LEFT(C96,3)="eib",E96='LC - EIB'!$U$2,D96='LC - EIB'!$S$2),"x3",""))))</f>
        <v/>
      </c>
      <c r="B96" s="62">
        <f t="shared" si="0"/>
        <v>93</v>
      </c>
      <c r="C96" s="62" t="s">
        <v>80</v>
      </c>
      <c r="D96" s="67">
        <v>42676</v>
      </c>
      <c r="E96" s="192" t="s">
        <v>21</v>
      </c>
      <c r="F96" s="195" t="s">
        <v>331</v>
      </c>
      <c r="G96" s="195" t="s">
        <v>332</v>
      </c>
      <c r="H96" s="195" t="s">
        <v>333</v>
      </c>
      <c r="I96" s="192" t="s">
        <v>9</v>
      </c>
      <c r="J96" s="196"/>
      <c r="K96" s="193"/>
      <c r="L96" s="194"/>
      <c r="M96" s="194"/>
      <c r="N96" s="195" t="s">
        <v>334</v>
      </c>
      <c r="O96" s="197"/>
      <c r="P96" s="69">
        <f>51480000*2</f>
        <v>102960000</v>
      </c>
      <c r="Q96" s="199" t="s">
        <v>189</v>
      </c>
      <c r="R96" s="202" t="str">
        <f>IF(AND(C96="pv",D96='UNC - PV'!$Q$2,LEFT(E96,1)="u",'UNC - PV'!$O$2="vnđ",TH!P96&lt;&gt;""),"p",IF(AND(C96="pv",D96='UNC - PV'!$Q$2,LEFT(E96,1)="u",'UNC - PV'!$O$2="usd",TH!O96&lt;&gt;""),"p1",IF(AND(C96="pv",D96='LC - PV'!$P$2,LEFT(E96,1)="l"),"p2",IF(AND(LEFT(C96,3)="EIB",D96='UNC - EIB'!$T$2,LEFT(E96,1)="u",'UNC - EIB'!$R$2="vnđ",TH!P96&lt;&gt;""),"e",IF(AND(LEFT(C96,3)="EIB",D96='UNC - EIB'!$T$2,LEFT(E96,1)="U",'UNC - EIB'!$R$2="usd",TH!O96&lt;&gt;""),"e1",IF(AND(LEFT(C96,3)="EIB",D96='LC - EIB'!$S$2,LEFT(E96,1)="l"),"e2",""))))))</f>
        <v/>
      </c>
    </row>
    <row r="97" spans="1:18" ht="18.75" customHeight="1">
      <c r="A97" s="55" t="str">
        <f>IF(AND(C97="pv",E97='UNC - PV'!$S$2,D97='UNC - PV'!$Q$2),"x",IF(AND(LEFT(C97,3)="eib",E97='UNC - EIB'!$V$2,D97='UNC - EIB'!$T$2),"x1",IF(AND(C97="pv",E97='LC - PV'!$R$2,D97='LC - PV'!$P$2),"x2",IF(AND(LEFT(C97,3)="eib",E97='LC - EIB'!$U$2,D97='LC - EIB'!$S$2),"x3",""))))</f>
        <v/>
      </c>
      <c r="B97" s="62">
        <f t="shared" si="0"/>
        <v>94</v>
      </c>
      <c r="C97" s="62" t="s">
        <v>80</v>
      </c>
      <c r="D97" s="67">
        <v>42676</v>
      </c>
      <c r="E97" s="192" t="s">
        <v>22</v>
      </c>
      <c r="F97" s="96" t="s">
        <v>129</v>
      </c>
      <c r="G97" s="96" t="s">
        <v>130</v>
      </c>
      <c r="H97" s="96" t="s">
        <v>126</v>
      </c>
      <c r="I97" s="94" t="s">
        <v>9</v>
      </c>
      <c r="J97" s="66"/>
      <c r="K97" s="67"/>
      <c r="L97" s="65"/>
      <c r="M97" s="65"/>
      <c r="N97" s="96" t="s">
        <v>131</v>
      </c>
      <c r="O97" s="68"/>
      <c r="P97" s="69">
        <v>38000000</v>
      </c>
      <c r="Q97" s="199" t="s">
        <v>189</v>
      </c>
      <c r="R97" s="202" t="str">
        <f>IF(AND(C97="pv",D97='UNC - PV'!$Q$2,LEFT(E97,1)="u",'UNC - PV'!$O$2="vnđ",TH!P97&lt;&gt;""),"p",IF(AND(C97="pv",D97='UNC - PV'!$Q$2,LEFT(E97,1)="u",'UNC - PV'!$O$2="usd",TH!O97&lt;&gt;""),"p1",IF(AND(C97="pv",D97='LC - PV'!$P$2,LEFT(E97,1)="l"),"p2",IF(AND(LEFT(C97,3)="EIB",D97='UNC - EIB'!$T$2,LEFT(E97,1)="u",'UNC - EIB'!$R$2="vnđ",TH!P97&lt;&gt;""),"e",IF(AND(LEFT(C97,3)="EIB",D97='UNC - EIB'!$T$2,LEFT(E97,1)="U",'UNC - EIB'!$R$2="usd",TH!O97&lt;&gt;""),"e1",IF(AND(LEFT(C97,3)="EIB",D97='LC - EIB'!$S$2,LEFT(E97,1)="l"),"e2",""))))))</f>
        <v/>
      </c>
    </row>
    <row r="98" spans="1:18" ht="18.75" customHeight="1">
      <c r="A98" s="55" t="str">
        <f>IF(AND(C98="pv",E98='UNC - PV'!$S$2,D98='UNC - PV'!$Q$2),"x",IF(AND(LEFT(C98,3)="eib",E98='UNC - EIB'!$V$2,D98='UNC - EIB'!$T$2),"x1",IF(AND(C98="pv",E98='LC - PV'!$R$2,D98='LC - PV'!$P$2),"x2",IF(AND(LEFT(C98,3)="eib",E98='LC - EIB'!$U$2,D98='LC - EIB'!$S$2),"x3",""))))</f>
        <v/>
      </c>
      <c r="B98" s="62">
        <f t="shared" si="0"/>
        <v>95</v>
      </c>
      <c r="C98" s="62" t="s">
        <v>102</v>
      </c>
      <c r="D98" s="67">
        <v>42676</v>
      </c>
      <c r="E98" s="192" t="s">
        <v>23</v>
      </c>
      <c r="F98" s="64" t="s">
        <v>222</v>
      </c>
      <c r="G98" s="64" t="s">
        <v>223</v>
      </c>
      <c r="H98" s="64" t="s">
        <v>224</v>
      </c>
      <c r="I98" s="99" t="s">
        <v>156</v>
      </c>
      <c r="J98" s="66"/>
      <c r="K98" s="67"/>
      <c r="L98" s="65"/>
      <c r="M98" s="65"/>
      <c r="N98" s="64" t="s">
        <v>225</v>
      </c>
      <c r="O98" s="68"/>
      <c r="P98" s="69">
        <v>27760761</v>
      </c>
      <c r="Q98" s="199" t="s">
        <v>189</v>
      </c>
      <c r="R98" s="202" t="str">
        <f>IF(AND(C98="pv",D98='UNC - PV'!$Q$2,LEFT(E98,1)="u",'UNC - PV'!$O$2="vnđ",TH!P98&lt;&gt;""),"p",IF(AND(C98="pv",D98='UNC - PV'!$Q$2,LEFT(E98,1)="u",'UNC - PV'!$O$2="usd",TH!O98&lt;&gt;""),"p1",IF(AND(C98="pv",D98='LC - PV'!$P$2,LEFT(E98,1)="l"),"p2",IF(AND(LEFT(C98,3)="EIB",D98='UNC - EIB'!$T$2,LEFT(E98,1)="u",'UNC - EIB'!$R$2="vnđ",TH!P98&lt;&gt;""),"e",IF(AND(LEFT(C98,3)="EIB",D98='UNC - EIB'!$T$2,LEFT(E98,1)="U",'UNC - EIB'!$R$2="usd",TH!O98&lt;&gt;""),"e1",IF(AND(LEFT(C98,3)="EIB",D98='LC - EIB'!$S$2,LEFT(E98,1)="l"),"e2",""))))))</f>
        <v/>
      </c>
    </row>
    <row r="99" spans="1:18" ht="18.75" customHeight="1">
      <c r="A99" s="55" t="str">
        <f>IF(AND(C99="pv",E99='UNC - PV'!$S$2,D99='UNC - PV'!$Q$2),"x",IF(AND(LEFT(C99,3)="eib",E99='UNC - EIB'!$V$2,D99='UNC - EIB'!$T$2),"x1",IF(AND(C99="pv",E99='LC - PV'!$R$2,D99='LC - PV'!$P$2),"x2",IF(AND(LEFT(C99,3)="eib",E99='LC - EIB'!$U$2,D99='LC - EIB'!$S$2),"x3",""))))</f>
        <v/>
      </c>
      <c r="B99" s="62">
        <f t="shared" si="0"/>
        <v>96</v>
      </c>
      <c r="C99" s="62" t="s">
        <v>102</v>
      </c>
      <c r="D99" s="67">
        <v>42676</v>
      </c>
      <c r="E99" s="192" t="s">
        <v>24</v>
      </c>
      <c r="F99" s="64" t="s">
        <v>368</v>
      </c>
      <c r="G99" s="64" t="s">
        <v>369</v>
      </c>
      <c r="H99" s="64" t="s">
        <v>370</v>
      </c>
      <c r="I99" s="99" t="s">
        <v>156</v>
      </c>
      <c r="J99" s="66"/>
      <c r="K99" s="67"/>
      <c r="L99" s="65"/>
      <c r="M99" s="65"/>
      <c r="N99" s="64" t="s">
        <v>371</v>
      </c>
      <c r="O99" s="68"/>
      <c r="P99" s="69">
        <v>10035666</v>
      </c>
      <c r="Q99" s="199" t="s">
        <v>189</v>
      </c>
      <c r="R99" s="202" t="str">
        <f>IF(AND(C99="pv",D99='UNC - PV'!$Q$2,LEFT(E99,1)="u",'UNC - PV'!$O$2="vnđ",TH!P99&lt;&gt;""),"p",IF(AND(C99="pv",D99='UNC - PV'!$Q$2,LEFT(E99,1)="u",'UNC - PV'!$O$2="usd",TH!O99&lt;&gt;""),"p1",IF(AND(C99="pv",D99='LC - PV'!$P$2,LEFT(E99,1)="l"),"p2",IF(AND(LEFT(C99,3)="EIB",D99='UNC - EIB'!$T$2,LEFT(E99,1)="u",'UNC - EIB'!$R$2="vnđ",TH!P99&lt;&gt;""),"e",IF(AND(LEFT(C99,3)="EIB",D99='UNC - EIB'!$T$2,LEFT(E99,1)="U",'UNC - EIB'!$R$2="usd",TH!O99&lt;&gt;""),"e1",IF(AND(LEFT(C99,3)="EIB",D99='LC - EIB'!$S$2,LEFT(E99,1)="l"),"e2",""))))))</f>
        <v/>
      </c>
    </row>
    <row r="100" spans="1:18" ht="18.75" customHeight="1">
      <c r="A100" s="55" t="str">
        <f>IF(AND(C100="pv",E100='UNC - PV'!$S$2,D100='UNC - PV'!$Q$2),"x",IF(AND(LEFT(C100,3)="eib",E100='UNC - EIB'!$V$2,D100='UNC - EIB'!$T$2),"x1",IF(AND(C100="pv",E100='LC - PV'!$R$2,D100='LC - PV'!$P$2),"x2",IF(AND(LEFT(C100,3)="eib",E100='LC - EIB'!$U$2,D100='LC - EIB'!$S$2),"x3",""))))</f>
        <v/>
      </c>
      <c r="B100" s="62">
        <f t="shared" si="0"/>
        <v>97</v>
      </c>
      <c r="C100" s="62" t="s">
        <v>80</v>
      </c>
      <c r="D100" s="67">
        <v>42676</v>
      </c>
      <c r="E100" s="192" t="s">
        <v>82</v>
      </c>
      <c r="F100" s="64" t="s">
        <v>97</v>
      </c>
      <c r="G100" s="64" t="s">
        <v>98</v>
      </c>
      <c r="H100" s="64" t="s">
        <v>99</v>
      </c>
      <c r="I100" s="62" t="s">
        <v>9</v>
      </c>
      <c r="J100" s="66"/>
      <c r="K100" s="67"/>
      <c r="L100" s="65"/>
      <c r="M100" s="65"/>
      <c r="N100" s="64" t="s">
        <v>100</v>
      </c>
      <c r="O100" s="68"/>
      <c r="P100" s="69">
        <v>100000000</v>
      </c>
      <c r="Q100" s="199" t="s">
        <v>189</v>
      </c>
      <c r="R100" s="202" t="str">
        <f>IF(AND(C100="pv",D100='UNC - PV'!$Q$2,LEFT(E100,1)="u",'UNC - PV'!$O$2="vnđ",TH!P100&lt;&gt;""),"p",IF(AND(C100="pv",D100='UNC - PV'!$Q$2,LEFT(E100,1)="u",'UNC - PV'!$O$2="usd",TH!O100&lt;&gt;""),"p1",IF(AND(C100="pv",D100='LC - PV'!$P$2,LEFT(E100,1)="l"),"p2",IF(AND(LEFT(C100,3)="EIB",D100='UNC - EIB'!$T$2,LEFT(E100,1)="u",'UNC - EIB'!$R$2="vnđ",TH!P100&lt;&gt;""),"e",IF(AND(LEFT(C100,3)="EIB",D100='UNC - EIB'!$T$2,LEFT(E100,1)="U",'UNC - EIB'!$R$2="usd",TH!O100&lt;&gt;""),"e1",IF(AND(LEFT(C100,3)="EIB",D100='LC - EIB'!$S$2,LEFT(E100,1)="l"),"e2",""))))))</f>
        <v/>
      </c>
    </row>
    <row r="101" spans="1:18" ht="18.75" customHeight="1">
      <c r="A101" s="55" t="str">
        <f>IF(AND(C101="pv",E101='UNC - PV'!$S$2,D101='UNC - PV'!$Q$2),"x",IF(AND(LEFT(C101,3)="eib",E101='UNC - EIB'!$V$2,D101='UNC - EIB'!$T$2),"x1",IF(AND(C101="pv",E101='LC - PV'!$R$2,D101='LC - PV'!$P$2),"x2",IF(AND(LEFT(C101,3)="eib",E101='LC - EIB'!$U$2,D101='LC - EIB'!$S$2),"x3",""))))</f>
        <v/>
      </c>
      <c r="B101" s="62">
        <f t="shared" si="0"/>
        <v>98</v>
      </c>
      <c r="C101" s="62" t="s">
        <v>80</v>
      </c>
      <c r="D101" s="67">
        <v>42676</v>
      </c>
      <c r="E101" s="192" t="s">
        <v>83</v>
      </c>
      <c r="F101" s="64" t="s">
        <v>185</v>
      </c>
      <c r="G101" s="64" t="s">
        <v>191</v>
      </c>
      <c r="H101" s="64" t="s">
        <v>186</v>
      </c>
      <c r="I101" s="94" t="s">
        <v>9</v>
      </c>
      <c r="J101" s="66"/>
      <c r="K101" s="67"/>
      <c r="L101" s="65"/>
      <c r="M101" s="65"/>
      <c r="N101" s="64" t="s">
        <v>187</v>
      </c>
      <c r="O101" s="68"/>
      <c r="P101" s="69">
        <v>58750000</v>
      </c>
      <c r="Q101" s="199" t="s">
        <v>189</v>
      </c>
      <c r="R101" s="202" t="str">
        <f>IF(AND(C101="pv",D101='UNC - PV'!$Q$2,LEFT(E101,1)="u",'UNC - PV'!$O$2="vnđ",TH!P101&lt;&gt;""),"p",IF(AND(C101="pv",D101='UNC - PV'!$Q$2,LEFT(E101,1)="u",'UNC - PV'!$O$2="usd",TH!O101&lt;&gt;""),"p1",IF(AND(C101="pv",D101='LC - PV'!$P$2,LEFT(E101,1)="l"),"p2",IF(AND(LEFT(C101,3)="EIB",D101='UNC - EIB'!$T$2,LEFT(E101,1)="u",'UNC - EIB'!$R$2="vnđ",TH!P101&lt;&gt;""),"e",IF(AND(LEFT(C101,3)="EIB",D101='UNC - EIB'!$T$2,LEFT(E101,1)="U",'UNC - EIB'!$R$2="usd",TH!O101&lt;&gt;""),"e1",IF(AND(LEFT(C101,3)="EIB",D101='LC - EIB'!$S$2,LEFT(E101,1)="l"),"e2",""))))))</f>
        <v/>
      </c>
    </row>
    <row r="102" spans="1:18" ht="18.75" customHeight="1">
      <c r="A102" s="55" t="str">
        <f>IF(AND(C102="pv",E102='UNC - PV'!$S$2,D102='UNC - PV'!$Q$2),"x",IF(AND(LEFT(C102,3)="eib",E102='UNC - EIB'!$V$2,D102='UNC - EIB'!$T$2),"x1",IF(AND(C102="pv",E102='LC - PV'!$R$2,D102='LC - PV'!$P$2),"x2",IF(AND(LEFT(C102,3)="eib",E102='LC - EIB'!$U$2,D102='LC - EIB'!$S$2),"x3",""))))</f>
        <v/>
      </c>
      <c r="B102" s="62">
        <f t="shared" si="0"/>
        <v>99</v>
      </c>
      <c r="C102" s="62" t="s">
        <v>80</v>
      </c>
      <c r="D102" s="67">
        <v>42676</v>
      </c>
      <c r="E102" s="192" t="s">
        <v>167</v>
      </c>
      <c r="F102" s="64" t="s">
        <v>321</v>
      </c>
      <c r="G102" s="64" t="s">
        <v>322</v>
      </c>
      <c r="H102" s="64" t="s">
        <v>323</v>
      </c>
      <c r="I102" s="65" t="s">
        <v>324</v>
      </c>
      <c r="J102" s="66"/>
      <c r="K102" s="67"/>
      <c r="L102" s="65"/>
      <c r="M102" s="65"/>
      <c r="N102" s="64" t="s">
        <v>320</v>
      </c>
      <c r="O102" s="68"/>
      <c r="P102" s="69">
        <v>100000000</v>
      </c>
      <c r="Q102" s="199" t="s">
        <v>189</v>
      </c>
      <c r="R102" s="202" t="str">
        <f>IF(AND(C102="pv",D102='UNC - PV'!$Q$2,LEFT(E102,1)="u",'UNC - PV'!$O$2="vnđ",TH!P102&lt;&gt;""),"p",IF(AND(C102="pv",D102='UNC - PV'!$Q$2,LEFT(E102,1)="u",'UNC - PV'!$O$2="usd",TH!O102&lt;&gt;""),"p1",IF(AND(C102="pv",D102='LC - PV'!$P$2,LEFT(E102,1)="l"),"p2",IF(AND(LEFT(C102,3)="EIB",D102='UNC - EIB'!$T$2,LEFT(E102,1)="u",'UNC - EIB'!$R$2="vnđ",TH!P102&lt;&gt;""),"e",IF(AND(LEFT(C102,3)="EIB",D102='UNC - EIB'!$T$2,LEFT(E102,1)="U",'UNC - EIB'!$R$2="usd",TH!O102&lt;&gt;""),"e1",IF(AND(LEFT(C102,3)="EIB",D102='LC - EIB'!$S$2,LEFT(E102,1)="l"),"e2",""))))))</f>
        <v/>
      </c>
    </row>
    <row r="103" spans="1:18" ht="18.75" customHeight="1">
      <c r="A103" s="55" t="str">
        <f>IF(AND(C103="pv",E103='UNC - PV'!$S$2,D103='UNC - PV'!$Q$2),"x",IF(AND(LEFT(C103,3)="eib",E103='UNC - EIB'!$V$2,D103='UNC - EIB'!$T$2),"x1",IF(AND(C103="pv",E103='LC - PV'!$R$2,D103='LC - PV'!$P$2),"x2",IF(AND(LEFT(C103,3)="eib",E103='LC - EIB'!$U$2,D103='LC - EIB'!$S$2),"x3",""))))</f>
        <v/>
      </c>
      <c r="B103" s="62">
        <f t="shared" si="0"/>
        <v>100</v>
      </c>
      <c r="C103" s="62" t="s">
        <v>80</v>
      </c>
      <c r="D103" s="67">
        <v>42676</v>
      </c>
      <c r="E103" s="192" t="s">
        <v>217</v>
      </c>
      <c r="F103" s="64" t="s">
        <v>372</v>
      </c>
      <c r="G103" s="64" t="s">
        <v>373</v>
      </c>
      <c r="H103" s="64" t="s">
        <v>374</v>
      </c>
      <c r="I103" s="94" t="s">
        <v>9</v>
      </c>
      <c r="J103" s="66"/>
      <c r="K103" s="67"/>
      <c r="L103" s="65"/>
      <c r="M103" s="65"/>
      <c r="N103" s="64" t="s">
        <v>375</v>
      </c>
      <c r="O103" s="68"/>
      <c r="P103" s="69">
        <v>29656000</v>
      </c>
      <c r="Q103" s="199" t="s">
        <v>189</v>
      </c>
      <c r="R103" s="202" t="str">
        <f>IF(AND(C103="pv",D103='UNC - PV'!$Q$2,LEFT(E103,1)="u",'UNC - PV'!$O$2="vnđ",TH!P103&lt;&gt;""),"p",IF(AND(C103="pv",D103='UNC - PV'!$Q$2,LEFT(E103,1)="u",'UNC - PV'!$O$2="usd",TH!O103&lt;&gt;""),"p1",IF(AND(C103="pv",D103='LC - PV'!$P$2,LEFT(E103,1)="l"),"p2",IF(AND(LEFT(C103,3)="EIB",D103='UNC - EIB'!$T$2,LEFT(E103,1)="u",'UNC - EIB'!$R$2="vnđ",TH!P103&lt;&gt;""),"e",IF(AND(LEFT(C103,3)="EIB",D103='UNC - EIB'!$T$2,LEFT(E103,1)="U",'UNC - EIB'!$R$2="usd",TH!O103&lt;&gt;""),"e1",IF(AND(LEFT(C103,3)="EIB",D103='LC - EIB'!$S$2,LEFT(E103,1)="l"),"e2",""))))))</f>
        <v/>
      </c>
    </row>
    <row r="104" spans="1:18" ht="18.75" customHeight="1">
      <c r="A104" s="55" t="str">
        <f>IF(AND(C104="pv",E104='UNC - PV'!$S$2,D104='UNC - PV'!$Q$2),"x",IF(AND(LEFT(C104,3)="eib",E104='UNC - EIB'!$V$2,D104='UNC - EIB'!$T$2),"x1",IF(AND(C104="pv",E104='LC - PV'!$R$2,D104='LC - PV'!$P$2),"x2",IF(AND(LEFT(C104,3)="eib",E104='LC - EIB'!$U$2,D104='LC - EIB'!$S$2),"x3",""))))</f>
        <v/>
      </c>
      <c r="B104" s="62">
        <f t="shared" si="0"/>
        <v>101</v>
      </c>
      <c r="C104" s="62" t="s">
        <v>141</v>
      </c>
      <c r="D104" s="67">
        <v>42689</v>
      </c>
      <c r="E104" s="192" t="s">
        <v>21</v>
      </c>
      <c r="F104" s="96" t="s">
        <v>128</v>
      </c>
      <c r="G104" s="96" t="s">
        <v>367</v>
      </c>
      <c r="H104" s="96" t="s">
        <v>203</v>
      </c>
      <c r="I104" s="94" t="s">
        <v>9</v>
      </c>
      <c r="J104" s="66"/>
      <c r="K104" s="67"/>
      <c r="L104" s="65"/>
      <c r="M104" s="65"/>
      <c r="N104" s="64" t="s">
        <v>166</v>
      </c>
      <c r="O104" s="68">
        <v>4400</v>
      </c>
      <c r="P104" s="69"/>
      <c r="Q104" s="199" t="s">
        <v>189</v>
      </c>
      <c r="R104" s="202" t="str">
        <f>IF(AND(C104="pv",D104='UNC - PV'!$Q$2,LEFT(E104,1)="u",'UNC - PV'!$O$2="vnđ",TH!P104&lt;&gt;""),"p",IF(AND(C104="pv",D104='UNC - PV'!$Q$2,LEFT(E104,1)="u",'UNC - PV'!$O$2="usd",TH!O104&lt;&gt;""),"p1",IF(AND(C104="pv",D104='LC - PV'!$P$2,LEFT(E104,1)="l"),"p2",IF(AND(LEFT(C104,3)="EIB",D104='UNC - EIB'!$T$2,LEFT(E104,1)="u",'UNC - EIB'!$R$2="vnđ",TH!P104&lt;&gt;""),"e",IF(AND(LEFT(C104,3)="EIB",D104='UNC - EIB'!$T$2,LEFT(E104,1)="U",'UNC - EIB'!$R$2="usd",TH!O104&lt;&gt;""),"e1",IF(AND(LEFT(C104,3)="EIB",D104='LC - EIB'!$S$2,LEFT(E104,1)="l"),"e2",""))))))</f>
        <v/>
      </c>
    </row>
    <row r="105" spans="1:18" ht="18.75" customHeight="1">
      <c r="A105" s="55" t="str">
        <f>IF(AND(C105="pv",E105='UNC - PV'!$S$2,D105='UNC - PV'!$Q$2),"x",IF(AND(LEFT(C105,3)="eib",E105='UNC - EIB'!$V$2,D105='UNC - EIB'!$T$2),"x1",IF(AND(C105="pv",E105='LC - PV'!$R$2,D105='LC - PV'!$P$2),"x2",IF(AND(LEFT(C105,3)="eib",E105='LC - EIB'!$U$2,D105='LC - EIB'!$S$2),"x3",""))))</f>
        <v/>
      </c>
      <c r="B105" s="62">
        <f t="shared" si="0"/>
        <v>102</v>
      </c>
      <c r="C105" s="62" t="s">
        <v>124</v>
      </c>
      <c r="D105" s="67">
        <v>42689</v>
      </c>
      <c r="E105" s="192" t="s">
        <v>22</v>
      </c>
      <c r="F105" s="64" t="s">
        <v>34</v>
      </c>
      <c r="G105" s="64" t="s">
        <v>30</v>
      </c>
      <c r="H105" s="64" t="s">
        <v>31</v>
      </c>
      <c r="I105" s="65" t="s">
        <v>33</v>
      </c>
      <c r="J105" s="66"/>
      <c r="K105" s="67"/>
      <c r="L105" s="65"/>
      <c r="M105" s="65"/>
      <c r="N105" s="64" t="s">
        <v>376</v>
      </c>
      <c r="O105" s="68"/>
      <c r="P105" s="69">
        <v>22634810</v>
      </c>
      <c r="Q105" s="199" t="s">
        <v>189</v>
      </c>
      <c r="R105" s="202" t="str">
        <f>IF(AND(C105="pv",D105='UNC - PV'!$Q$2,LEFT(E105,1)="u",'UNC - PV'!$O$2="vnđ",TH!P105&lt;&gt;""),"p",IF(AND(C105="pv",D105='UNC - PV'!$Q$2,LEFT(E105,1)="u",'UNC - PV'!$O$2="usd",TH!O105&lt;&gt;""),"p1",IF(AND(C105="pv",D105='LC - PV'!$P$2,LEFT(E105,1)="l"),"p2",IF(AND(LEFT(C105,3)="EIB",D105='UNC - EIB'!$T$2,LEFT(E105,1)="u",'UNC - EIB'!$R$2="vnđ",TH!P105&lt;&gt;""),"e",IF(AND(LEFT(C105,3)="EIB",D105='UNC - EIB'!$T$2,LEFT(E105,1)="U",'UNC - EIB'!$R$2="usd",TH!O105&lt;&gt;""),"e1",IF(AND(LEFT(C105,3)="EIB",D105='LC - EIB'!$S$2,LEFT(E105,1)="l"),"e2",""))))))</f>
        <v/>
      </c>
    </row>
    <row r="106" spans="1:18" ht="18.75" customHeight="1">
      <c r="A106" s="55" t="str">
        <f>IF(AND(C106="pv",E106='UNC - PV'!$S$2,D106='UNC - PV'!$Q$2),"x",IF(AND(LEFT(C106,3)="eib",E106='UNC - EIB'!$V$2,D106='UNC - EIB'!$T$2),"x1",IF(AND(C106="pv",E106='LC - PV'!$R$2,D106='LC - PV'!$P$2),"x2",IF(AND(LEFT(C106,3)="eib",E106='LC - EIB'!$U$2,D106='LC - EIB'!$S$2),"x3",""))))</f>
        <v/>
      </c>
      <c r="B106" s="62">
        <f t="shared" si="0"/>
        <v>103</v>
      </c>
      <c r="C106" s="62" t="s">
        <v>102</v>
      </c>
      <c r="D106" s="67">
        <v>42689</v>
      </c>
      <c r="E106" s="192" t="s">
        <v>23</v>
      </c>
      <c r="F106" s="64" t="s">
        <v>357</v>
      </c>
      <c r="G106" s="64" t="s">
        <v>358</v>
      </c>
      <c r="H106" s="64" t="s">
        <v>360</v>
      </c>
      <c r="I106" s="94" t="s">
        <v>9</v>
      </c>
      <c r="J106" s="66"/>
      <c r="K106" s="67"/>
      <c r="L106" s="65"/>
      <c r="M106" s="65"/>
      <c r="N106" s="64" t="s">
        <v>377</v>
      </c>
      <c r="O106" s="68"/>
      <c r="P106" s="69">
        <v>100000000</v>
      </c>
      <c r="Q106" s="199" t="s">
        <v>189</v>
      </c>
      <c r="R106" s="202" t="str">
        <f>IF(AND(C106="pv",D106='UNC - PV'!$Q$2,LEFT(E106,1)="u",'UNC - PV'!$O$2="vnđ",TH!P106&lt;&gt;""),"p",IF(AND(C106="pv",D106='UNC - PV'!$Q$2,LEFT(E106,1)="u",'UNC - PV'!$O$2="usd",TH!O106&lt;&gt;""),"p1",IF(AND(C106="pv",D106='LC - PV'!$P$2,LEFT(E106,1)="l"),"p2",IF(AND(LEFT(C106,3)="EIB",D106='UNC - EIB'!$T$2,LEFT(E106,1)="u",'UNC - EIB'!$R$2="vnđ",TH!P106&lt;&gt;""),"e",IF(AND(LEFT(C106,3)="EIB",D106='UNC - EIB'!$T$2,LEFT(E106,1)="U",'UNC - EIB'!$R$2="usd",TH!O106&lt;&gt;""),"e1",IF(AND(LEFT(C106,3)="EIB",D106='LC - EIB'!$S$2,LEFT(E106,1)="l"),"e2",""))))))</f>
        <v/>
      </c>
    </row>
    <row r="107" spans="1:18" ht="18.75" customHeight="1">
      <c r="A107" s="55" t="str">
        <f>IF(AND(C107="pv",E107='UNC - PV'!$S$2,D107='UNC - PV'!$Q$2),"x",IF(AND(LEFT(C107,3)="eib",E107='UNC - EIB'!$V$2,D107='UNC - EIB'!$T$2),"x1",IF(AND(C107="pv",E107='LC - PV'!$R$2,D107='LC - PV'!$P$2),"x2",IF(AND(LEFT(C107,3)="eib",E107='LC - EIB'!$U$2,D107='LC - EIB'!$S$2),"x3",""))))</f>
        <v/>
      </c>
      <c r="B107" s="62">
        <f t="shared" si="0"/>
        <v>104</v>
      </c>
      <c r="C107" s="62" t="s">
        <v>141</v>
      </c>
      <c r="D107" s="67">
        <v>42697</v>
      </c>
      <c r="E107" s="192" t="s">
        <v>21</v>
      </c>
      <c r="F107" s="64" t="s">
        <v>383</v>
      </c>
      <c r="G107" s="64" t="s">
        <v>384</v>
      </c>
      <c r="H107" s="64" t="s">
        <v>385</v>
      </c>
      <c r="I107" s="65" t="s">
        <v>386</v>
      </c>
      <c r="J107" s="66"/>
      <c r="K107" s="67"/>
      <c r="L107" s="65"/>
      <c r="M107" s="65"/>
      <c r="N107" s="64" t="s">
        <v>387</v>
      </c>
      <c r="O107" s="68"/>
      <c r="P107" s="69">
        <v>4394000000</v>
      </c>
      <c r="Q107" s="199" t="s">
        <v>189</v>
      </c>
      <c r="R107" s="202" t="str">
        <f>IF(AND(C107="pv",D107='UNC - PV'!$Q$2,LEFT(E107,1)="u",'UNC - PV'!$O$2="vnđ",TH!P107&lt;&gt;""),"p",IF(AND(C107="pv",D107='UNC - PV'!$Q$2,LEFT(E107,1)="u",'UNC - PV'!$O$2="usd",TH!O107&lt;&gt;""),"p1",IF(AND(C107="pv",D107='LC - PV'!$P$2,LEFT(E107,1)="l"),"p2",IF(AND(LEFT(C107,3)="EIB",D107='UNC - EIB'!$T$2,LEFT(E107,1)="u",'UNC - EIB'!$R$2="vnđ",TH!P107&lt;&gt;""),"e",IF(AND(LEFT(C107,3)="EIB",D107='UNC - EIB'!$T$2,LEFT(E107,1)="U",'UNC - EIB'!$R$2="usd",TH!O107&lt;&gt;""),"e1",IF(AND(LEFT(C107,3)="EIB",D107='LC - EIB'!$S$2,LEFT(E107,1)="l"),"e2",""))))))</f>
        <v/>
      </c>
    </row>
    <row r="108" spans="1:18" ht="18.75" customHeight="1">
      <c r="A108" s="55" t="str">
        <f>IF(AND(C108="pv",E108='UNC - PV'!$S$2,D108='UNC - PV'!$Q$2),"x",IF(AND(LEFT(C108,3)="eib",E108='UNC - EIB'!$V$2,D108='UNC - EIB'!$T$2),"x1",IF(AND(C108="pv",E108='LC - PV'!$R$2,D108='LC - PV'!$P$2),"x2",IF(AND(LEFT(C108,3)="eib",E108='LC - EIB'!$U$2,D108='LC - EIB'!$S$2),"x3",""))))</f>
        <v/>
      </c>
      <c r="B108" s="62">
        <f t="shared" si="0"/>
        <v>105</v>
      </c>
      <c r="C108" s="62" t="s">
        <v>141</v>
      </c>
      <c r="D108" s="67">
        <v>42697</v>
      </c>
      <c r="E108" s="192" t="s">
        <v>22</v>
      </c>
      <c r="F108" s="64" t="s">
        <v>34</v>
      </c>
      <c r="G108" s="64" t="s">
        <v>30</v>
      </c>
      <c r="H108" s="64" t="s">
        <v>31</v>
      </c>
      <c r="I108" s="65" t="s">
        <v>33</v>
      </c>
      <c r="J108" s="66"/>
      <c r="K108" s="67"/>
      <c r="L108" s="65"/>
      <c r="M108" s="65"/>
      <c r="N108" s="64" t="s">
        <v>388</v>
      </c>
      <c r="O108" s="68"/>
      <c r="P108" s="69">
        <v>31233070</v>
      </c>
      <c r="Q108" s="199" t="s">
        <v>189</v>
      </c>
      <c r="R108" s="202" t="str">
        <f>IF(AND(C108="pv",D108='UNC - PV'!$Q$2,LEFT(E108,1)="u",'UNC - PV'!$O$2="vnđ",TH!P108&lt;&gt;""),"p",IF(AND(C108="pv",D108='UNC - PV'!$Q$2,LEFT(E108,1)="u",'UNC - PV'!$O$2="usd",TH!O108&lt;&gt;""),"p1",IF(AND(C108="pv",D108='LC - PV'!$P$2,LEFT(E108,1)="l"),"p2",IF(AND(LEFT(C108,3)="EIB",D108='UNC - EIB'!$T$2,LEFT(E108,1)="u",'UNC - EIB'!$R$2="vnđ",TH!P108&lt;&gt;""),"e",IF(AND(LEFT(C108,3)="EIB",D108='UNC - EIB'!$T$2,LEFT(E108,1)="U",'UNC - EIB'!$R$2="usd",TH!O108&lt;&gt;""),"e1",IF(AND(LEFT(C108,3)="EIB",D108='LC - EIB'!$S$2,LEFT(E108,1)="l"),"e2",""))))))</f>
        <v/>
      </c>
    </row>
    <row r="109" spans="1:18" ht="18.75" customHeight="1">
      <c r="A109" s="55" t="str">
        <f>IF(AND(C109="pv",E109='UNC - PV'!$S$2,D109='UNC - PV'!$Q$2),"x",IF(AND(LEFT(C109,3)="eib",E109='UNC - EIB'!$V$2,D109='UNC - EIB'!$T$2),"x1",IF(AND(C109="pv",E109='LC - PV'!$R$2,D109='LC - PV'!$P$2),"x2",IF(AND(LEFT(C109,3)="eib",E109='LC - EIB'!$U$2,D109='LC - EIB'!$S$2),"x3",""))))</f>
        <v/>
      </c>
      <c r="B109" s="62">
        <f t="shared" si="0"/>
        <v>106</v>
      </c>
      <c r="C109" s="62" t="s">
        <v>141</v>
      </c>
      <c r="D109" s="67">
        <v>42697</v>
      </c>
      <c r="E109" s="192" t="s">
        <v>23</v>
      </c>
      <c r="F109" s="96" t="s">
        <v>129</v>
      </c>
      <c r="G109" s="96" t="s">
        <v>130</v>
      </c>
      <c r="H109" s="96" t="s">
        <v>126</v>
      </c>
      <c r="I109" s="94" t="s">
        <v>9</v>
      </c>
      <c r="J109" s="66"/>
      <c r="K109" s="67"/>
      <c r="L109" s="65"/>
      <c r="M109" s="65"/>
      <c r="N109" s="96" t="s">
        <v>387</v>
      </c>
      <c r="O109" s="68"/>
      <c r="P109" s="69">
        <v>2250000000</v>
      </c>
      <c r="Q109" s="199" t="s">
        <v>189</v>
      </c>
      <c r="R109" s="202" t="str">
        <f>IF(AND(C109="pv",D109='UNC - PV'!$Q$2,LEFT(E109,1)="u",'UNC - PV'!$O$2="vnđ",TH!P109&lt;&gt;""),"p",IF(AND(C109="pv",D109='UNC - PV'!$Q$2,LEFT(E109,1)="u",'UNC - PV'!$O$2="usd",TH!O109&lt;&gt;""),"p1",IF(AND(C109="pv",D109='LC - PV'!$P$2,LEFT(E109,1)="l"),"p2",IF(AND(LEFT(C109,3)="EIB",D109='UNC - EIB'!$T$2,LEFT(E109,1)="u",'UNC - EIB'!$R$2="vnđ",TH!P109&lt;&gt;""),"e",IF(AND(LEFT(C109,3)="EIB",D109='UNC - EIB'!$T$2,LEFT(E109,1)="U",'UNC - EIB'!$R$2="usd",TH!O109&lt;&gt;""),"e1",IF(AND(LEFT(C109,3)="EIB",D109='LC - EIB'!$S$2,LEFT(E109,1)="l"),"e2",""))))))</f>
        <v/>
      </c>
    </row>
    <row r="110" spans="1:18" ht="18.75" customHeight="1">
      <c r="A110" s="55" t="str">
        <f>IF(AND(C110="pv",E110='UNC - PV'!$S$2,D110='UNC - PV'!$Q$2),"x",IF(AND(LEFT(C110,3)="eib",E110='UNC - EIB'!$V$2,D110='UNC - EIB'!$T$2),"x1",IF(AND(C110="pv",E110='LC - PV'!$R$2,D110='LC - PV'!$P$2),"x2",IF(AND(LEFT(C110,3)="eib",E110='LC - EIB'!$U$2,D110='LC - EIB'!$S$2),"x3",""))))</f>
        <v/>
      </c>
      <c r="B110" s="62">
        <f t="shared" si="0"/>
        <v>107</v>
      </c>
      <c r="C110" s="62" t="s">
        <v>124</v>
      </c>
      <c r="D110" s="67">
        <v>42698</v>
      </c>
      <c r="E110" s="192" t="s">
        <v>21</v>
      </c>
      <c r="F110" s="96" t="s">
        <v>128</v>
      </c>
      <c r="G110" s="96" t="s">
        <v>127</v>
      </c>
      <c r="H110" s="96" t="s">
        <v>126</v>
      </c>
      <c r="I110" s="94" t="s">
        <v>9</v>
      </c>
      <c r="J110" s="97"/>
      <c r="K110" s="67"/>
      <c r="L110" s="65"/>
      <c r="M110" s="65"/>
      <c r="N110" s="64" t="s">
        <v>125</v>
      </c>
      <c r="O110" s="68">
        <v>4600</v>
      </c>
      <c r="P110" s="69"/>
      <c r="Q110" s="199" t="s">
        <v>189</v>
      </c>
      <c r="R110" s="202" t="str">
        <f>IF(AND(C110="pv",D110='UNC - PV'!$Q$2,LEFT(E110,1)="u",'UNC - PV'!$O$2="vnđ",TH!P110&lt;&gt;""),"p",IF(AND(C110="pv",D110='UNC - PV'!$Q$2,LEFT(E110,1)="u",'UNC - PV'!$O$2="usd",TH!O110&lt;&gt;""),"p1",IF(AND(C110="pv",D110='LC - PV'!$P$2,LEFT(E110,1)="l"),"p2",IF(AND(LEFT(C110,3)="EIB",D110='UNC - EIB'!$T$2,LEFT(E110,1)="u",'UNC - EIB'!$R$2="vnđ",TH!P110&lt;&gt;""),"e",IF(AND(LEFT(C110,3)="EIB",D110='UNC - EIB'!$T$2,LEFT(E110,1)="U",'UNC - EIB'!$R$2="usd",TH!O110&lt;&gt;""),"e1",IF(AND(LEFT(C110,3)="EIB",D110='LC - EIB'!$S$2,LEFT(E110,1)="l"),"e2",""))))))</f>
        <v/>
      </c>
    </row>
    <row r="111" spans="1:18" ht="18.75" customHeight="1">
      <c r="A111" s="55" t="str">
        <f>IF(AND(C111="pv",E111='UNC - PV'!$S$2,D111='UNC - PV'!$Q$2),"x",IF(AND(LEFT(C111,3)="eib",E111='UNC - EIB'!$V$2,D111='UNC - EIB'!$T$2),"x1",IF(AND(C111="pv",E111='LC - PV'!$R$2,D111='LC - PV'!$P$2),"x2",IF(AND(LEFT(C111,3)="eib",E111='LC - EIB'!$U$2,D111='LC - EIB'!$S$2),"x3",""))))</f>
        <v/>
      </c>
      <c r="B111" s="62">
        <f t="shared" si="0"/>
        <v>108</v>
      </c>
      <c r="C111" s="62" t="s">
        <v>124</v>
      </c>
      <c r="D111" s="67">
        <v>42698</v>
      </c>
      <c r="E111" s="192" t="s">
        <v>22</v>
      </c>
      <c r="F111" s="64" t="s">
        <v>89</v>
      </c>
      <c r="G111" s="64" t="s">
        <v>90</v>
      </c>
      <c r="H111" s="64" t="s">
        <v>91</v>
      </c>
      <c r="I111" s="65" t="s">
        <v>33</v>
      </c>
      <c r="J111" s="66"/>
      <c r="K111" s="67"/>
      <c r="L111" s="65"/>
      <c r="M111" s="65"/>
      <c r="N111" s="64" t="s">
        <v>92</v>
      </c>
      <c r="O111" s="68"/>
      <c r="P111" s="69">
        <v>80000000</v>
      </c>
      <c r="Q111" s="199" t="s">
        <v>189</v>
      </c>
      <c r="R111" s="202" t="str">
        <f>IF(AND(C111="pv",D111='UNC - PV'!$Q$2,LEFT(E111,1)="u",'UNC - PV'!$O$2="vnđ",TH!P111&lt;&gt;""),"p",IF(AND(C111="pv",D111='UNC - PV'!$Q$2,LEFT(E111,1)="u",'UNC - PV'!$O$2="usd",TH!O111&lt;&gt;""),"p1",IF(AND(C111="pv",D111='LC - PV'!$P$2,LEFT(E111,1)="l"),"p2",IF(AND(LEFT(C111,3)="EIB",D111='UNC - EIB'!$T$2,LEFT(E111,1)="u",'UNC - EIB'!$R$2="vnđ",TH!P111&lt;&gt;""),"e",IF(AND(LEFT(C111,3)="EIB",D111='UNC - EIB'!$T$2,LEFT(E111,1)="U",'UNC - EIB'!$R$2="usd",TH!O111&lt;&gt;""),"e1",IF(AND(LEFT(C111,3)="EIB",D111='LC - EIB'!$S$2,LEFT(E111,1)="l"),"e2",""))))))</f>
        <v/>
      </c>
    </row>
    <row r="112" spans="1:18" ht="18.75" customHeight="1">
      <c r="A112" s="55" t="str">
        <f>IF(AND(C112="pv",E112='UNC - PV'!$S$2,D112='UNC - PV'!$Q$2),"x",IF(AND(LEFT(C112,3)="eib",E112='UNC - EIB'!$V$2,D112='UNC - EIB'!$T$2),"x1",IF(AND(C112="pv",E112='LC - PV'!$R$2,D112='LC - PV'!$P$2),"x2",IF(AND(LEFT(C112,3)="eib",E112='LC - EIB'!$U$2,D112='LC - EIB'!$S$2),"x3",""))))</f>
        <v/>
      </c>
      <c r="B112" s="62">
        <f t="shared" si="0"/>
        <v>109</v>
      </c>
      <c r="C112" s="62" t="s">
        <v>124</v>
      </c>
      <c r="D112" s="67">
        <v>42698</v>
      </c>
      <c r="E112" s="192" t="s">
        <v>23</v>
      </c>
      <c r="F112" s="64" t="s">
        <v>173</v>
      </c>
      <c r="G112" s="71" t="s">
        <v>174</v>
      </c>
      <c r="H112" s="64" t="s">
        <v>175</v>
      </c>
      <c r="I112" s="94" t="s">
        <v>9</v>
      </c>
      <c r="J112" s="66"/>
      <c r="K112" s="67"/>
      <c r="L112" s="65"/>
      <c r="M112" s="65"/>
      <c r="N112" s="64" t="s">
        <v>389</v>
      </c>
      <c r="O112" s="68"/>
      <c r="P112" s="69">
        <v>810000</v>
      </c>
      <c r="Q112" s="199" t="s">
        <v>189</v>
      </c>
      <c r="R112" s="202" t="str">
        <f>IF(AND(C112="pv",D112='UNC - PV'!$Q$2,LEFT(E112,1)="u",'UNC - PV'!$O$2="vnđ",TH!P112&lt;&gt;""),"p",IF(AND(C112="pv",D112='UNC - PV'!$Q$2,LEFT(E112,1)="u",'UNC - PV'!$O$2="usd",TH!O112&lt;&gt;""),"p1",IF(AND(C112="pv",D112='LC - PV'!$P$2,LEFT(E112,1)="l"),"p2",IF(AND(LEFT(C112,3)="EIB",D112='UNC - EIB'!$T$2,LEFT(E112,1)="u",'UNC - EIB'!$R$2="vnđ",TH!P112&lt;&gt;""),"e",IF(AND(LEFT(C112,3)="EIB",D112='UNC - EIB'!$T$2,LEFT(E112,1)="U",'UNC - EIB'!$R$2="usd",TH!O112&lt;&gt;""),"e1",IF(AND(LEFT(C112,3)="EIB",D112='LC - EIB'!$S$2,LEFT(E112,1)="l"),"e2",""))))))</f>
        <v/>
      </c>
    </row>
    <row r="113" spans="1:18" ht="18.75" customHeight="1">
      <c r="A113" s="55" t="str">
        <f>IF(AND(C113="pv",E113='UNC - PV'!$S$2,D113='UNC - PV'!$Q$2),"x",IF(AND(LEFT(C113,3)="eib",E113='UNC - EIB'!$V$2,D113='UNC - EIB'!$T$2),"x1",IF(AND(C113="pv",E113='LC - PV'!$R$2,D113='LC - PV'!$P$2),"x2",IF(AND(LEFT(C113,3)="eib",E113='LC - EIB'!$U$2,D113='LC - EIB'!$S$2),"x3",""))))</f>
        <v/>
      </c>
      <c r="B113" s="62">
        <f t="shared" si="0"/>
        <v>110</v>
      </c>
      <c r="C113" s="62" t="s">
        <v>124</v>
      </c>
      <c r="D113" s="67">
        <v>42698</v>
      </c>
      <c r="E113" s="192" t="s">
        <v>24</v>
      </c>
      <c r="F113" s="64" t="s">
        <v>173</v>
      </c>
      <c r="G113" s="71" t="s">
        <v>176</v>
      </c>
      <c r="H113" s="64" t="s">
        <v>177</v>
      </c>
      <c r="I113" s="94" t="s">
        <v>9</v>
      </c>
      <c r="J113" s="66"/>
      <c r="K113" s="67"/>
      <c r="L113" s="65"/>
      <c r="M113" s="65"/>
      <c r="N113" s="64" t="s">
        <v>389</v>
      </c>
      <c r="O113" s="68"/>
      <c r="P113" s="69">
        <v>2230000</v>
      </c>
      <c r="Q113" s="199" t="s">
        <v>189</v>
      </c>
      <c r="R113" s="202" t="str">
        <f>IF(AND(C113="pv",D113='UNC - PV'!$Q$2,LEFT(E113,1)="u",'UNC - PV'!$O$2="vnđ",TH!P113&lt;&gt;""),"p",IF(AND(C113="pv",D113='UNC - PV'!$Q$2,LEFT(E113,1)="u",'UNC - PV'!$O$2="usd",TH!O113&lt;&gt;""),"p1",IF(AND(C113="pv",D113='LC - PV'!$P$2,LEFT(E113,1)="l"),"p2",IF(AND(LEFT(C113,3)="EIB",D113='UNC - EIB'!$T$2,LEFT(E113,1)="u",'UNC - EIB'!$R$2="vnđ",TH!P113&lt;&gt;""),"e",IF(AND(LEFT(C113,3)="EIB",D113='UNC - EIB'!$T$2,LEFT(E113,1)="U",'UNC - EIB'!$R$2="usd",TH!O113&lt;&gt;""),"e1",IF(AND(LEFT(C113,3)="EIB",D113='LC - EIB'!$S$2,LEFT(E113,1)="l"),"e2",""))))))</f>
        <v/>
      </c>
    </row>
    <row r="114" spans="1:18" ht="18.75" customHeight="1">
      <c r="A114" s="55" t="str">
        <f>IF(AND(C114="pv",E114='UNC - PV'!$S$2,D114='UNC - PV'!$Q$2),"x",IF(AND(LEFT(C114,3)="eib",E114='UNC - EIB'!$V$2,D114='UNC - EIB'!$T$2),"x1",IF(AND(C114="pv",E114='LC - PV'!$R$2,D114='LC - PV'!$P$2),"x2",IF(AND(LEFT(C114,3)="eib",E114='LC - EIB'!$U$2,D114='LC - EIB'!$S$2),"x3",""))))</f>
        <v/>
      </c>
      <c r="B114" s="62">
        <f t="shared" si="0"/>
        <v>111</v>
      </c>
      <c r="C114" s="62" t="s">
        <v>141</v>
      </c>
      <c r="D114" s="67">
        <v>42699</v>
      </c>
      <c r="E114" s="192" t="s">
        <v>21</v>
      </c>
      <c r="F114" s="64" t="s">
        <v>390</v>
      </c>
      <c r="G114" s="64" t="s">
        <v>391</v>
      </c>
      <c r="H114" s="64" t="s">
        <v>385</v>
      </c>
      <c r="I114" s="65" t="s">
        <v>386</v>
      </c>
      <c r="J114" s="66"/>
      <c r="K114" s="67"/>
      <c r="L114" s="65"/>
      <c r="M114" s="65"/>
      <c r="N114" s="96" t="s">
        <v>387</v>
      </c>
      <c r="O114" s="68"/>
      <c r="P114" s="69">
        <v>1441167000</v>
      </c>
      <c r="Q114" s="199" t="s">
        <v>189</v>
      </c>
      <c r="R114" s="202" t="str">
        <f>IF(AND(C114="pv",D114='UNC - PV'!$Q$2,LEFT(E114,1)="u",'UNC - PV'!$O$2="vnđ",TH!P114&lt;&gt;""),"p",IF(AND(C114="pv",D114='UNC - PV'!$Q$2,LEFT(E114,1)="u",'UNC - PV'!$O$2="usd",TH!O114&lt;&gt;""),"p1",IF(AND(C114="pv",D114='LC - PV'!$P$2,LEFT(E114,1)="l"),"p2",IF(AND(LEFT(C114,3)="EIB",D114='UNC - EIB'!$T$2,LEFT(E114,1)="u",'UNC - EIB'!$R$2="vnđ",TH!P114&lt;&gt;""),"e",IF(AND(LEFT(C114,3)="EIB",D114='UNC - EIB'!$T$2,LEFT(E114,1)="U",'UNC - EIB'!$R$2="usd",TH!O114&lt;&gt;""),"e1",IF(AND(LEFT(C114,3)="EIB",D114='LC - EIB'!$S$2,LEFT(E114,1)="l"),"e2",""))))))</f>
        <v/>
      </c>
    </row>
    <row r="115" spans="1:18" ht="18.75" customHeight="1">
      <c r="A115" s="55" t="str">
        <f>IF(AND(C115="pv",E115='UNC - PV'!$S$2,D115='UNC - PV'!$Q$2),"x",IF(AND(LEFT(C115,3)="eib",E115='UNC - EIB'!$V$2,D115='UNC - EIB'!$T$2),"x1",IF(AND(C115="pv",E115='LC - PV'!$R$2,D115='LC - PV'!$P$2),"x2",IF(AND(LEFT(C115,3)="eib",E115='LC - EIB'!$U$2,D115='LC - EIB'!$S$2),"x3",""))))</f>
        <v/>
      </c>
      <c r="B115" s="62">
        <f t="shared" ref="B115:B128" si="7">IF(C115&lt;&gt;"",ROW()-3,"")</f>
        <v>112</v>
      </c>
      <c r="C115" s="62" t="s">
        <v>141</v>
      </c>
      <c r="D115" s="67">
        <v>42699</v>
      </c>
      <c r="E115" s="192" t="s">
        <v>22</v>
      </c>
      <c r="F115" s="96" t="s">
        <v>129</v>
      </c>
      <c r="G115" s="96" t="s">
        <v>130</v>
      </c>
      <c r="H115" s="96" t="s">
        <v>126</v>
      </c>
      <c r="I115" s="94" t="s">
        <v>9</v>
      </c>
      <c r="J115" s="66"/>
      <c r="K115" s="67"/>
      <c r="L115" s="65"/>
      <c r="M115" s="65"/>
      <c r="N115" s="96" t="s">
        <v>387</v>
      </c>
      <c r="O115" s="68"/>
      <c r="P115" s="69">
        <v>1319000000</v>
      </c>
      <c r="Q115" s="92" t="s">
        <v>190</v>
      </c>
      <c r="R115" s="202" t="str">
        <f>IF(AND(C115="pv",D115='UNC - PV'!$Q$2,LEFT(E115,1)="u",'UNC - PV'!$O$2="vnđ",TH!P115&lt;&gt;""),"p",IF(AND(C115="pv",D115='UNC - PV'!$Q$2,LEFT(E115,1)="u",'UNC - PV'!$O$2="usd",TH!O115&lt;&gt;""),"p1",IF(AND(C115="pv",D115='LC - PV'!$P$2,LEFT(E115,1)="l"),"p2",IF(AND(LEFT(C115,3)="EIB",D115='UNC - EIB'!$T$2,LEFT(E115,1)="u",'UNC - EIB'!$R$2="vnđ",TH!P115&lt;&gt;""),"e",IF(AND(LEFT(C115,3)="EIB",D115='UNC - EIB'!$T$2,LEFT(E115,1)="U",'UNC - EIB'!$R$2="usd",TH!O115&lt;&gt;""),"e1",IF(AND(LEFT(C115,3)="EIB",D115='LC - EIB'!$S$2,LEFT(E115,1)="l"),"e2",""))))))</f>
        <v/>
      </c>
    </row>
    <row r="116" spans="1:18" ht="18.75" customHeight="1">
      <c r="A116" s="55" t="str">
        <f>IF(AND(C116="pv",E116='UNC - PV'!$S$2,D116='UNC - PV'!$Q$2),"x",IF(AND(LEFT(C116,3)="eib",E116='UNC - EIB'!$V$2,D116='UNC - EIB'!$T$2),"x1",IF(AND(C116="pv",E116='LC - PV'!$R$2,D116='LC - PV'!$P$2),"x2",IF(AND(LEFT(C116,3)="eib",E116='LC - EIB'!$U$2,D116='LC - EIB'!$S$2),"x3",""))))</f>
        <v/>
      </c>
      <c r="B116" s="62">
        <f t="shared" si="7"/>
        <v>113</v>
      </c>
      <c r="C116" s="62" t="s">
        <v>141</v>
      </c>
      <c r="D116" s="67">
        <v>42699</v>
      </c>
      <c r="E116" s="192" t="s">
        <v>23</v>
      </c>
      <c r="F116" s="64" t="s">
        <v>392</v>
      </c>
      <c r="G116" s="64" t="s">
        <v>393</v>
      </c>
      <c r="H116" s="64" t="s">
        <v>396</v>
      </c>
      <c r="I116" s="65" t="s">
        <v>394</v>
      </c>
      <c r="J116" s="66"/>
      <c r="K116" s="67"/>
      <c r="L116" s="65"/>
      <c r="M116" s="65"/>
      <c r="N116" s="96" t="s">
        <v>387</v>
      </c>
      <c r="O116" s="68"/>
      <c r="P116" s="69">
        <v>541450000</v>
      </c>
      <c r="Q116" s="92" t="s">
        <v>190</v>
      </c>
      <c r="R116" s="202" t="str">
        <f>IF(AND(C116="pv",D116='UNC - PV'!$Q$2,LEFT(E116,1)="u",'UNC - PV'!$O$2="vnđ",TH!P116&lt;&gt;""),"p",IF(AND(C116="pv",D116='UNC - PV'!$Q$2,LEFT(E116,1)="u",'UNC - PV'!$O$2="usd",TH!O116&lt;&gt;""),"p1",IF(AND(C116="pv",D116='LC - PV'!$P$2,LEFT(E116,1)="l"),"p2",IF(AND(LEFT(C116,3)="EIB",D116='UNC - EIB'!$T$2,LEFT(E116,1)="u",'UNC - EIB'!$R$2="vnđ",TH!P116&lt;&gt;""),"e",IF(AND(LEFT(C116,3)="EIB",D116='UNC - EIB'!$T$2,LEFT(E116,1)="U",'UNC - EIB'!$R$2="usd",TH!O116&lt;&gt;""),"e1",IF(AND(LEFT(C116,3)="EIB",D116='LC - EIB'!$S$2,LEFT(E116,1)="l"),"e2",""))))))</f>
        <v/>
      </c>
    </row>
    <row r="117" spans="1:18" ht="18.75" customHeight="1">
      <c r="A117" s="55" t="str">
        <f>IF(AND(C117="pv",E117='UNC - PV'!$S$2,D117='UNC - PV'!$Q$2),"x",IF(AND(LEFT(C117,3)="eib",E117='UNC - EIB'!$V$2,D117='UNC - EIB'!$T$2),"x1",IF(AND(C117="pv",E117='LC - PV'!$R$2,D117='LC - PV'!$P$2),"x2",IF(AND(LEFT(C117,3)="eib",E117='LC - EIB'!$U$2,D117='LC - EIB'!$S$2),"x3",""))))</f>
        <v/>
      </c>
      <c r="B117" s="62">
        <f t="shared" si="7"/>
        <v>114</v>
      </c>
      <c r="C117" s="62" t="s">
        <v>141</v>
      </c>
      <c r="D117" s="67">
        <v>42703</v>
      </c>
      <c r="E117" s="192" t="s">
        <v>21</v>
      </c>
      <c r="F117" s="64" t="s">
        <v>173</v>
      </c>
      <c r="G117" s="71" t="s">
        <v>176</v>
      </c>
      <c r="H117" s="64" t="s">
        <v>177</v>
      </c>
      <c r="I117" s="94" t="s">
        <v>9</v>
      </c>
      <c r="J117" s="66"/>
      <c r="K117" s="67"/>
      <c r="L117" s="65"/>
      <c r="M117" s="65"/>
      <c r="N117" s="64" t="s">
        <v>395</v>
      </c>
      <c r="O117" s="68"/>
      <c r="P117" s="69">
        <v>3555000</v>
      </c>
      <c r="Q117" s="92" t="s">
        <v>190</v>
      </c>
      <c r="R117" s="202" t="str">
        <f>IF(AND(C117="pv",D117='UNC - PV'!$Q$2,LEFT(E117,1)="u",'UNC - PV'!$O$2="vnđ",TH!P117&lt;&gt;""),"p",IF(AND(C117="pv",D117='UNC - PV'!$Q$2,LEFT(E117,1)="u",'UNC - PV'!$O$2="usd",TH!O117&lt;&gt;""),"p1",IF(AND(C117="pv",D117='LC - PV'!$P$2,LEFT(E117,1)="l"),"p2",IF(AND(LEFT(C117,3)="EIB",D117='UNC - EIB'!$T$2,LEFT(E117,1)="u",'UNC - EIB'!$R$2="vnđ",TH!P117&lt;&gt;""),"e",IF(AND(LEFT(C117,3)="EIB",D117='UNC - EIB'!$T$2,LEFT(E117,1)="U",'UNC - EIB'!$R$2="usd",TH!O117&lt;&gt;""),"e1",IF(AND(LEFT(C117,3)="EIB",D117='LC - EIB'!$S$2,LEFT(E117,1)="l"),"e2",""))))))</f>
        <v/>
      </c>
    </row>
    <row r="118" spans="1:18" ht="18.75" customHeight="1">
      <c r="A118" s="55" t="str">
        <f>IF(AND(C118="pv",E118='UNC - PV'!$S$2,D118='UNC - PV'!$Q$2),"x",IF(AND(LEFT(C118,3)="eib",E118='UNC - EIB'!$V$2,D118='UNC - EIB'!$T$2),"x1",IF(AND(C118="pv",E118='LC - PV'!$R$2,D118='LC - PV'!$P$2),"x2",IF(AND(LEFT(C118,3)="eib",E118='LC - EIB'!$U$2,D118='LC - EIB'!$S$2),"x3",""))))</f>
        <v/>
      </c>
      <c r="B118" s="62">
        <f t="shared" si="7"/>
        <v>115</v>
      </c>
      <c r="C118" s="62" t="s">
        <v>141</v>
      </c>
      <c r="D118" s="67">
        <v>42703</v>
      </c>
      <c r="E118" s="192" t="s">
        <v>22</v>
      </c>
      <c r="F118" s="64" t="s">
        <v>390</v>
      </c>
      <c r="G118" s="64" t="s">
        <v>391</v>
      </c>
      <c r="H118" s="64" t="s">
        <v>385</v>
      </c>
      <c r="I118" s="65" t="s">
        <v>386</v>
      </c>
      <c r="J118" s="66"/>
      <c r="K118" s="67"/>
      <c r="L118" s="65"/>
      <c r="M118" s="65"/>
      <c r="N118" s="96" t="s">
        <v>387</v>
      </c>
      <c r="O118" s="68"/>
      <c r="P118" s="69">
        <v>1508000000</v>
      </c>
      <c r="Q118" s="92" t="s">
        <v>190</v>
      </c>
      <c r="R118" s="202" t="str">
        <f>IF(AND(C118="pv",D118='UNC - PV'!$Q$2,LEFT(E118,1)="u",'UNC - PV'!$O$2="vnđ",TH!P118&lt;&gt;""),"p",IF(AND(C118="pv",D118='UNC - PV'!$Q$2,LEFT(E118,1)="u",'UNC - PV'!$O$2="usd",TH!O118&lt;&gt;""),"p1",IF(AND(C118="pv",D118='LC - PV'!$P$2,LEFT(E118,1)="l"),"p2",IF(AND(LEFT(C118,3)="EIB",D118='UNC - EIB'!$T$2,LEFT(E118,1)="u",'UNC - EIB'!$R$2="vnđ",TH!P118&lt;&gt;""),"e",IF(AND(LEFT(C118,3)="EIB",D118='UNC - EIB'!$T$2,LEFT(E118,1)="U",'UNC - EIB'!$R$2="usd",TH!O118&lt;&gt;""),"e1",IF(AND(LEFT(C118,3)="EIB",D118='LC - EIB'!$S$2,LEFT(E118,1)="l"),"e2",""))))))</f>
        <v/>
      </c>
    </row>
    <row r="119" spans="1:18" ht="18.75" customHeight="1">
      <c r="A119" s="55" t="str">
        <f>IF(AND(C119="pv",E119='UNC - PV'!$S$2,D119='UNC - PV'!$Q$2),"x",IF(AND(LEFT(C119,3)="eib",E119='UNC - EIB'!$V$2,D119='UNC - EIB'!$T$2),"x1",IF(AND(C119="pv",E119='LC - PV'!$R$2,D119='LC - PV'!$P$2),"x2",IF(AND(LEFT(C119,3)="eib",E119='LC - EIB'!$U$2,D119='LC - EIB'!$S$2),"x3",""))))</f>
        <v/>
      </c>
      <c r="B119" s="62">
        <f t="shared" si="7"/>
        <v>116</v>
      </c>
      <c r="C119" s="62" t="s">
        <v>141</v>
      </c>
      <c r="D119" s="67">
        <v>42703</v>
      </c>
      <c r="E119" s="192" t="s">
        <v>23</v>
      </c>
      <c r="F119" s="64" t="s">
        <v>383</v>
      </c>
      <c r="G119" s="64" t="s">
        <v>384</v>
      </c>
      <c r="H119" s="64" t="s">
        <v>385</v>
      </c>
      <c r="I119" s="65" t="s">
        <v>386</v>
      </c>
      <c r="J119" s="66"/>
      <c r="K119" s="67"/>
      <c r="L119" s="65"/>
      <c r="M119" s="65"/>
      <c r="N119" s="64" t="s">
        <v>387</v>
      </c>
      <c r="O119" s="68"/>
      <c r="P119" s="69">
        <v>1674100000</v>
      </c>
      <c r="Q119" s="92" t="s">
        <v>190</v>
      </c>
      <c r="R119" s="202" t="str">
        <f>IF(AND(C119="pv",D119='UNC - PV'!$Q$2,LEFT(E119,1)="u",'UNC - PV'!$O$2="vnđ",TH!P119&lt;&gt;""),"p",IF(AND(C119="pv",D119='UNC - PV'!$Q$2,LEFT(E119,1)="u",'UNC - PV'!$O$2="usd",TH!O119&lt;&gt;""),"p1",IF(AND(C119="pv",D119='LC - PV'!$P$2,LEFT(E119,1)="l"),"p2",IF(AND(LEFT(C119,3)="EIB",D119='UNC - EIB'!$T$2,LEFT(E119,1)="u",'UNC - EIB'!$R$2="vnđ",TH!P119&lt;&gt;""),"e",IF(AND(LEFT(C119,3)="EIB",D119='UNC - EIB'!$T$2,LEFT(E119,1)="U",'UNC - EIB'!$R$2="usd",TH!O119&lt;&gt;""),"e1",IF(AND(LEFT(C119,3)="EIB",D119='LC - EIB'!$S$2,LEFT(E119,1)="l"),"e2",""))))))</f>
        <v/>
      </c>
    </row>
    <row r="120" spans="1:18" ht="18.75" customHeight="1">
      <c r="A120" s="55" t="str">
        <f>IF(AND(C120="pv",E120='UNC - PV'!$S$2,D120='UNC - PV'!$Q$2),"x",IF(AND(LEFT(C120,3)="eib",E120='UNC - EIB'!$V$2,D120='UNC - EIB'!$T$2),"x1",IF(AND(C120="pv",E120='LC - PV'!$R$2,D120='LC - PV'!$P$2),"x2",IF(AND(LEFT(C120,3)="eib",E120='LC - EIB'!$U$2,D120='LC - EIB'!$S$2),"x3",""))))</f>
        <v/>
      </c>
      <c r="B120" s="62">
        <f t="shared" si="7"/>
        <v>117</v>
      </c>
      <c r="C120" s="62" t="s">
        <v>141</v>
      </c>
      <c r="D120" s="67">
        <v>42703</v>
      </c>
      <c r="E120" s="192" t="s">
        <v>24</v>
      </c>
      <c r="F120" s="96" t="s">
        <v>129</v>
      </c>
      <c r="G120" s="96" t="s">
        <v>130</v>
      </c>
      <c r="H120" s="96" t="s">
        <v>126</v>
      </c>
      <c r="I120" s="94" t="s">
        <v>9</v>
      </c>
      <c r="J120" s="66"/>
      <c r="K120" s="67"/>
      <c r="L120" s="65"/>
      <c r="M120" s="65"/>
      <c r="N120" s="64" t="s">
        <v>387</v>
      </c>
      <c r="O120" s="68"/>
      <c r="P120" s="69">
        <v>100000000</v>
      </c>
      <c r="Q120" s="92" t="s">
        <v>190</v>
      </c>
      <c r="R120" s="202" t="str">
        <f>IF(AND(C120="pv",D120='UNC - PV'!$Q$2,LEFT(E120,1)="u",'UNC - PV'!$O$2="vnđ",TH!P120&lt;&gt;""),"p",IF(AND(C120="pv",D120='UNC - PV'!$Q$2,LEFT(E120,1)="u",'UNC - PV'!$O$2="usd",TH!O120&lt;&gt;""),"p1",IF(AND(C120="pv",D120='LC - PV'!$P$2,LEFT(E120,1)="l"),"p2",IF(AND(LEFT(C120,3)="EIB",D120='UNC - EIB'!$T$2,LEFT(E120,1)="u",'UNC - EIB'!$R$2="vnđ",TH!P120&lt;&gt;""),"e",IF(AND(LEFT(C120,3)="EIB",D120='UNC - EIB'!$T$2,LEFT(E120,1)="U",'UNC - EIB'!$R$2="usd",TH!O120&lt;&gt;""),"e1",IF(AND(LEFT(C120,3)="EIB",D120='LC - EIB'!$S$2,LEFT(E120,1)="l"),"e2",""))))))</f>
        <v/>
      </c>
    </row>
    <row r="121" spans="1:18" ht="18.75" customHeight="1">
      <c r="A121" s="55" t="str">
        <f>IF(AND(C121="pv",E121='UNC - PV'!$S$2,D121='UNC - PV'!$Q$2),"x",IF(AND(LEFT(C121,3)="eib",E121='UNC - EIB'!$V$2,D121='UNC - EIB'!$T$2),"x1",IF(AND(C121="pv",E121='LC - PV'!$R$2,D121='LC - PV'!$P$2),"x2",IF(AND(LEFT(C121,3)="eib",E121='LC - EIB'!$U$2,D121='LC - EIB'!$S$2),"x3",""))))</f>
        <v/>
      </c>
      <c r="B121" s="62">
        <f t="shared" si="7"/>
        <v>118</v>
      </c>
      <c r="C121" s="62" t="s">
        <v>102</v>
      </c>
      <c r="D121" s="67">
        <v>42703</v>
      </c>
      <c r="E121" s="192" t="s">
        <v>82</v>
      </c>
      <c r="F121" s="64" t="s">
        <v>162</v>
      </c>
      <c r="G121" s="64" t="s">
        <v>198</v>
      </c>
      <c r="H121" s="64" t="s">
        <v>163</v>
      </c>
      <c r="I121" s="99" t="s">
        <v>156</v>
      </c>
      <c r="J121" s="66"/>
      <c r="K121" s="67"/>
      <c r="L121" s="65"/>
      <c r="M121" s="65"/>
      <c r="N121" s="104" t="s">
        <v>397</v>
      </c>
      <c r="O121" s="68"/>
      <c r="P121" s="69">
        <f>46868580+47089900</f>
        <v>93958480</v>
      </c>
      <c r="Q121" s="92" t="s">
        <v>190</v>
      </c>
      <c r="R121" s="202" t="str">
        <f>IF(AND(C121="pv",D121='UNC - PV'!$Q$2,LEFT(E121,1)="u",'UNC - PV'!$O$2="vnđ",TH!P121&lt;&gt;""),"p",IF(AND(C121="pv",D121='UNC - PV'!$Q$2,LEFT(E121,1)="u",'UNC - PV'!$O$2="usd",TH!O121&lt;&gt;""),"p1",IF(AND(C121="pv",D121='LC - PV'!$P$2,LEFT(E121,1)="l"),"p2",IF(AND(LEFT(C121,3)="EIB",D121='UNC - EIB'!$T$2,LEFT(E121,1)="u",'UNC - EIB'!$R$2="vnđ",TH!P121&lt;&gt;""),"e",IF(AND(LEFT(C121,3)="EIB",D121='UNC - EIB'!$T$2,LEFT(E121,1)="U",'UNC - EIB'!$R$2="usd",TH!O121&lt;&gt;""),"e1",IF(AND(LEFT(C121,3)="EIB",D121='LC - EIB'!$S$2,LEFT(E121,1)="l"),"e2",""))))))</f>
        <v/>
      </c>
    </row>
    <row r="122" spans="1:18" ht="18.75" customHeight="1">
      <c r="A122" s="55" t="str">
        <f>IF(AND(C122="pv",E122='UNC - PV'!$S$2,D122='UNC - PV'!$Q$2),"x",IF(AND(LEFT(C122,3)="eib",E122='UNC - EIB'!$V$2,D122='UNC - EIB'!$T$2),"x1",IF(AND(C122="pv",E122='LC - PV'!$R$2,D122='LC - PV'!$P$2),"x2",IF(AND(LEFT(C122,3)="eib",E122='LC - EIB'!$U$2,D122='LC - EIB'!$S$2),"x3",""))))</f>
        <v/>
      </c>
      <c r="B122" s="62">
        <f t="shared" si="7"/>
        <v>119</v>
      </c>
      <c r="C122" s="62" t="s">
        <v>124</v>
      </c>
      <c r="D122" s="67">
        <v>42704</v>
      </c>
      <c r="E122" s="192" t="s">
        <v>21</v>
      </c>
      <c r="F122" s="64" t="s">
        <v>34</v>
      </c>
      <c r="G122" s="64" t="s">
        <v>30</v>
      </c>
      <c r="H122" s="64" t="s">
        <v>31</v>
      </c>
      <c r="I122" s="65" t="s">
        <v>33</v>
      </c>
      <c r="J122" s="66"/>
      <c r="K122" s="67"/>
      <c r="L122" s="65"/>
      <c r="M122" s="65"/>
      <c r="N122" s="64" t="s">
        <v>398</v>
      </c>
      <c r="O122" s="68"/>
      <c r="P122" s="69">
        <v>34187120</v>
      </c>
      <c r="Q122" s="92"/>
      <c r="R122" s="202" t="str">
        <f>IF(AND(C122="pv",D122='UNC - PV'!$Q$2,LEFT(E122,1)="u",'UNC - PV'!$O$2="vnđ",TH!P122&lt;&gt;""),"p",IF(AND(C122="pv",D122='UNC - PV'!$Q$2,LEFT(E122,1)="u",'UNC - PV'!$O$2="usd",TH!O122&lt;&gt;""),"p1",IF(AND(C122="pv",D122='LC - PV'!$P$2,LEFT(E122,1)="l"),"p2",IF(AND(LEFT(C122,3)="EIB",D122='UNC - EIB'!$T$2,LEFT(E122,1)="u",'UNC - EIB'!$R$2="vnđ",TH!P122&lt;&gt;""),"e",IF(AND(LEFT(C122,3)="EIB",D122='UNC - EIB'!$T$2,LEFT(E122,1)="U",'UNC - EIB'!$R$2="usd",TH!O122&lt;&gt;""),"e1",IF(AND(LEFT(C122,3)="EIB",D122='LC - EIB'!$S$2,LEFT(E122,1)="l"),"e2",""))))))</f>
        <v/>
      </c>
    </row>
    <row r="123" spans="1:18" ht="18.75" customHeight="1">
      <c r="A123" s="55" t="str">
        <f>IF(AND(C123="pv",E123='UNC - PV'!$S$2,D123='UNC - PV'!$Q$2),"x",IF(AND(LEFT(C123,3)="eib",E123='UNC - EIB'!$V$2,D123='UNC - EIB'!$T$2),"x1",IF(AND(C123="pv",E123='LC - PV'!$R$2,D123='LC - PV'!$P$2),"x2",IF(AND(LEFT(C123,3)="eib",E123='LC - EIB'!$U$2,D123='LC - EIB'!$S$2),"x3",""))))</f>
        <v/>
      </c>
      <c r="B123" s="62">
        <f t="shared" si="7"/>
        <v>120</v>
      </c>
      <c r="C123" s="62" t="s">
        <v>141</v>
      </c>
      <c r="D123" s="67">
        <v>42704</v>
      </c>
      <c r="E123" s="192" t="s">
        <v>22</v>
      </c>
      <c r="F123" s="96" t="s">
        <v>128</v>
      </c>
      <c r="G123" s="96" t="s">
        <v>127</v>
      </c>
      <c r="H123" s="96" t="s">
        <v>126</v>
      </c>
      <c r="I123" s="94" t="s">
        <v>9</v>
      </c>
      <c r="J123" s="97"/>
      <c r="K123" s="98"/>
      <c r="L123" s="99"/>
      <c r="M123" s="65"/>
      <c r="N123" s="64" t="s">
        <v>160</v>
      </c>
      <c r="O123" s="68"/>
      <c r="P123" s="69">
        <v>20000000</v>
      </c>
      <c r="Q123" s="92"/>
      <c r="R123" s="202" t="str">
        <f>IF(AND(C123="pv",D123='UNC - PV'!$Q$2,LEFT(E123,1)="u",'UNC - PV'!$O$2="vnđ",TH!P123&lt;&gt;""),"p",IF(AND(C123="pv",D123='UNC - PV'!$Q$2,LEFT(E123,1)="u",'UNC - PV'!$O$2="usd",TH!O123&lt;&gt;""),"p1",IF(AND(C123="pv",D123='LC - PV'!$P$2,LEFT(E123,1)="l"),"p2",IF(AND(LEFT(C123,3)="EIB",D123='UNC - EIB'!$T$2,LEFT(E123,1)="u",'UNC - EIB'!$R$2="vnđ",TH!P123&lt;&gt;""),"e",IF(AND(LEFT(C123,3)="EIB",D123='UNC - EIB'!$T$2,LEFT(E123,1)="U",'UNC - EIB'!$R$2="usd",TH!O123&lt;&gt;""),"e1",IF(AND(LEFT(C123,3)="EIB",D123='LC - EIB'!$S$2,LEFT(E123,1)="l"),"e2",""))))))</f>
        <v/>
      </c>
    </row>
    <row r="124" spans="1:18" ht="18.75" customHeight="1">
      <c r="A124" s="55" t="str">
        <f>IF(AND(C124="pv",E124='UNC - PV'!$S$2,D124='UNC - PV'!$Q$2),"x",IF(AND(LEFT(C124,3)="eib",E124='UNC - EIB'!$V$2,D124='UNC - EIB'!$T$2),"x1",IF(AND(C124="pv",E124='LC - PV'!$R$2,D124='LC - PV'!$P$2),"x2",IF(AND(LEFT(C124,3)="eib",E124='LC - EIB'!$U$2,D124='LC - EIB'!$S$2),"x3",""))))</f>
        <v/>
      </c>
      <c r="B124" s="62">
        <f t="shared" si="7"/>
        <v>121</v>
      </c>
      <c r="C124" s="62" t="s">
        <v>141</v>
      </c>
      <c r="D124" s="67">
        <v>42709</v>
      </c>
      <c r="E124" s="192" t="s">
        <v>21</v>
      </c>
      <c r="F124" s="96" t="s">
        <v>128</v>
      </c>
      <c r="G124" s="96" t="s">
        <v>296</v>
      </c>
      <c r="H124" s="96" t="s">
        <v>126</v>
      </c>
      <c r="I124" s="94" t="s">
        <v>9</v>
      </c>
      <c r="J124" s="66"/>
      <c r="K124" s="67"/>
      <c r="L124" s="65"/>
      <c r="M124" s="65"/>
      <c r="N124" s="64" t="s">
        <v>166</v>
      </c>
      <c r="O124" s="68">
        <v>95500</v>
      </c>
      <c r="P124" s="69"/>
      <c r="Q124" s="92"/>
      <c r="R124" s="202" t="str">
        <f>IF(AND(C124="pv",D124='UNC - PV'!$Q$2,LEFT(E124,1)="u",'UNC - PV'!$O$2="vnđ",TH!P124&lt;&gt;""),"p",IF(AND(C124="pv",D124='UNC - PV'!$Q$2,LEFT(E124,1)="u",'UNC - PV'!$O$2="usd",TH!O124&lt;&gt;""),"p1",IF(AND(C124="pv",D124='LC - PV'!$P$2,LEFT(E124,1)="l"),"p2",IF(AND(LEFT(C124,3)="EIB",D124='UNC - EIB'!$T$2,LEFT(E124,1)="u",'UNC - EIB'!$R$2="vnđ",TH!P124&lt;&gt;""),"e",IF(AND(LEFT(C124,3)="EIB",D124='UNC - EIB'!$T$2,LEFT(E124,1)="U",'UNC - EIB'!$R$2="usd",TH!O124&lt;&gt;""),"e1",IF(AND(LEFT(C124,3)="EIB",D124='LC - EIB'!$S$2,LEFT(E124,1)="l"),"e2",""))))))</f>
        <v/>
      </c>
    </row>
    <row r="125" spans="1:18" ht="18.75" customHeight="1">
      <c r="A125" s="55" t="str">
        <f>IF(AND(C125="pv",E125='UNC - PV'!$S$2,D125='UNC - PV'!$Q$2),"x",IF(AND(LEFT(C125,3)="eib",E125='UNC - EIB'!$V$2,D125='UNC - EIB'!$T$2),"x1",IF(AND(C125="pv",E125='LC - PV'!$R$2,D125='LC - PV'!$P$2),"x2",IF(AND(LEFT(C125,3)="eib",E125='LC - EIB'!$U$2,D125='LC - EIB'!$S$2),"x3",""))))</f>
        <v/>
      </c>
      <c r="B125" s="62">
        <f>IF(C125&lt;&gt;"",ROW()-3,"")</f>
        <v>122</v>
      </c>
      <c r="C125" s="62" t="s">
        <v>141</v>
      </c>
      <c r="D125" s="67">
        <v>42710</v>
      </c>
      <c r="E125" s="192" t="s">
        <v>21</v>
      </c>
      <c r="F125" s="64" t="s">
        <v>383</v>
      </c>
      <c r="G125" s="64" t="s">
        <v>384</v>
      </c>
      <c r="H125" s="64" t="s">
        <v>385</v>
      </c>
      <c r="I125" s="65" t="s">
        <v>386</v>
      </c>
      <c r="J125" s="66"/>
      <c r="K125" s="67"/>
      <c r="L125" s="65"/>
      <c r="M125" s="65"/>
      <c r="N125" s="64" t="s">
        <v>387</v>
      </c>
      <c r="O125" s="68"/>
      <c r="P125" s="69">
        <v>2918780500</v>
      </c>
      <c r="Q125" s="92"/>
      <c r="R125" s="202" t="str">
        <f>IF(AND(C125="pv",D125='UNC - PV'!$Q$2,LEFT(E125,1)="u",'UNC - PV'!$O$2="vnđ",TH!P125&lt;&gt;""),"p",IF(AND(C125="pv",D125='UNC - PV'!$Q$2,LEFT(E125,1)="u",'UNC - PV'!$O$2="usd",TH!O125&lt;&gt;""),"p1",IF(AND(C125="pv",D125='LC - PV'!$P$2,LEFT(E125,1)="l"),"p2",IF(AND(LEFT(C125,3)="EIB",D125='UNC - EIB'!$T$2,LEFT(E125,1)="u",'UNC - EIB'!$R$2="vnđ",TH!P125&lt;&gt;""),"e",IF(AND(LEFT(C125,3)="EIB",D125='UNC - EIB'!$T$2,LEFT(E125,1)="U",'UNC - EIB'!$R$2="usd",TH!O125&lt;&gt;""),"e1",IF(AND(LEFT(C125,3)="EIB",D125='LC - EIB'!$S$2,LEFT(E125,1)="l"),"e2",""))))))</f>
        <v/>
      </c>
    </row>
    <row r="126" spans="1:18" ht="18.75" customHeight="1">
      <c r="A126" s="55" t="str">
        <f>IF(AND(C126="pv",E126='UNC - PV'!$S$2,D126='UNC - PV'!$Q$2),"x",IF(AND(LEFT(C126,3)="eib",E126='UNC - EIB'!$V$2,D126='UNC - EIB'!$T$2),"x1",IF(AND(C126="pv",E126='LC - PV'!$R$2,D126='LC - PV'!$P$2),"x2",IF(AND(LEFT(C126,3)="eib",E126='LC - EIB'!$U$2,D126='LC - EIB'!$S$2),"x3",""))))</f>
        <v/>
      </c>
      <c r="B126" s="62">
        <f>IF(C126&lt;&gt;"",ROW()-3,"")</f>
        <v>123</v>
      </c>
      <c r="C126" s="62" t="s">
        <v>141</v>
      </c>
      <c r="D126" s="67">
        <v>42710</v>
      </c>
      <c r="E126" s="192" t="s">
        <v>22</v>
      </c>
      <c r="F126" s="64" t="s">
        <v>390</v>
      </c>
      <c r="G126" s="64" t="s">
        <v>391</v>
      </c>
      <c r="H126" s="64" t="s">
        <v>385</v>
      </c>
      <c r="I126" s="65" t="s">
        <v>386</v>
      </c>
      <c r="J126" s="66"/>
      <c r="K126" s="67"/>
      <c r="L126" s="65"/>
      <c r="M126" s="65"/>
      <c r="N126" s="96" t="s">
        <v>387</v>
      </c>
      <c r="O126" s="68"/>
      <c r="P126" s="69">
        <v>1824920500</v>
      </c>
      <c r="Q126" s="92"/>
      <c r="R126" s="202" t="str">
        <f>IF(AND(C126="pv",D126='UNC - PV'!$Q$2,LEFT(E126,1)="u",'UNC - PV'!$O$2="vnđ",TH!P126&lt;&gt;""),"p",IF(AND(C126="pv",D126='UNC - PV'!$Q$2,LEFT(E126,1)="u",'UNC - PV'!$O$2="usd",TH!O126&lt;&gt;""),"p1",IF(AND(C126="pv",D126='LC - PV'!$P$2,LEFT(E126,1)="l"),"p2",IF(AND(LEFT(C126,3)="EIB",D126='UNC - EIB'!$T$2,LEFT(E126,1)="u",'UNC - EIB'!$R$2="vnđ",TH!P126&lt;&gt;""),"e",IF(AND(LEFT(C126,3)="EIB",D126='UNC - EIB'!$T$2,LEFT(E126,1)="U",'UNC - EIB'!$R$2="usd",TH!O126&lt;&gt;""),"e1",IF(AND(LEFT(C126,3)="EIB",D126='LC - EIB'!$S$2,LEFT(E126,1)="l"),"e2",""))))))</f>
        <v/>
      </c>
    </row>
    <row r="127" spans="1:18" ht="18.75" customHeight="1">
      <c r="A127" s="55" t="str">
        <f>IF(AND(C127="pv",E127='UNC - PV'!$S$2,D127='UNC - PV'!$Q$2),"x",IF(AND(LEFT(C127,3)="eib",E127='UNC - EIB'!$V$2,D127='UNC - EIB'!$T$2),"x1",IF(AND(C127="pv",E127='LC - PV'!$R$2,D127='LC - PV'!$P$2),"x2",IF(AND(LEFT(C127,3)="eib",E127='LC - EIB'!$U$2,D127='LC - EIB'!$S$2),"x3",""))))</f>
        <v/>
      </c>
      <c r="B127" s="62">
        <f>IF(C127&lt;&gt;"",ROW()-3,"")</f>
        <v>124</v>
      </c>
      <c r="C127" s="62" t="s">
        <v>141</v>
      </c>
      <c r="D127" s="67">
        <v>42710</v>
      </c>
      <c r="E127" s="192" t="s">
        <v>23</v>
      </c>
      <c r="F127" s="64" t="s">
        <v>392</v>
      </c>
      <c r="G127" s="64" t="s">
        <v>393</v>
      </c>
      <c r="H127" s="64" t="s">
        <v>396</v>
      </c>
      <c r="I127" s="65" t="s">
        <v>394</v>
      </c>
      <c r="J127" s="66"/>
      <c r="K127" s="67"/>
      <c r="L127" s="65"/>
      <c r="M127" s="65"/>
      <c r="N127" s="96" t="s">
        <v>387</v>
      </c>
      <c r="O127" s="68"/>
      <c r="P127" s="69">
        <v>552669000</v>
      </c>
      <c r="Q127" s="92"/>
      <c r="R127" s="202" t="str">
        <f>IF(AND(C127="pv",D127='UNC - PV'!$Q$2,LEFT(E127,1)="u",'UNC - PV'!$O$2="vnđ",TH!P127&lt;&gt;""),"p",IF(AND(C127="pv",D127='UNC - PV'!$Q$2,LEFT(E127,1)="u",'UNC - PV'!$O$2="usd",TH!O127&lt;&gt;""),"p1",IF(AND(C127="pv",D127='LC - PV'!$P$2,LEFT(E127,1)="l"),"p2",IF(AND(LEFT(C127,3)="EIB",D127='UNC - EIB'!$T$2,LEFT(E127,1)="u",'UNC - EIB'!$R$2="vnđ",TH!P127&lt;&gt;""),"e",IF(AND(LEFT(C127,3)="EIB",D127='UNC - EIB'!$T$2,LEFT(E127,1)="U",'UNC - EIB'!$R$2="usd",TH!O127&lt;&gt;""),"e1",IF(AND(LEFT(C127,3)="EIB",D127='LC - EIB'!$S$2,LEFT(E127,1)="l"),"e2",""))))))</f>
        <v/>
      </c>
    </row>
    <row r="128" spans="1:18" ht="18.75" customHeight="1">
      <c r="A128" s="55" t="str">
        <f>IF(AND(C128="pv",E128='UNC - PV'!$S$2,D128='UNC - PV'!$Q$2),"x",IF(AND(LEFT(C128,3)="eib",E128='UNC - EIB'!$V$2,D128='UNC - EIB'!$T$2),"x1",IF(AND(C128="pv",E128='LC - PV'!$R$2,D128='LC - PV'!$P$2),"x2",IF(AND(LEFT(C128,3)="eib",E128='LC - EIB'!$U$2,D128='LC - EIB'!$S$2),"x3",""))))</f>
        <v/>
      </c>
      <c r="B128" s="62">
        <f t="shared" si="7"/>
        <v>125</v>
      </c>
      <c r="C128" s="62" t="s">
        <v>102</v>
      </c>
      <c r="D128" s="67">
        <v>42712</v>
      </c>
      <c r="E128" s="192" t="s">
        <v>21</v>
      </c>
      <c r="F128" s="64" t="s">
        <v>399</v>
      </c>
      <c r="G128" s="64" t="s">
        <v>401</v>
      </c>
      <c r="H128" s="64" t="s">
        <v>402</v>
      </c>
      <c r="I128" s="65" t="s">
        <v>403</v>
      </c>
      <c r="J128" s="66"/>
      <c r="K128" s="67"/>
      <c r="L128" s="65"/>
      <c r="M128" s="65"/>
      <c r="N128" s="64" t="s">
        <v>404</v>
      </c>
      <c r="O128" s="68"/>
      <c r="P128" s="69">
        <v>7533000</v>
      </c>
      <c r="Q128" s="92"/>
      <c r="R128" s="202" t="str">
        <f>IF(AND(C128="pv",D128='UNC - PV'!$Q$2,LEFT(E128,1)="u",'UNC - PV'!$O$2="vnđ",TH!P128&lt;&gt;""),"p",IF(AND(C128="pv",D128='UNC - PV'!$Q$2,LEFT(E128,1)="u",'UNC - PV'!$O$2="usd",TH!O128&lt;&gt;""),"p1",IF(AND(C128="pv",D128='LC - PV'!$P$2,LEFT(E128,1)="l"),"p2",IF(AND(LEFT(C128,3)="EIB",D128='UNC - EIB'!$T$2,LEFT(E128,1)="u",'UNC - EIB'!$R$2="vnđ",TH!P128&lt;&gt;""),"e",IF(AND(LEFT(C128,3)="EIB",D128='UNC - EIB'!$T$2,LEFT(E128,1)="U",'UNC - EIB'!$R$2="usd",TH!O128&lt;&gt;""),"e1",IF(AND(LEFT(C128,3)="EIB",D128='LC - EIB'!$S$2,LEFT(E128,1)="l"),"e2",""))))))</f>
        <v/>
      </c>
    </row>
    <row r="129" spans="1:18" ht="18.75" customHeight="1">
      <c r="A129" s="55" t="str">
        <f>IF(AND(C129="pv",E129='UNC - PV'!$S$2,D129='UNC - PV'!$Q$2),"x",IF(AND(LEFT(C129,3)="eib",E129='UNC - EIB'!$V$2,D129='UNC - EIB'!$T$2),"x1",IF(AND(C129="pv",E129='LC - PV'!$R$2,D129='LC - PV'!$P$2),"x2",IF(AND(LEFT(C129,3)="eib",E129='LC - EIB'!$U$2,D129='LC - EIB'!$S$2),"x3",""))))</f>
        <v/>
      </c>
      <c r="B129" s="62">
        <f t="shared" si="0"/>
        <v>126</v>
      </c>
      <c r="C129" s="62" t="s">
        <v>102</v>
      </c>
      <c r="D129" s="67">
        <v>42712</v>
      </c>
      <c r="E129" s="192" t="s">
        <v>22</v>
      </c>
      <c r="F129" s="64" t="s">
        <v>400</v>
      </c>
      <c r="G129" s="64" t="s">
        <v>405</v>
      </c>
      <c r="H129" s="64" t="s">
        <v>406</v>
      </c>
      <c r="I129" s="65" t="s">
        <v>403</v>
      </c>
      <c r="J129" s="66"/>
      <c r="K129" s="67"/>
      <c r="L129" s="65"/>
      <c r="M129" s="65"/>
      <c r="N129" s="64" t="s">
        <v>407</v>
      </c>
      <c r="O129" s="68"/>
      <c r="P129" s="69">
        <v>9005000</v>
      </c>
      <c r="Q129" s="92"/>
      <c r="R129" s="202" t="str">
        <f>IF(AND(C129="pv",D129='UNC - PV'!$Q$2,LEFT(E129,1)="u",'UNC - PV'!$O$2="vnđ",TH!P129&lt;&gt;""),"p",IF(AND(C129="pv",D129='UNC - PV'!$Q$2,LEFT(E129,1)="u",'UNC - PV'!$O$2="usd",TH!O129&lt;&gt;""),"p1",IF(AND(C129="pv",D129='LC - PV'!$P$2,LEFT(E129,1)="l"),"p2",IF(AND(LEFT(C129,3)="EIB",D129='UNC - EIB'!$T$2,LEFT(E129,1)="u",'UNC - EIB'!$R$2="vnđ",TH!P129&lt;&gt;""),"e",IF(AND(LEFT(C129,3)="EIB",D129='UNC - EIB'!$T$2,LEFT(E129,1)="U",'UNC - EIB'!$R$2="usd",TH!O129&lt;&gt;""),"e1",IF(AND(LEFT(C129,3)="EIB",D129='LC - EIB'!$S$2,LEFT(E129,1)="l"),"e2",""))))))</f>
        <v/>
      </c>
    </row>
    <row r="130" spans="1:18" ht="18.75" customHeight="1">
      <c r="A130" s="55" t="str">
        <f>IF(AND(C130="pv",E130='UNC - PV'!$S$2,D130='UNC - PV'!$Q$2),"x",IF(AND(LEFT(C130,3)="eib",E130='UNC - EIB'!$V$2,D130='UNC - EIB'!$T$2),"x1",IF(AND(C130="pv",E130='LC - PV'!$R$2,D130='LC - PV'!$P$2),"x2",IF(AND(LEFT(C130,3)="eib",E130='LC - EIB'!$U$2,D130='LC - EIB'!$S$2),"x3",""))))</f>
        <v/>
      </c>
      <c r="B130" s="62">
        <f t="shared" si="0"/>
        <v>127</v>
      </c>
      <c r="C130" s="62" t="s">
        <v>124</v>
      </c>
      <c r="D130" s="67">
        <v>42712</v>
      </c>
      <c r="E130" s="192" t="s">
        <v>23</v>
      </c>
      <c r="F130" s="96" t="s">
        <v>129</v>
      </c>
      <c r="G130" s="96" t="s">
        <v>130</v>
      </c>
      <c r="H130" s="96" t="s">
        <v>126</v>
      </c>
      <c r="I130" s="94" t="s">
        <v>9</v>
      </c>
      <c r="J130" s="66"/>
      <c r="K130" s="67"/>
      <c r="L130" s="65"/>
      <c r="M130" s="65"/>
      <c r="N130" s="96" t="s">
        <v>131</v>
      </c>
      <c r="O130" s="68"/>
      <c r="P130" s="69">
        <v>10000000</v>
      </c>
      <c r="Q130" s="92"/>
      <c r="R130" s="202" t="str">
        <f>IF(AND(C130="pv",D130='UNC - PV'!$Q$2,LEFT(E130,1)="u",'UNC - PV'!$O$2="vnđ",TH!P130&lt;&gt;""),"p",IF(AND(C130="pv",D130='UNC - PV'!$Q$2,LEFT(E130,1)="u",'UNC - PV'!$O$2="usd",TH!O130&lt;&gt;""),"p1",IF(AND(C130="pv",D130='LC - PV'!$P$2,LEFT(E130,1)="l"),"p2",IF(AND(LEFT(C130,3)="EIB",D130='UNC - EIB'!$T$2,LEFT(E130,1)="u",'UNC - EIB'!$R$2="vnđ",TH!P130&lt;&gt;""),"e",IF(AND(LEFT(C130,3)="EIB",D130='UNC - EIB'!$T$2,LEFT(E130,1)="U",'UNC - EIB'!$R$2="usd",TH!O130&lt;&gt;""),"e1",IF(AND(LEFT(C130,3)="EIB",D130='LC - EIB'!$S$2,LEFT(E130,1)="l"),"e2",""))))))</f>
        <v/>
      </c>
    </row>
    <row r="131" spans="1:18" ht="18.75" customHeight="1">
      <c r="A131" s="55" t="str">
        <f>IF(AND(C131="pv",E131='UNC - PV'!$S$2,D131='UNC - PV'!$Q$2),"x",IF(AND(LEFT(C131,3)="eib",E131='UNC - EIB'!$V$2,D131='UNC - EIB'!$T$2),"x1",IF(AND(C131="pv",E131='LC - PV'!$R$2,D131='LC - PV'!$P$2),"x2",IF(AND(LEFT(C131,3)="eib",E131='LC - EIB'!$U$2,D131='LC - EIB'!$S$2),"x3",""))))</f>
        <v/>
      </c>
      <c r="B131" s="62">
        <f t="shared" si="0"/>
        <v>128</v>
      </c>
      <c r="C131" s="62" t="s">
        <v>124</v>
      </c>
      <c r="D131" s="67">
        <v>42713</v>
      </c>
      <c r="E131" s="192" t="s">
        <v>21</v>
      </c>
      <c r="F131" s="64" t="s">
        <v>169</v>
      </c>
      <c r="G131" s="71" t="s">
        <v>170</v>
      </c>
      <c r="H131" s="64" t="s">
        <v>171</v>
      </c>
      <c r="I131" s="94" t="s">
        <v>9</v>
      </c>
      <c r="J131" s="66"/>
      <c r="K131" s="67"/>
      <c r="L131" s="65"/>
      <c r="M131" s="65"/>
      <c r="N131" s="64" t="s">
        <v>172</v>
      </c>
      <c r="O131" s="68"/>
      <c r="P131" s="69">
        <v>200000000</v>
      </c>
      <c r="Q131" s="92"/>
      <c r="R131" s="202" t="str">
        <f>IF(AND(C131="pv",D131='UNC - PV'!$Q$2,LEFT(E131,1)="u",'UNC - PV'!$O$2="vnđ",TH!P131&lt;&gt;""),"p",IF(AND(C131="pv",D131='UNC - PV'!$Q$2,LEFT(E131,1)="u",'UNC - PV'!$O$2="usd",TH!O131&lt;&gt;""),"p1",IF(AND(C131="pv",D131='LC - PV'!$P$2,LEFT(E131,1)="l"),"p2",IF(AND(LEFT(C131,3)="EIB",D131='UNC - EIB'!$T$2,LEFT(E131,1)="u",'UNC - EIB'!$R$2="vnđ",TH!P131&lt;&gt;""),"e",IF(AND(LEFT(C131,3)="EIB",D131='UNC - EIB'!$T$2,LEFT(E131,1)="U",'UNC - EIB'!$R$2="usd",TH!O131&lt;&gt;""),"e1",IF(AND(LEFT(C131,3)="EIB",D131='LC - EIB'!$S$2,LEFT(E131,1)="l"),"e2",""))))))</f>
        <v/>
      </c>
    </row>
    <row r="132" spans="1:18" ht="18.75" customHeight="1">
      <c r="A132" s="55" t="str">
        <f>IF(AND(C132="pv",E132='UNC - PV'!$S$2,D132='UNC - PV'!$Q$2),"x",IF(AND(LEFT(C132,3)="eib",E132='UNC - EIB'!$V$2,D132='UNC - EIB'!$T$2),"x1",IF(AND(C132="pv",E132='LC - PV'!$R$2,D132='LC - PV'!$P$2),"x2",IF(AND(LEFT(C132,3)="eib",E132='LC - EIB'!$U$2,D132='LC - EIB'!$S$2),"x3",""))))</f>
        <v/>
      </c>
      <c r="B132" s="62">
        <f t="shared" si="0"/>
        <v>129</v>
      </c>
      <c r="C132" s="62" t="s">
        <v>124</v>
      </c>
      <c r="D132" s="67">
        <v>42713</v>
      </c>
      <c r="E132" s="192" t="s">
        <v>22</v>
      </c>
      <c r="F132" s="64" t="s">
        <v>361</v>
      </c>
      <c r="G132" s="64" t="s">
        <v>362</v>
      </c>
      <c r="H132" s="64" t="s">
        <v>363</v>
      </c>
      <c r="I132" s="62" t="s">
        <v>9</v>
      </c>
      <c r="J132" s="66"/>
      <c r="K132" s="67"/>
      <c r="L132" s="65"/>
      <c r="M132" s="65"/>
      <c r="N132" s="64" t="s">
        <v>364</v>
      </c>
      <c r="O132" s="68"/>
      <c r="P132" s="69">
        <v>50658716</v>
      </c>
      <c r="Q132" s="92"/>
      <c r="R132" s="202" t="str">
        <f>IF(AND(C132="pv",D132='UNC - PV'!$Q$2,LEFT(E132,1)="u",'UNC - PV'!$O$2="vnđ",TH!P132&lt;&gt;""),"p",IF(AND(C132="pv",D132='UNC - PV'!$Q$2,LEFT(E132,1)="u",'UNC - PV'!$O$2="usd",TH!O132&lt;&gt;""),"p1",IF(AND(C132="pv",D132='LC - PV'!$P$2,LEFT(E132,1)="l"),"p2",IF(AND(LEFT(C132,3)="EIB",D132='UNC - EIB'!$T$2,LEFT(E132,1)="u",'UNC - EIB'!$R$2="vnđ",TH!P132&lt;&gt;""),"e",IF(AND(LEFT(C132,3)="EIB",D132='UNC - EIB'!$T$2,LEFT(E132,1)="U",'UNC - EIB'!$R$2="usd",TH!O132&lt;&gt;""),"e1",IF(AND(LEFT(C132,3)="EIB",D132='LC - EIB'!$S$2,LEFT(E132,1)="l"),"e2",""))))))</f>
        <v/>
      </c>
    </row>
    <row r="133" spans="1:18" ht="18.75" customHeight="1">
      <c r="A133" s="55" t="str">
        <f>IF(AND(C133="pv",E133='UNC - PV'!$S$2,D133='UNC - PV'!$Q$2),"x",IF(AND(LEFT(C133,3)="eib",E133='UNC - EIB'!$V$2,D133='UNC - EIB'!$T$2),"x1",IF(AND(C133="pv",E133='LC - PV'!$R$2,D133='LC - PV'!$P$2),"x2",IF(AND(LEFT(C133,3)="eib",E133='LC - EIB'!$U$2,D133='LC - EIB'!$S$2),"x3",""))))</f>
        <v/>
      </c>
      <c r="B133" s="62">
        <f t="shared" si="0"/>
        <v>130</v>
      </c>
      <c r="C133" s="62" t="s">
        <v>124</v>
      </c>
      <c r="D133" s="67">
        <v>42713</v>
      </c>
      <c r="E133" s="192" t="s">
        <v>23</v>
      </c>
      <c r="F133" s="64" t="s">
        <v>409</v>
      </c>
      <c r="G133" s="64" t="s">
        <v>410</v>
      </c>
      <c r="H133" s="64" t="s">
        <v>411</v>
      </c>
      <c r="I133" s="62" t="s">
        <v>9</v>
      </c>
      <c r="J133" s="66"/>
      <c r="K133" s="67"/>
      <c r="L133" s="65"/>
      <c r="M133" s="65"/>
      <c r="N133" s="64" t="s">
        <v>412</v>
      </c>
      <c r="O133" s="68"/>
      <c r="P133" s="69">
        <v>24884526</v>
      </c>
      <c r="Q133" s="92"/>
      <c r="R133" s="202" t="str">
        <f>IF(AND(C133="pv",D133='UNC - PV'!$Q$2,LEFT(E133,1)="u",'UNC - PV'!$O$2="vnđ",TH!P133&lt;&gt;""),"p",IF(AND(C133="pv",D133='UNC - PV'!$Q$2,LEFT(E133,1)="u",'UNC - PV'!$O$2="usd",TH!O133&lt;&gt;""),"p1",IF(AND(C133="pv",D133='LC - PV'!$P$2,LEFT(E133,1)="l"),"p2",IF(AND(LEFT(C133,3)="EIB",D133='UNC - EIB'!$T$2,LEFT(E133,1)="u",'UNC - EIB'!$R$2="vnđ",TH!P133&lt;&gt;""),"e",IF(AND(LEFT(C133,3)="EIB",D133='UNC - EIB'!$T$2,LEFT(E133,1)="U",'UNC - EIB'!$R$2="usd",TH!O133&lt;&gt;""),"e1",IF(AND(LEFT(C133,3)="EIB",D133='LC - EIB'!$S$2,LEFT(E133,1)="l"),"e2",""))))))</f>
        <v/>
      </c>
    </row>
    <row r="134" spans="1:18" ht="18.75" customHeight="1">
      <c r="A134" s="55" t="str">
        <f>IF(AND(C134="pv",E134='UNC - PV'!$S$2,D134='UNC - PV'!$Q$2),"x",IF(AND(LEFT(C134,3)="eib",E134='UNC - EIB'!$V$2,D134='UNC - EIB'!$T$2),"x1",IF(AND(C134="pv",E134='LC - PV'!$R$2,D134='LC - PV'!$P$2),"x2",IF(AND(LEFT(C134,3)="eib",E134='LC - EIB'!$U$2,D134='LC - EIB'!$S$2),"x3",""))))</f>
        <v/>
      </c>
      <c r="B134" s="62">
        <f t="shared" ref="B134:B136" si="8">IF(C134&lt;&gt;"",ROW()-3,"")</f>
        <v>131</v>
      </c>
      <c r="C134" s="62" t="s">
        <v>124</v>
      </c>
      <c r="D134" s="67">
        <v>42713</v>
      </c>
      <c r="E134" s="192" t="s">
        <v>82</v>
      </c>
      <c r="F134" s="70" t="s">
        <v>4</v>
      </c>
      <c r="G134" s="70" t="s">
        <v>5</v>
      </c>
      <c r="H134" s="70" t="s">
        <v>6</v>
      </c>
      <c r="I134" s="62" t="s">
        <v>9</v>
      </c>
      <c r="J134" s="72"/>
      <c r="K134" s="63"/>
      <c r="L134" s="62"/>
      <c r="M134" s="62"/>
      <c r="N134" s="70" t="s">
        <v>416</v>
      </c>
      <c r="O134" s="68"/>
      <c r="P134" s="69">
        <v>15972638</v>
      </c>
      <c r="Q134" s="92"/>
      <c r="R134" s="202" t="str">
        <f>IF(AND(C134="pv",D134='UNC - PV'!$Q$2,LEFT(E134,1)="u",'UNC - PV'!$O$2="vnđ",TH!P134&lt;&gt;""),"p",IF(AND(C134="pv",D134='UNC - PV'!$Q$2,LEFT(E134,1)="u",'UNC - PV'!$O$2="usd",TH!O134&lt;&gt;""),"p1",IF(AND(C134="pv",D134='LC - PV'!$P$2,LEFT(E134,1)="l"),"p2",IF(AND(LEFT(C134,3)="EIB",D134='UNC - EIB'!$T$2,LEFT(E134,1)="u",'UNC - EIB'!$R$2="vnđ",TH!P134&lt;&gt;""),"e",IF(AND(LEFT(C134,3)="EIB",D134='UNC - EIB'!$T$2,LEFT(E134,1)="U",'UNC - EIB'!$R$2="usd",TH!O134&lt;&gt;""),"e1",IF(AND(LEFT(C134,3)="EIB",D134='LC - EIB'!$S$2,LEFT(E134,1)="l"),"e2",""))))))</f>
        <v/>
      </c>
    </row>
    <row r="135" spans="1:18" ht="18.75" customHeight="1">
      <c r="A135" s="55" t="str">
        <f>IF(AND(C135="pv",E135='UNC - PV'!$S$2,D135='UNC - PV'!$Q$2),"x",IF(AND(LEFT(C135,3)="eib",E135='UNC - EIB'!$V$2,D135='UNC - EIB'!$T$2),"x1",IF(AND(C135="pv",E135='LC - PV'!$R$2,D135='LC - PV'!$P$2),"x2",IF(AND(LEFT(C135,3)="eib",E135='LC - EIB'!$U$2,D135='LC - EIB'!$S$2),"x3",""))))</f>
        <v/>
      </c>
      <c r="B135" s="62">
        <f t="shared" si="8"/>
        <v>132</v>
      </c>
      <c r="C135" s="62" t="s">
        <v>124</v>
      </c>
      <c r="D135" s="67">
        <v>42713</v>
      </c>
      <c r="E135" s="192" t="s">
        <v>83</v>
      </c>
      <c r="F135" s="64" t="s">
        <v>34</v>
      </c>
      <c r="G135" s="64" t="s">
        <v>30</v>
      </c>
      <c r="H135" s="64" t="s">
        <v>31</v>
      </c>
      <c r="I135" s="65" t="s">
        <v>33</v>
      </c>
      <c r="J135" s="66"/>
      <c r="K135" s="67"/>
      <c r="L135" s="65"/>
      <c r="M135" s="65"/>
      <c r="N135" s="64" t="s">
        <v>417</v>
      </c>
      <c r="O135" s="68"/>
      <c r="P135" s="69">
        <v>27868940</v>
      </c>
      <c r="Q135" s="92"/>
      <c r="R135" s="202" t="str">
        <f>IF(AND(C135="pv",D135='UNC - PV'!$Q$2,LEFT(E135,1)="u",'UNC - PV'!$O$2="vnđ",TH!P135&lt;&gt;""),"p",IF(AND(C135="pv",D135='UNC - PV'!$Q$2,LEFT(E135,1)="u",'UNC - PV'!$O$2="usd",TH!O135&lt;&gt;""),"p1",IF(AND(C135="pv",D135='LC - PV'!$P$2,LEFT(E135,1)="l"),"p2",IF(AND(LEFT(C135,3)="EIB",D135='UNC - EIB'!$T$2,LEFT(E135,1)="u",'UNC - EIB'!$R$2="vnđ",TH!P135&lt;&gt;""),"e",IF(AND(LEFT(C135,3)="EIB",D135='UNC - EIB'!$T$2,LEFT(E135,1)="U",'UNC - EIB'!$R$2="usd",TH!O135&lt;&gt;""),"e1",IF(AND(LEFT(C135,3)="EIB",D135='LC - EIB'!$S$2,LEFT(E135,1)="l"),"e2",""))))))</f>
        <v/>
      </c>
    </row>
    <row r="136" spans="1:18" ht="18.75" customHeight="1">
      <c r="A136" s="55" t="str">
        <f>IF(AND(C136="pv",E136='UNC - PV'!$S$2,D136='UNC - PV'!$Q$2),"x",IF(AND(LEFT(C136,3)="eib",E136='UNC - EIB'!$V$2,D136='UNC - EIB'!$T$2),"x1",IF(AND(C136="pv",E136='LC - PV'!$R$2,D136='LC - PV'!$P$2),"x2",IF(AND(LEFT(C136,3)="eib",E136='LC - EIB'!$U$2,D136='LC - EIB'!$S$2),"x3",""))))</f>
        <v/>
      </c>
      <c r="B136" s="62">
        <f t="shared" si="8"/>
        <v>133</v>
      </c>
      <c r="C136" s="62" t="s">
        <v>102</v>
      </c>
      <c r="D136" s="67">
        <v>42713</v>
      </c>
      <c r="E136" s="192" t="s">
        <v>167</v>
      </c>
      <c r="F136" s="64" t="s">
        <v>399</v>
      </c>
      <c r="G136" s="64" t="s">
        <v>401</v>
      </c>
      <c r="H136" s="64" t="s">
        <v>402</v>
      </c>
      <c r="I136" s="65" t="s">
        <v>403</v>
      </c>
      <c r="J136" s="66"/>
      <c r="K136" s="67"/>
      <c r="L136" s="65"/>
      <c r="M136" s="65"/>
      <c r="N136" s="64" t="s">
        <v>408</v>
      </c>
      <c r="O136" s="68"/>
      <c r="P136" s="69">
        <v>7533000</v>
      </c>
      <c r="Q136" s="92"/>
      <c r="R136" s="202" t="str">
        <f>IF(AND(C136="pv",D136='UNC - PV'!$Q$2,LEFT(E136,1)="u",'UNC - PV'!$O$2="vnđ",TH!P136&lt;&gt;""),"p",IF(AND(C136="pv",D136='UNC - PV'!$Q$2,LEFT(E136,1)="u",'UNC - PV'!$O$2="usd",TH!O136&lt;&gt;""),"p1",IF(AND(C136="pv",D136='LC - PV'!$P$2,LEFT(E136,1)="l"),"p2",IF(AND(LEFT(C136,3)="EIB",D136='UNC - EIB'!$T$2,LEFT(E136,1)="u",'UNC - EIB'!$R$2="vnđ",TH!P136&lt;&gt;""),"e",IF(AND(LEFT(C136,3)="EIB",D136='UNC - EIB'!$T$2,LEFT(E136,1)="U",'UNC - EIB'!$R$2="usd",TH!O136&lt;&gt;""),"e1",IF(AND(LEFT(C136,3)="EIB",D136='LC - EIB'!$S$2,LEFT(E136,1)="l"),"e2",""))))))</f>
        <v/>
      </c>
    </row>
    <row r="137" spans="1:18" ht="18.75" customHeight="1">
      <c r="A137" s="55" t="str">
        <f>IF(AND(C137="pv",E137='UNC - PV'!$S$2,D137='UNC - PV'!$Q$2),"x",IF(AND(LEFT(C137,3)="eib",E137='UNC - EIB'!$V$2,D137='UNC - EIB'!$T$2),"x1",IF(AND(C137="pv",E137='LC - PV'!$R$2,D137='LC - PV'!$P$2),"x2",IF(AND(LEFT(C137,3)="eib",E137='LC - EIB'!$U$2,D137='LC - EIB'!$S$2),"x3",""))))</f>
        <v/>
      </c>
      <c r="B137" s="62">
        <f t="shared" ref="B137:B143" si="9">IF(C137&lt;&gt;"",ROW()-3,"")</f>
        <v>134</v>
      </c>
      <c r="C137" s="62" t="s">
        <v>124</v>
      </c>
      <c r="D137" s="67">
        <v>42713</v>
      </c>
      <c r="E137" s="192" t="s">
        <v>217</v>
      </c>
      <c r="F137" s="96" t="s">
        <v>149</v>
      </c>
      <c r="G137" s="96" t="s">
        <v>150</v>
      </c>
      <c r="H137" s="96" t="s">
        <v>151</v>
      </c>
      <c r="I137" s="99" t="s">
        <v>9</v>
      </c>
      <c r="J137" s="97"/>
      <c r="K137" s="98"/>
      <c r="L137" s="99"/>
      <c r="M137" s="99"/>
      <c r="N137" s="96" t="s">
        <v>152</v>
      </c>
      <c r="O137" s="100"/>
      <c r="P137" s="69">
        <v>50000000</v>
      </c>
      <c r="Q137" s="92"/>
      <c r="R137" s="202" t="str">
        <f>IF(AND(C137="pv",D137='UNC - PV'!$Q$2,LEFT(E137,1)="u",'UNC - PV'!$O$2="vnđ",TH!P137&lt;&gt;""),"p",IF(AND(C137="pv",D137='UNC - PV'!$Q$2,LEFT(E137,1)="u",'UNC - PV'!$O$2="usd",TH!O137&lt;&gt;""),"p1",IF(AND(C137="pv",D137='LC - PV'!$P$2,LEFT(E137,1)="l"),"p2",IF(AND(LEFT(C137,3)="EIB",D137='UNC - EIB'!$T$2,LEFT(E137,1)="u",'UNC - EIB'!$R$2="vnđ",TH!P137&lt;&gt;""),"e",IF(AND(LEFT(C137,3)="EIB",D137='UNC - EIB'!$T$2,LEFT(E137,1)="U",'UNC - EIB'!$R$2="usd",TH!O137&lt;&gt;""),"e1",IF(AND(LEFT(C137,3)="EIB",D137='LC - EIB'!$S$2,LEFT(E137,1)="l"),"e2",""))))))</f>
        <v/>
      </c>
    </row>
    <row r="138" spans="1:18" ht="18.75" customHeight="1">
      <c r="A138" s="55" t="str">
        <f>IF(AND(C138="pv",E138='UNC - PV'!$S$2,D138='UNC - PV'!$Q$2),"x",IF(AND(LEFT(C138,3)="eib",E138='UNC - EIB'!$V$2,D138='UNC - EIB'!$T$2),"x1",IF(AND(C138="pv",E138='LC - PV'!$R$2,D138='LC - PV'!$P$2),"x2",IF(AND(LEFT(C138,3)="eib",E138='LC - EIB'!$U$2,D138='LC - EIB'!$S$2),"x3",""))))</f>
        <v/>
      </c>
      <c r="B138" s="62">
        <f t="shared" si="9"/>
        <v>135</v>
      </c>
      <c r="C138" s="62" t="s">
        <v>141</v>
      </c>
      <c r="D138" s="67">
        <v>42717</v>
      </c>
      <c r="E138" s="192" t="s">
        <v>21</v>
      </c>
      <c r="F138" s="96" t="s">
        <v>128</v>
      </c>
      <c r="G138" s="96" t="s">
        <v>296</v>
      </c>
      <c r="H138" s="96" t="s">
        <v>126</v>
      </c>
      <c r="I138" s="94" t="s">
        <v>9</v>
      </c>
      <c r="J138" s="66"/>
      <c r="K138" s="67"/>
      <c r="L138" s="65"/>
      <c r="M138" s="65"/>
      <c r="N138" s="64" t="s">
        <v>166</v>
      </c>
      <c r="O138" s="68">
        <v>71000</v>
      </c>
      <c r="P138" s="69"/>
      <c r="Q138" s="92"/>
      <c r="R138" s="202" t="str">
        <f>IF(AND(C138="pv",D138='UNC - PV'!$Q$2,LEFT(E138,1)="u",'UNC - PV'!$O$2="vnđ",TH!P138&lt;&gt;""),"p",IF(AND(C138="pv",D138='UNC - PV'!$Q$2,LEFT(E138,1)="u",'UNC - PV'!$O$2="usd",TH!O138&lt;&gt;""),"p1",IF(AND(C138="pv",D138='LC - PV'!$P$2,LEFT(E138,1)="l"),"p2",IF(AND(LEFT(C138,3)="EIB",D138='UNC - EIB'!$T$2,LEFT(E138,1)="u",'UNC - EIB'!$R$2="vnđ",TH!P138&lt;&gt;""),"e",IF(AND(LEFT(C138,3)="EIB",D138='UNC - EIB'!$T$2,LEFT(E138,1)="U",'UNC - EIB'!$R$2="usd",TH!O138&lt;&gt;""),"e1",IF(AND(LEFT(C138,3)="EIB",D138='LC - EIB'!$S$2,LEFT(E138,1)="l"),"e2",""))))))</f>
        <v/>
      </c>
    </row>
    <row r="139" spans="1:18" ht="18.75" customHeight="1">
      <c r="A139" s="55" t="str">
        <f>IF(AND(C139="pv",E139='UNC - PV'!$S$2,D139='UNC - PV'!$Q$2),"x",IF(AND(LEFT(C139,3)="eib",E139='UNC - EIB'!$V$2,D139='UNC - EIB'!$T$2),"x1",IF(AND(C139="pv",E139='LC - PV'!$R$2,D139='LC - PV'!$P$2),"x2",IF(AND(LEFT(C139,3)="eib",E139='LC - EIB'!$U$2,D139='LC - EIB'!$S$2),"x3",""))))</f>
        <v/>
      </c>
      <c r="B139" s="62">
        <f t="shared" si="9"/>
        <v>136</v>
      </c>
      <c r="C139" s="62" t="s">
        <v>141</v>
      </c>
      <c r="D139" s="67">
        <v>42718</v>
      </c>
      <c r="E139" s="192" t="s">
        <v>21</v>
      </c>
      <c r="F139" s="64" t="s">
        <v>383</v>
      </c>
      <c r="G139" s="64" t="s">
        <v>384</v>
      </c>
      <c r="H139" s="64" t="s">
        <v>385</v>
      </c>
      <c r="I139" s="65" t="s">
        <v>386</v>
      </c>
      <c r="J139" s="66"/>
      <c r="K139" s="67"/>
      <c r="L139" s="65"/>
      <c r="M139" s="65"/>
      <c r="N139" s="64" t="s">
        <v>387</v>
      </c>
      <c r="O139" s="68"/>
      <c r="P139" s="69">
        <v>1443000000</v>
      </c>
      <c r="Q139" s="92"/>
      <c r="R139" s="202" t="str">
        <f>IF(AND(C139="pv",D139='UNC - PV'!$Q$2,LEFT(E139,1)="u",'UNC - PV'!$O$2="vnđ",TH!P139&lt;&gt;""),"p",IF(AND(C139="pv",D139='UNC - PV'!$Q$2,LEFT(E139,1)="u",'UNC - PV'!$O$2="usd",TH!O139&lt;&gt;""),"p1",IF(AND(C139="pv",D139='LC - PV'!$P$2,LEFT(E139,1)="l"),"p2",IF(AND(LEFT(C139,3)="EIB",D139='UNC - EIB'!$T$2,LEFT(E139,1)="u",'UNC - EIB'!$R$2="vnđ",TH!P139&lt;&gt;""),"e",IF(AND(LEFT(C139,3)="EIB",D139='UNC - EIB'!$T$2,LEFT(E139,1)="U",'UNC - EIB'!$R$2="usd",TH!O139&lt;&gt;""),"e1",IF(AND(LEFT(C139,3)="EIB",D139='LC - EIB'!$S$2,LEFT(E139,1)="l"),"e2",""))))))</f>
        <v/>
      </c>
    </row>
    <row r="140" spans="1:18" ht="18.75" customHeight="1">
      <c r="A140" s="55" t="str">
        <f>IF(AND(C140="pv",E140='UNC - PV'!$S$2,D140='UNC - PV'!$Q$2),"x",IF(AND(LEFT(C140,3)="eib",E140='UNC - EIB'!$V$2,D140='UNC - EIB'!$T$2),"x1",IF(AND(C140="pv",E140='LC - PV'!$R$2,D140='LC - PV'!$P$2),"x2",IF(AND(LEFT(C140,3)="eib",E140='LC - EIB'!$U$2,D140='LC - EIB'!$S$2),"x3",""))))</f>
        <v/>
      </c>
      <c r="B140" s="62">
        <f t="shared" si="9"/>
        <v>137</v>
      </c>
      <c r="C140" s="62" t="s">
        <v>141</v>
      </c>
      <c r="D140" s="67">
        <v>42718</v>
      </c>
      <c r="E140" s="192" t="s">
        <v>22</v>
      </c>
      <c r="F140" s="64" t="s">
        <v>390</v>
      </c>
      <c r="G140" s="64" t="s">
        <v>391</v>
      </c>
      <c r="H140" s="64" t="s">
        <v>385</v>
      </c>
      <c r="I140" s="65" t="s">
        <v>386</v>
      </c>
      <c r="J140" s="66"/>
      <c r="K140" s="67"/>
      <c r="L140" s="65"/>
      <c r="M140" s="65"/>
      <c r="N140" s="96" t="s">
        <v>387</v>
      </c>
      <c r="O140" s="68"/>
      <c r="P140" s="69">
        <v>974415000</v>
      </c>
      <c r="Q140" s="92"/>
      <c r="R140" s="202" t="str">
        <f>IF(AND(C140="pv",D140='UNC - PV'!$Q$2,LEFT(E140,1)="u",'UNC - PV'!$O$2="vnđ",TH!P140&lt;&gt;""),"p",IF(AND(C140="pv",D140='UNC - PV'!$Q$2,LEFT(E140,1)="u",'UNC - PV'!$O$2="usd",TH!O140&lt;&gt;""),"p1",IF(AND(C140="pv",D140='LC - PV'!$P$2,LEFT(E140,1)="l"),"p2",IF(AND(LEFT(C140,3)="EIB",D140='UNC - EIB'!$T$2,LEFT(E140,1)="u",'UNC - EIB'!$R$2="vnđ",TH!P140&lt;&gt;""),"e",IF(AND(LEFT(C140,3)="EIB",D140='UNC - EIB'!$T$2,LEFT(E140,1)="U",'UNC - EIB'!$R$2="usd",TH!O140&lt;&gt;""),"e1",IF(AND(LEFT(C140,3)="EIB",D140='LC - EIB'!$S$2,LEFT(E140,1)="l"),"e2",""))))))</f>
        <v/>
      </c>
    </row>
    <row r="141" spans="1:18" ht="18.75" customHeight="1">
      <c r="A141" s="55" t="str">
        <f>IF(AND(C141="pv",E141='UNC - PV'!$S$2,D141='UNC - PV'!$Q$2),"x",IF(AND(LEFT(C141,3)="eib",E141='UNC - EIB'!$V$2,D141='UNC - EIB'!$T$2),"x1",IF(AND(C141="pv",E141='LC - PV'!$R$2,D141='LC - PV'!$P$2),"x2",IF(AND(LEFT(C141,3)="eib",E141='LC - EIB'!$U$2,D141='LC - EIB'!$S$2),"x3",""))))</f>
        <v/>
      </c>
      <c r="B141" s="62">
        <f t="shared" si="9"/>
        <v>138</v>
      </c>
      <c r="C141" s="62" t="s">
        <v>141</v>
      </c>
      <c r="D141" s="67">
        <v>42718</v>
      </c>
      <c r="E141" s="192" t="s">
        <v>23</v>
      </c>
      <c r="F141" s="64" t="s">
        <v>361</v>
      </c>
      <c r="G141" s="64" t="s">
        <v>362</v>
      </c>
      <c r="H141" s="64" t="s">
        <v>363</v>
      </c>
      <c r="I141" s="62" t="s">
        <v>9</v>
      </c>
      <c r="J141" s="66"/>
      <c r="K141" s="67"/>
      <c r="L141" s="65"/>
      <c r="M141" s="65"/>
      <c r="N141" s="64" t="s">
        <v>364</v>
      </c>
      <c r="O141" s="68"/>
      <c r="P141" s="69">
        <v>26948372</v>
      </c>
      <c r="Q141" s="92"/>
      <c r="R141" s="202" t="str">
        <f>IF(AND(C141="pv",D141='UNC - PV'!$Q$2,LEFT(E141,1)="u",'UNC - PV'!$O$2="vnđ",TH!P141&lt;&gt;""),"p",IF(AND(C141="pv",D141='UNC - PV'!$Q$2,LEFT(E141,1)="u",'UNC - PV'!$O$2="usd",TH!O141&lt;&gt;""),"p1",IF(AND(C141="pv",D141='LC - PV'!$P$2,LEFT(E141,1)="l"),"p2",IF(AND(LEFT(C141,3)="EIB",D141='UNC - EIB'!$T$2,LEFT(E141,1)="u",'UNC - EIB'!$R$2="vnđ",TH!P141&lt;&gt;""),"e",IF(AND(LEFT(C141,3)="EIB",D141='UNC - EIB'!$T$2,LEFT(E141,1)="U",'UNC - EIB'!$R$2="usd",TH!O141&lt;&gt;""),"e1",IF(AND(LEFT(C141,3)="EIB",D141='LC - EIB'!$S$2,LEFT(E141,1)="l"),"e2",""))))))</f>
        <v/>
      </c>
    </row>
    <row r="142" spans="1:18" ht="18.75" customHeight="1">
      <c r="A142" s="55" t="str">
        <f>IF(AND(C142="pv",E142='UNC - PV'!$S$2,D142='UNC - PV'!$Q$2),"x",IF(AND(LEFT(C142,3)="eib",E142='UNC - EIB'!$V$2,D142='UNC - EIB'!$T$2),"x1",IF(AND(C142="pv",E142='LC - PV'!$R$2,D142='LC - PV'!$P$2),"x2",IF(AND(LEFT(C142,3)="eib",E142='LC - EIB'!$U$2,D142='LC - EIB'!$S$2),"x3",""))))</f>
        <v/>
      </c>
      <c r="B142" s="62">
        <f t="shared" si="9"/>
        <v>139</v>
      </c>
      <c r="C142" s="62" t="s">
        <v>141</v>
      </c>
      <c r="D142" s="67">
        <v>42718</v>
      </c>
      <c r="E142" s="192" t="s">
        <v>24</v>
      </c>
      <c r="F142" s="64" t="s">
        <v>409</v>
      </c>
      <c r="G142" s="64" t="s">
        <v>410</v>
      </c>
      <c r="H142" s="64" t="s">
        <v>411</v>
      </c>
      <c r="I142" s="62" t="s">
        <v>9</v>
      </c>
      <c r="J142" s="66"/>
      <c r="K142" s="67"/>
      <c r="L142" s="65"/>
      <c r="M142" s="65"/>
      <c r="N142" s="64" t="s">
        <v>412</v>
      </c>
      <c r="O142" s="68"/>
      <c r="P142" s="69">
        <v>24884526</v>
      </c>
      <c r="Q142" s="92"/>
      <c r="R142" s="202" t="str">
        <f>IF(AND(C142="pv",D142='UNC - PV'!$Q$2,LEFT(E142,1)="u",'UNC - PV'!$O$2="vnđ",TH!P142&lt;&gt;""),"p",IF(AND(C142="pv",D142='UNC - PV'!$Q$2,LEFT(E142,1)="u",'UNC - PV'!$O$2="usd",TH!O142&lt;&gt;""),"p1",IF(AND(C142="pv",D142='LC - PV'!$P$2,LEFT(E142,1)="l"),"p2",IF(AND(LEFT(C142,3)="EIB",D142='UNC - EIB'!$T$2,LEFT(E142,1)="u",'UNC - EIB'!$R$2="vnđ",TH!P142&lt;&gt;""),"e",IF(AND(LEFT(C142,3)="EIB",D142='UNC - EIB'!$T$2,LEFT(E142,1)="U",'UNC - EIB'!$R$2="usd",TH!O142&lt;&gt;""),"e1",IF(AND(LEFT(C142,3)="EIB",D142='LC - EIB'!$S$2,LEFT(E142,1)="l"),"e2",""))))))</f>
        <v/>
      </c>
    </row>
    <row r="143" spans="1:18" ht="18.75" customHeight="1">
      <c r="A143" s="55" t="str">
        <f>IF(AND(C143="pv",E143='UNC - PV'!$S$2,D143='UNC - PV'!$Q$2),"x",IF(AND(LEFT(C143,3)="eib",E143='UNC - EIB'!$V$2,D143='UNC - EIB'!$T$2),"x1",IF(AND(C143="pv",E143='LC - PV'!$R$2,D143='LC - PV'!$P$2),"x2",IF(AND(LEFT(C143,3)="eib",E143='LC - EIB'!$U$2,D143='LC - EIB'!$S$2),"x3",""))))</f>
        <v/>
      </c>
      <c r="B143" s="62">
        <f t="shared" si="9"/>
        <v>140</v>
      </c>
      <c r="C143" s="62" t="s">
        <v>124</v>
      </c>
      <c r="D143" s="67">
        <v>42723</v>
      </c>
      <c r="E143" s="192" t="s">
        <v>21</v>
      </c>
      <c r="F143" s="96" t="s">
        <v>128</v>
      </c>
      <c r="G143" s="96" t="s">
        <v>127</v>
      </c>
      <c r="H143" s="96" t="s">
        <v>126</v>
      </c>
      <c r="I143" s="94" t="s">
        <v>9</v>
      </c>
      <c r="J143" s="97"/>
      <c r="K143" s="67"/>
      <c r="L143" s="65"/>
      <c r="M143" s="65"/>
      <c r="N143" s="64" t="s">
        <v>125</v>
      </c>
      <c r="O143" s="68">
        <v>291000</v>
      </c>
      <c r="P143" s="69"/>
      <c r="Q143" s="92"/>
      <c r="R143" s="202" t="str">
        <f>IF(AND(C143="pv",D143='UNC - PV'!$Q$2,LEFT(E143,1)="u",'UNC - PV'!$O$2="vnđ",TH!P143&lt;&gt;""),"p",IF(AND(C143="pv",D143='UNC - PV'!$Q$2,LEFT(E143,1)="u",'UNC - PV'!$O$2="usd",TH!O143&lt;&gt;""),"p1",IF(AND(C143="pv",D143='LC - PV'!$P$2,LEFT(E143,1)="l"),"p2",IF(AND(LEFT(C143,3)="EIB",D143='UNC - EIB'!$T$2,LEFT(E143,1)="u",'UNC - EIB'!$R$2="vnđ",TH!P143&lt;&gt;""),"e",IF(AND(LEFT(C143,3)="EIB",D143='UNC - EIB'!$T$2,LEFT(E143,1)="U",'UNC - EIB'!$R$2="usd",TH!O143&lt;&gt;""),"e1",IF(AND(LEFT(C143,3)="EIB",D143='LC - EIB'!$S$2,LEFT(E143,1)="l"),"e2",""))))))</f>
        <v/>
      </c>
    </row>
    <row r="144" spans="1:18" ht="18.75" customHeight="1">
      <c r="A144" s="55" t="str">
        <f>IF(AND(C144="pv",E144='UNC - PV'!$S$2,D144='UNC - PV'!$Q$2),"x",IF(AND(LEFT(C144,3)="eib",E144='UNC - EIB'!$V$2,D144='UNC - EIB'!$T$2),"x1",IF(AND(C144="pv",E144='LC - PV'!$R$2,D144='LC - PV'!$P$2),"x2",IF(AND(LEFT(C144,3)="eib",E144='LC - EIB'!$U$2,D144='LC - EIB'!$S$2),"x3",""))))</f>
        <v/>
      </c>
      <c r="B144" s="62">
        <f t="shared" si="0"/>
        <v>141</v>
      </c>
      <c r="C144" s="62" t="s">
        <v>124</v>
      </c>
      <c r="D144" s="67">
        <v>42723</v>
      </c>
      <c r="E144" s="192" t="s">
        <v>22</v>
      </c>
      <c r="F144" s="96" t="s">
        <v>129</v>
      </c>
      <c r="G144" s="96" t="s">
        <v>130</v>
      </c>
      <c r="H144" s="96" t="s">
        <v>126</v>
      </c>
      <c r="I144" s="94" t="s">
        <v>9</v>
      </c>
      <c r="J144" s="66"/>
      <c r="K144" s="67"/>
      <c r="L144" s="65"/>
      <c r="M144" s="65"/>
      <c r="N144" s="96" t="s">
        <v>387</v>
      </c>
      <c r="O144" s="68"/>
      <c r="P144" s="69">
        <v>2078000000</v>
      </c>
      <c r="Q144" s="92"/>
      <c r="R144" s="202" t="str">
        <f>IF(AND(C144="pv",D144='UNC - PV'!$Q$2,LEFT(E144,1)="u",'UNC - PV'!$O$2="vnđ",TH!P144&lt;&gt;""),"p",IF(AND(C144="pv",D144='UNC - PV'!$Q$2,LEFT(E144,1)="u",'UNC - PV'!$O$2="usd",TH!O144&lt;&gt;""),"p1",IF(AND(C144="pv",D144='LC - PV'!$P$2,LEFT(E144,1)="l"),"p2",IF(AND(LEFT(C144,3)="EIB",D144='UNC - EIB'!$T$2,LEFT(E144,1)="u",'UNC - EIB'!$R$2="vnđ",TH!P144&lt;&gt;""),"e",IF(AND(LEFT(C144,3)="EIB",D144='UNC - EIB'!$T$2,LEFT(E144,1)="U",'UNC - EIB'!$R$2="usd",TH!O144&lt;&gt;""),"e1",IF(AND(LEFT(C144,3)="EIB",D144='LC - EIB'!$S$2,LEFT(E144,1)="l"),"e2",""))))))</f>
        <v/>
      </c>
    </row>
    <row r="145" spans="1:18" ht="18.75" customHeight="1">
      <c r="A145" s="55" t="str">
        <f>IF(AND(C145="pv",E145='UNC - PV'!$S$2,D145='UNC - PV'!$Q$2),"x",IF(AND(LEFT(C145,3)="eib",E145='UNC - EIB'!$V$2,D145='UNC - EIB'!$T$2),"x1",IF(AND(C145="pv",E145='LC - PV'!$R$2,D145='LC - PV'!$P$2),"x2",IF(AND(LEFT(C145,3)="eib",E145='LC - EIB'!$U$2,D145='LC - EIB'!$S$2),"x3",""))))</f>
        <v/>
      </c>
      <c r="B145" s="62">
        <f t="shared" si="0"/>
        <v>142</v>
      </c>
      <c r="C145" s="62" t="s">
        <v>124</v>
      </c>
      <c r="D145" s="67">
        <v>42723</v>
      </c>
      <c r="E145" s="192" t="s">
        <v>23</v>
      </c>
      <c r="F145" s="64" t="s">
        <v>383</v>
      </c>
      <c r="G145" s="64" t="s">
        <v>384</v>
      </c>
      <c r="H145" s="64" t="s">
        <v>385</v>
      </c>
      <c r="I145" s="65" t="s">
        <v>386</v>
      </c>
      <c r="J145" s="66"/>
      <c r="K145" s="67"/>
      <c r="L145" s="65"/>
      <c r="M145" s="65"/>
      <c r="N145" s="64" t="s">
        <v>387</v>
      </c>
      <c r="O145" s="68"/>
      <c r="P145" s="69">
        <v>1050504000</v>
      </c>
      <c r="Q145" s="92"/>
      <c r="R145" s="202" t="str">
        <f>IF(AND(C145="pv",D145='UNC - PV'!$Q$2,LEFT(E145,1)="u",'UNC - PV'!$O$2="vnđ",TH!P145&lt;&gt;""),"p",IF(AND(C145="pv",D145='UNC - PV'!$Q$2,LEFT(E145,1)="u",'UNC - PV'!$O$2="usd",TH!O145&lt;&gt;""),"p1",IF(AND(C145="pv",D145='LC - PV'!$P$2,LEFT(E145,1)="l"),"p2",IF(AND(LEFT(C145,3)="EIB",D145='UNC - EIB'!$T$2,LEFT(E145,1)="u",'UNC - EIB'!$R$2="vnđ",TH!P145&lt;&gt;""),"e",IF(AND(LEFT(C145,3)="EIB",D145='UNC - EIB'!$T$2,LEFT(E145,1)="U",'UNC - EIB'!$R$2="usd",TH!O145&lt;&gt;""),"e1",IF(AND(LEFT(C145,3)="EIB",D145='LC - EIB'!$S$2,LEFT(E145,1)="l"),"e2",""))))))</f>
        <v/>
      </c>
    </row>
    <row r="146" spans="1:18" ht="18.75" customHeight="1">
      <c r="A146" s="55" t="str">
        <f>IF(AND(C146="pv",E146='UNC - PV'!$S$2,D146='UNC - PV'!$Q$2),"x",IF(AND(LEFT(C146,3)="eib",E146='UNC - EIB'!$V$2,D146='UNC - EIB'!$T$2),"x1",IF(AND(C146="pv",E146='LC - PV'!$R$2,D146='LC - PV'!$P$2),"x2",IF(AND(LEFT(C146,3)="eib",E146='LC - EIB'!$U$2,D146='LC - EIB'!$S$2),"x3",""))))</f>
        <v/>
      </c>
      <c r="B146" s="62">
        <f t="shared" si="0"/>
        <v>143</v>
      </c>
      <c r="C146" s="62" t="s">
        <v>124</v>
      </c>
      <c r="D146" s="67">
        <v>42723</v>
      </c>
      <c r="E146" s="192" t="s">
        <v>24</v>
      </c>
      <c r="F146" s="64" t="s">
        <v>89</v>
      </c>
      <c r="G146" s="64" t="s">
        <v>90</v>
      </c>
      <c r="H146" s="64" t="s">
        <v>91</v>
      </c>
      <c r="I146" s="65" t="s">
        <v>33</v>
      </c>
      <c r="J146" s="66"/>
      <c r="K146" s="67"/>
      <c r="L146" s="65"/>
      <c r="M146" s="65"/>
      <c r="N146" s="64" t="s">
        <v>92</v>
      </c>
      <c r="O146" s="68"/>
      <c r="P146" s="69">
        <v>80000000</v>
      </c>
      <c r="Q146" s="92"/>
      <c r="R146" s="202" t="str">
        <f>IF(AND(C146="pv",D146='UNC - PV'!$Q$2,LEFT(E146,1)="u",'UNC - PV'!$O$2="vnđ",TH!P146&lt;&gt;""),"p",IF(AND(C146="pv",D146='UNC - PV'!$Q$2,LEFT(E146,1)="u",'UNC - PV'!$O$2="usd",TH!O146&lt;&gt;""),"p1",IF(AND(C146="pv",D146='LC - PV'!$P$2,LEFT(E146,1)="l"),"p2",IF(AND(LEFT(C146,3)="EIB",D146='UNC - EIB'!$T$2,LEFT(E146,1)="u",'UNC - EIB'!$R$2="vnđ",TH!P146&lt;&gt;""),"e",IF(AND(LEFT(C146,3)="EIB",D146='UNC - EIB'!$T$2,LEFT(E146,1)="U",'UNC - EIB'!$R$2="usd",TH!O146&lt;&gt;""),"e1",IF(AND(LEFT(C146,3)="EIB",D146='LC - EIB'!$S$2,LEFT(E146,1)="l"),"e2",""))))))</f>
        <v/>
      </c>
    </row>
    <row r="147" spans="1:18" ht="18.75" customHeight="1">
      <c r="A147" s="55" t="str">
        <f>IF(AND(C147="pv",E147='UNC - PV'!$S$2,D147='UNC - PV'!$Q$2),"x",IF(AND(LEFT(C147,3)="eib",E147='UNC - EIB'!$V$2,D147='UNC - EIB'!$T$2),"x1",IF(AND(C147="pv",E147='LC - PV'!$R$2,D147='LC - PV'!$P$2),"x2",IF(AND(LEFT(C147,3)="eib",E147='LC - EIB'!$U$2,D147='LC - EIB'!$S$2),"x3",""))))</f>
        <v/>
      </c>
      <c r="B147" s="62">
        <f t="shared" si="0"/>
        <v>144</v>
      </c>
      <c r="C147" s="62" t="s">
        <v>124</v>
      </c>
      <c r="D147" s="67">
        <v>42723</v>
      </c>
      <c r="E147" s="192" t="s">
        <v>82</v>
      </c>
      <c r="F147" s="64" t="s">
        <v>34</v>
      </c>
      <c r="G147" s="64" t="s">
        <v>30</v>
      </c>
      <c r="H147" s="64" t="s">
        <v>31</v>
      </c>
      <c r="I147" s="65" t="s">
        <v>33</v>
      </c>
      <c r="J147" s="66"/>
      <c r="K147" s="67"/>
      <c r="L147" s="65"/>
      <c r="M147" s="65"/>
      <c r="N147" s="64" t="s">
        <v>418</v>
      </c>
      <c r="O147" s="68"/>
      <c r="P147" s="69">
        <v>32679900</v>
      </c>
      <c r="Q147" s="92"/>
      <c r="R147" s="202" t="str">
        <f>IF(AND(C147="pv",D147='UNC - PV'!$Q$2,LEFT(E147,1)="u",'UNC - PV'!$O$2="vnđ",TH!P147&lt;&gt;""),"p",IF(AND(C147="pv",D147='UNC - PV'!$Q$2,LEFT(E147,1)="u",'UNC - PV'!$O$2="usd",TH!O147&lt;&gt;""),"p1",IF(AND(C147="pv",D147='LC - PV'!$P$2,LEFT(E147,1)="l"),"p2",IF(AND(LEFT(C147,3)="EIB",D147='UNC - EIB'!$T$2,LEFT(E147,1)="u",'UNC - EIB'!$R$2="vnđ",TH!P147&lt;&gt;""),"e",IF(AND(LEFT(C147,3)="EIB",D147='UNC - EIB'!$T$2,LEFT(E147,1)="U",'UNC - EIB'!$R$2="usd",TH!O147&lt;&gt;""),"e1",IF(AND(LEFT(C147,3)="EIB",D147='LC - EIB'!$S$2,LEFT(E147,1)="l"),"e2",""))))))</f>
        <v/>
      </c>
    </row>
    <row r="148" spans="1:18" ht="18.75" customHeight="1">
      <c r="A148" s="55" t="str">
        <f>IF(AND(C148="pv",E148='UNC - PV'!$S$2,D148='UNC - PV'!$Q$2),"x",IF(AND(LEFT(C148,3)="eib",E148='UNC - EIB'!$V$2,D148='UNC - EIB'!$T$2),"x1",IF(AND(C148="pv",E148='LC - PV'!$R$2,D148='LC - PV'!$P$2),"x2",IF(AND(LEFT(C148,3)="eib",E148='LC - EIB'!$U$2,D148='LC - EIB'!$S$2),"x3",""))))</f>
        <v/>
      </c>
      <c r="B148" s="62">
        <f t="shared" ref="B148:B149" si="10">IF(C148&lt;&gt;"",ROW()-3,"")</f>
        <v>145</v>
      </c>
      <c r="C148" s="62" t="s">
        <v>124</v>
      </c>
      <c r="D148" s="67">
        <v>42725</v>
      </c>
      <c r="E148" s="192" t="s">
        <v>21</v>
      </c>
      <c r="F148" s="96" t="s">
        <v>128</v>
      </c>
      <c r="G148" s="96" t="s">
        <v>127</v>
      </c>
      <c r="H148" s="96" t="s">
        <v>126</v>
      </c>
      <c r="I148" s="94" t="s">
        <v>9</v>
      </c>
      <c r="J148" s="97"/>
      <c r="K148" s="67"/>
      <c r="L148" s="65"/>
      <c r="M148" s="65"/>
      <c r="N148" s="64" t="s">
        <v>125</v>
      </c>
      <c r="O148" s="68">
        <v>281500</v>
      </c>
      <c r="P148" s="69"/>
      <c r="Q148" s="92"/>
      <c r="R148" s="202" t="str">
        <f>IF(AND(C148="pv",D148='UNC - PV'!$Q$2,LEFT(E148,1)="u",'UNC - PV'!$O$2="vnđ",TH!P148&lt;&gt;""),"p",IF(AND(C148="pv",D148='UNC - PV'!$Q$2,LEFT(E148,1)="u",'UNC - PV'!$O$2="usd",TH!O148&lt;&gt;""),"p1",IF(AND(C148="pv",D148='LC - PV'!$P$2,LEFT(E148,1)="l"),"p2",IF(AND(LEFT(C148,3)="EIB",D148='UNC - EIB'!$T$2,LEFT(E148,1)="u",'UNC - EIB'!$R$2="vnđ",TH!P148&lt;&gt;""),"e",IF(AND(LEFT(C148,3)="EIB",D148='UNC - EIB'!$T$2,LEFT(E148,1)="U",'UNC - EIB'!$R$2="usd",TH!O148&lt;&gt;""),"e1",IF(AND(LEFT(C148,3)="EIB",D148='LC - EIB'!$S$2,LEFT(E148,1)="l"),"e2",""))))))</f>
        <v/>
      </c>
    </row>
    <row r="149" spans="1:18" ht="18.75" customHeight="1">
      <c r="A149" s="55" t="str">
        <f>IF(AND(C149="pv",E149='UNC - PV'!$S$2,D149='UNC - PV'!$Q$2),"x",IF(AND(LEFT(C149,3)="eib",E149='UNC - EIB'!$V$2,D149='UNC - EIB'!$T$2),"x1",IF(AND(C149="pv",E149='LC - PV'!$R$2,D149='LC - PV'!$P$2),"x2",IF(AND(LEFT(C149,3)="eib",E149='LC - EIB'!$U$2,D149='LC - EIB'!$S$2),"x3",""))))</f>
        <v/>
      </c>
      <c r="B149" s="62">
        <f t="shared" si="10"/>
        <v>146</v>
      </c>
      <c r="C149" s="62" t="s">
        <v>124</v>
      </c>
      <c r="D149" s="67">
        <v>42725</v>
      </c>
      <c r="E149" s="192" t="s">
        <v>22</v>
      </c>
      <c r="F149" s="96" t="s">
        <v>129</v>
      </c>
      <c r="G149" s="96" t="s">
        <v>130</v>
      </c>
      <c r="H149" s="96" t="s">
        <v>126</v>
      </c>
      <c r="I149" s="94" t="s">
        <v>9</v>
      </c>
      <c r="J149" s="66"/>
      <c r="K149" s="67"/>
      <c r="L149" s="65"/>
      <c r="M149" s="65"/>
      <c r="N149" s="96" t="s">
        <v>387</v>
      </c>
      <c r="O149" s="68"/>
      <c r="P149" s="69">
        <v>2010000000</v>
      </c>
      <c r="Q149" s="92"/>
      <c r="R149" s="202" t="str">
        <f>IF(AND(C149="pv",D149='UNC - PV'!$Q$2,LEFT(E149,1)="u",'UNC - PV'!$O$2="vnđ",TH!P149&lt;&gt;""),"p",IF(AND(C149="pv",D149='UNC - PV'!$Q$2,LEFT(E149,1)="u",'UNC - PV'!$O$2="usd",TH!O149&lt;&gt;""),"p1",IF(AND(C149="pv",D149='LC - PV'!$P$2,LEFT(E149,1)="l"),"p2",IF(AND(LEFT(C149,3)="EIB",D149='UNC - EIB'!$T$2,LEFT(E149,1)="u",'UNC - EIB'!$R$2="vnđ",TH!P149&lt;&gt;""),"e",IF(AND(LEFT(C149,3)="EIB",D149='UNC - EIB'!$T$2,LEFT(E149,1)="U",'UNC - EIB'!$R$2="usd",TH!O149&lt;&gt;""),"e1",IF(AND(LEFT(C149,3)="EIB",D149='LC - EIB'!$S$2,LEFT(E149,1)="l"),"e2",""))))))</f>
        <v/>
      </c>
    </row>
    <row r="150" spans="1:18" ht="18.75" customHeight="1">
      <c r="A150" s="55" t="str">
        <f>IF(AND(C150="pv",E150='UNC - PV'!$S$2,D150='UNC - PV'!$Q$2),"x",IF(AND(LEFT(C150,3)="eib",E150='UNC - EIB'!$V$2,D150='UNC - EIB'!$T$2),"x1",IF(AND(C150="pv",E150='LC - PV'!$R$2,D150='LC - PV'!$P$2),"x2",IF(AND(LEFT(C150,3)="eib",E150='LC - EIB'!$U$2,D150='LC - EIB'!$S$2),"x3",""))))</f>
        <v/>
      </c>
      <c r="B150" s="62">
        <f t="shared" si="0"/>
        <v>147</v>
      </c>
      <c r="C150" s="62" t="s">
        <v>124</v>
      </c>
      <c r="D150" s="67">
        <v>42726</v>
      </c>
      <c r="E150" s="192" t="s">
        <v>21</v>
      </c>
      <c r="F150" s="64" t="s">
        <v>383</v>
      </c>
      <c r="G150" s="64" t="s">
        <v>423</v>
      </c>
      <c r="H150" s="64" t="s">
        <v>385</v>
      </c>
      <c r="I150" s="65" t="s">
        <v>386</v>
      </c>
      <c r="J150" s="66"/>
      <c r="K150" s="67"/>
      <c r="L150" s="65"/>
      <c r="M150" s="65"/>
      <c r="N150" s="64" t="s">
        <v>387</v>
      </c>
      <c r="O150" s="68"/>
      <c r="P150" s="69">
        <v>1477840000</v>
      </c>
      <c r="Q150" s="92"/>
      <c r="R150" s="202" t="str">
        <f>IF(AND(C150="pv",D150='UNC - PV'!$Q$2,LEFT(E150,1)="u",'UNC - PV'!$O$2="vnđ",TH!P150&lt;&gt;""),"p",IF(AND(C150="pv",D150='UNC - PV'!$Q$2,LEFT(E150,1)="u",'UNC - PV'!$O$2="usd",TH!O150&lt;&gt;""),"p1",IF(AND(C150="pv",D150='LC - PV'!$P$2,LEFT(E150,1)="l"),"p2",IF(AND(LEFT(C150,3)="EIB",D150='UNC - EIB'!$T$2,LEFT(E150,1)="u",'UNC - EIB'!$R$2="vnđ",TH!P150&lt;&gt;""),"e",IF(AND(LEFT(C150,3)="EIB",D150='UNC - EIB'!$T$2,LEFT(E150,1)="U",'UNC - EIB'!$R$2="usd",TH!O150&lt;&gt;""),"e1",IF(AND(LEFT(C150,3)="EIB",D150='LC - EIB'!$S$2,LEFT(E150,1)="l"),"e2",""))))))</f>
        <v/>
      </c>
    </row>
    <row r="151" spans="1:18" ht="18.75" customHeight="1">
      <c r="A151" s="55" t="str">
        <f>IF(AND(C151="pv",E151='UNC - PV'!$S$2,D151='UNC - PV'!$Q$2),"x",IF(AND(LEFT(C151,3)="eib",E151='UNC - EIB'!$V$2,D151='UNC - EIB'!$T$2),"x1",IF(AND(C151="pv",E151='LC - PV'!$R$2,D151='LC - PV'!$P$2),"x2",IF(AND(LEFT(C151,3)="eib",E151='LC - EIB'!$U$2,D151='LC - EIB'!$S$2),"x3",""))))</f>
        <v/>
      </c>
      <c r="B151" s="62">
        <f t="shared" si="0"/>
        <v>148</v>
      </c>
      <c r="C151" s="62" t="s">
        <v>124</v>
      </c>
      <c r="D151" s="67">
        <v>42726</v>
      </c>
      <c r="E151" s="192" t="s">
        <v>22</v>
      </c>
      <c r="F151" s="64" t="s">
        <v>390</v>
      </c>
      <c r="G151" s="64" t="s">
        <v>391</v>
      </c>
      <c r="H151" s="64" t="s">
        <v>385</v>
      </c>
      <c r="I151" s="65" t="s">
        <v>386</v>
      </c>
      <c r="J151" s="66"/>
      <c r="K151" s="67"/>
      <c r="L151" s="65"/>
      <c r="M151" s="65"/>
      <c r="N151" s="96" t="s">
        <v>387</v>
      </c>
      <c r="O151" s="68"/>
      <c r="P151" s="69">
        <v>876993000</v>
      </c>
      <c r="Q151" s="92"/>
      <c r="R151" s="202" t="str">
        <f>IF(AND(C151="pv",D151='UNC - PV'!$Q$2,LEFT(E151,1)="u",'UNC - PV'!$O$2="vnđ",TH!P151&lt;&gt;""),"p",IF(AND(C151="pv",D151='UNC - PV'!$Q$2,LEFT(E151,1)="u",'UNC - PV'!$O$2="usd",TH!O151&lt;&gt;""),"p1",IF(AND(C151="pv",D151='LC - PV'!$P$2,LEFT(E151,1)="l"),"p2",IF(AND(LEFT(C151,3)="EIB",D151='UNC - EIB'!$T$2,LEFT(E151,1)="u",'UNC - EIB'!$R$2="vnđ",TH!P151&lt;&gt;""),"e",IF(AND(LEFT(C151,3)="EIB",D151='UNC - EIB'!$T$2,LEFT(E151,1)="U",'UNC - EIB'!$R$2="usd",TH!O151&lt;&gt;""),"e1",IF(AND(LEFT(C151,3)="EIB",D151='LC - EIB'!$S$2,LEFT(E151,1)="l"),"e2",""))))))</f>
        <v/>
      </c>
    </row>
    <row r="152" spans="1:18" ht="18.75" customHeight="1">
      <c r="A152" s="55" t="str">
        <f>IF(AND(C152="pv",E152='UNC - PV'!$S$2,D152='UNC - PV'!$Q$2),"x",IF(AND(LEFT(C152,3)="eib",E152='UNC - EIB'!$V$2,D152='UNC - EIB'!$T$2),"x1",IF(AND(C152="pv",E152='LC - PV'!$R$2,D152='LC - PV'!$P$2),"x2",IF(AND(LEFT(C152,3)="eib",E152='LC - EIB'!$U$2,D152='LC - EIB'!$S$2),"x3",""))))</f>
        <v/>
      </c>
      <c r="B152" s="62">
        <f t="shared" si="0"/>
        <v>149</v>
      </c>
      <c r="C152" s="62" t="s">
        <v>102</v>
      </c>
      <c r="D152" s="67">
        <v>42726</v>
      </c>
      <c r="E152" s="192" t="s">
        <v>23</v>
      </c>
      <c r="F152" s="96" t="s">
        <v>128</v>
      </c>
      <c r="G152" s="96" t="s">
        <v>127</v>
      </c>
      <c r="H152" s="96" t="s">
        <v>126</v>
      </c>
      <c r="I152" s="94" t="s">
        <v>9</v>
      </c>
      <c r="J152" s="97"/>
      <c r="K152" s="98"/>
      <c r="L152" s="65"/>
      <c r="M152" s="65"/>
      <c r="N152" s="64" t="s">
        <v>131</v>
      </c>
      <c r="O152" s="68"/>
      <c r="P152" s="69">
        <v>100000000</v>
      </c>
      <c r="Q152" s="92"/>
      <c r="R152" s="202" t="str">
        <f>IF(AND(C152="pv",D152='UNC - PV'!$Q$2,LEFT(E152,1)="u",'UNC - PV'!$O$2="vnđ",TH!P152&lt;&gt;""),"p",IF(AND(C152="pv",D152='UNC - PV'!$Q$2,LEFT(E152,1)="u",'UNC - PV'!$O$2="usd",TH!O152&lt;&gt;""),"p1",IF(AND(C152="pv",D152='LC - PV'!$P$2,LEFT(E152,1)="l"),"p2",IF(AND(LEFT(C152,3)="EIB",D152='UNC - EIB'!$T$2,LEFT(E152,1)="u",'UNC - EIB'!$R$2="vnđ",TH!P152&lt;&gt;""),"e",IF(AND(LEFT(C152,3)="EIB",D152='UNC - EIB'!$T$2,LEFT(E152,1)="U",'UNC - EIB'!$R$2="usd",TH!O152&lt;&gt;""),"e1",IF(AND(LEFT(C152,3)="EIB",D152='LC - EIB'!$S$2,LEFT(E152,1)="l"),"e2",""))))))</f>
        <v/>
      </c>
    </row>
    <row r="153" spans="1:18" ht="18.75" customHeight="1">
      <c r="A153" s="55" t="str">
        <f>IF(AND(C153="pv",E153='UNC - PV'!$S$2,D153='UNC - PV'!$Q$2),"x",IF(AND(LEFT(C153,3)="eib",E153='UNC - EIB'!$V$2,D153='UNC - EIB'!$T$2),"x1",IF(AND(C153="pv",E153='LC - PV'!$R$2,D153='LC - PV'!$P$2),"x2",IF(AND(LEFT(C153,3)="eib",E153='LC - EIB'!$U$2,D153='LC - EIB'!$S$2),"x3",""))))</f>
        <v/>
      </c>
      <c r="B153" s="62">
        <f t="shared" si="0"/>
        <v>150</v>
      </c>
      <c r="C153" s="62" t="s">
        <v>124</v>
      </c>
      <c r="D153" s="67">
        <v>42730</v>
      </c>
      <c r="E153" s="192" t="s">
        <v>21</v>
      </c>
      <c r="F153" s="96" t="s">
        <v>128</v>
      </c>
      <c r="G153" s="96" t="s">
        <v>127</v>
      </c>
      <c r="H153" s="96" t="s">
        <v>126</v>
      </c>
      <c r="I153" s="94" t="s">
        <v>9</v>
      </c>
      <c r="J153" s="97"/>
      <c r="K153" s="67"/>
      <c r="L153" s="65"/>
      <c r="M153" s="65"/>
      <c r="N153" s="64" t="s">
        <v>125</v>
      </c>
      <c r="O153" s="68">
        <v>282400</v>
      </c>
      <c r="P153" s="69"/>
      <c r="Q153" s="92"/>
      <c r="R153" s="202" t="str">
        <f>IF(AND(C153="pv",D153='UNC - PV'!$Q$2,LEFT(E153,1)="u",'UNC - PV'!$O$2="vnđ",TH!P153&lt;&gt;""),"p",IF(AND(C153="pv",D153='UNC - PV'!$Q$2,LEFT(E153,1)="u",'UNC - PV'!$O$2="usd",TH!O153&lt;&gt;""),"p1",IF(AND(C153="pv",D153='LC - PV'!$P$2,LEFT(E153,1)="l"),"p2",IF(AND(LEFT(C153,3)="EIB",D153='UNC - EIB'!$T$2,LEFT(E153,1)="u",'UNC - EIB'!$R$2="vnđ",TH!P153&lt;&gt;""),"e",IF(AND(LEFT(C153,3)="EIB",D153='UNC - EIB'!$T$2,LEFT(E153,1)="U",'UNC - EIB'!$R$2="usd",TH!O153&lt;&gt;""),"e1",IF(AND(LEFT(C153,3)="EIB",D153='LC - EIB'!$S$2,LEFT(E153,1)="l"),"e2",""))))))</f>
        <v/>
      </c>
    </row>
    <row r="154" spans="1:18" ht="18.75" customHeight="1">
      <c r="A154" s="55" t="str">
        <f>IF(AND(C154="pv",E154='UNC - PV'!$S$2,D154='UNC - PV'!$Q$2),"x",IF(AND(LEFT(C154,3)="eib",E154='UNC - EIB'!$V$2,D154='UNC - EIB'!$T$2),"x1",IF(AND(C154="pv",E154='LC - PV'!$R$2,D154='LC - PV'!$P$2),"x2",IF(AND(LEFT(C154,3)="eib",E154='LC - EIB'!$U$2,D154='LC - EIB'!$S$2),"x3",""))))</f>
        <v/>
      </c>
      <c r="B154" s="62">
        <f t="shared" si="0"/>
        <v>151</v>
      </c>
      <c r="C154" s="62" t="s">
        <v>124</v>
      </c>
      <c r="D154" s="67">
        <v>42730</v>
      </c>
      <c r="E154" s="192" t="s">
        <v>22</v>
      </c>
      <c r="F154" s="96" t="s">
        <v>129</v>
      </c>
      <c r="G154" s="96" t="s">
        <v>130</v>
      </c>
      <c r="H154" s="96" t="s">
        <v>126</v>
      </c>
      <c r="I154" s="94" t="s">
        <v>9</v>
      </c>
      <c r="J154" s="66"/>
      <c r="K154" s="67"/>
      <c r="L154" s="65"/>
      <c r="M154" s="65"/>
      <c r="N154" s="96" t="s">
        <v>387</v>
      </c>
      <c r="O154" s="68"/>
      <c r="P154" s="69">
        <v>2010000000</v>
      </c>
      <c r="Q154" s="92"/>
      <c r="R154" s="202" t="str">
        <f>IF(AND(C154="pv",D154='UNC - PV'!$Q$2,LEFT(E154,1)="u",'UNC - PV'!$O$2="vnđ",TH!P154&lt;&gt;""),"p",IF(AND(C154="pv",D154='UNC - PV'!$Q$2,LEFT(E154,1)="u",'UNC - PV'!$O$2="usd",TH!O154&lt;&gt;""),"p1",IF(AND(C154="pv",D154='LC - PV'!$P$2,LEFT(E154,1)="l"),"p2",IF(AND(LEFT(C154,3)="EIB",D154='UNC - EIB'!$T$2,LEFT(E154,1)="u",'UNC - EIB'!$R$2="vnđ",TH!P154&lt;&gt;""),"e",IF(AND(LEFT(C154,3)="EIB",D154='UNC - EIB'!$T$2,LEFT(E154,1)="U",'UNC - EIB'!$R$2="usd",TH!O154&lt;&gt;""),"e1",IF(AND(LEFT(C154,3)="EIB",D154='LC - EIB'!$S$2,LEFT(E154,1)="l"),"e2",""))))))</f>
        <v/>
      </c>
    </row>
    <row r="155" spans="1:18" ht="18.75" customHeight="1">
      <c r="A155" s="55" t="str">
        <f>IF(AND(C155="pv",E155='UNC - PV'!$S$2,D155='UNC - PV'!$Q$2),"x",IF(AND(LEFT(C155,3)="eib",E155='UNC - EIB'!$V$2,D155='UNC - EIB'!$T$2),"x1",IF(AND(C155="pv",E155='LC - PV'!$R$2,D155='LC - PV'!$P$2),"x2",IF(AND(LEFT(C155,3)="eib",E155='LC - EIB'!$U$2,D155='LC - EIB'!$S$2),"x3",""))))</f>
        <v/>
      </c>
      <c r="B155" s="62">
        <f t="shared" si="0"/>
        <v>152</v>
      </c>
      <c r="C155" s="62" t="s">
        <v>102</v>
      </c>
      <c r="D155" s="67">
        <v>42730</v>
      </c>
      <c r="E155" s="192" t="s">
        <v>23</v>
      </c>
      <c r="F155" s="64" t="s">
        <v>419</v>
      </c>
      <c r="G155" s="64" t="s">
        <v>420</v>
      </c>
      <c r="H155" s="64" t="s">
        <v>421</v>
      </c>
      <c r="I155" s="99" t="s">
        <v>156</v>
      </c>
      <c r="J155" s="66"/>
      <c r="K155" s="67"/>
      <c r="L155" s="65"/>
      <c r="M155" s="65"/>
      <c r="N155" s="64" t="s">
        <v>422</v>
      </c>
      <c r="O155" s="68"/>
      <c r="P155" s="69">
        <v>50790000</v>
      </c>
      <c r="Q155" s="92"/>
      <c r="R155" s="202" t="str">
        <f>IF(AND(C155="pv",D155='UNC - PV'!$Q$2,LEFT(E155,1)="u",'UNC - PV'!$O$2="vnđ",TH!P155&lt;&gt;""),"p",IF(AND(C155="pv",D155='UNC - PV'!$Q$2,LEFT(E155,1)="u",'UNC - PV'!$O$2="usd",TH!O155&lt;&gt;""),"p1",IF(AND(C155="pv",D155='LC - PV'!$P$2,LEFT(E155,1)="l"),"p2",IF(AND(LEFT(C155,3)="EIB",D155='UNC - EIB'!$T$2,LEFT(E155,1)="u",'UNC - EIB'!$R$2="vnđ",TH!P155&lt;&gt;""),"e",IF(AND(LEFT(C155,3)="EIB",D155='UNC - EIB'!$T$2,LEFT(E155,1)="U",'UNC - EIB'!$R$2="usd",TH!O155&lt;&gt;""),"e1",IF(AND(LEFT(C155,3)="EIB",D155='LC - EIB'!$S$2,LEFT(E155,1)="l"),"e2",""))))))</f>
        <v/>
      </c>
    </row>
    <row r="156" spans="1:18" ht="18.75" customHeight="1">
      <c r="A156" s="55" t="str">
        <f>IF(AND(C156="pv",E156='UNC - PV'!$S$2,D156='UNC - PV'!$Q$2),"x",IF(AND(LEFT(C156,3)="eib",E156='UNC - EIB'!$V$2,D156='UNC - EIB'!$T$2),"x1",IF(AND(C156="pv",E156='LC - PV'!$R$2,D156='LC - PV'!$P$2),"x2",IF(AND(LEFT(C156,3)="eib",E156='LC - EIB'!$U$2,D156='LC - EIB'!$S$2),"x3",""))))</f>
        <v/>
      </c>
      <c r="B156" s="62">
        <f t="shared" si="0"/>
        <v>153</v>
      </c>
      <c r="C156" s="62" t="s">
        <v>102</v>
      </c>
      <c r="D156" s="67">
        <v>42730</v>
      </c>
      <c r="E156" s="192" t="s">
        <v>24</v>
      </c>
      <c r="F156" s="64" t="s">
        <v>200</v>
      </c>
      <c r="G156" s="64" t="s">
        <v>201</v>
      </c>
      <c r="H156" s="64" t="s">
        <v>163</v>
      </c>
      <c r="I156" s="99" t="s">
        <v>156</v>
      </c>
      <c r="J156" s="66"/>
      <c r="K156" s="67"/>
      <c r="L156" s="65"/>
      <c r="M156" s="65"/>
      <c r="N156" s="64" t="s">
        <v>202</v>
      </c>
      <c r="O156" s="68"/>
      <c r="P156" s="69">
        <v>50000000</v>
      </c>
      <c r="Q156" s="92"/>
      <c r="R156" s="202" t="str">
        <f>IF(AND(C156="pv",D156='UNC - PV'!$Q$2,LEFT(E156,1)="u",'UNC - PV'!$O$2="vnđ",TH!P156&lt;&gt;""),"p",IF(AND(C156="pv",D156='UNC - PV'!$Q$2,LEFT(E156,1)="u",'UNC - PV'!$O$2="usd",TH!O156&lt;&gt;""),"p1",IF(AND(C156="pv",D156='LC - PV'!$P$2,LEFT(E156,1)="l"),"p2",IF(AND(LEFT(C156,3)="EIB",D156='UNC - EIB'!$T$2,LEFT(E156,1)="u",'UNC - EIB'!$R$2="vnđ",TH!P156&lt;&gt;""),"e",IF(AND(LEFT(C156,3)="EIB",D156='UNC - EIB'!$T$2,LEFT(E156,1)="U",'UNC - EIB'!$R$2="usd",TH!O156&lt;&gt;""),"e1",IF(AND(LEFT(C156,3)="EIB",D156='LC - EIB'!$S$2,LEFT(E156,1)="l"),"e2",""))))))</f>
        <v/>
      </c>
    </row>
    <row r="157" spans="1:18" ht="18.75" customHeight="1">
      <c r="A157" s="55" t="str">
        <f>IF(AND(C157="pv",E157='UNC - PV'!$S$2,D157='UNC - PV'!$Q$2),"x",IF(AND(LEFT(C157,3)="eib",E157='UNC - EIB'!$V$2,D157='UNC - EIB'!$T$2),"x1",IF(AND(C157="pv",E157='LC - PV'!$R$2,D157='LC - PV'!$P$2),"x2",IF(AND(LEFT(C157,3)="eib",E157='LC - EIB'!$U$2,D157='LC - EIB'!$S$2),"x3",""))))</f>
        <v/>
      </c>
      <c r="B157" s="62">
        <f t="shared" si="0"/>
        <v>154</v>
      </c>
      <c r="C157" s="62" t="s">
        <v>102</v>
      </c>
      <c r="D157" s="67">
        <v>42730</v>
      </c>
      <c r="E157" s="192" t="s">
        <v>82</v>
      </c>
      <c r="F157" s="64" t="s">
        <v>162</v>
      </c>
      <c r="G157" s="64" t="s">
        <v>198</v>
      </c>
      <c r="H157" s="64" t="s">
        <v>163</v>
      </c>
      <c r="I157" s="99" t="s">
        <v>156</v>
      </c>
      <c r="J157" s="66"/>
      <c r="K157" s="67"/>
      <c r="L157" s="65"/>
      <c r="M157" s="65"/>
      <c r="N157" s="104" t="s">
        <v>424</v>
      </c>
      <c r="O157" s="68"/>
      <c r="P157" s="69">
        <f>33844250+37943950</f>
        <v>71788200</v>
      </c>
      <c r="Q157" s="92"/>
      <c r="R157" s="202" t="str">
        <f>IF(AND(C157="pv",D157='UNC - PV'!$Q$2,LEFT(E157,1)="u",'UNC - PV'!$O$2="vnđ",TH!P157&lt;&gt;""),"p",IF(AND(C157="pv",D157='UNC - PV'!$Q$2,LEFT(E157,1)="u",'UNC - PV'!$O$2="usd",TH!O157&lt;&gt;""),"p1",IF(AND(C157="pv",D157='LC - PV'!$P$2,LEFT(E157,1)="l"),"p2",IF(AND(LEFT(C157,3)="EIB",D157='UNC - EIB'!$T$2,LEFT(E157,1)="u",'UNC - EIB'!$R$2="vnđ",TH!P157&lt;&gt;""),"e",IF(AND(LEFT(C157,3)="EIB",D157='UNC - EIB'!$T$2,LEFT(E157,1)="U",'UNC - EIB'!$R$2="usd",TH!O157&lt;&gt;""),"e1",IF(AND(LEFT(C157,3)="EIB",D157='LC - EIB'!$S$2,LEFT(E157,1)="l"),"e2",""))))))</f>
        <v/>
      </c>
    </row>
    <row r="158" spans="1:18" ht="18.75" customHeight="1">
      <c r="A158" s="55" t="str">
        <f>IF(AND(C158="pv",E158='UNC - PV'!$S$2,D158='UNC - PV'!$Q$2),"x",IF(AND(LEFT(C158,3)="eib",E158='UNC - EIB'!$V$2,D158='UNC - EIB'!$T$2),"x1",IF(AND(C158="pv",E158='LC - PV'!$R$2,D158='LC - PV'!$P$2),"x2",IF(AND(LEFT(C158,3)="eib",E158='LC - EIB'!$U$2,D158='LC - EIB'!$S$2),"x3",""))))</f>
        <v/>
      </c>
      <c r="B158" s="62">
        <f t="shared" si="0"/>
        <v>155</v>
      </c>
      <c r="C158" s="62" t="s">
        <v>124</v>
      </c>
      <c r="D158" s="67">
        <v>42730</v>
      </c>
      <c r="E158" s="192" t="s">
        <v>83</v>
      </c>
      <c r="F158" s="64" t="s">
        <v>34</v>
      </c>
      <c r="G158" s="64" t="s">
        <v>30</v>
      </c>
      <c r="H158" s="64" t="s">
        <v>31</v>
      </c>
      <c r="I158" s="65" t="s">
        <v>33</v>
      </c>
      <c r="J158" s="66"/>
      <c r="K158" s="67"/>
      <c r="L158" s="65"/>
      <c r="M158" s="65"/>
      <c r="N158" s="64" t="s">
        <v>425</v>
      </c>
      <c r="O158" s="68"/>
      <c r="P158" s="69">
        <v>30963350</v>
      </c>
      <c r="Q158" s="92"/>
      <c r="R158" s="202" t="str">
        <f>IF(AND(C158="pv",D158='UNC - PV'!$Q$2,LEFT(E158,1)="u",'UNC - PV'!$O$2="vnđ",TH!P158&lt;&gt;""),"p",IF(AND(C158="pv",D158='UNC - PV'!$Q$2,LEFT(E158,1)="u",'UNC - PV'!$O$2="usd",TH!O158&lt;&gt;""),"p1",IF(AND(C158="pv",D158='LC - PV'!$P$2,LEFT(E158,1)="l"),"p2",IF(AND(LEFT(C158,3)="EIB",D158='UNC - EIB'!$T$2,LEFT(E158,1)="u",'UNC - EIB'!$R$2="vnđ",TH!P158&lt;&gt;""),"e",IF(AND(LEFT(C158,3)="EIB",D158='UNC - EIB'!$T$2,LEFT(E158,1)="U",'UNC - EIB'!$R$2="usd",TH!O158&lt;&gt;""),"e1",IF(AND(LEFT(C158,3)="EIB",D158='LC - EIB'!$S$2,LEFT(E158,1)="l"),"e2",""))))))</f>
        <v/>
      </c>
    </row>
    <row r="159" spans="1:18" ht="18.75" customHeight="1">
      <c r="A159" s="55" t="str">
        <f>IF(AND(C159="pv",E159='UNC - PV'!$S$2,D159='UNC - PV'!$Q$2),"x",IF(AND(LEFT(C159,3)="eib",E159='UNC - EIB'!$V$2,D159='UNC - EIB'!$T$2),"x1",IF(AND(C159="pv",E159='LC - PV'!$R$2,D159='LC - PV'!$P$2),"x2",IF(AND(LEFT(C159,3)="eib",E159='LC - EIB'!$U$2,D159='LC - EIB'!$S$2),"x3",""))))</f>
        <v/>
      </c>
      <c r="B159" s="62">
        <f t="shared" si="0"/>
        <v>156</v>
      </c>
      <c r="C159" s="62" t="s">
        <v>124</v>
      </c>
      <c r="D159" s="67">
        <v>42730</v>
      </c>
      <c r="E159" s="192" t="s">
        <v>167</v>
      </c>
      <c r="F159" s="64" t="s">
        <v>383</v>
      </c>
      <c r="G159" s="64" t="s">
        <v>384</v>
      </c>
      <c r="H159" s="64" t="s">
        <v>385</v>
      </c>
      <c r="I159" s="65" t="s">
        <v>386</v>
      </c>
      <c r="J159" s="66"/>
      <c r="K159" s="67"/>
      <c r="L159" s="65"/>
      <c r="M159" s="65"/>
      <c r="N159" s="64" t="s">
        <v>387</v>
      </c>
      <c r="O159" s="68"/>
      <c r="P159" s="69">
        <v>218400000</v>
      </c>
      <c r="Q159" s="92"/>
      <c r="R159" s="202" t="str">
        <f>IF(AND(C159="pv",D159='UNC - PV'!$Q$2,LEFT(E159,1)="u",'UNC - PV'!$O$2="vnđ",TH!P159&lt;&gt;""),"p",IF(AND(C159="pv",D159='UNC - PV'!$Q$2,LEFT(E159,1)="u",'UNC - PV'!$O$2="usd",TH!O159&lt;&gt;""),"p1",IF(AND(C159="pv",D159='LC - PV'!$P$2,LEFT(E159,1)="l"),"p2",IF(AND(LEFT(C159,3)="EIB",D159='UNC - EIB'!$T$2,LEFT(E159,1)="u",'UNC - EIB'!$R$2="vnđ",TH!P159&lt;&gt;""),"e",IF(AND(LEFT(C159,3)="EIB",D159='UNC - EIB'!$T$2,LEFT(E159,1)="U",'UNC - EIB'!$R$2="usd",TH!O159&lt;&gt;""),"e1",IF(AND(LEFT(C159,3)="EIB",D159='LC - EIB'!$S$2,LEFT(E159,1)="l"),"e2",""))))))</f>
        <v/>
      </c>
    </row>
    <row r="160" spans="1:18" ht="18.75" customHeight="1">
      <c r="A160" s="55" t="str">
        <f>IF(AND(C160="pv",E160='UNC - PV'!$S$2,D160='UNC - PV'!$Q$2),"x",IF(AND(LEFT(C160,3)="eib",E160='UNC - EIB'!$V$2,D160='UNC - EIB'!$T$2),"x1",IF(AND(C160="pv",E160='LC - PV'!$R$2,D160='LC - PV'!$P$2),"x2",IF(AND(LEFT(C160,3)="eib",E160='LC - EIB'!$U$2,D160='LC - EIB'!$S$2),"x3",""))))</f>
        <v/>
      </c>
      <c r="B160" s="62">
        <f t="shared" si="0"/>
        <v>157</v>
      </c>
      <c r="C160" s="62" t="s">
        <v>124</v>
      </c>
      <c r="D160" s="67">
        <v>42730</v>
      </c>
      <c r="E160" s="192" t="s">
        <v>217</v>
      </c>
      <c r="F160" s="64" t="s">
        <v>413</v>
      </c>
      <c r="G160" s="64" t="s">
        <v>414</v>
      </c>
      <c r="H160" s="64" t="s">
        <v>415</v>
      </c>
      <c r="I160" s="62" t="s">
        <v>9</v>
      </c>
      <c r="J160" s="66"/>
      <c r="K160" s="67"/>
      <c r="L160" s="65"/>
      <c r="M160" s="65"/>
      <c r="N160" s="64" t="s">
        <v>172</v>
      </c>
      <c r="O160" s="68"/>
      <c r="P160" s="69">
        <v>100000000</v>
      </c>
      <c r="Q160" s="92"/>
      <c r="R160" s="202" t="str">
        <f>IF(AND(C160="pv",D160='UNC - PV'!$Q$2,LEFT(E160,1)="u",'UNC - PV'!$O$2="vnđ",TH!P160&lt;&gt;""),"p",IF(AND(C160="pv",D160='UNC - PV'!$Q$2,LEFT(E160,1)="u",'UNC - PV'!$O$2="usd",TH!O160&lt;&gt;""),"p1",IF(AND(C160="pv",D160='LC - PV'!$P$2,LEFT(E160,1)="l"),"p2",IF(AND(LEFT(C160,3)="EIB",D160='UNC - EIB'!$T$2,LEFT(E160,1)="u",'UNC - EIB'!$R$2="vnđ",TH!P160&lt;&gt;""),"e",IF(AND(LEFT(C160,3)="EIB",D160='UNC - EIB'!$T$2,LEFT(E160,1)="U",'UNC - EIB'!$R$2="usd",TH!O160&lt;&gt;""),"e1",IF(AND(LEFT(C160,3)="EIB",D160='LC - EIB'!$S$2,LEFT(E160,1)="l"),"e2",""))))))</f>
        <v/>
      </c>
    </row>
    <row r="161" spans="1:18" ht="18.75" customHeight="1">
      <c r="A161" s="55" t="str">
        <f>IF(AND(C161="pv",E161='UNC - PV'!$S$2,D161='UNC - PV'!$Q$2),"x",IF(AND(LEFT(C161,3)="eib",E161='UNC - EIB'!$V$2,D161='UNC - EIB'!$T$2),"x1",IF(AND(C161="pv",E161='LC - PV'!$R$2,D161='LC - PV'!$P$2),"x2",IF(AND(LEFT(C161,3)="eib",E161='LC - EIB'!$U$2,D161='LC - EIB'!$S$2),"x3",""))))</f>
        <v/>
      </c>
      <c r="B161" s="62">
        <f t="shared" si="0"/>
        <v>158</v>
      </c>
      <c r="C161" s="62" t="s">
        <v>102</v>
      </c>
      <c r="D161" s="67">
        <v>42734</v>
      </c>
      <c r="E161" s="192" t="s">
        <v>21</v>
      </c>
      <c r="F161" s="64" t="s">
        <v>350</v>
      </c>
      <c r="G161" s="64" t="s">
        <v>351</v>
      </c>
      <c r="H161" s="64" t="s">
        <v>352</v>
      </c>
      <c r="I161" s="99" t="s">
        <v>156</v>
      </c>
      <c r="J161" s="66"/>
      <c r="K161" s="67"/>
      <c r="L161" s="65"/>
      <c r="M161" s="65"/>
      <c r="N161" s="64" t="s">
        <v>354</v>
      </c>
      <c r="O161" s="68"/>
      <c r="P161" s="69">
        <v>100000000</v>
      </c>
      <c r="Q161" s="92"/>
      <c r="R161" s="202" t="str">
        <f>IF(AND(C161="pv",D161='UNC - PV'!$Q$2,LEFT(E161,1)="u",'UNC - PV'!$O$2="vnđ",TH!P161&lt;&gt;""),"p",IF(AND(C161="pv",D161='UNC - PV'!$Q$2,LEFT(E161,1)="u",'UNC - PV'!$O$2="usd",TH!O161&lt;&gt;""),"p1",IF(AND(C161="pv",D161='LC - PV'!$P$2,LEFT(E161,1)="l"),"p2",IF(AND(LEFT(C161,3)="EIB",D161='UNC - EIB'!$T$2,LEFT(E161,1)="u",'UNC - EIB'!$R$2="vnđ",TH!P161&lt;&gt;""),"e",IF(AND(LEFT(C161,3)="EIB",D161='UNC - EIB'!$T$2,LEFT(E161,1)="U",'UNC - EIB'!$R$2="usd",TH!O161&lt;&gt;""),"e1",IF(AND(LEFT(C161,3)="EIB",D161='LC - EIB'!$S$2,LEFT(E161,1)="l"),"e2",""))))))</f>
        <v/>
      </c>
    </row>
    <row r="162" spans="1:18" ht="18.75" customHeight="1">
      <c r="A162" s="55" t="str">
        <f>IF(AND(C162="pv",E162='UNC - PV'!$S$2,D162='UNC - PV'!$Q$2),"x",IF(AND(LEFT(C162,3)="eib",E162='UNC - EIB'!$V$2,D162='UNC - EIB'!$T$2),"x1",IF(AND(C162="pv",E162='LC - PV'!$R$2,D162='LC - PV'!$P$2),"x2",IF(AND(LEFT(C162,3)="eib",E162='LC - EIB'!$U$2,D162='LC - EIB'!$S$2),"x3",""))))</f>
        <v/>
      </c>
      <c r="B162" s="62">
        <f t="shared" si="0"/>
        <v>159</v>
      </c>
      <c r="C162" s="62" t="s">
        <v>141</v>
      </c>
      <c r="D162" s="67">
        <v>42734</v>
      </c>
      <c r="E162" s="192" t="s">
        <v>22</v>
      </c>
      <c r="F162" s="96" t="s">
        <v>128</v>
      </c>
      <c r="G162" s="96" t="s">
        <v>296</v>
      </c>
      <c r="H162" s="96" t="s">
        <v>126</v>
      </c>
      <c r="I162" s="94" t="s">
        <v>9</v>
      </c>
      <c r="J162" s="66"/>
      <c r="K162" s="67"/>
      <c r="L162" s="65"/>
      <c r="M162" s="65"/>
      <c r="N162" s="64" t="s">
        <v>166</v>
      </c>
      <c r="O162" s="68">
        <v>204500</v>
      </c>
      <c r="P162" s="69"/>
      <c r="Q162" s="92"/>
      <c r="R162" s="202" t="str">
        <f>IF(AND(C162="pv",D162='UNC - PV'!$Q$2,LEFT(E162,1)="u",'UNC - PV'!$O$2="vnđ",TH!P162&lt;&gt;""),"p",IF(AND(C162="pv",D162='UNC - PV'!$Q$2,LEFT(E162,1)="u",'UNC - PV'!$O$2="usd",TH!O162&lt;&gt;""),"p1",IF(AND(C162="pv",D162='LC - PV'!$P$2,LEFT(E162,1)="l"),"p2",IF(AND(LEFT(C162,3)="EIB",D162='UNC - EIB'!$T$2,LEFT(E162,1)="u",'UNC - EIB'!$R$2="vnđ",TH!P162&lt;&gt;""),"e",IF(AND(LEFT(C162,3)="EIB",D162='UNC - EIB'!$T$2,LEFT(E162,1)="U",'UNC - EIB'!$R$2="usd",TH!O162&lt;&gt;""),"e1",IF(AND(LEFT(C162,3)="EIB",D162='LC - EIB'!$S$2,LEFT(E162,1)="l"),"e2",""))))))</f>
        <v/>
      </c>
    </row>
    <row r="163" spans="1:18" ht="18.75" customHeight="1">
      <c r="A163" s="55" t="str">
        <f>IF(AND(C163="pv",E163='UNC - PV'!$S$2,D163='UNC - PV'!$Q$2),"x",IF(AND(LEFT(C163,3)="eib",E163='UNC - EIB'!$V$2,D163='UNC - EIB'!$T$2),"x1",IF(AND(C163="pv",E163='LC - PV'!$R$2,D163='LC - PV'!$P$2),"x2",IF(AND(LEFT(C163,3)="eib",E163='LC - EIB'!$U$2,D163='LC - EIB'!$S$2),"x3",""))))</f>
        <v/>
      </c>
      <c r="B163" s="62">
        <f t="shared" si="0"/>
        <v>160</v>
      </c>
      <c r="C163" s="62" t="s">
        <v>124</v>
      </c>
      <c r="D163" s="67">
        <v>42734</v>
      </c>
      <c r="E163" s="192" t="s">
        <v>23</v>
      </c>
      <c r="F163" s="96" t="s">
        <v>128</v>
      </c>
      <c r="G163" s="96" t="s">
        <v>127</v>
      </c>
      <c r="H163" s="96" t="s">
        <v>126</v>
      </c>
      <c r="I163" s="94" t="s">
        <v>9</v>
      </c>
      <c r="J163" s="97"/>
      <c r="K163" s="67"/>
      <c r="L163" s="65"/>
      <c r="M163" s="65"/>
      <c r="N163" s="64" t="s">
        <v>125</v>
      </c>
      <c r="O163" s="68">
        <v>204500</v>
      </c>
      <c r="P163" s="69"/>
      <c r="Q163" s="92"/>
      <c r="R163" s="202" t="str">
        <f>IF(AND(C163="pv",D163='UNC - PV'!$Q$2,LEFT(E163,1)="u",'UNC - PV'!$O$2="vnđ",TH!P163&lt;&gt;""),"p",IF(AND(C163="pv",D163='UNC - PV'!$Q$2,LEFT(E163,1)="u",'UNC - PV'!$O$2="usd",TH!O163&lt;&gt;""),"p1",IF(AND(C163="pv",D163='LC - PV'!$P$2,LEFT(E163,1)="l"),"p2",IF(AND(LEFT(C163,3)="EIB",D163='UNC - EIB'!$T$2,LEFT(E163,1)="u",'UNC - EIB'!$R$2="vnđ",TH!P163&lt;&gt;""),"e",IF(AND(LEFT(C163,3)="EIB",D163='UNC - EIB'!$T$2,LEFT(E163,1)="U",'UNC - EIB'!$R$2="usd",TH!O163&lt;&gt;""),"e1",IF(AND(LEFT(C163,3)="EIB",D163='LC - EIB'!$S$2,LEFT(E163,1)="l"),"e2",""))))))</f>
        <v/>
      </c>
    </row>
    <row r="164" spans="1:18" ht="18.75" customHeight="1">
      <c r="A164" s="55" t="str">
        <f>IF(AND(C164="pv",E164='UNC - PV'!$S$2,D164='UNC - PV'!$Q$2),"x",IF(AND(LEFT(C164,3)="eib",E164='UNC - EIB'!$V$2,D164='UNC - EIB'!$T$2),"x1",IF(AND(C164="pv",E164='LC - PV'!$R$2,D164='LC - PV'!$P$2),"x2",IF(AND(LEFT(C164,3)="eib",E164='LC - EIB'!$U$2,D164='LC - EIB'!$S$2),"x3",""))))</f>
        <v/>
      </c>
      <c r="B164" s="62">
        <f t="shared" si="0"/>
        <v>161</v>
      </c>
      <c r="C164" s="62" t="s">
        <v>124</v>
      </c>
      <c r="D164" s="67">
        <v>42735</v>
      </c>
      <c r="E164" s="192" t="s">
        <v>24</v>
      </c>
      <c r="F164" s="64" t="s">
        <v>383</v>
      </c>
      <c r="G164" s="64" t="s">
        <v>423</v>
      </c>
      <c r="H164" s="64" t="s">
        <v>385</v>
      </c>
      <c r="I164" s="65" t="s">
        <v>386</v>
      </c>
      <c r="J164" s="66"/>
      <c r="K164" s="67"/>
      <c r="L164" s="65"/>
      <c r="M164" s="65"/>
      <c r="N164" s="64" t="s">
        <v>387</v>
      </c>
      <c r="O164" s="68"/>
      <c r="P164" s="69">
        <v>1491035000</v>
      </c>
      <c r="Q164" s="92"/>
      <c r="R164" s="202" t="str">
        <f>IF(AND(C164="pv",D164='UNC - PV'!$Q$2,LEFT(E164,1)="u",'UNC - PV'!$O$2="vnđ",TH!P164&lt;&gt;""),"p",IF(AND(C164="pv",D164='UNC - PV'!$Q$2,LEFT(E164,1)="u",'UNC - PV'!$O$2="usd",TH!O164&lt;&gt;""),"p1",IF(AND(C164="pv",D164='LC - PV'!$P$2,LEFT(E164,1)="l"),"p2",IF(AND(LEFT(C164,3)="EIB",D164='UNC - EIB'!$T$2,LEFT(E164,1)="u",'UNC - EIB'!$R$2="vnđ",TH!P164&lt;&gt;""),"e",IF(AND(LEFT(C164,3)="EIB",D164='UNC - EIB'!$T$2,LEFT(E164,1)="U",'UNC - EIB'!$R$2="usd",TH!O164&lt;&gt;""),"e1",IF(AND(LEFT(C164,3)="EIB",D164='LC - EIB'!$S$2,LEFT(E164,1)="l"),"e2",""))))))</f>
        <v/>
      </c>
    </row>
    <row r="165" spans="1:18" ht="18.75" customHeight="1">
      <c r="A165" s="55" t="str">
        <f>IF(AND(C165="pv",E165='UNC - PV'!$S$2,D165='UNC - PV'!$Q$2),"x",IF(AND(LEFT(C165,3)="eib",E165='UNC - EIB'!$V$2,D165='UNC - EIB'!$T$2),"x1",IF(AND(C165="pv",E165='LC - PV'!$R$2,D165='LC - PV'!$P$2),"x2",IF(AND(LEFT(C165,3)="eib",E165='LC - EIB'!$U$2,D165='LC - EIB'!$S$2),"x3",""))))</f>
        <v/>
      </c>
      <c r="B165" s="62">
        <f t="shared" si="0"/>
        <v>162</v>
      </c>
      <c r="C165" s="62" t="s">
        <v>141</v>
      </c>
      <c r="D165" s="67">
        <v>42737</v>
      </c>
      <c r="E165" s="192" t="s">
        <v>21</v>
      </c>
      <c r="F165" s="195" t="s">
        <v>308</v>
      </c>
      <c r="G165" s="195" t="s">
        <v>309</v>
      </c>
      <c r="H165" s="195" t="s">
        <v>310</v>
      </c>
      <c r="I165" s="194" t="s">
        <v>9</v>
      </c>
      <c r="J165" s="196"/>
      <c r="K165" s="193"/>
      <c r="L165" s="194"/>
      <c r="M165" s="194"/>
      <c r="N165" s="195" t="s">
        <v>311</v>
      </c>
      <c r="O165" s="197"/>
      <c r="P165" s="69">
        <v>29738500</v>
      </c>
      <c r="Q165" s="92"/>
      <c r="R165" s="202" t="str">
        <f>IF(AND(C165="pv",D165='UNC - PV'!$Q$2,LEFT(E165,1)="u",'UNC - PV'!$O$2="vnđ",TH!P165&lt;&gt;""),"p",IF(AND(C165="pv",D165='UNC - PV'!$Q$2,LEFT(E165,1)="u",'UNC - PV'!$O$2="usd",TH!O165&lt;&gt;""),"p1",IF(AND(C165="pv",D165='LC - PV'!$P$2,LEFT(E165,1)="l"),"p2",IF(AND(LEFT(C165,3)="EIB",D165='UNC - EIB'!$T$2,LEFT(E165,1)="u",'UNC - EIB'!$R$2="vnđ",TH!P165&lt;&gt;""),"e",IF(AND(LEFT(C165,3)="EIB",D165='UNC - EIB'!$T$2,LEFT(E165,1)="U",'UNC - EIB'!$R$2="usd",TH!O165&lt;&gt;""),"e1",IF(AND(LEFT(C165,3)="EIB",D165='LC - EIB'!$S$2,LEFT(E165,1)="l"),"e2",""))))))</f>
        <v/>
      </c>
    </row>
    <row r="166" spans="1:18" ht="18.75" customHeight="1">
      <c r="A166" s="55" t="str">
        <f>IF(AND(C166="pv",E166='UNC - PV'!$S$2,D166='UNC - PV'!$Q$2),"x",IF(AND(LEFT(C166,3)="eib",E166='UNC - EIB'!$V$2,D166='UNC - EIB'!$T$2),"x1",IF(AND(C166="pv",E166='LC - PV'!$R$2,D166='LC - PV'!$P$2),"x2",IF(AND(LEFT(C166,3)="eib",E166='LC - EIB'!$U$2,D166='LC - EIB'!$S$2),"x3",""))))</f>
        <v/>
      </c>
      <c r="B166" s="62">
        <f t="shared" si="0"/>
        <v>163</v>
      </c>
      <c r="C166" s="62" t="s">
        <v>141</v>
      </c>
      <c r="D166" s="67">
        <v>42737</v>
      </c>
      <c r="E166" s="192" t="s">
        <v>22</v>
      </c>
      <c r="F166" s="64" t="s">
        <v>93</v>
      </c>
      <c r="G166" s="71" t="s">
        <v>96</v>
      </c>
      <c r="H166" s="64" t="s">
        <v>94</v>
      </c>
      <c r="I166" s="62" t="s">
        <v>9</v>
      </c>
      <c r="J166" s="66"/>
      <c r="K166" s="67"/>
      <c r="L166" s="65"/>
      <c r="M166" s="65"/>
      <c r="N166" s="64" t="s">
        <v>95</v>
      </c>
      <c r="O166" s="68"/>
      <c r="P166" s="69">
        <v>36960000</v>
      </c>
      <c r="Q166" s="92"/>
      <c r="R166" s="202" t="str">
        <f>IF(AND(C166="pv",D166='UNC - PV'!$Q$2,LEFT(E166,1)="u",'UNC - PV'!$O$2="vnđ",TH!P166&lt;&gt;""),"p",IF(AND(C166="pv",D166='UNC - PV'!$Q$2,LEFT(E166,1)="u",'UNC - PV'!$O$2="usd",TH!O166&lt;&gt;""),"p1",IF(AND(C166="pv",D166='LC - PV'!$P$2,LEFT(E166,1)="l"),"p2",IF(AND(LEFT(C166,3)="EIB",D166='UNC - EIB'!$T$2,LEFT(E166,1)="u",'UNC - EIB'!$R$2="vnđ",TH!P166&lt;&gt;""),"e",IF(AND(LEFT(C166,3)="EIB",D166='UNC - EIB'!$T$2,LEFT(E166,1)="U",'UNC - EIB'!$R$2="usd",TH!O166&lt;&gt;""),"e1",IF(AND(LEFT(C166,3)="EIB",D166='LC - EIB'!$S$2,LEFT(E166,1)="l"),"e2",""))))))</f>
        <v/>
      </c>
    </row>
    <row r="167" spans="1:18" ht="18.75" customHeight="1">
      <c r="A167" s="55" t="str">
        <f>IF(AND(C167="pv",E167='UNC - PV'!$S$2,D167='UNC - PV'!$Q$2),"x",IF(AND(LEFT(C167,3)="eib",E167='UNC - EIB'!$V$2,D167='UNC - EIB'!$T$2),"x1",IF(AND(C167="pv",E167='LC - PV'!$R$2,D167='LC - PV'!$P$2),"x2",IF(AND(LEFT(C167,3)="eib",E167='LC - EIB'!$U$2,D167='LC - EIB'!$S$2),"x3",""))))</f>
        <v/>
      </c>
      <c r="B167" s="62">
        <f t="shared" si="0"/>
        <v>164</v>
      </c>
      <c r="C167" s="62" t="s">
        <v>141</v>
      </c>
      <c r="D167" s="67">
        <v>42741</v>
      </c>
      <c r="E167" s="192" t="s">
        <v>21</v>
      </c>
      <c r="F167" s="96" t="s">
        <v>128</v>
      </c>
      <c r="G167" s="96" t="s">
        <v>296</v>
      </c>
      <c r="H167" s="96" t="s">
        <v>126</v>
      </c>
      <c r="I167" s="94" t="s">
        <v>9</v>
      </c>
      <c r="J167" s="66"/>
      <c r="K167" s="67"/>
      <c r="L167" s="65"/>
      <c r="M167" s="65"/>
      <c r="N167" s="64" t="s">
        <v>166</v>
      </c>
      <c r="O167" s="68">
        <v>43500</v>
      </c>
      <c r="P167" s="69"/>
      <c r="Q167" s="92"/>
      <c r="R167" s="202" t="str">
        <f>IF(AND(C167="pv",D167='UNC - PV'!$Q$2,LEFT(E167,1)="u",'UNC - PV'!$O$2="vnđ",TH!P167&lt;&gt;""),"p",IF(AND(C167="pv",D167='UNC - PV'!$Q$2,LEFT(E167,1)="u",'UNC - PV'!$O$2="usd",TH!O167&lt;&gt;""),"p1",IF(AND(C167="pv",D167='LC - PV'!$P$2,LEFT(E167,1)="l"),"p2",IF(AND(LEFT(C167,3)="EIB",D167='UNC - EIB'!$T$2,LEFT(E167,1)="u",'UNC - EIB'!$R$2="vnđ",TH!P167&lt;&gt;""),"e",IF(AND(LEFT(C167,3)="EIB",D167='UNC - EIB'!$T$2,LEFT(E167,1)="U",'UNC - EIB'!$R$2="usd",TH!O167&lt;&gt;""),"e1",IF(AND(LEFT(C167,3)="EIB",D167='LC - EIB'!$S$2,LEFT(E167,1)="l"),"e2",""))))))</f>
        <v/>
      </c>
    </row>
    <row r="168" spans="1:18" ht="18.75" customHeight="1">
      <c r="A168" s="55" t="str">
        <f>IF(AND(C168="pv",E168='UNC - PV'!$S$2,D168='UNC - PV'!$Q$2),"x",IF(AND(LEFT(C168,3)="eib",E168='UNC - EIB'!$V$2,D168='UNC - EIB'!$T$2),"x1",IF(AND(C168="pv",E168='LC - PV'!$R$2,D168='LC - PV'!$P$2),"x2",IF(AND(LEFT(C168,3)="eib",E168='LC - EIB'!$U$2,D168='LC - EIB'!$S$2),"x3",""))))</f>
        <v/>
      </c>
      <c r="B168" s="62">
        <f>IF(C168&lt;&gt;"",ROW()-3,"")</f>
        <v>165</v>
      </c>
      <c r="C168" s="62" t="s">
        <v>124</v>
      </c>
      <c r="D168" s="67">
        <v>42744</v>
      </c>
      <c r="E168" s="192" t="s">
        <v>21</v>
      </c>
      <c r="F168" s="64" t="s">
        <v>173</v>
      </c>
      <c r="G168" s="71" t="s">
        <v>174</v>
      </c>
      <c r="H168" s="64" t="s">
        <v>175</v>
      </c>
      <c r="I168" s="94" t="s">
        <v>9</v>
      </c>
      <c r="J168" s="66"/>
      <c r="K168" s="67"/>
      <c r="L168" s="65"/>
      <c r="M168" s="65"/>
      <c r="N168" s="64" t="s">
        <v>443</v>
      </c>
      <c r="O168" s="68"/>
      <c r="P168" s="69">
        <v>1170000</v>
      </c>
      <c r="Q168" s="92"/>
      <c r="R168" s="202" t="str">
        <f>IF(AND(C168="pv",D168='UNC - PV'!$Q$2,LEFT(E168,1)="u",'UNC - PV'!$O$2="vnđ",TH!P168&lt;&gt;""),"p",IF(AND(C168="pv",D168='UNC - PV'!$Q$2,LEFT(E168,1)="u",'UNC - PV'!$O$2="usd",TH!O168&lt;&gt;""),"p1",IF(AND(C168="pv",D168='LC - PV'!$P$2,LEFT(E168,1)="l"),"p2",IF(AND(LEFT(C168,3)="EIB",D168='UNC - EIB'!$T$2,LEFT(E168,1)="u",'UNC - EIB'!$R$2="vnđ",TH!P168&lt;&gt;""),"e",IF(AND(LEFT(C168,3)="EIB",D168='UNC - EIB'!$T$2,LEFT(E168,1)="U",'UNC - EIB'!$R$2="usd",TH!O168&lt;&gt;""),"e1",IF(AND(LEFT(C168,3)="EIB",D168='LC - EIB'!$S$2,LEFT(E168,1)="l"),"e2",""))))))</f>
        <v/>
      </c>
    </row>
    <row r="169" spans="1:18" ht="18.75" customHeight="1">
      <c r="A169" s="55" t="str">
        <f>IF(AND(C169="pv",E169='UNC - PV'!$S$2,D169='UNC - PV'!$Q$2),"x",IF(AND(LEFT(C169,3)="eib",E169='UNC - EIB'!$V$2,D169='UNC - EIB'!$T$2),"x1",IF(AND(C169="pv",E169='LC - PV'!$R$2,D169='LC - PV'!$P$2),"x2",IF(AND(LEFT(C169,3)="eib",E169='LC - EIB'!$U$2,D169='LC - EIB'!$S$2),"x3",""))))</f>
        <v/>
      </c>
      <c r="B169" s="62">
        <f>IF(C169&lt;&gt;"",ROW()-3,"")</f>
        <v>166</v>
      </c>
      <c r="C169" s="62" t="s">
        <v>124</v>
      </c>
      <c r="D169" s="67">
        <v>42744</v>
      </c>
      <c r="E169" s="192" t="s">
        <v>22</v>
      </c>
      <c r="F169" s="64" t="s">
        <v>173</v>
      </c>
      <c r="G169" s="71" t="s">
        <v>176</v>
      </c>
      <c r="H169" s="64" t="s">
        <v>177</v>
      </c>
      <c r="I169" s="94" t="s">
        <v>9</v>
      </c>
      <c r="J169" s="66"/>
      <c r="K169" s="67"/>
      <c r="L169" s="65"/>
      <c r="M169" s="65"/>
      <c r="N169" s="64" t="s">
        <v>443</v>
      </c>
      <c r="O169" s="68"/>
      <c r="P169" s="69">
        <f>7825000-810000</f>
        <v>7015000</v>
      </c>
      <c r="Q169" s="92"/>
      <c r="R169" s="202" t="str">
        <f>IF(AND(C169="pv",D169='UNC - PV'!$Q$2,LEFT(E169,1)="u",'UNC - PV'!$O$2="vnđ",TH!P169&lt;&gt;""),"p",IF(AND(C169="pv",D169='UNC - PV'!$Q$2,LEFT(E169,1)="u",'UNC - PV'!$O$2="usd",TH!O169&lt;&gt;""),"p1",IF(AND(C169="pv",D169='LC - PV'!$P$2,LEFT(E169,1)="l"),"p2",IF(AND(LEFT(C169,3)="EIB",D169='UNC - EIB'!$T$2,LEFT(E169,1)="u",'UNC - EIB'!$R$2="vnđ",TH!P169&lt;&gt;""),"e",IF(AND(LEFT(C169,3)="EIB",D169='UNC - EIB'!$T$2,LEFT(E169,1)="U",'UNC - EIB'!$R$2="usd",TH!O169&lt;&gt;""),"e1",IF(AND(LEFT(C169,3)="EIB",D169='LC - EIB'!$S$2,LEFT(E169,1)="l"),"e2",""))))))</f>
        <v/>
      </c>
    </row>
    <row r="170" spans="1:18" ht="18.75" customHeight="1">
      <c r="A170" s="55" t="str">
        <f>IF(AND(C170="pv",E170='UNC - PV'!$S$2,D170='UNC - PV'!$Q$2),"x",IF(AND(LEFT(C170,3)="eib",E170='UNC - EIB'!$V$2,D170='UNC - EIB'!$T$2),"x1",IF(AND(C170="pv",E170='LC - PV'!$R$2,D170='LC - PV'!$P$2),"x2",IF(AND(LEFT(C170,3)="eib",E170='LC - EIB'!$U$2,D170='LC - EIB'!$S$2),"x3",""))))</f>
        <v/>
      </c>
      <c r="B170" s="62">
        <f t="shared" si="0"/>
        <v>167</v>
      </c>
      <c r="C170" s="62" t="s">
        <v>124</v>
      </c>
      <c r="D170" s="67">
        <v>42744</v>
      </c>
      <c r="E170" s="192" t="s">
        <v>23</v>
      </c>
      <c r="F170" s="64" t="s">
        <v>383</v>
      </c>
      <c r="G170" s="64" t="s">
        <v>423</v>
      </c>
      <c r="H170" s="64" t="s">
        <v>385</v>
      </c>
      <c r="I170" s="65" t="s">
        <v>386</v>
      </c>
      <c r="J170" s="66"/>
      <c r="K170" s="67"/>
      <c r="L170" s="65"/>
      <c r="M170" s="65"/>
      <c r="N170" s="64" t="s">
        <v>387</v>
      </c>
      <c r="O170" s="68"/>
      <c r="P170" s="69">
        <v>329056000</v>
      </c>
      <c r="Q170" s="92"/>
      <c r="R170" s="202" t="str">
        <f>IF(AND(C170="pv",D170='UNC - PV'!$Q$2,LEFT(E170,1)="u",'UNC - PV'!$O$2="vnđ",TH!P170&lt;&gt;""),"p",IF(AND(C170="pv",D170='UNC - PV'!$Q$2,LEFT(E170,1)="u",'UNC - PV'!$O$2="usd",TH!O170&lt;&gt;""),"p1",IF(AND(C170="pv",D170='LC - PV'!$P$2,LEFT(E170,1)="l"),"p2",IF(AND(LEFT(C170,3)="EIB",D170='UNC - EIB'!$T$2,LEFT(E170,1)="u",'UNC - EIB'!$R$2="vnđ",TH!P170&lt;&gt;""),"e",IF(AND(LEFT(C170,3)="EIB",D170='UNC - EIB'!$T$2,LEFT(E170,1)="U",'UNC - EIB'!$R$2="usd",TH!O170&lt;&gt;""),"e1",IF(AND(LEFT(C170,3)="EIB",D170='LC - EIB'!$S$2,LEFT(E170,1)="l"),"e2",""))))))</f>
        <v/>
      </c>
    </row>
    <row r="171" spans="1:18" ht="18.75" customHeight="1">
      <c r="A171" s="55" t="str">
        <f>IF(AND(C171="pv",E171='UNC - PV'!$S$2,D171='UNC - PV'!$Q$2),"x",IF(AND(LEFT(C171,3)="eib",E171='UNC - EIB'!$V$2,D171='UNC - EIB'!$T$2),"x1",IF(AND(C171="pv",E171='LC - PV'!$R$2,D171='LC - PV'!$P$2),"x2",IF(AND(LEFT(C171,3)="eib",E171='LC - EIB'!$U$2,D171='LC - EIB'!$S$2),"x3",""))))</f>
        <v/>
      </c>
      <c r="B171" s="62">
        <f t="shared" ref="B171" si="11">IF(C171&lt;&gt;"",ROW()-3,"")</f>
        <v>168</v>
      </c>
      <c r="C171" s="62" t="s">
        <v>141</v>
      </c>
      <c r="D171" s="67">
        <v>42746</v>
      </c>
      <c r="E171" s="192" t="s">
        <v>21</v>
      </c>
      <c r="F171" s="96" t="s">
        <v>129</v>
      </c>
      <c r="G171" s="96" t="s">
        <v>130</v>
      </c>
      <c r="H171" s="96" t="s">
        <v>126</v>
      </c>
      <c r="I171" s="94" t="s">
        <v>9</v>
      </c>
      <c r="J171" s="66"/>
      <c r="K171" s="67"/>
      <c r="L171" s="65"/>
      <c r="M171" s="65"/>
      <c r="N171" s="96" t="s">
        <v>387</v>
      </c>
      <c r="O171" s="68"/>
      <c r="P171" s="69">
        <v>6650000000</v>
      </c>
      <c r="Q171" s="92"/>
      <c r="R171" s="202" t="str">
        <f>IF(AND(C171="pv",D171='UNC - PV'!$Q$2,LEFT(E171,1)="u",'UNC - PV'!$O$2="vnđ",TH!P171&lt;&gt;""),"p",IF(AND(C171="pv",D171='UNC - PV'!$Q$2,LEFT(E171,1)="u",'UNC - PV'!$O$2="usd",TH!O171&lt;&gt;""),"p1",IF(AND(C171="pv",D171='LC - PV'!$P$2,LEFT(E171,1)="l"),"p2",IF(AND(LEFT(C171,3)="EIB",D171='UNC - EIB'!$T$2,LEFT(E171,1)="u",'UNC - EIB'!$R$2="vnđ",TH!P171&lt;&gt;""),"e",IF(AND(LEFT(C171,3)="EIB",D171='UNC - EIB'!$T$2,LEFT(E171,1)="U",'UNC - EIB'!$R$2="usd",TH!O171&lt;&gt;""),"e1",IF(AND(LEFT(C171,3)="EIB",D171='LC - EIB'!$S$2,LEFT(E171,1)="l"),"e2",""))))))</f>
        <v/>
      </c>
    </row>
    <row r="172" spans="1:18" ht="18.75" customHeight="1">
      <c r="A172" s="55" t="str">
        <f>IF(AND(C172="pv",E172='UNC - PV'!$S$2,D172='UNC - PV'!$Q$2),"x",IF(AND(LEFT(C172,3)="eib",E172='UNC - EIB'!$V$2,D172='UNC - EIB'!$T$2),"x1",IF(AND(C172="pv",E172='LC - PV'!$R$2,D172='LC - PV'!$P$2),"x2",IF(AND(LEFT(C172,3)="eib",E172='LC - EIB'!$U$2,D172='LC - EIB'!$S$2),"x3",""))))</f>
        <v/>
      </c>
      <c r="B172" s="62">
        <f t="shared" ref="B172:B185" si="12">IF(C172&lt;&gt;"",ROW()-3,"")</f>
        <v>169</v>
      </c>
      <c r="C172" s="62" t="s">
        <v>102</v>
      </c>
      <c r="D172" s="67">
        <v>42752</v>
      </c>
      <c r="E172" s="192" t="s">
        <v>21</v>
      </c>
      <c r="F172" s="64" t="s">
        <v>448</v>
      </c>
      <c r="G172" s="64" t="s">
        <v>446</v>
      </c>
      <c r="H172" s="64" t="s">
        <v>224</v>
      </c>
      <c r="I172" s="65" t="s">
        <v>447</v>
      </c>
      <c r="J172" s="66"/>
      <c r="K172" s="67"/>
      <c r="L172" s="65"/>
      <c r="M172" s="65"/>
      <c r="N172" s="64" t="s">
        <v>449</v>
      </c>
      <c r="O172" s="68"/>
      <c r="P172" s="69">
        <v>40874000</v>
      </c>
      <c r="Q172" s="92"/>
      <c r="R172" s="202" t="str">
        <f>IF(AND(C172="pv",D172='UNC - PV'!$Q$2,LEFT(E172,1)="u",'UNC - PV'!$O$2="vnđ",TH!P172&lt;&gt;""),"p",IF(AND(C172="pv",D172='UNC - PV'!$Q$2,LEFT(E172,1)="u",'UNC - PV'!$O$2="usd",TH!O172&lt;&gt;""),"p1",IF(AND(C172="pv",D172='LC - PV'!$P$2,LEFT(E172,1)="l"),"p2",IF(AND(LEFT(C172,3)="EIB",D172='UNC - EIB'!$T$2,LEFT(E172,1)="u",'UNC - EIB'!$R$2="vnđ",TH!P172&lt;&gt;""),"e",IF(AND(LEFT(C172,3)="EIB",D172='UNC - EIB'!$T$2,LEFT(E172,1)="U",'UNC - EIB'!$R$2="usd",TH!O172&lt;&gt;""),"e1",IF(AND(LEFT(C172,3)="EIB",D172='LC - EIB'!$S$2,LEFT(E172,1)="l"),"e2",""))))))</f>
        <v/>
      </c>
    </row>
    <row r="173" spans="1:18" ht="18.75" customHeight="1">
      <c r="A173" s="55" t="str">
        <f>IF(AND(C173="pv",E173='UNC - PV'!$S$2,D173='UNC - PV'!$Q$2),"x",IF(AND(LEFT(C173,3)="eib",E173='UNC - EIB'!$V$2,D173='UNC - EIB'!$T$2),"x1",IF(AND(C173="pv",E173='LC - PV'!$R$2,D173='LC - PV'!$P$2),"x2",IF(AND(LEFT(C173,3)="eib",E173='LC - EIB'!$U$2,D173='LC - EIB'!$S$2),"x3",""))))</f>
        <v/>
      </c>
      <c r="B173" s="62">
        <f t="shared" si="12"/>
        <v>170</v>
      </c>
      <c r="C173" s="62" t="s">
        <v>102</v>
      </c>
      <c r="D173" s="67">
        <v>42752</v>
      </c>
      <c r="E173" s="192" t="s">
        <v>22</v>
      </c>
      <c r="F173" s="64" t="s">
        <v>162</v>
      </c>
      <c r="G173" s="64" t="s">
        <v>198</v>
      </c>
      <c r="H173" s="64" t="s">
        <v>163</v>
      </c>
      <c r="I173" s="99" t="s">
        <v>156</v>
      </c>
      <c r="J173" s="66"/>
      <c r="K173" s="67"/>
      <c r="L173" s="65"/>
      <c r="M173" s="65"/>
      <c r="N173" s="104" t="s">
        <v>450</v>
      </c>
      <c r="O173" s="68"/>
      <c r="P173" s="69">
        <v>37045140</v>
      </c>
      <c r="Q173" s="92"/>
      <c r="R173" s="202" t="str">
        <f>IF(AND(C173="pv",D173='UNC - PV'!$Q$2,LEFT(E173,1)="u",'UNC - PV'!$O$2="vnđ",TH!P173&lt;&gt;""),"p",IF(AND(C173="pv",D173='UNC - PV'!$Q$2,LEFT(E173,1)="u",'UNC - PV'!$O$2="usd",TH!O173&lt;&gt;""),"p1",IF(AND(C173="pv",D173='LC - PV'!$P$2,LEFT(E173,1)="l"),"p2",IF(AND(LEFT(C173,3)="EIB",D173='UNC - EIB'!$T$2,LEFT(E173,1)="u",'UNC - EIB'!$R$2="vnđ",TH!P173&lt;&gt;""),"e",IF(AND(LEFT(C173,3)="EIB",D173='UNC - EIB'!$T$2,LEFT(E173,1)="U",'UNC - EIB'!$R$2="usd",TH!O173&lt;&gt;""),"e1",IF(AND(LEFT(C173,3)="EIB",D173='LC - EIB'!$S$2,LEFT(E173,1)="l"),"e2",""))))))</f>
        <v/>
      </c>
    </row>
    <row r="174" spans="1:18" ht="18.75" customHeight="1">
      <c r="A174" s="55" t="str">
        <f>IF(AND(C174="pv",E174='UNC - PV'!$S$2,D174='UNC - PV'!$Q$2),"x",IF(AND(LEFT(C174,3)="eib",E174='UNC - EIB'!$V$2,D174='UNC - EIB'!$T$2),"x1",IF(AND(C174="pv",E174='LC - PV'!$R$2,D174='LC - PV'!$P$2),"x2",IF(AND(LEFT(C174,3)="eib",E174='LC - EIB'!$U$2,D174='LC - EIB'!$S$2),"x3",""))))</f>
        <v/>
      </c>
      <c r="B174" s="62">
        <f t="shared" si="12"/>
        <v>171</v>
      </c>
      <c r="C174" s="62" t="s">
        <v>102</v>
      </c>
      <c r="D174" s="67">
        <v>42752</v>
      </c>
      <c r="E174" s="192" t="s">
        <v>23</v>
      </c>
      <c r="F174" s="64" t="s">
        <v>451</v>
      </c>
      <c r="G174" s="64" t="s">
        <v>452</v>
      </c>
      <c r="H174" s="64" t="s">
        <v>453</v>
      </c>
      <c r="I174" s="65" t="s">
        <v>454</v>
      </c>
      <c r="J174" s="66"/>
      <c r="K174" s="67"/>
      <c r="L174" s="65"/>
      <c r="M174" s="65"/>
      <c r="N174" s="64" t="s">
        <v>387</v>
      </c>
      <c r="O174" s="68"/>
      <c r="P174" s="69">
        <v>65351500</v>
      </c>
      <c r="Q174" s="92"/>
      <c r="R174" s="202" t="str">
        <f>IF(AND(C174="pv",D174='UNC - PV'!$Q$2,LEFT(E174,1)="u",'UNC - PV'!$O$2="vnđ",TH!P174&lt;&gt;""),"p",IF(AND(C174="pv",D174='UNC - PV'!$Q$2,LEFT(E174,1)="u",'UNC - PV'!$O$2="usd",TH!O174&lt;&gt;""),"p1",IF(AND(C174="pv",D174='LC - PV'!$P$2,LEFT(E174,1)="l"),"p2",IF(AND(LEFT(C174,3)="EIB",D174='UNC - EIB'!$T$2,LEFT(E174,1)="u",'UNC - EIB'!$R$2="vnđ",TH!P174&lt;&gt;""),"e",IF(AND(LEFT(C174,3)="EIB",D174='UNC - EIB'!$T$2,LEFT(E174,1)="U",'UNC - EIB'!$R$2="usd",TH!O174&lt;&gt;""),"e1",IF(AND(LEFT(C174,3)="EIB",D174='LC - EIB'!$S$2,LEFT(E174,1)="l"),"e2",""))))))</f>
        <v/>
      </c>
    </row>
    <row r="175" spans="1:18" ht="18.75" customHeight="1">
      <c r="A175" s="55" t="str">
        <f>IF(AND(C175="pv",E175='UNC - PV'!$S$2,D175='UNC - PV'!$Q$2),"x",IF(AND(LEFT(C175,3)="eib",E175='UNC - EIB'!$V$2,D175='UNC - EIB'!$T$2),"x1",IF(AND(C175="pv",E175='LC - PV'!$R$2,D175='LC - PV'!$P$2),"x2",IF(AND(LEFT(C175,3)="eib",E175='LC - EIB'!$U$2,D175='LC - EIB'!$S$2),"x3",""))))</f>
        <v/>
      </c>
      <c r="B175" s="62">
        <f>IF(C175&lt;&gt;"",ROW()-3,"")</f>
        <v>172</v>
      </c>
      <c r="C175" s="62" t="s">
        <v>141</v>
      </c>
      <c r="D175" s="67">
        <v>42754</v>
      </c>
      <c r="E175" s="192" t="s">
        <v>21</v>
      </c>
      <c r="F175" s="64" t="s">
        <v>34</v>
      </c>
      <c r="G175" s="64" t="s">
        <v>30</v>
      </c>
      <c r="H175" s="64" t="s">
        <v>31</v>
      </c>
      <c r="I175" s="65" t="s">
        <v>33</v>
      </c>
      <c r="J175" s="66"/>
      <c r="K175" s="67"/>
      <c r="L175" s="65"/>
      <c r="M175" s="65"/>
      <c r="N175" s="64" t="s">
        <v>444</v>
      </c>
      <c r="O175" s="68"/>
      <c r="P175" s="69">
        <v>31261560</v>
      </c>
      <c r="Q175" s="92"/>
      <c r="R175" s="202" t="str">
        <f>IF(AND(C175="pv",D175='UNC - PV'!$Q$2,LEFT(E175,1)="u",'UNC - PV'!$O$2="vnđ",TH!P175&lt;&gt;""),"p",IF(AND(C175="pv",D175='UNC - PV'!$Q$2,LEFT(E175,1)="u",'UNC - PV'!$O$2="usd",TH!O175&lt;&gt;""),"p1",IF(AND(C175="pv",D175='LC - PV'!$P$2,LEFT(E175,1)="l"),"p2",IF(AND(LEFT(C175,3)="EIB",D175='UNC - EIB'!$T$2,LEFT(E175,1)="u",'UNC - EIB'!$R$2="vnđ",TH!P175&lt;&gt;""),"e",IF(AND(LEFT(C175,3)="EIB",D175='UNC - EIB'!$T$2,LEFT(E175,1)="U",'UNC - EIB'!$R$2="usd",TH!O175&lt;&gt;""),"e1",IF(AND(LEFT(C175,3)="EIB",D175='LC - EIB'!$S$2,LEFT(E175,1)="l"),"e2",""))))))</f>
        <v/>
      </c>
    </row>
    <row r="176" spans="1:18" ht="18.75" customHeight="1">
      <c r="A176" s="55" t="str">
        <f>IF(AND(C176="pv",E176='UNC - PV'!$S$2,D176='UNC - PV'!$Q$2),"x",IF(AND(LEFT(C176,3)="eib",E176='UNC - EIB'!$V$2,D176='UNC - EIB'!$T$2),"x1",IF(AND(C176="pv",E176='LC - PV'!$R$2,D176='LC - PV'!$P$2),"x2",IF(AND(LEFT(C176,3)="eib",E176='LC - EIB'!$U$2,D176='LC - EIB'!$S$2),"x3",""))))</f>
        <v/>
      </c>
      <c r="B176" s="62">
        <f>IF(C176&lt;&gt;"",ROW()-3,"")</f>
        <v>173</v>
      </c>
      <c r="C176" s="62" t="s">
        <v>141</v>
      </c>
      <c r="D176" s="67">
        <v>42754</v>
      </c>
      <c r="E176" s="192" t="s">
        <v>22</v>
      </c>
      <c r="F176" s="64" t="s">
        <v>173</v>
      </c>
      <c r="G176" s="71" t="s">
        <v>174</v>
      </c>
      <c r="H176" s="64" t="s">
        <v>455</v>
      </c>
      <c r="I176" s="94" t="s">
        <v>9</v>
      </c>
      <c r="J176" s="66"/>
      <c r="K176" s="67"/>
      <c r="L176" s="65"/>
      <c r="M176" s="65"/>
      <c r="N176" s="64" t="s">
        <v>445</v>
      </c>
      <c r="O176" s="68"/>
      <c r="P176" s="69">
        <v>1560000</v>
      </c>
      <c r="Q176" s="92"/>
      <c r="R176" s="202" t="str">
        <f>IF(AND(C176="pv",D176='UNC - PV'!$Q$2,LEFT(E176,1)="u",'UNC - PV'!$O$2="vnđ",TH!P176&lt;&gt;""),"p",IF(AND(C176="pv",D176='UNC - PV'!$Q$2,LEFT(E176,1)="u",'UNC - PV'!$O$2="usd",TH!O176&lt;&gt;""),"p1",IF(AND(C176="pv",D176='LC - PV'!$P$2,LEFT(E176,1)="l"),"p2",IF(AND(LEFT(C176,3)="EIB",D176='UNC - EIB'!$T$2,LEFT(E176,1)="u",'UNC - EIB'!$R$2="vnđ",TH!P176&lt;&gt;""),"e",IF(AND(LEFT(C176,3)="EIB",D176='UNC - EIB'!$T$2,LEFT(E176,1)="U",'UNC - EIB'!$R$2="usd",TH!O176&lt;&gt;""),"e1",IF(AND(LEFT(C176,3)="EIB",D176='LC - EIB'!$S$2,LEFT(E176,1)="l"),"e2",""))))))</f>
        <v/>
      </c>
    </row>
    <row r="177" spans="1:18" ht="18.75" customHeight="1">
      <c r="A177" s="55" t="str">
        <f>IF(AND(C177="pv",E177='UNC - PV'!$S$2,D177='UNC - PV'!$Q$2),"x",IF(AND(LEFT(C177,3)="eib",E177='UNC - EIB'!$V$2,D177='UNC - EIB'!$T$2),"x1",IF(AND(C177="pv",E177='LC - PV'!$R$2,D177='LC - PV'!$P$2),"x2",IF(AND(LEFT(C177,3)="eib",E177='LC - EIB'!$U$2,D177='LC - EIB'!$S$2),"x3",""))))</f>
        <v/>
      </c>
      <c r="B177" s="62">
        <f>IF(C177&lt;&gt;"",ROW()-3,"")</f>
        <v>174</v>
      </c>
      <c r="C177" s="62" t="s">
        <v>141</v>
      </c>
      <c r="D177" s="67">
        <v>42754</v>
      </c>
      <c r="E177" s="192" t="s">
        <v>23</v>
      </c>
      <c r="F177" s="64" t="s">
        <v>173</v>
      </c>
      <c r="G177" s="71" t="s">
        <v>176</v>
      </c>
      <c r="H177" s="64" t="s">
        <v>177</v>
      </c>
      <c r="I177" s="94" t="s">
        <v>9</v>
      </c>
      <c r="J177" s="66"/>
      <c r="K177" s="67"/>
      <c r="L177" s="65"/>
      <c r="M177" s="65"/>
      <c r="N177" s="64" t="s">
        <v>445</v>
      </c>
      <c r="O177" s="68"/>
      <c r="P177" s="69">
        <v>12985000</v>
      </c>
      <c r="Q177" s="92"/>
      <c r="R177" s="202" t="str">
        <f>IF(AND(C177="pv",D177='UNC - PV'!$Q$2,LEFT(E177,1)="u",'UNC - PV'!$O$2="vnđ",TH!P177&lt;&gt;""),"p",IF(AND(C177="pv",D177='UNC - PV'!$Q$2,LEFT(E177,1)="u",'UNC - PV'!$O$2="usd",TH!O177&lt;&gt;""),"p1",IF(AND(C177="pv",D177='LC - PV'!$P$2,LEFT(E177,1)="l"),"p2",IF(AND(LEFT(C177,3)="EIB",D177='UNC - EIB'!$T$2,LEFT(E177,1)="u",'UNC - EIB'!$R$2="vnđ",TH!P177&lt;&gt;""),"e",IF(AND(LEFT(C177,3)="EIB",D177='UNC - EIB'!$T$2,LEFT(E177,1)="U",'UNC - EIB'!$R$2="usd",TH!O177&lt;&gt;""),"e1",IF(AND(LEFT(C177,3)="EIB",D177='LC - EIB'!$S$2,LEFT(E177,1)="l"),"e2",""))))))</f>
        <v/>
      </c>
    </row>
    <row r="178" spans="1:18" ht="18.75" customHeight="1">
      <c r="A178" s="55" t="str">
        <f>IF(AND(C178="pv",E178='UNC - PV'!$S$2,D178='UNC - PV'!$Q$2),"x",IF(AND(LEFT(C178,3)="eib",E178='UNC - EIB'!$V$2,D178='UNC - EIB'!$T$2),"x1",IF(AND(C178="pv",E178='LC - PV'!$R$2,D178='LC - PV'!$P$2),"x2",IF(AND(LEFT(C178,3)="eib",E178='LC - EIB'!$U$2,D178='LC - EIB'!$S$2),"x3",""))))</f>
        <v/>
      </c>
      <c r="B178" s="62">
        <f>IF(C178&lt;&gt;"",ROW()-3,"")</f>
        <v>175</v>
      </c>
      <c r="C178" s="62" t="s">
        <v>124</v>
      </c>
      <c r="D178" s="67">
        <v>42754</v>
      </c>
      <c r="E178" s="192" t="s">
        <v>24</v>
      </c>
      <c r="F178" s="64" t="s">
        <v>93</v>
      </c>
      <c r="G178" s="71" t="s">
        <v>96</v>
      </c>
      <c r="H178" s="64" t="s">
        <v>94</v>
      </c>
      <c r="I178" s="62" t="s">
        <v>9</v>
      </c>
      <c r="J178" s="66"/>
      <c r="K178" s="67"/>
      <c r="L178" s="65"/>
      <c r="M178" s="65"/>
      <c r="N178" s="64" t="s">
        <v>95</v>
      </c>
      <c r="O178" s="68"/>
      <c r="P178" s="69">
        <v>38500000</v>
      </c>
      <c r="Q178" s="92"/>
      <c r="R178" s="202" t="str">
        <f>IF(AND(C178="pv",D178='UNC - PV'!$Q$2,LEFT(E178,1)="u",'UNC - PV'!$O$2="vnđ",TH!P178&lt;&gt;""),"p",IF(AND(C178="pv",D178='UNC - PV'!$Q$2,LEFT(E178,1)="u",'UNC - PV'!$O$2="usd",TH!O178&lt;&gt;""),"p1",IF(AND(C178="pv",D178='LC - PV'!$P$2,LEFT(E178,1)="l"),"p2",IF(AND(LEFT(C178,3)="EIB",D178='UNC - EIB'!$T$2,LEFT(E178,1)="u",'UNC - EIB'!$R$2="vnđ",TH!P178&lt;&gt;""),"e",IF(AND(LEFT(C178,3)="EIB",D178='UNC - EIB'!$T$2,LEFT(E178,1)="U",'UNC - EIB'!$R$2="usd",TH!O178&lt;&gt;""),"e1",IF(AND(LEFT(C178,3)="EIB",D178='LC - EIB'!$S$2,LEFT(E178,1)="l"),"e2",""))))))</f>
        <v/>
      </c>
    </row>
    <row r="179" spans="1:18" ht="18.75" customHeight="1">
      <c r="A179" s="55" t="str">
        <f>IF(AND(C179="pv",E179='UNC - PV'!$S$2,D179='UNC - PV'!$Q$2),"x",IF(AND(LEFT(C179,3)="eib",E179='UNC - EIB'!$V$2,D179='UNC - EIB'!$T$2),"x1",IF(AND(C179="pv",E179='LC - PV'!$R$2,D179='LC - PV'!$P$2),"x2",IF(AND(LEFT(C179,3)="eib",E179='LC - EIB'!$U$2,D179='LC - EIB'!$S$2),"x3",""))))</f>
        <v/>
      </c>
      <c r="B179" s="62">
        <f t="shared" si="12"/>
        <v>176</v>
      </c>
      <c r="C179" s="62" t="s">
        <v>124</v>
      </c>
      <c r="D179" s="67">
        <v>42754</v>
      </c>
      <c r="E179" s="192" t="s">
        <v>82</v>
      </c>
      <c r="F179" s="64" t="s">
        <v>361</v>
      </c>
      <c r="G179" s="64" t="s">
        <v>362</v>
      </c>
      <c r="H179" s="64" t="s">
        <v>363</v>
      </c>
      <c r="I179" s="62" t="s">
        <v>9</v>
      </c>
      <c r="J179" s="66"/>
      <c r="K179" s="67"/>
      <c r="L179" s="65"/>
      <c r="M179" s="65"/>
      <c r="N179" s="64" t="s">
        <v>364</v>
      </c>
      <c r="O179" s="68"/>
      <c r="P179" s="69">
        <v>23710344</v>
      </c>
      <c r="Q179" s="92"/>
      <c r="R179" s="202" t="str">
        <f>IF(AND(C179="pv",D179='UNC - PV'!$Q$2,LEFT(E179,1)="u",'UNC - PV'!$O$2="vnđ",TH!P179&lt;&gt;""),"p",IF(AND(C179="pv",D179='UNC - PV'!$Q$2,LEFT(E179,1)="u",'UNC - PV'!$O$2="usd",TH!O179&lt;&gt;""),"p1",IF(AND(C179="pv",D179='LC - PV'!$P$2,LEFT(E179,1)="l"),"p2",IF(AND(LEFT(C179,3)="EIB",D179='UNC - EIB'!$T$2,LEFT(E179,1)="u",'UNC - EIB'!$R$2="vnđ",TH!P179&lt;&gt;""),"e",IF(AND(LEFT(C179,3)="EIB",D179='UNC - EIB'!$T$2,LEFT(E179,1)="U",'UNC - EIB'!$R$2="usd",TH!O179&lt;&gt;""),"e1",IF(AND(LEFT(C179,3)="EIB",D179='LC - EIB'!$S$2,LEFT(E179,1)="l"),"e2",""))))))</f>
        <v/>
      </c>
    </row>
    <row r="180" spans="1:18" ht="18.75" customHeight="1">
      <c r="A180" s="55" t="str">
        <f>IF(AND(C180="pv",E180='UNC - PV'!$S$2,D180='UNC - PV'!$Q$2),"x",IF(AND(LEFT(C180,3)="eib",E180='UNC - EIB'!$V$2,D180='UNC - EIB'!$T$2),"x1",IF(AND(C180="pv",E180='LC - PV'!$R$2,D180='LC - PV'!$P$2),"x2",IF(AND(LEFT(C180,3)="eib",E180='LC - EIB'!$U$2,D180='LC - EIB'!$S$2),"x3",""))))</f>
        <v/>
      </c>
      <c r="B180" s="62">
        <f t="shared" si="12"/>
        <v>177</v>
      </c>
      <c r="C180" s="62" t="s">
        <v>141</v>
      </c>
      <c r="D180" s="67">
        <v>42755</v>
      </c>
      <c r="E180" s="192" t="s">
        <v>21</v>
      </c>
      <c r="F180" s="96" t="s">
        <v>129</v>
      </c>
      <c r="G180" s="96" t="s">
        <v>130</v>
      </c>
      <c r="H180" s="96" t="s">
        <v>126</v>
      </c>
      <c r="I180" s="94" t="s">
        <v>9</v>
      </c>
      <c r="J180" s="66"/>
      <c r="K180" s="67"/>
      <c r="L180" s="65"/>
      <c r="M180" s="65"/>
      <c r="N180" s="96" t="s">
        <v>387</v>
      </c>
      <c r="O180" s="68"/>
      <c r="P180" s="69">
        <v>600000000</v>
      </c>
      <c r="Q180" s="92"/>
      <c r="R180" s="202" t="str">
        <f>IF(AND(C180="pv",D180='UNC - PV'!$Q$2,LEFT(E180,1)="u",'UNC - PV'!$O$2="vnđ",TH!P180&lt;&gt;""),"p",IF(AND(C180="pv",D180='UNC - PV'!$Q$2,LEFT(E180,1)="u",'UNC - PV'!$O$2="usd",TH!O180&lt;&gt;""),"p1",IF(AND(C180="pv",D180='LC - PV'!$P$2,LEFT(E180,1)="l"),"p2",IF(AND(LEFT(C180,3)="EIB",D180='UNC - EIB'!$T$2,LEFT(E180,1)="u",'UNC - EIB'!$R$2="vnđ",TH!P180&lt;&gt;""),"e",IF(AND(LEFT(C180,3)="EIB",D180='UNC - EIB'!$T$2,LEFT(E180,1)="U",'UNC - EIB'!$R$2="usd",TH!O180&lt;&gt;""),"e1",IF(AND(LEFT(C180,3)="EIB",D180='LC - EIB'!$S$2,LEFT(E180,1)="l"),"e2",""))))))</f>
        <v/>
      </c>
    </row>
    <row r="181" spans="1:18" ht="18.75" customHeight="1">
      <c r="A181" s="55" t="str">
        <f>IF(AND(C181="pv",E181='UNC - PV'!$S$2,D181='UNC - PV'!$Q$2),"x",IF(AND(LEFT(C181,3)="eib",E181='UNC - EIB'!$V$2,D181='UNC - EIB'!$T$2),"x1",IF(AND(C181="pv",E181='LC - PV'!$R$2,D181='LC - PV'!$P$2),"x2",IF(AND(LEFT(C181,3)="eib",E181='LC - EIB'!$U$2,D181='LC - EIB'!$S$2),"x3",""))))</f>
        <v/>
      </c>
      <c r="B181" s="62">
        <f t="shared" si="12"/>
        <v>178</v>
      </c>
      <c r="C181" s="62" t="s">
        <v>141</v>
      </c>
      <c r="D181" s="67">
        <v>42755</v>
      </c>
      <c r="E181" s="192" t="s">
        <v>22</v>
      </c>
      <c r="F181" s="64" t="s">
        <v>97</v>
      </c>
      <c r="G181" s="64" t="s">
        <v>98</v>
      </c>
      <c r="H181" s="64" t="s">
        <v>99</v>
      </c>
      <c r="I181" s="62" t="s">
        <v>9</v>
      </c>
      <c r="J181" s="66"/>
      <c r="K181" s="67"/>
      <c r="L181" s="65"/>
      <c r="M181" s="65"/>
      <c r="N181" s="64" t="s">
        <v>100</v>
      </c>
      <c r="O181" s="68"/>
      <c r="P181" s="69">
        <v>100000000</v>
      </c>
      <c r="Q181" s="92"/>
      <c r="R181" s="202" t="str">
        <f>IF(AND(C181="pv",D181='UNC - PV'!$Q$2,LEFT(E181,1)="u",'UNC - PV'!$O$2="vnđ",TH!P181&lt;&gt;""),"p",IF(AND(C181="pv",D181='UNC - PV'!$Q$2,LEFT(E181,1)="u",'UNC - PV'!$O$2="usd",TH!O181&lt;&gt;""),"p1",IF(AND(C181="pv",D181='LC - PV'!$P$2,LEFT(E181,1)="l"),"p2",IF(AND(LEFT(C181,3)="EIB",D181='UNC - EIB'!$T$2,LEFT(E181,1)="u",'UNC - EIB'!$R$2="vnđ",TH!P181&lt;&gt;""),"e",IF(AND(LEFT(C181,3)="EIB",D181='UNC - EIB'!$T$2,LEFT(E181,1)="U",'UNC - EIB'!$R$2="usd",TH!O181&lt;&gt;""),"e1",IF(AND(LEFT(C181,3)="EIB",D181='LC - EIB'!$S$2,LEFT(E181,1)="l"),"e2",""))))))</f>
        <v/>
      </c>
    </row>
    <row r="182" spans="1:18" ht="18.75" customHeight="1">
      <c r="A182" s="55" t="str">
        <f>IF(AND(C182="pv",E182='UNC - PV'!$S$2,D182='UNC - PV'!$Q$2),"x",IF(AND(LEFT(C182,3)="eib",E182='UNC - EIB'!$V$2,D182='UNC - EIB'!$T$2),"x1",IF(AND(C182="pv",E182='LC - PV'!$R$2,D182='LC - PV'!$P$2),"x2",IF(AND(LEFT(C182,3)="eib",E182='LC - EIB'!$U$2,D182='LC - EIB'!$S$2),"x3",""))))</f>
        <v/>
      </c>
      <c r="B182" s="62">
        <f>IF(C182&lt;&gt;"",ROW()-3,"")</f>
        <v>179</v>
      </c>
      <c r="C182" s="62" t="s">
        <v>141</v>
      </c>
      <c r="D182" s="67">
        <v>42755</v>
      </c>
      <c r="E182" s="192" t="s">
        <v>24</v>
      </c>
      <c r="F182" s="96" t="s">
        <v>456</v>
      </c>
      <c r="G182" s="96" t="s">
        <v>457</v>
      </c>
      <c r="H182" s="96" t="s">
        <v>458</v>
      </c>
      <c r="I182" s="99" t="s">
        <v>9</v>
      </c>
      <c r="J182" s="97"/>
      <c r="K182" s="98"/>
      <c r="L182" s="99"/>
      <c r="M182" s="99"/>
      <c r="N182" s="96" t="s">
        <v>459</v>
      </c>
      <c r="O182" s="68"/>
      <c r="P182" s="69">
        <v>157080000</v>
      </c>
      <c r="Q182" s="92"/>
      <c r="R182" s="202" t="str">
        <f>IF(AND(C182="pv",D182='UNC - PV'!$Q$2,LEFT(E182,1)="u",'UNC - PV'!$O$2="vnđ",TH!P182&lt;&gt;""),"p",IF(AND(C182="pv",D182='UNC - PV'!$Q$2,LEFT(E182,1)="u",'UNC - PV'!$O$2="usd",TH!O182&lt;&gt;""),"p1",IF(AND(C182="pv",D182='LC - PV'!$P$2,LEFT(E182,1)="l"),"p2",IF(AND(LEFT(C182,3)="EIB",D182='UNC - EIB'!$T$2,LEFT(E182,1)="u",'UNC - EIB'!$R$2="vnđ",TH!P182&lt;&gt;""),"e",IF(AND(LEFT(C182,3)="EIB",D182='UNC - EIB'!$T$2,LEFT(E182,1)="U",'UNC - EIB'!$R$2="usd",TH!O182&lt;&gt;""),"e1",IF(AND(LEFT(C182,3)="EIB",D182='LC - EIB'!$S$2,LEFT(E182,1)="l"),"e2",""))))))</f>
        <v/>
      </c>
    </row>
    <row r="183" spans="1:18" ht="18.75" customHeight="1">
      <c r="A183" s="55" t="str">
        <f>IF(AND(C183="pv",E183='UNC - PV'!$S$2,D183='UNC - PV'!$Q$2),"x",IF(AND(LEFT(C183,3)="eib",E183='UNC - EIB'!$V$2,D183='UNC - EIB'!$T$2),"x1",IF(AND(C183="pv",E183='LC - PV'!$R$2,D183='LC - PV'!$P$2),"x2",IF(AND(LEFT(C183,3)="eib",E183='LC - EIB'!$U$2,D183='LC - EIB'!$S$2),"x3",""))))</f>
        <v/>
      </c>
      <c r="B183" s="62">
        <f t="shared" si="12"/>
        <v>180</v>
      </c>
      <c r="C183" s="62" t="s">
        <v>102</v>
      </c>
      <c r="D183" s="67">
        <v>42755</v>
      </c>
      <c r="E183" s="192" t="s">
        <v>23</v>
      </c>
      <c r="F183" s="96" t="s">
        <v>149</v>
      </c>
      <c r="G183" s="96" t="s">
        <v>150</v>
      </c>
      <c r="H183" s="96" t="s">
        <v>151</v>
      </c>
      <c r="I183" s="99" t="s">
        <v>9</v>
      </c>
      <c r="J183" s="97"/>
      <c r="K183" s="98"/>
      <c r="L183" s="99"/>
      <c r="M183" s="99"/>
      <c r="N183" s="96" t="s">
        <v>152</v>
      </c>
      <c r="O183" s="68"/>
      <c r="P183" s="69">
        <v>59355400</v>
      </c>
      <c r="Q183" s="92"/>
      <c r="R183" s="202" t="str">
        <f>IF(AND(C183="pv",D183='UNC - PV'!$Q$2,LEFT(E183,1)="u",'UNC - PV'!$O$2="vnđ",TH!P183&lt;&gt;""),"p",IF(AND(C183="pv",D183='UNC - PV'!$Q$2,LEFT(E183,1)="u",'UNC - PV'!$O$2="usd",TH!O183&lt;&gt;""),"p1",IF(AND(C183="pv",D183='LC - PV'!$P$2,LEFT(E183,1)="l"),"p2",IF(AND(LEFT(C183,3)="EIB",D183='UNC - EIB'!$T$2,LEFT(E183,1)="u",'UNC - EIB'!$R$2="vnđ",TH!P183&lt;&gt;""),"e",IF(AND(LEFT(C183,3)="EIB",D183='UNC - EIB'!$T$2,LEFT(E183,1)="U",'UNC - EIB'!$R$2="usd",TH!O183&lt;&gt;""),"e1",IF(AND(LEFT(C183,3)="EIB",D183='LC - EIB'!$S$2,LEFT(E183,1)="l"),"e2",""))))))</f>
        <v/>
      </c>
    </row>
    <row r="184" spans="1:18" ht="18.75" customHeight="1">
      <c r="A184" s="55" t="str">
        <f>IF(AND(C184="pv",E184='UNC - PV'!$S$2,D184='UNC - PV'!$Q$2),"x",IF(AND(LEFT(C184,3)="eib",E184='UNC - EIB'!$V$2,D184='UNC - EIB'!$T$2),"x1",IF(AND(C184="pv",E184='LC - PV'!$R$2,D184='LC - PV'!$P$2),"x2",IF(AND(LEFT(C184,3)="eib",E184='LC - EIB'!$U$2,D184='LC - EIB'!$S$2),"x3",""))))</f>
        <v/>
      </c>
      <c r="B184" s="62">
        <f t="shared" si="12"/>
        <v>181</v>
      </c>
      <c r="C184" s="62" t="s">
        <v>102</v>
      </c>
      <c r="D184" s="67">
        <v>42759</v>
      </c>
      <c r="E184" s="192" t="s">
        <v>21</v>
      </c>
      <c r="F184" s="96" t="s">
        <v>132</v>
      </c>
      <c r="G184" s="96" t="s">
        <v>133</v>
      </c>
      <c r="H184" s="96" t="s">
        <v>135</v>
      </c>
      <c r="I184" s="99" t="s">
        <v>134</v>
      </c>
      <c r="J184" s="97"/>
      <c r="K184" s="98"/>
      <c r="L184" s="99"/>
      <c r="M184" s="99"/>
      <c r="N184" s="96" t="s">
        <v>474</v>
      </c>
      <c r="O184" s="100"/>
      <c r="P184" s="101">
        <v>100000000</v>
      </c>
      <c r="Q184" s="92"/>
      <c r="R184" s="202" t="str">
        <f>IF(AND(C184="pv",D184='UNC - PV'!$Q$2,LEFT(E184,1)="u",'UNC - PV'!$O$2="vnđ",TH!P184&lt;&gt;""),"p",IF(AND(C184="pv",D184='UNC - PV'!$Q$2,LEFT(E184,1)="u",'UNC - PV'!$O$2="usd",TH!O184&lt;&gt;""),"p1",IF(AND(C184="pv",D184='LC - PV'!$P$2,LEFT(E184,1)="l"),"p2",IF(AND(LEFT(C184,3)="EIB",D184='UNC - EIB'!$T$2,LEFT(E184,1)="u",'UNC - EIB'!$R$2="vnđ",TH!P184&lt;&gt;""),"e",IF(AND(LEFT(C184,3)="EIB",D184='UNC - EIB'!$T$2,LEFT(E184,1)="U",'UNC - EIB'!$R$2="usd",TH!O184&lt;&gt;""),"e1",IF(AND(LEFT(C184,3)="EIB",D184='LC - EIB'!$S$2,LEFT(E184,1)="l"),"e2",""))))))</f>
        <v/>
      </c>
    </row>
    <row r="185" spans="1:18" ht="18.75" customHeight="1">
      <c r="A185" s="55" t="str">
        <f>IF(AND(C185="pv",E185='UNC - PV'!$S$2,D185='UNC - PV'!$Q$2),"x",IF(AND(LEFT(C185,3)="eib",E185='UNC - EIB'!$V$2,D185='UNC - EIB'!$T$2),"x1",IF(AND(C185="pv",E185='LC - PV'!$R$2,D185='LC - PV'!$P$2),"x2",IF(AND(LEFT(C185,3)="eib",E185='LC - EIB'!$U$2,D185='LC - EIB'!$S$2),"x3",""))))</f>
        <v/>
      </c>
      <c r="B185" s="62">
        <f t="shared" si="12"/>
        <v>182</v>
      </c>
      <c r="C185" s="62" t="s">
        <v>102</v>
      </c>
      <c r="D185" s="67">
        <v>42759</v>
      </c>
      <c r="E185" s="192" t="s">
        <v>22</v>
      </c>
      <c r="F185" s="64" t="s">
        <v>475</v>
      </c>
      <c r="G185" s="64" t="s">
        <v>476</v>
      </c>
      <c r="H185" s="64" t="s">
        <v>477</v>
      </c>
      <c r="I185" s="62" t="s">
        <v>9</v>
      </c>
      <c r="J185" s="66"/>
      <c r="K185" s="67"/>
      <c r="L185" s="65"/>
      <c r="M185" s="65"/>
      <c r="N185" s="64" t="s">
        <v>478</v>
      </c>
      <c r="O185" s="68"/>
      <c r="P185" s="101">
        <v>100000000</v>
      </c>
      <c r="Q185" s="92"/>
      <c r="R185" s="202" t="str">
        <f>IF(AND(C185="pv",D185='UNC - PV'!$Q$2,LEFT(E185,1)="u",'UNC - PV'!$O$2="vnđ",TH!P185&lt;&gt;""),"p",IF(AND(C185="pv",D185='UNC - PV'!$Q$2,LEFT(E185,1)="u",'UNC - PV'!$O$2="usd",TH!O185&lt;&gt;""),"p1",IF(AND(C185="pv",D185='LC - PV'!$P$2,LEFT(E185,1)="l"),"p2",IF(AND(LEFT(C185,3)="EIB",D185='UNC - EIB'!$T$2,LEFT(E185,1)="u",'UNC - EIB'!$R$2="vnđ",TH!P185&lt;&gt;""),"e",IF(AND(LEFT(C185,3)="EIB",D185='UNC - EIB'!$T$2,LEFT(E185,1)="U",'UNC - EIB'!$R$2="usd",TH!O185&lt;&gt;""),"e1",IF(AND(LEFT(C185,3)="EIB",D185='LC - EIB'!$S$2,LEFT(E185,1)="l"),"e2",""))))))</f>
        <v/>
      </c>
    </row>
    <row r="186" spans="1:18" ht="18.75" customHeight="1">
      <c r="A186" s="55" t="str">
        <f>IF(AND(C186="pv",E186='UNC - PV'!$S$2,D186='UNC - PV'!$Q$2),"x",IF(AND(LEFT(C186,3)="eib",E186='UNC - EIB'!$V$2,D186='UNC - EIB'!$T$2),"x1",IF(AND(C186="pv",E186='LC - PV'!$R$2,D186='LC - PV'!$P$2),"x2",IF(AND(LEFT(C186,3)="eib",E186='LC - EIB'!$U$2,D186='LC - EIB'!$S$2),"x3",""))))</f>
        <v/>
      </c>
      <c r="B186" s="62">
        <f t="shared" ref="B186:B208" si="13">IF(C186&lt;&gt;"",ROW()-3,"")</f>
        <v>183</v>
      </c>
      <c r="C186" s="62" t="s">
        <v>102</v>
      </c>
      <c r="D186" s="67">
        <v>42759</v>
      </c>
      <c r="E186" s="192" t="s">
        <v>23</v>
      </c>
      <c r="F186" s="64" t="s">
        <v>481</v>
      </c>
      <c r="G186" s="64" t="s">
        <v>482</v>
      </c>
      <c r="H186" s="64" t="s">
        <v>483</v>
      </c>
      <c r="I186" s="65" t="s">
        <v>183</v>
      </c>
      <c r="J186" s="66"/>
      <c r="K186" s="67"/>
      <c r="L186" s="65"/>
      <c r="M186" s="65"/>
      <c r="N186" s="96" t="s">
        <v>474</v>
      </c>
      <c r="O186" s="68"/>
      <c r="P186" s="101">
        <v>100000000</v>
      </c>
      <c r="Q186" s="92"/>
      <c r="R186" s="202" t="str">
        <f>IF(AND(C186="pv",D186='UNC - PV'!$Q$2,LEFT(E186,1)="u",'UNC - PV'!$O$2="vnđ",TH!P186&lt;&gt;""),"p",IF(AND(C186="pv",D186='UNC - PV'!$Q$2,LEFT(E186,1)="u",'UNC - PV'!$O$2="usd",TH!O186&lt;&gt;""),"p1",IF(AND(C186="pv",D186='LC - PV'!$P$2,LEFT(E186,1)="l"),"p2",IF(AND(LEFT(C186,3)="EIB",D186='UNC - EIB'!$T$2,LEFT(E186,1)="u",'UNC - EIB'!$R$2="vnđ",TH!P186&lt;&gt;""),"e",IF(AND(LEFT(C186,3)="EIB",D186='UNC - EIB'!$T$2,LEFT(E186,1)="U",'UNC - EIB'!$R$2="usd",TH!O186&lt;&gt;""),"e1",IF(AND(LEFT(C186,3)="EIB",D186='LC - EIB'!$S$2,LEFT(E186,1)="l"),"e2",""))))))</f>
        <v/>
      </c>
    </row>
    <row r="187" spans="1:18" ht="18.75" customHeight="1">
      <c r="A187" s="55" t="str">
        <f>IF(AND(C187="pv",E187='UNC - PV'!$S$2,D187='UNC - PV'!$Q$2),"x",IF(AND(LEFT(C187,3)="eib",E187='UNC - EIB'!$V$2,D187='UNC - EIB'!$T$2),"x1",IF(AND(C187="pv",E187='LC - PV'!$R$2,D187='LC - PV'!$P$2),"x2",IF(AND(LEFT(C187,3)="eib",E187='LC - EIB'!$U$2,D187='LC - EIB'!$S$2),"x3",""))))</f>
        <v/>
      </c>
      <c r="B187" s="62">
        <f t="shared" si="13"/>
        <v>184</v>
      </c>
      <c r="C187" s="62" t="s">
        <v>102</v>
      </c>
      <c r="D187" s="67">
        <v>42759</v>
      </c>
      <c r="E187" s="192" t="s">
        <v>24</v>
      </c>
      <c r="F187" s="64" t="s">
        <v>338</v>
      </c>
      <c r="G187" s="64" t="s">
        <v>339</v>
      </c>
      <c r="H187" s="64" t="s">
        <v>479</v>
      </c>
      <c r="I187" s="62" t="s">
        <v>9</v>
      </c>
      <c r="J187" s="66"/>
      <c r="K187" s="67"/>
      <c r="L187" s="65"/>
      <c r="M187" s="65"/>
      <c r="N187" s="64" t="s">
        <v>480</v>
      </c>
      <c r="O187" s="68"/>
      <c r="P187" s="69">
        <v>105612482</v>
      </c>
      <c r="Q187" s="92"/>
      <c r="R187" s="202" t="str">
        <f>IF(AND(C187="pv",D187='UNC - PV'!$Q$2,LEFT(E187,1)="u",'UNC - PV'!$O$2="vnđ",TH!P187&lt;&gt;""),"p",IF(AND(C187="pv",D187='UNC - PV'!$Q$2,LEFT(E187,1)="u",'UNC - PV'!$O$2="usd",TH!O187&lt;&gt;""),"p1",IF(AND(C187="pv",D187='LC - PV'!$P$2,LEFT(E187,1)="l"),"p2",IF(AND(LEFT(C187,3)="EIB",D187='UNC - EIB'!$T$2,LEFT(E187,1)="u",'UNC - EIB'!$R$2="vnđ",TH!P187&lt;&gt;""),"e",IF(AND(LEFT(C187,3)="EIB",D187='UNC - EIB'!$T$2,LEFT(E187,1)="U",'UNC - EIB'!$R$2="usd",TH!O187&lt;&gt;""),"e1",IF(AND(LEFT(C187,3)="EIB",D187='LC - EIB'!$S$2,LEFT(E187,1)="l"),"e2",""))))))</f>
        <v/>
      </c>
    </row>
    <row r="188" spans="1:18" ht="18.75" customHeight="1">
      <c r="A188" s="55" t="str">
        <f>IF(AND(C188="pv",E188='UNC - PV'!$S$2,D188='UNC - PV'!$Q$2),"x",IF(AND(LEFT(C188,3)="eib",E188='UNC - EIB'!$V$2,D188='UNC - EIB'!$T$2),"x1",IF(AND(C188="pv",E188='LC - PV'!$R$2,D188='LC - PV'!$P$2),"x2",IF(AND(LEFT(C188,3)="eib",E188='LC - EIB'!$U$2,D188='LC - EIB'!$S$2),"x3",""))))</f>
        <v/>
      </c>
      <c r="B188" s="62">
        <f t="shared" si="13"/>
        <v>185</v>
      </c>
      <c r="C188" s="62" t="s">
        <v>141</v>
      </c>
      <c r="D188" s="67">
        <v>42774</v>
      </c>
      <c r="E188" s="192" t="s">
        <v>21</v>
      </c>
      <c r="F188" s="96" t="s">
        <v>128</v>
      </c>
      <c r="G188" s="96" t="s">
        <v>296</v>
      </c>
      <c r="H188" s="96" t="s">
        <v>126</v>
      </c>
      <c r="I188" s="94" t="s">
        <v>9</v>
      </c>
      <c r="J188" s="66"/>
      <c r="K188" s="67"/>
      <c r="L188" s="65"/>
      <c r="M188" s="65"/>
      <c r="N188" s="64" t="s">
        <v>166</v>
      </c>
      <c r="O188" s="68">
        <v>53000</v>
      </c>
      <c r="P188" s="69"/>
      <c r="Q188" s="92"/>
      <c r="R188" s="202" t="str">
        <f>IF(AND(C188="pv",D188='UNC - PV'!$Q$2,LEFT(E188,1)="u",'UNC - PV'!$O$2="vnđ",TH!P188&lt;&gt;""),"p",IF(AND(C188="pv",D188='UNC - PV'!$Q$2,LEFT(E188,1)="u",'UNC - PV'!$O$2="usd",TH!O188&lt;&gt;""),"p1",IF(AND(C188="pv",D188='LC - PV'!$P$2,LEFT(E188,1)="l"),"p2",IF(AND(LEFT(C188,3)="EIB",D188='UNC - EIB'!$T$2,LEFT(E188,1)="u",'UNC - EIB'!$R$2="vnđ",TH!P188&lt;&gt;""),"e",IF(AND(LEFT(C188,3)="EIB",D188='UNC - EIB'!$T$2,LEFT(E188,1)="U",'UNC - EIB'!$R$2="usd",TH!O188&lt;&gt;""),"e1",IF(AND(LEFT(C188,3)="EIB",D188='LC - EIB'!$S$2,LEFT(E188,1)="l"),"e2",""))))))</f>
        <v/>
      </c>
    </row>
    <row r="189" spans="1:18" ht="18.75" customHeight="1">
      <c r="A189" s="55" t="str">
        <f>IF(AND(C189="pv",E189='UNC - PV'!$S$2,D189='UNC - PV'!$Q$2),"x",IF(AND(LEFT(C189,3)="eib",E189='UNC - EIB'!$V$2,D189='UNC - EIB'!$T$2),"x1",IF(AND(C189="pv",E189='LC - PV'!$R$2,D189='LC - PV'!$P$2),"x2",IF(AND(LEFT(C189,3)="eib",E189='LC - EIB'!$U$2,D189='LC - EIB'!$S$2),"x3",""))))</f>
        <v/>
      </c>
      <c r="B189" s="62">
        <f t="shared" si="13"/>
        <v>186</v>
      </c>
      <c r="C189" s="62" t="s">
        <v>124</v>
      </c>
      <c r="D189" s="67">
        <v>42779</v>
      </c>
      <c r="E189" s="192" t="s">
        <v>21</v>
      </c>
      <c r="F189" s="64" t="s">
        <v>34</v>
      </c>
      <c r="G189" s="64" t="s">
        <v>30</v>
      </c>
      <c r="H189" s="64" t="s">
        <v>31</v>
      </c>
      <c r="I189" s="65" t="s">
        <v>33</v>
      </c>
      <c r="J189" s="66"/>
      <c r="K189" s="67"/>
      <c r="L189" s="65"/>
      <c r="M189" s="65"/>
      <c r="N189" s="64" t="s">
        <v>485</v>
      </c>
      <c r="O189" s="68"/>
      <c r="P189" s="69">
        <v>66142120</v>
      </c>
      <c r="Q189" s="92"/>
      <c r="R189" s="202" t="str">
        <f>IF(AND(C189="pv",D189='UNC - PV'!$Q$2,LEFT(E189,1)="u",'UNC - PV'!$O$2="vnđ",TH!P189&lt;&gt;""),"p",IF(AND(C189="pv",D189='UNC - PV'!$Q$2,LEFT(E189,1)="u",'UNC - PV'!$O$2="usd",TH!O189&lt;&gt;""),"p1",IF(AND(C189="pv",D189='LC - PV'!$P$2,LEFT(E189,1)="l"),"p2",IF(AND(LEFT(C189,3)="EIB",D189='UNC - EIB'!$T$2,LEFT(E189,1)="u",'UNC - EIB'!$R$2="vnđ",TH!P189&lt;&gt;""),"e",IF(AND(LEFT(C189,3)="EIB",D189='UNC - EIB'!$T$2,LEFT(E189,1)="U",'UNC - EIB'!$R$2="usd",TH!O189&lt;&gt;""),"e1",IF(AND(LEFT(C189,3)="EIB",D189='LC - EIB'!$S$2,LEFT(E189,1)="l"),"e2",""))))))</f>
        <v/>
      </c>
    </row>
    <row r="190" spans="1:18" ht="18.75" customHeight="1">
      <c r="A190" s="55" t="str">
        <f>IF(AND(C190="pv",E190='UNC - PV'!$S$2,D190='UNC - PV'!$Q$2),"x",IF(AND(LEFT(C190,3)="eib",E190='UNC - EIB'!$V$2,D190='UNC - EIB'!$T$2),"x1",IF(AND(C190="pv",E190='LC - PV'!$R$2,D190='LC - PV'!$P$2),"x2",IF(AND(LEFT(C190,3)="eib",E190='LC - EIB'!$U$2,D190='LC - EIB'!$S$2),"x3",""))))</f>
        <v/>
      </c>
      <c r="B190" s="62">
        <f t="shared" si="13"/>
        <v>187</v>
      </c>
      <c r="C190" s="62" t="s">
        <v>141</v>
      </c>
      <c r="D190" s="67">
        <v>42779</v>
      </c>
      <c r="E190" s="192" t="s">
        <v>22</v>
      </c>
      <c r="F190" s="96" t="s">
        <v>129</v>
      </c>
      <c r="G190" s="96" t="s">
        <v>130</v>
      </c>
      <c r="H190" s="96" t="s">
        <v>126</v>
      </c>
      <c r="I190" s="94" t="s">
        <v>9</v>
      </c>
      <c r="J190" s="66"/>
      <c r="K190" s="67"/>
      <c r="L190" s="65"/>
      <c r="M190" s="65"/>
      <c r="N190" s="96" t="s">
        <v>387</v>
      </c>
      <c r="O190" s="68"/>
      <c r="P190" s="69">
        <v>6280000000</v>
      </c>
      <c r="Q190" s="92"/>
      <c r="R190" s="202" t="str">
        <f>IF(AND(C190="pv",D190='UNC - PV'!$Q$2,LEFT(E190,1)="u",'UNC - PV'!$O$2="vnđ",TH!P190&lt;&gt;""),"p",IF(AND(C190="pv",D190='UNC - PV'!$Q$2,LEFT(E190,1)="u",'UNC - PV'!$O$2="usd",TH!O190&lt;&gt;""),"p1",IF(AND(C190="pv",D190='LC - PV'!$P$2,LEFT(E190,1)="l"),"p2",IF(AND(LEFT(C190,3)="EIB",D190='UNC - EIB'!$T$2,LEFT(E190,1)="u",'UNC - EIB'!$R$2="vnđ",TH!P190&lt;&gt;""),"e",IF(AND(LEFT(C190,3)="EIB",D190='UNC - EIB'!$T$2,LEFT(E190,1)="U",'UNC - EIB'!$R$2="usd",TH!O190&lt;&gt;""),"e1",IF(AND(LEFT(C190,3)="EIB",D190='LC - EIB'!$S$2,LEFT(E190,1)="l"),"e2",""))))))</f>
        <v/>
      </c>
    </row>
    <row r="191" spans="1:18" ht="18.75" customHeight="1">
      <c r="A191" s="55" t="str">
        <f>IF(AND(C191="pv",E191='UNC - PV'!$S$2,D191='UNC - PV'!$Q$2),"x",IF(AND(LEFT(C191,3)="eib",E191='UNC - EIB'!$V$2,D191='UNC - EIB'!$T$2),"x1",IF(AND(C191="pv",E191='LC - PV'!$R$2,D191='LC - PV'!$P$2),"x2",IF(AND(LEFT(C191,3)="eib",E191='LC - EIB'!$U$2,D191='LC - EIB'!$S$2),"x3",""))))</f>
        <v/>
      </c>
      <c r="B191" s="62">
        <f t="shared" si="13"/>
        <v>188</v>
      </c>
      <c r="C191" s="62" t="s">
        <v>124</v>
      </c>
      <c r="D191" s="67">
        <v>42780</v>
      </c>
      <c r="E191" s="192" t="s">
        <v>21</v>
      </c>
      <c r="F191" s="64" t="s">
        <v>486</v>
      </c>
      <c r="G191" s="64" t="s">
        <v>487</v>
      </c>
      <c r="H191" s="64" t="s">
        <v>488</v>
      </c>
      <c r="I191" s="94" t="s">
        <v>9</v>
      </c>
      <c r="J191" s="66"/>
      <c r="K191" s="67"/>
      <c r="L191" s="65"/>
      <c r="M191" s="65"/>
      <c r="N191" s="64" t="s">
        <v>489</v>
      </c>
      <c r="O191" s="68"/>
      <c r="P191" s="69">
        <v>100000000</v>
      </c>
      <c r="Q191" s="92"/>
      <c r="R191" s="202" t="str">
        <f>IF(AND(C191="pv",D191='UNC - PV'!$Q$2,LEFT(E191,1)="u",'UNC - PV'!$O$2="vnđ",TH!P191&lt;&gt;""),"p",IF(AND(C191="pv",D191='UNC - PV'!$Q$2,LEFT(E191,1)="u",'UNC - PV'!$O$2="usd",TH!O191&lt;&gt;""),"p1",IF(AND(C191="pv",D191='LC - PV'!$P$2,LEFT(E191,1)="l"),"p2",IF(AND(LEFT(C191,3)="EIB",D191='UNC - EIB'!$T$2,LEFT(E191,1)="u",'UNC - EIB'!$R$2="vnđ",TH!P191&lt;&gt;""),"e",IF(AND(LEFT(C191,3)="EIB",D191='UNC - EIB'!$T$2,LEFT(E191,1)="U",'UNC - EIB'!$R$2="usd",TH!O191&lt;&gt;""),"e1",IF(AND(LEFT(C191,3)="EIB",D191='LC - EIB'!$S$2,LEFT(E191,1)="l"),"e2",""))))))</f>
        <v/>
      </c>
    </row>
    <row r="192" spans="1:18" ht="18.75" customHeight="1">
      <c r="A192" s="55" t="str">
        <f>IF(AND(C192="pv",E192='UNC - PV'!$S$2,D192='UNC - PV'!$Q$2),"x",IF(AND(LEFT(C192,3)="eib",E192='UNC - EIB'!$V$2,D192='UNC - EIB'!$T$2),"x1",IF(AND(C192="pv",E192='LC - PV'!$R$2,D192='LC - PV'!$P$2),"x2",IF(AND(LEFT(C192,3)="eib",E192='LC - EIB'!$U$2,D192='LC - EIB'!$S$2),"x3",""))))</f>
        <v/>
      </c>
      <c r="B192" s="62">
        <f t="shared" si="13"/>
        <v>189</v>
      </c>
      <c r="C192" s="62" t="s">
        <v>124</v>
      </c>
      <c r="D192" s="67">
        <v>42780</v>
      </c>
      <c r="E192" s="192" t="s">
        <v>22</v>
      </c>
      <c r="F192" s="64" t="s">
        <v>169</v>
      </c>
      <c r="G192" s="71" t="s">
        <v>170</v>
      </c>
      <c r="H192" s="64" t="s">
        <v>171</v>
      </c>
      <c r="I192" s="94" t="s">
        <v>9</v>
      </c>
      <c r="J192" s="66"/>
      <c r="K192" s="67"/>
      <c r="L192" s="65"/>
      <c r="M192" s="65"/>
      <c r="N192" s="64" t="s">
        <v>490</v>
      </c>
      <c r="O192" s="68"/>
      <c r="P192" s="69">
        <v>100000000</v>
      </c>
      <c r="Q192" s="92"/>
      <c r="R192" s="202" t="str">
        <f>IF(AND(C192="pv",D192='UNC - PV'!$Q$2,LEFT(E192,1)="u",'UNC - PV'!$O$2="vnđ",TH!P192&lt;&gt;""),"p",IF(AND(C192="pv",D192='UNC - PV'!$Q$2,LEFT(E192,1)="u",'UNC - PV'!$O$2="usd",TH!O192&lt;&gt;""),"p1",IF(AND(C192="pv",D192='LC - PV'!$P$2,LEFT(E192,1)="l"),"p2",IF(AND(LEFT(C192,3)="EIB",D192='UNC - EIB'!$T$2,LEFT(E192,1)="u",'UNC - EIB'!$R$2="vnđ",TH!P192&lt;&gt;""),"e",IF(AND(LEFT(C192,3)="EIB",D192='UNC - EIB'!$T$2,LEFT(E192,1)="U",'UNC - EIB'!$R$2="usd",TH!O192&lt;&gt;""),"e1",IF(AND(LEFT(C192,3)="EIB",D192='LC - EIB'!$S$2,LEFT(E192,1)="l"),"e2",""))))))</f>
        <v/>
      </c>
    </row>
    <row r="193" spans="1:18" ht="18.75" customHeight="1">
      <c r="A193" s="55" t="str">
        <f>IF(AND(C193="pv",E193='UNC - PV'!$S$2,D193='UNC - PV'!$Q$2),"x",IF(AND(LEFT(C193,3)="eib",E193='UNC - EIB'!$V$2,D193='UNC - EIB'!$T$2),"x1",IF(AND(C193="pv",E193='LC - PV'!$R$2,D193='LC - PV'!$P$2),"x2",IF(AND(LEFT(C193,3)="eib",E193='LC - EIB'!$U$2,D193='LC - EIB'!$S$2),"x3",""))))</f>
        <v/>
      </c>
      <c r="B193" s="62">
        <f t="shared" si="13"/>
        <v>190</v>
      </c>
      <c r="C193" s="62" t="s">
        <v>124</v>
      </c>
      <c r="D193" s="67">
        <v>42780</v>
      </c>
      <c r="E193" s="192" t="s">
        <v>23</v>
      </c>
      <c r="F193" s="96" t="s">
        <v>129</v>
      </c>
      <c r="G193" s="96" t="s">
        <v>130</v>
      </c>
      <c r="H193" s="96" t="s">
        <v>126</v>
      </c>
      <c r="I193" s="94" t="s">
        <v>9</v>
      </c>
      <c r="J193" s="66"/>
      <c r="K193" s="67"/>
      <c r="L193" s="65"/>
      <c r="M193" s="65"/>
      <c r="N193" s="96" t="s">
        <v>387</v>
      </c>
      <c r="O193" s="68"/>
      <c r="P193" s="69">
        <v>180000000</v>
      </c>
      <c r="Q193" s="92"/>
      <c r="R193" s="202" t="str">
        <f>IF(AND(C193="pv",D193='UNC - PV'!$Q$2,LEFT(E193,1)="u",'UNC - PV'!$O$2="vnđ",TH!P193&lt;&gt;""),"p",IF(AND(C193="pv",D193='UNC - PV'!$Q$2,LEFT(E193,1)="u",'UNC - PV'!$O$2="usd",TH!O193&lt;&gt;""),"p1",IF(AND(C193="pv",D193='LC - PV'!$P$2,LEFT(E193,1)="l"),"p2",IF(AND(LEFT(C193,3)="EIB",D193='UNC - EIB'!$T$2,LEFT(E193,1)="u",'UNC - EIB'!$R$2="vnđ",TH!P193&lt;&gt;""),"e",IF(AND(LEFT(C193,3)="EIB",D193='UNC - EIB'!$T$2,LEFT(E193,1)="U",'UNC - EIB'!$R$2="usd",TH!O193&lt;&gt;""),"e1",IF(AND(LEFT(C193,3)="EIB",D193='LC - EIB'!$S$2,LEFT(E193,1)="l"),"e2",""))))))</f>
        <v/>
      </c>
    </row>
    <row r="194" spans="1:18" ht="18.75" customHeight="1">
      <c r="A194" s="55" t="str">
        <f>IF(AND(C194="pv",E194='UNC - PV'!$S$2,D194='UNC - PV'!$Q$2),"x",IF(AND(LEFT(C194,3)="eib",E194='UNC - EIB'!$V$2,D194='UNC - EIB'!$T$2),"x1",IF(AND(C194="pv",E194='LC - PV'!$R$2,D194='LC - PV'!$P$2),"x2",IF(AND(LEFT(C194,3)="eib",E194='LC - EIB'!$U$2,D194='LC - EIB'!$S$2),"x3",""))))</f>
        <v/>
      </c>
      <c r="B194" s="62">
        <f t="shared" si="13"/>
        <v>191</v>
      </c>
      <c r="C194" s="62" t="s">
        <v>102</v>
      </c>
      <c r="D194" s="67">
        <v>42780</v>
      </c>
      <c r="E194" s="192" t="s">
        <v>24</v>
      </c>
      <c r="F194" s="64" t="s">
        <v>350</v>
      </c>
      <c r="G194" s="64" t="s">
        <v>351</v>
      </c>
      <c r="H194" s="64" t="s">
        <v>352</v>
      </c>
      <c r="I194" s="99" t="s">
        <v>156</v>
      </c>
      <c r="J194" s="66"/>
      <c r="K194" s="67"/>
      <c r="L194" s="65"/>
      <c r="M194" s="65"/>
      <c r="N194" s="64" t="s">
        <v>354</v>
      </c>
      <c r="O194" s="68"/>
      <c r="P194" s="69">
        <v>180000000</v>
      </c>
      <c r="Q194" s="92"/>
      <c r="R194" s="202" t="str">
        <f>IF(AND(C194="pv",D194='UNC - PV'!$Q$2,LEFT(E194,1)="u",'UNC - PV'!$O$2="vnđ",TH!P194&lt;&gt;""),"p",IF(AND(C194="pv",D194='UNC - PV'!$Q$2,LEFT(E194,1)="u",'UNC - PV'!$O$2="usd",TH!O194&lt;&gt;""),"p1",IF(AND(C194="pv",D194='LC - PV'!$P$2,LEFT(E194,1)="l"),"p2",IF(AND(LEFT(C194,3)="EIB",D194='UNC - EIB'!$T$2,LEFT(E194,1)="u",'UNC - EIB'!$R$2="vnđ",TH!P194&lt;&gt;""),"e",IF(AND(LEFT(C194,3)="EIB",D194='UNC - EIB'!$T$2,LEFT(E194,1)="U",'UNC - EIB'!$R$2="usd",TH!O194&lt;&gt;""),"e1",IF(AND(LEFT(C194,3)="EIB",D194='LC - EIB'!$S$2,LEFT(E194,1)="l"),"e2",""))))))</f>
        <v/>
      </c>
    </row>
    <row r="195" spans="1:18" ht="18.75" customHeight="1">
      <c r="A195" s="55" t="str">
        <f>IF(AND(C195="pv",E195='UNC - PV'!$S$2,D195='UNC - PV'!$Q$2),"x",IF(AND(LEFT(C195,3)="eib",E195='UNC - EIB'!$V$2,D195='UNC - EIB'!$T$2),"x1",IF(AND(C195="pv",E195='LC - PV'!$R$2,D195='LC - PV'!$P$2),"x2",IF(AND(LEFT(C195,3)="eib",E195='LC - EIB'!$U$2,D195='LC - EIB'!$S$2),"x3",""))))</f>
        <v/>
      </c>
      <c r="B195" s="62">
        <f t="shared" si="13"/>
        <v>192</v>
      </c>
      <c r="C195" s="62" t="s">
        <v>102</v>
      </c>
      <c r="D195" s="67">
        <v>42783</v>
      </c>
      <c r="E195" s="192" t="s">
        <v>21</v>
      </c>
      <c r="F195" s="64" t="s">
        <v>491</v>
      </c>
      <c r="G195" s="64" t="s">
        <v>492</v>
      </c>
      <c r="H195" s="64" t="s">
        <v>493</v>
      </c>
      <c r="I195" s="94" t="s">
        <v>9</v>
      </c>
      <c r="J195" s="66"/>
      <c r="K195" s="67"/>
      <c r="L195" s="65"/>
      <c r="M195" s="65"/>
      <c r="N195" s="64" t="s">
        <v>494</v>
      </c>
      <c r="O195" s="68"/>
      <c r="P195" s="69">
        <v>24578195</v>
      </c>
      <c r="Q195" s="92"/>
      <c r="R195" s="202" t="str">
        <f>IF(AND(C195="pv",D195='UNC - PV'!$Q$2,LEFT(E195,1)="u",'UNC - PV'!$O$2="vnđ",TH!P195&lt;&gt;""),"p",IF(AND(C195="pv",D195='UNC - PV'!$Q$2,LEFT(E195,1)="u",'UNC - PV'!$O$2="usd",TH!O195&lt;&gt;""),"p1",IF(AND(C195="pv",D195='LC - PV'!$P$2,LEFT(E195,1)="l"),"p2",IF(AND(LEFT(C195,3)="EIB",D195='UNC - EIB'!$T$2,LEFT(E195,1)="u",'UNC - EIB'!$R$2="vnđ",TH!P195&lt;&gt;""),"e",IF(AND(LEFT(C195,3)="EIB",D195='UNC - EIB'!$T$2,LEFT(E195,1)="U",'UNC - EIB'!$R$2="usd",TH!O195&lt;&gt;""),"e1",IF(AND(LEFT(C195,3)="EIB",D195='LC - EIB'!$S$2,LEFT(E195,1)="l"),"e2",""))))))</f>
        <v/>
      </c>
    </row>
    <row r="196" spans="1:18" ht="18.75" customHeight="1">
      <c r="A196" s="55" t="str">
        <f>IF(AND(C196="pv",E196='UNC - PV'!$S$2,D196='UNC - PV'!$Q$2),"x",IF(AND(LEFT(C196,3)="eib",E196='UNC - EIB'!$V$2,D196='UNC - EIB'!$T$2),"x1",IF(AND(C196="pv",E196='LC - PV'!$R$2,D196='LC - PV'!$P$2),"x2",IF(AND(LEFT(C196,3)="eib",E196='LC - EIB'!$U$2,D196='LC - EIB'!$S$2),"x3",""))))</f>
        <v/>
      </c>
      <c r="B196" s="62">
        <f t="shared" ref="B196:B204" si="14">IF(C196&lt;&gt;"",ROW()-3,"")</f>
        <v>193</v>
      </c>
      <c r="C196" s="62" t="s">
        <v>80</v>
      </c>
      <c r="D196" s="67">
        <v>42788</v>
      </c>
      <c r="E196" s="192" t="s">
        <v>21</v>
      </c>
      <c r="F196" s="96" t="s">
        <v>128</v>
      </c>
      <c r="G196" s="96" t="s">
        <v>127</v>
      </c>
      <c r="H196" s="96" t="s">
        <v>126</v>
      </c>
      <c r="I196" s="94" t="s">
        <v>9</v>
      </c>
      <c r="J196" s="66"/>
      <c r="K196" s="67"/>
      <c r="L196" s="65"/>
      <c r="M196" s="65"/>
      <c r="N196" s="64" t="s">
        <v>160</v>
      </c>
      <c r="O196" s="68"/>
      <c r="P196" s="69">
        <v>22500000</v>
      </c>
      <c r="Q196" s="92"/>
      <c r="R196" s="202" t="str">
        <f>IF(AND(C196="pv",D196='UNC - PV'!$Q$2,LEFT(E196,1)="u",'UNC - PV'!$O$2="vnđ",TH!P196&lt;&gt;""),"p",IF(AND(C196="pv",D196='UNC - PV'!$Q$2,LEFT(E196,1)="u",'UNC - PV'!$O$2="usd",TH!O196&lt;&gt;""),"p1",IF(AND(C196="pv",D196='LC - PV'!$P$2,LEFT(E196,1)="l"),"p2",IF(AND(LEFT(C196,3)="EIB",D196='UNC - EIB'!$T$2,LEFT(E196,1)="u",'UNC - EIB'!$R$2="vnđ",TH!P196&lt;&gt;""),"e",IF(AND(LEFT(C196,3)="EIB",D196='UNC - EIB'!$T$2,LEFT(E196,1)="U",'UNC - EIB'!$R$2="usd",TH!O196&lt;&gt;""),"e1",IF(AND(LEFT(C196,3)="EIB",D196='LC - EIB'!$S$2,LEFT(E196,1)="l"),"e2",""))))))</f>
        <v/>
      </c>
    </row>
    <row r="197" spans="1:18" ht="18.75" customHeight="1">
      <c r="A197" s="55" t="str">
        <f>IF(AND(C197="pv",E197='UNC - PV'!$S$2,D197='UNC - PV'!$Q$2),"x",IF(AND(LEFT(C197,3)="eib",E197='UNC - EIB'!$V$2,D197='UNC - EIB'!$T$2),"x1",IF(AND(C197="pv",E197='LC - PV'!$R$2,D197='LC - PV'!$P$2),"x2",IF(AND(LEFT(C197,3)="eib",E197='LC - EIB'!$U$2,D197='LC - EIB'!$S$2),"x3",""))))</f>
        <v/>
      </c>
      <c r="B197" s="62">
        <f t="shared" si="14"/>
        <v>194</v>
      </c>
      <c r="C197" s="62" t="s">
        <v>124</v>
      </c>
      <c r="D197" s="67">
        <v>42788</v>
      </c>
      <c r="E197" s="192" t="s">
        <v>22</v>
      </c>
      <c r="F197" s="96" t="s">
        <v>129</v>
      </c>
      <c r="G197" s="96" t="s">
        <v>130</v>
      </c>
      <c r="H197" s="96" t="s">
        <v>126</v>
      </c>
      <c r="I197" s="94" t="s">
        <v>9</v>
      </c>
      <c r="J197" s="66"/>
      <c r="K197" s="67"/>
      <c r="L197" s="65"/>
      <c r="M197" s="65"/>
      <c r="N197" s="96" t="s">
        <v>495</v>
      </c>
      <c r="O197" s="68"/>
      <c r="P197" s="69">
        <v>80000000</v>
      </c>
      <c r="Q197" s="92"/>
      <c r="R197" s="202" t="str">
        <f>IF(AND(C197="pv",D197='UNC - PV'!$Q$2,LEFT(E197,1)="u",'UNC - PV'!$O$2="vnđ",TH!P197&lt;&gt;""),"p",IF(AND(C197="pv",D197='UNC - PV'!$Q$2,LEFT(E197,1)="u",'UNC - PV'!$O$2="usd",TH!O197&lt;&gt;""),"p1",IF(AND(C197="pv",D197='LC - PV'!$P$2,LEFT(E197,1)="l"),"p2",IF(AND(LEFT(C197,3)="EIB",D197='UNC - EIB'!$T$2,LEFT(E197,1)="u",'UNC - EIB'!$R$2="vnđ",TH!P197&lt;&gt;""),"e",IF(AND(LEFT(C197,3)="EIB",D197='UNC - EIB'!$T$2,LEFT(E197,1)="U",'UNC - EIB'!$R$2="usd",TH!O197&lt;&gt;""),"e1",IF(AND(LEFT(C197,3)="EIB",D197='LC - EIB'!$S$2,LEFT(E197,1)="l"),"e2",""))))))</f>
        <v/>
      </c>
    </row>
    <row r="198" spans="1:18" ht="18.75" customHeight="1">
      <c r="A198" s="55" t="str">
        <f>IF(AND(C198="pv",E198='UNC - PV'!$S$2,D198='UNC - PV'!$Q$2),"x",IF(AND(LEFT(C198,3)="eib",E198='UNC - EIB'!$V$2,D198='UNC - EIB'!$T$2),"x1",IF(AND(C198="pv",E198='LC - PV'!$R$2,D198='LC - PV'!$P$2),"x2",IF(AND(LEFT(C198,3)="eib",E198='LC - EIB'!$U$2,D198='LC - EIB'!$S$2),"x3",""))))</f>
        <v>x</v>
      </c>
      <c r="B198" s="62">
        <f t="shared" si="14"/>
        <v>195</v>
      </c>
      <c r="C198" s="62" t="s">
        <v>141</v>
      </c>
      <c r="D198" s="67">
        <v>42793</v>
      </c>
      <c r="E198" s="192" t="s">
        <v>21</v>
      </c>
      <c r="F198" s="96" t="s">
        <v>128</v>
      </c>
      <c r="G198" s="96" t="s">
        <v>296</v>
      </c>
      <c r="H198" s="96" t="s">
        <v>126</v>
      </c>
      <c r="I198" s="94" t="s">
        <v>9</v>
      </c>
      <c r="J198" s="66"/>
      <c r="K198" s="67"/>
      <c r="L198" s="65"/>
      <c r="M198" s="65"/>
      <c r="N198" s="64" t="s">
        <v>166</v>
      </c>
      <c r="O198" s="68">
        <v>450000</v>
      </c>
      <c r="P198" s="69"/>
      <c r="Q198" s="92"/>
      <c r="R198" s="202" t="str">
        <f>IF(AND(C198="pv",D198='UNC - PV'!$Q$2,LEFT(E198,1)="u",'UNC - PV'!$O$2="vnđ",TH!P198&lt;&gt;""),"p",IF(AND(C198="pv",D198='UNC - PV'!$Q$2,LEFT(E198,1)="u",'UNC - PV'!$O$2="usd",TH!O198&lt;&gt;""),"p1",IF(AND(C198="pv",D198='LC - PV'!$P$2,LEFT(E198,1)="l"),"p2",IF(AND(LEFT(C198,3)="EIB",D198='UNC - EIB'!$T$2,LEFT(E198,1)="u",'UNC - EIB'!$R$2="vnđ",TH!P198&lt;&gt;""),"e",IF(AND(LEFT(C198,3)="EIB",D198='UNC - EIB'!$T$2,LEFT(E198,1)="U",'UNC - EIB'!$R$2="usd",TH!O198&lt;&gt;""),"e1",IF(AND(LEFT(C198,3)="EIB",D198='LC - EIB'!$S$2,LEFT(E198,1)="l"),"e2",""))))))</f>
        <v>p1</v>
      </c>
    </row>
    <row r="199" spans="1:18" ht="18.75" customHeight="1">
      <c r="A199" s="55" t="str">
        <f>IF(AND(C199="pv",E199='UNC - PV'!$S$2,D199='UNC - PV'!$Q$2),"x",IF(AND(LEFT(C199,3)="eib",E199='UNC - EIB'!$V$2,D199='UNC - EIB'!$T$2),"x1",IF(AND(C199="pv",E199='LC - PV'!$R$2,D199='LC - PV'!$P$2),"x2",IF(AND(LEFT(C199,3)="eib",E199='LC - EIB'!$U$2,D199='LC - EIB'!$S$2),"x3",""))))</f>
        <v/>
      </c>
      <c r="B199" s="62">
        <f t="shared" si="14"/>
        <v>196</v>
      </c>
      <c r="C199" s="62" t="s">
        <v>124</v>
      </c>
      <c r="D199" s="67">
        <v>42793</v>
      </c>
      <c r="E199" s="192" t="s">
        <v>22</v>
      </c>
      <c r="F199" s="96" t="s">
        <v>128</v>
      </c>
      <c r="G199" s="96" t="s">
        <v>127</v>
      </c>
      <c r="H199" s="96" t="s">
        <v>126</v>
      </c>
      <c r="I199" s="94" t="s">
        <v>9</v>
      </c>
      <c r="J199" s="97"/>
      <c r="K199" s="67"/>
      <c r="L199" s="65"/>
      <c r="M199" s="65"/>
      <c r="N199" s="64" t="s">
        <v>125</v>
      </c>
      <c r="O199" s="68">
        <v>450000</v>
      </c>
      <c r="P199" s="69"/>
      <c r="Q199" s="92"/>
      <c r="R199" s="202" t="str">
        <f>IF(AND(C199="pv",D199='UNC - PV'!$Q$2,LEFT(E199,1)="u",'UNC - PV'!$O$2="vnđ",TH!P199&lt;&gt;""),"p",IF(AND(C199="pv",D199='UNC - PV'!$Q$2,LEFT(E199,1)="u",'UNC - PV'!$O$2="usd",TH!O199&lt;&gt;""),"p1",IF(AND(C199="pv",D199='LC - PV'!$P$2,LEFT(E199,1)="l"),"p2",IF(AND(LEFT(C199,3)="EIB",D199='UNC - EIB'!$T$2,LEFT(E199,1)="u",'UNC - EIB'!$R$2="vnđ",TH!P199&lt;&gt;""),"e",IF(AND(LEFT(C199,3)="EIB",D199='UNC - EIB'!$T$2,LEFT(E199,1)="U",'UNC - EIB'!$R$2="usd",TH!O199&lt;&gt;""),"e1",IF(AND(LEFT(C199,3)="EIB",D199='LC - EIB'!$S$2,LEFT(E199,1)="l"),"e2",""))))))</f>
        <v/>
      </c>
    </row>
    <row r="200" spans="1:18" ht="18.75" customHeight="1">
      <c r="A200" s="55" t="str">
        <f>IF(AND(C200="pv",E200='UNC - PV'!$S$2,D200='UNC - PV'!$Q$2),"x",IF(AND(LEFT(C200,3)="eib",E200='UNC - EIB'!$V$2,D200='UNC - EIB'!$T$2),"x1",IF(AND(C200="pv",E200='LC - PV'!$R$2,D200='LC - PV'!$P$2),"x2",IF(AND(LEFT(C200,3)="eib",E200='LC - EIB'!$U$2,D200='LC - EIB'!$S$2),"x3",""))))</f>
        <v/>
      </c>
      <c r="B200" s="62">
        <f t="shared" si="14"/>
        <v>197</v>
      </c>
      <c r="C200" s="62" t="s">
        <v>124</v>
      </c>
      <c r="D200" s="67">
        <v>42793</v>
      </c>
      <c r="E200" s="192" t="s">
        <v>23</v>
      </c>
      <c r="F200" s="96" t="s">
        <v>129</v>
      </c>
      <c r="G200" s="96" t="s">
        <v>130</v>
      </c>
      <c r="H200" s="96" t="s">
        <v>126</v>
      </c>
      <c r="I200" s="94" t="s">
        <v>9</v>
      </c>
      <c r="J200" s="66"/>
      <c r="K200" s="67"/>
      <c r="L200" s="65"/>
      <c r="M200" s="65"/>
      <c r="N200" s="96" t="s">
        <v>495</v>
      </c>
      <c r="O200" s="68"/>
      <c r="P200" s="69">
        <v>5249911000</v>
      </c>
      <c r="Q200" s="92"/>
      <c r="R200" s="202" t="str">
        <f>IF(AND(C200="pv",D200='UNC - PV'!$Q$2,LEFT(E200,1)="u",'UNC - PV'!$O$2="vnđ",TH!P200&lt;&gt;""),"p",IF(AND(C200="pv",D200='UNC - PV'!$Q$2,LEFT(E200,1)="u",'UNC - PV'!$O$2="usd",TH!O200&lt;&gt;""),"p1",IF(AND(C200="pv",D200='LC - PV'!$P$2,LEFT(E200,1)="l"),"p2",IF(AND(LEFT(C200,3)="EIB",D200='UNC - EIB'!$T$2,LEFT(E200,1)="u",'UNC - EIB'!$R$2="vnđ",TH!P200&lt;&gt;""),"e",IF(AND(LEFT(C200,3)="EIB",D200='UNC - EIB'!$T$2,LEFT(E200,1)="U",'UNC - EIB'!$R$2="usd",TH!O200&lt;&gt;""),"e1",IF(AND(LEFT(C200,3)="EIB",D200='LC - EIB'!$S$2,LEFT(E200,1)="l"),"e2",""))))))</f>
        <v>e</v>
      </c>
    </row>
    <row r="201" spans="1:18" ht="18.75" customHeight="1">
      <c r="A201" s="55" t="str">
        <f>IF(AND(C201="pv",E201='UNC - PV'!$S$2,D201='UNC - PV'!$Q$2),"x",IF(AND(LEFT(C201,3)="eib",E201='UNC - EIB'!$V$2,D201='UNC - EIB'!$T$2),"x1",IF(AND(C201="pv",E201='LC - PV'!$R$2,D201='LC - PV'!$P$2),"x2",IF(AND(LEFT(C201,3)="eib",E201='LC - EIB'!$U$2,D201='LC - EIB'!$S$2),"x3",""))))</f>
        <v/>
      </c>
      <c r="B201" s="62">
        <f t="shared" si="14"/>
        <v>198</v>
      </c>
      <c r="C201" s="62" t="s">
        <v>102</v>
      </c>
      <c r="D201" s="67">
        <v>42793</v>
      </c>
      <c r="E201" s="192" t="s">
        <v>24</v>
      </c>
      <c r="F201" s="64" t="s">
        <v>162</v>
      </c>
      <c r="G201" s="64" t="s">
        <v>198</v>
      </c>
      <c r="H201" s="64" t="s">
        <v>163</v>
      </c>
      <c r="I201" s="99" t="s">
        <v>156</v>
      </c>
      <c r="J201" s="66"/>
      <c r="K201" s="67"/>
      <c r="L201" s="65"/>
      <c r="M201" s="65"/>
      <c r="N201" s="104" t="s">
        <v>496</v>
      </c>
      <c r="O201" s="68"/>
      <c r="P201" s="69">
        <v>75820800</v>
      </c>
      <c r="Q201" s="92"/>
      <c r="R201" s="202" t="str">
        <f>IF(AND(C201="pv",D201='UNC - PV'!$Q$2,LEFT(E201,1)="u",'UNC - PV'!$O$2="vnđ",TH!P201&lt;&gt;""),"p",IF(AND(C201="pv",D201='UNC - PV'!$Q$2,LEFT(E201,1)="u",'UNC - PV'!$O$2="usd",TH!O201&lt;&gt;""),"p1",IF(AND(C201="pv",D201='LC - PV'!$P$2,LEFT(E201,1)="l"),"p2",IF(AND(LEFT(C201,3)="EIB",D201='UNC - EIB'!$T$2,LEFT(E201,1)="u",'UNC - EIB'!$R$2="vnđ",TH!P201&lt;&gt;""),"e",IF(AND(LEFT(C201,3)="EIB",D201='UNC - EIB'!$T$2,LEFT(E201,1)="U",'UNC - EIB'!$R$2="usd",TH!O201&lt;&gt;""),"e1",IF(AND(LEFT(C201,3)="EIB",D201='LC - EIB'!$S$2,LEFT(E201,1)="l"),"e2",""))))))</f>
        <v>e</v>
      </c>
    </row>
    <row r="202" spans="1:18" ht="18.75" customHeight="1">
      <c r="A202" s="55" t="str">
        <f>IF(AND(C202="pv",E202='UNC - PV'!$S$2,D202='UNC - PV'!$Q$2),"x",IF(AND(LEFT(C202,3)="eib",E202='UNC - EIB'!$V$2,D202='UNC - EIB'!$T$2),"x1",IF(AND(C202="pv",E202='LC - PV'!$R$2,D202='LC - PV'!$P$2),"x2",IF(AND(LEFT(C202,3)="eib",E202='LC - EIB'!$U$2,D202='LC - EIB'!$S$2),"x3",""))))</f>
        <v>x1</v>
      </c>
      <c r="B202" s="62">
        <f t="shared" si="14"/>
        <v>199</v>
      </c>
      <c r="C202" s="62" t="s">
        <v>124</v>
      </c>
      <c r="D202" s="67">
        <v>42793</v>
      </c>
      <c r="E202" s="192" t="s">
        <v>82</v>
      </c>
      <c r="F202" s="64" t="s">
        <v>34</v>
      </c>
      <c r="G202" s="64" t="s">
        <v>30</v>
      </c>
      <c r="H202" s="64" t="s">
        <v>31</v>
      </c>
      <c r="I202" s="65" t="s">
        <v>33</v>
      </c>
      <c r="J202" s="66"/>
      <c r="K202" s="67"/>
      <c r="L202" s="65"/>
      <c r="M202" s="65"/>
      <c r="N202" s="64" t="s">
        <v>497</v>
      </c>
      <c r="O202" s="68"/>
      <c r="P202" s="69">
        <f>20062790+10497850+14927330</f>
        <v>45487970</v>
      </c>
      <c r="Q202" s="92"/>
      <c r="R202" s="202" t="str">
        <f>IF(AND(C202="pv",D202='UNC - PV'!$Q$2,LEFT(E202,1)="u",'UNC - PV'!$O$2="vnđ",TH!P202&lt;&gt;""),"p",IF(AND(C202="pv",D202='UNC - PV'!$Q$2,LEFT(E202,1)="u",'UNC - PV'!$O$2="usd",TH!O202&lt;&gt;""),"p1",IF(AND(C202="pv",D202='LC - PV'!$P$2,LEFT(E202,1)="l"),"p2",IF(AND(LEFT(C202,3)="EIB",D202='UNC - EIB'!$T$2,LEFT(E202,1)="u",'UNC - EIB'!$R$2="vnđ",TH!P202&lt;&gt;""),"e",IF(AND(LEFT(C202,3)="EIB",D202='UNC - EIB'!$T$2,LEFT(E202,1)="U",'UNC - EIB'!$R$2="usd",TH!O202&lt;&gt;""),"e1",IF(AND(LEFT(C202,3)="EIB",D202='LC - EIB'!$S$2,LEFT(E202,1)="l"),"e2",""))))))</f>
        <v>e</v>
      </c>
    </row>
    <row r="203" spans="1:18" ht="18.75" customHeight="1">
      <c r="A203" s="55" t="str">
        <f>IF(AND(C203="pv",E203='UNC - PV'!$S$2,D203='UNC - PV'!$Q$2),"x",IF(AND(LEFT(C203,3)="eib",E203='UNC - EIB'!$V$2,D203='UNC - EIB'!$T$2),"x1",IF(AND(C203="pv",E203='LC - PV'!$R$2,D203='LC - PV'!$P$2),"x2",IF(AND(LEFT(C203,3)="eib",E203='LC - EIB'!$U$2,D203='LC - EIB'!$S$2),"x3",""))))</f>
        <v/>
      </c>
      <c r="B203" s="62" t="str">
        <f t="shared" si="14"/>
        <v/>
      </c>
      <c r="C203" s="62"/>
      <c r="D203" s="67"/>
      <c r="E203" s="65"/>
      <c r="F203" s="64"/>
      <c r="G203" s="64"/>
      <c r="H203" s="64"/>
      <c r="I203" s="65"/>
      <c r="J203" s="66"/>
      <c r="K203" s="67"/>
      <c r="L203" s="65"/>
      <c r="M203" s="65"/>
      <c r="N203" s="64"/>
      <c r="O203" s="68"/>
      <c r="P203" s="69"/>
      <c r="Q203" s="92"/>
      <c r="R203" s="202" t="str">
        <f>IF(AND(C203="pv",D203='UNC - PV'!$Q$2,LEFT(E203,1)="u",'UNC - PV'!$O$2="vnđ",TH!P203&lt;&gt;""),"p",IF(AND(C203="pv",D203='UNC - PV'!$Q$2,LEFT(E203,1)="u",'UNC - PV'!$O$2="usd",TH!O203&lt;&gt;""),"p1",IF(AND(C203="pv",D203='LC - PV'!$P$2,LEFT(E203,1)="l"),"p2",IF(AND(LEFT(C203,3)="EIB",D203='UNC - EIB'!$T$2,LEFT(E203,1)="u",'UNC - EIB'!$R$2="vnđ",TH!P203&lt;&gt;""),"e",IF(AND(LEFT(C203,3)="EIB",D203='UNC - EIB'!$T$2,LEFT(E203,1)="U",'UNC - EIB'!$R$2="usd",TH!O203&lt;&gt;""),"e1",IF(AND(LEFT(C203,3)="EIB",D203='LC - EIB'!$S$2,LEFT(E203,1)="l"),"e2",""))))))</f>
        <v/>
      </c>
    </row>
    <row r="204" spans="1:18" ht="18.75" customHeight="1">
      <c r="A204" s="55" t="str">
        <f>IF(AND(C204="pv",E204='UNC - PV'!$S$2,D204='UNC - PV'!$Q$2),"x",IF(AND(LEFT(C204,3)="eib",E204='UNC - EIB'!$V$2,D204='UNC - EIB'!$T$2),"x1",IF(AND(C204="pv",E204='LC - PV'!$R$2,D204='LC - PV'!$P$2),"x2",IF(AND(LEFT(C204,3)="eib",E204='LC - EIB'!$U$2,D204='LC - EIB'!$S$2),"x3",""))))</f>
        <v/>
      </c>
      <c r="B204" s="62" t="str">
        <f t="shared" si="14"/>
        <v/>
      </c>
      <c r="C204" s="62"/>
      <c r="D204" s="67"/>
      <c r="E204" s="65"/>
      <c r="F204" s="64"/>
      <c r="G204" s="64"/>
      <c r="H204" s="64"/>
      <c r="I204" s="65"/>
      <c r="J204" s="66"/>
      <c r="K204" s="67"/>
      <c r="L204" s="65"/>
      <c r="M204" s="65"/>
      <c r="N204" s="64"/>
      <c r="O204" s="68"/>
      <c r="P204" s="69"/>
      <c r="Q204" s="92"/>
      <c r="R204" s="202" t="str">
        <f>IF(AND(C204="pv",D204='UNC - PV'!$Q$2,LEFT(E204,1)="u",'UNC - PV'!$O$2="vnđ",TH!P204&lt;&gt;""),"p",IF(AND(C204="pv",D204='UNC - PV'!$Q$2,LEFT(E204,1)="u",'UNC - PV'!$O$2="usd",TH!O204&lt;&gt;""),"p1",IF(AND(C204="pv",D204='LC - PV'!$P$2,LEFT(E204,1)="l"),"p2",IF(AND(LEFT(C204,3)="EIB",D204='UNC - EIB'!$T$2,LEFT(E204,1)="u",'UNC - EIB'!$R$2="vnđ",TH!P204&lt;&gt;""),"e",IF(AND(LEFT(C204,3)="EIB",D204='UNC - EIB'!$T$2,LEFT(E204,1)="U",'UNC - EIB'!$R$2="usd",TH!O204&lt;&gt;""),"e1",IF(AND(LEFT(C204,3)="EIB",D204='LC - EIB'!$S$2,LEFT(E204,1)="l"),"e2",""))))))</f>
        <v/>
      </c>
    </row>
    <row r="205" spans="1:18" ht="18.75" customHeight="1">
      <c r="A205" s="55" t="str">
        <f>IF(AND(C205="pv",E205='UNC - PV'!$S$2,D205='UNC - PV'!$Q$2),"x",IF(AND(LEFT(C205,3)="eib",E205='UNC - EIB'!$V$2,D205='UNC - EIB'!$T$2),"x1",IF(AND(C205="pv",E205='LC - PV'!$R$2,D205='LC - PV'!$P$2),"x2",IF(AND(LEFT(C205,3)="eib",E205='LC - EIB'!$U$2,D205='LC - EIB'!$S$2),"x3",""))))</f>
        <v/>
      </c>
      <c r="B205" s="62" t="str">
        <f t="shared" si="13"/>
        <v/>
      </c>
      <c r="C205" s="62"/>
      <c r="D205" s="67"/>
      <c r="E205" s="65"/>
      <c r="F205" s="64"/>
      <c r="G205" s="64"/>
      <c r="H205" s="64"/>
      <c r="I205" s="65"/>
      <c r="J205" s="66"/>
      <c r="K205" s="67"/>
      <c r="L205" s="65"/>
      <c r="M205" s="65"/>
      <c r="N205" s="64"/>
      <c r="O205" s="68"/>
      <c r="P205" s="69"/>
      <c r="Q205" s="92"/>
      <c r="R205" s="202" t="str">
        <f>IF(AND(C205="pv",D205='UNC - PV'!$Q$2,LEFT(E205,1)="u",'UNC - PV'!$O$2="vnđ",TH!P205&lt;&gt;""),"p",IF(AND(C205="pv",D205='UNC - PV'!$Q$2,LEFT(E205,1)="u",'UNC - PV'!$O$2="usd",TH!O205&lt;&gt;""),"p1",IF(AND(C205="pv",D205='LC - PV'!$P$2,LEFT(E205,1)="l"),"p2",IF(AND(LEFT(C205,3)="EIB",D205='UNC - EIB'!$T$2,LEFT(E205,1)="u",'UNC - EIB'!$R$2="vnđ",TH!P205&lt;&gt;""),"e",IF(AND(LEFT(C205,3)="EIB",D205='UNC - EIB'!$T$2,LEFT(E205,1)="U",'UNC - EIB'!$R$2="usd",TH!O205&lt;&gt;""),"e1",IF(AND(LEFT(C205,3)="EIB",D205='LC - EIB'!$S$2,LEFT(E205,1)="l"),"e2",""))))))</f>
        <v/>
      </c>
    </row>
    <row r="206" spans="1:18" ht="18.75" customHeight="1">
      <c r="A206" s="55" t="str">
        <f>IF(AND(C206="pv",E206='UNC - PV'!$S$2,D206='UNC - PV'!$Q$2),"x",IF(AND(LEFT(C206,3)="eib",E206='UNC - EIB'!$V$2,D206='UNC - EIB'!$T$2),"x1",IF(AND(C206="pv",E206='LC - PV'!$R$2,D206='LC - PV'!$P$2),"x2",IF(AND(LEFT(C206,3)="eib",E206='LC - EIB'!$U$2,D206='LC - EIB'!$S$2),"x3",""))))</f>
        <v/>
      </c>
      <c r="B206" s="62" t="str">
        <f t="shared" si="13"/>
        <v/>
      </c>
      <c r="C206" s="62"/>
      <c r="D206" s="67"/>
      <c r="E206" s="65"/>
      <c r="F206" s="64"/>
      <c r="G206" s="64"/>
      <c r="H206" s="64"/>
      <c r="I206" s="65"/>
      <c r="J206" s="66"/>
      <c r="K206" s="67"/>
      <c r="L206" s="65"/>
      <c r="M206" s="65"/>
      <c r="N206" s="64"/>
      <c r="O206" s="68"/>
      <c r="P206" s="69"/>
      <c r="Q206" s="92"/>
      <c r="R206" s="202" t="str">
        <f>IF(AND(C206="pv",D206='UNC - PV'!$Q$2,LEFT(E206,1)="u",'UNC - PV'!$O$2="vnđ",TH!P206&lt;&gt;""),"p",IF(AND(C206="pv",D206='UNC - PV'!$Q$2,LEFT(E206,1)="u",'UNC - PV'!$O$2="usd",TH!O206&lt;&gt;""),"p1",IF(AND(C206="pv",D206='LC - PV'!$P$2,LEFT(E206,1)="l"),"p2",IF(AND(LEFT(C206,3)="EIB",D206='UNC - EIB'!$T$2,LEFT(E206,1)="u",'UNC - EIB'!$R$2="vnđ",TH!P206&lt;&gt;""),"e",IF(AND(LEFT(C206,3)="EIB",D206='UNC - EIB'!$T$2,LEFT(E206,1)="U",'UNC - EIB'!$R$2="usd",TH!O206&lt;&gt;""),"e1",IF(AND(LEFT(C206,3)="EIB",D206='LC - EIB'!$S$2,LEFT(E206,1)="l"),"e2",""))))))</f>
        <v/>
      </c>
    </row>
    <row r="207" spans="1:18" ht="18.75" customHeight="1">
      <c r="A207" s="55" t="str">
        <f>IF(AND(C207="pv",E207='UNC - PV'!$S$2,D207='UNC - PV'!$Q$2),"x",IF(AND(LEFT(C207,3)="eib",E207='UNC - EIB'!$V$2,D207='UNC - EIB'!$T$2),"x1",IF(AND(C207="pv",E207='LC - PV'!$R$2,D207='LC - PV'!$P$2),"x2",IF(AND(LEFT(C207,3)="eib",E207='LC - EIB'!$U$2,D207='LC - EIB'!$S$2),"x3",""))))</f>
        <v/>
      </c>
      <c r="B207" s="62" t="str">
        <f t="shared" si="13"/>
        <v/>
      </c>
      <c r="C207" s="62"/>
      <c r="D207" s="67"/>
      <c r="E207" s="65"/>
      <c r="F207" s="64"/>
      <c r="G207" s="64"/>
      <c r="H207" s="64"/>
      <c r="I207" s="65"/>
      <c r="J207" s="66"/>
      <c r="K207" s="67"/>
      <c r="L207" s="65"/>
      <c r="M207" s="65"/>
      <c r="N207" s="64"/>
      <c r="O207" s="68"/>
      <c r="P207" s="69"/>
      <c r="Q207" s="92"/>
      <c r="R207" s="202" t="str">
        <f>IF(AND(C207="pv",D207='UNC - PV'!$Q$2,LEFT(E207,1)="u",'UNC - PV'!$O$2="vnđ",TH!P207&lt;&gt;""),"p",IF(AND(C207="pv",D207='UNC - PV'!$Q$2,LEFT(E207,1)="u",'UNC - PV'!$O$2="usd",TH!O207&lt;&gt;""),"p1",IF(AND(C207="pv",D207='LC - PV'!$P$2,LEFT(E207,1)="l"),"p2",IF(AND(LEFT(C207,3)="EIB",D207='UNC - EIB'!$T$2,LEFT(E207,1)="u",'UNC - EIB'!$R$2="vnđ",TH!P207&lt;&gt;""),"e",IF(AND(LEFT(C207,3)="EIB",D207='UNC - EIB'!$T$2,LEFT(E207,1)="U",'UNC - EIB'!$R$2="usd",TH!O207&lt;&gt;""),"e1",IF(AND(LEFT(C207,3)="EIB",D207='LC - EIB'!$S$2,LEFT(E207,1)="l"),"e2",""))))))</f>
        <v/>
      </c>
    </row>
    <row r="208" spans="1:18" ht="18.75" customHeight="1">
      <c r="A208" s="55" t="str">
        <f>IF(AND(C208="pv",E208='UNC - PV'!$S$2,D208='UNC - PV'!$Q$2),"x",IF(AND(LEFT(C208,3)="eib",E208='UNC - EIB'!$V$2,D208='UNC - EIB'!$T$2),"x1",IF(AND(C208="pv",E208='LC - PV'!$R$2,D208='LC - PV'!$P$2),"x2",IF(AND(LEFT(C208,3)="eib",E208='LC - EIB'!$U$2,D208='LC - EIB'!$S$2),"x3",""))))</f>
        <v/>
      </c>
      <c r="B208" s="62" t="str">
        <f t="shared" si="13"/>
        <v/>
      </c>
      <c r="C208" s="62"/>
      <c r="D208" s="67"/>
      <c r="E208" s="65"/>
      <c r="F208" s="64"/>
      <c r="G208" s="64"/>
      <c r="H208" s="64"/>
      <c r="I208" s="65"/>
      <c r="J208" s="66"/>
      <c r="K208" s="67"/>
      <c r="L208" s="65"/>
      <c r="M208" s="65"/>
      <c r="N208" s="64"/>
      <c r="O208" s="68"/>
      <c r="P208" s="69"/>
      <c r="Q208" s="92"/>
      <c r="R208" s="202" t="str">
        <f>IF(AND(C208="pv",D208='UNC - PV'!$Q$2,LEFT(E208,1)="u",'UNC - PV'!$O$2="vnđ",TH!P208&lt;&gt;""),"p",IF(AND(C208="pv",D208='UNC - PV'!$Q$2,LEFT(E208,1)="u",'UNC - PV'!$O$2="usd",TH!O208&lt;&gt;""),"p1",IF(AND(C208="pv",D208='LC - PV'!$P$2,LEFT(E208,1)="l"),"p2",IF(AND(LEFT(C208,3)="EIB",D208='UNC - EIB'!$T$2,LEFT(E208,1)="u",'UNC - EIB'!$R$2="vnđ",TH!P208&lt;&gt;""),"e",IF(AND(LEFT(C208,3)="EIB",D208='UNC - EIB'!$T$2,LEFT(E208,1)="U",'UNC - EIB'!$R$2="usd",TH!O208&lt;&gt;""),"e1",IF(AND(LEFT(C208,3)="EIB",D208='LC - EIB'!$S$2,LEFT(E208,1)="l"),"e2",""))))))</f>
        <v/>
      </c>
    </row>
    <row r="209" spans="1:18" ht="18.75" customHeight="1">
      <c r="A209" s="55" t="str">
        <f>IF(AND(C209="pv",E209='UNC - PV'!$S$2,D209='UNC - PV'!$Q$2),"x",IF(AND(LEFT(C209,3)="eib",E209='UNC - EIB'!$V$2,D209='UNC - EIB'!$T$2),"x1",IF(AND(C209="pv",E209='LC - PV'!$R$2,D209='LC - PV'!$P$2),"x2",IF(AND(LEFT(C209,3)="eib",E209='LC - EIB'!$U$2,D209='LC - EIB'!$S$2),"x3",""))))</f>
        <v/>
      </c>
      <c r="B209" s="62" t="str">
        <f t="shared" ref="B209" si="15">IF(C209&lt;&gt;"",ROW()-3,"")</f>
        <v/>
      </c>
      <c r="C209" s="62"/>
      <c r="D209" s="67"/>
      <c r="E209" s="65"/>
      <c r="F209" s="64"/>
      <c r="G209" s="64"/>
      <c r="H209" s="64"/>
      <c r="I209" s="65"/>
      <c r="J209" s="66"/>
      <c r="K209" s="67"/>
      <c r="L209" s="65"/>
      <c r="M209" s="65"/>
      <c r="N209" s="64"/>
      <c r="O209" s="68"/>
      <c r="P209" s="69"/>
      <c r="Q209" s="92"/>
      <c r="R209" s="202" t="str">
        <f>IF(AND(C209="pv",D209='UNC - PV'!$Q$2,LEFT(E209,1)="u",'UNC - PV'!$O$2="vnđ",TH!P209&lt;&gt;""),"p",IF(AND(C209="pv",D209='UNC - PV'!$Q$2,LEFT(E209,1)="u",'UNC - PV'!$O$2="usd",TH!O209&lt;&gt;""),"p1",IF(AND(C209="pv",D209='LC - PV'!$P$2,LEFT(E209,1)="l"),"p2",IF(AND(LEFT(C209,3)="EIB",D209='UNC - EIB'!$T$2,LEFT(E209,1)="u",'UNC - EIB'!$R$2="vnđ",TH!P209&lt;&gt;""),"e",IF(AND(LEFT(C209,3)="EIB",D209='UNC - EIB'!$T$2,LEFT(E209,1)="U",'UNC - EIB'!$R$2="usd",TH!O209&lt;&gt;""),"e1",IF(AND(LEFT(C209,3)="EIB",D209='LC - EIB'!$S$2,LEFT(E209,1)="l"),"e2",""))))))</f>
        <v/>
      </c>
    </row>
    <row r="210" spans="1:18" ht="18.75" customHeight="1">
      <c r="A210" s="55" t="str">
        <f>IF(AND(C210="pv",E210='UNC - PV'!$S$2,D210='UNC - PV'!$Q$2),"x",IF(AND(LEFT(C210,3)="eib",E210='UNC - EIB'!$V$2,D210='UNC - EIB'!$T$2),"x1",IF(AND(C210="pv",E210='LC - PV'!$R$2,D210='LC - PV'!$P$2),"x2",IF(AND(LEFT(C210,3)="eib",E210='LC - EIB'!$U$2,D210='LC - EIB'!$S$2),"x3",""))))</f>
        <v/>
      </c>
      <c r="B210" s="62" t="str">
        <f t="shared" si="0"/>
        <v/>
      </c>
      <c r="C210" s="62"/>
      <c r="D210" s="67"/>
      <c r="E210" s="65"/>
      <c r="F210" s="64"/>
      <c r="G210" s="64"/>
      <c r="H210" s="64"/>
      <c r="I210" s="65"/>
      <c r="J210" s="66"/>
      <c r="K210" s="67"/>
      <c r="L210" s="65"/>
      <c r="M210" s="65"/>
      <c r="N210" s="64"/>
      <c r="O210" s="68"/>
      <c r="P210" s="69"/>
      <c r="Q210" s="92"/>
      <c r="R210" s="202" t="str">
        <f>IF(AND(C210="pv",D210='UNC - PV'!$Q$2,LEFT(E210,1)="u",'UNC - PV'!$O$2="vnđ",TH!P210&lt;&gt;""),"p",IF(AND(C210="pv",D210='UNC - PV'!$Q$2,LEFT(E210,1)="u",'UNC - PV'!$O$2="usd",TH!O210&lt;&gt;""),"p1",IF(AND(C210="pv",D210='LC - PV'!$P$2,LEFT(E210,1)="l"),"p2",IF(AND(LEFT(C210,3)="EIB",D210='UNC - EIB'!$T$2,LEFT(E210,1)="u",'UNC - EIB'!$R$2="vnđ",TH!P210&lt;&gt;""),"e",IF(AND(LEFT(C210,3)="EIB",D210='UNC - EIB'!$T$2,LEFT(E210,1)="U",'UNC - EIB'!$R$2="usd",TH!O210&lt;&gt;""),"e1",IF(AND(LEFT(C210,3)="EIB",D210='LC - EIB'!$S$2,LEFT(E210,1)="l"),"e2",""))))))</f>
        <v/>
      </c>
    </row>
    <row r="211" spans="1:18" ht="18.75" customHeight="1">
      <c r="A211" s="55" t="str">
        <f>IF(AND(C211="pv",E211='UNC - PV'!$S$2,D211='UNC - PV'!$Q$2),"x",IF(AND(LEFT(C211,3)="eib",E211='UNC - EIB'!$V$2,D211='UNC - EIB'!$T$2),"x1",IF(AND(C211="pv",E211='LC - PV'!$R$2,D211='LC - PV'!$P$2),"x2",IF(AND(LEFT(C211,3)="eib",E211='LC - EIB'!$U$2,D211='LC - EIB'!$S$2),"x3",""))))</f>
        <v/>
      </c>
      <c r="B211" s="62" t="str">
        <f t="shared" si="0"/>
        <v/>
      </c>
      <c r="C211" s="62"/>
      <c r="D211" s="67"/>
      <c r="E211" s="65"/>
      <c r="F211" s="64"/>
      <c r="G211" s="64"/>
      <c r="H211" s="64"/>
      <c r="I211" s="65"/>
      <c r="J211" s="66"/>
      <c r="K211" s="67"/>
      <c r="L211" s="65"/>
      <c r="M211" s="65"/>
      <c r="N211" s="64"/>
      <c r="O211" s="68"/>
      <c r="P211" s="69"/>
      <c r="Q211" s="92"/>
      <c r="R211" s="202" t="str">
        <f>IF(AND(C211="pv",D211='UNC - PV'!$Q$2,LEFT(E211,1)="u",'UNC - PV'!$O$2="vnđ",TH!P211&lt;&gt;""),"p",IF(AND(C211="pv",D211='UNC - PV'!$Q$2,LEFT(E211,1)="u",'UNC - PV'!$O$2="usd",TH!O211&lt;&gt;""),"p1",IF(AND(C211="pv",D211='LC - PV'!$P$2,LEFT(E211,1)="l"),"p2",IF(AND(LEFT(C211,3)="EIB",D211='UNC - EIB'!$T$2,LEFT(E211,1)="u",'UNC - EIB'!$R$2="vnđ",TH!P211&lt;&gt;""),"e",IF(AND(LEFT(C211,3)="EIB",D211='UNC - EIB'!$T$2,LEFT(E211,1)="U",'UNC - EIB'!$R$2="usd",TH!O211&lt;&gt;""),"e1",IF(AND(LEFT(C211,3)="EIB",D211='LC - EIB'!$S$2,LEFT(E211,1)="l"),"e2",""))))))</f>
        <v/>
      </c>
    </row>
    <row r="212" spans="1:18" ht="18.75" customHeight="1">
      <c r="A212" s="55" t="str">
        <f>IF(AND(C212="pv",E212='UNC - PV'!$S$2,D212='UNC - PV'!$Q$2),"x",IF(AND(LEFT(C212,3)="eib",E212='UNC - EIB'!$V$2,D212='UNC - EIB'!$T$2),"x1",IF(AND(C212="pv",E212='LC - PV'!$R$2,D212='LC - PV'!$P$2),"x2",IF(AND(LEFT(C212,3)="eib",E212='LC - EIB'!$U$2,D212='LC - EIB'!$S$2),"x3",""))))</f>
        <v/>
      </c>
      <c r="B212" s="62" t="str">
        <f t="shared" si="0"/>
        <v/>
      </c>
      <c r="C212" s="62"/>
      <c r="D212" s="67"/>
      <c r="E212" s="65"/>
      <c r="F212" s="64"/>
      <c r="G212" s="64"/>
      <c r="H212" s="64"/>
      <c r="I212" s="65"/>
      <c r="J212" s="66"/>
      <c r="K212" s="67"/>
      <c r="L212" s="65"/>
      <c r="M212" s="65"/>
      <c r="N212" s="64"/>
      <c r="O212" s="68"/>
      <c r="P212" s="69"/>
      <c r="Q212" s="92"/>
      <c r="R212" s="202" t="str">
        <f>IF(AND(C212="pv",D212='UNC - PV'!$Q$2,LEFT(E212,1)="u",'UNC - PV'!$O$2="vnđ",TH!P212&lt;&gt;""),"p",IF(AND(C212="pv",D212='UNC - PV'!$Q$2,LEFT(E212,1)="u",'UNC - PV'!$O$2="usd",TH!O212&lt;&gt;""),"p1",IF(AND(C212="pv",D212='LC - PV'!$P$2,LEFT(E212,1)="l"),"p2",IF(AND(LEFT(C212,3)="EIB",D212='UNC - EIB'!$T$2,LEFT(E212,1)="u",'UNC - EIB'!$R$2="vnđ",TH!P212&lt;&gt;""),"e",IF(AND(LEFT(C212,3)="EIB",D212='UNC - EIB'!$T$2,LEFT(E212,1)="U",'UNC - EIB'!$R$2="usd",TH!O212&lt;&gt;""),"e1",IF(AND(LEFT(C212,3)="EIB",D212='LC - EIB'!$S$2,LEFT(E212,1)="l"),"e2",""))))))</f>
        <v/>
      </c>
    </row>
    <row r="213" spans="1:18" ht="18.75" customHeight="1">
      <c r="A213" s="55" t="str">
        <f>IF(AND(C213="pv",E213='UNC - PV'!$S$2,D213='UNC - PV'!$Q$2),"x",IF(AND(LEFT(C213,3)="eib",E213='UNC - EIB'!$V$2,D213='UNC - EIB'!$T$2),"x1",IF(AND(C213="pv",E213='LC - PV'!$R$2,D213='LC - PV'!$P$2),"x2",IF(AND(LEFT(C213,3)="eib",E213='LC - EIB'!$U$2,D213='LC - EIB'!$S$2),"x3",""))))</f>
        <v/>
      </c>
      <c r="B213" s="62" t="str">
        <f t="shared" si="0"/>
        <v/>
      </c>
      <c r="C213" s="62"/>
      <c r="D213" s="67"/>
      <c r="E213" s="65"/>
      <c r="F213" s="64"/>
      <c r="G213" s="64"/>
      <c r="H213" s="64"/>
      <c r="I213" s="65"/>
      <c r="J213" s="66"/>
      <c r="K213" s="67"/>
      <c r="L213" s="65"/>
      <c r="M213" s="65"/>
      <c r="N213" s="64"/>
      <c r="O213" s="68"/>
      <c r="P213" s="69"/>
      <c r="Q213" s="92"/>
      <c r="R213" s="202" t="str">
        <f>IF(AND(C213="pv",D213='UNC - PV'!$Q$2,LEFT(E213,1)="u",'UNC - PV'!$O$2="vnđ",TH!P213&lt;&gt;""),"p",IF(AND(C213="pv",D213='UNC - PV'!$Q$2,LEFT(E213,1)="u",'UNC - PV'!$O$2="usd",TH!O213&lt;&gt;""),"p1",IF(AND(C213="pv",D213='LC - PV'!$P$2,LEFT(E213,1)="l"),"p2",IF(AND(LEFT(C213,3)="EIB",D213='UNC - EIB'!$T$2,LEFT(E213,1)="u",'UNC - EIB'!$R$2="vnđ",TH!P213&lt;&gt;""),"e",IF(AND(LEFT(C213,3)="EIB",D213='UNC - EIB'!$T$2,LEFT(E213,1)="U",'UNC - EIB'!$R$2="usd",TH!O213&lt;&gt;""),"e1",IF(AND(LEFT(C213,3)="EIB",D213='LC - EIB'!$S$2,LEFT(E213,1)="l"),"e2",""))))))</f>
        <v/>
      </c>
    </row>
  </sheetData>
  <autoFilter ref="B3:X214"/>
  <mergeCells count="6">
    <mergeCell ref="N2:N3"/>
    <mergeCell ref="Q2:Q3"/>
    <mergeCell ref="O2:P2"/>
    <mergeCell ref="C2:E2"/>
    <mergeCell ref="B2:B3"/>
    <mergeCell ref="F2:M2"/>
  </mergeCells>
  <dataValidations count="1">
    <dataValidation type="list" allowBlank="1" showInputMessage="1" showErrorMessage="1" sqref="C4:C213">
      <formula1>"PV,EIB-Q4,EIB-Q11,EIB-TV"</formula1>
    </dataValidation>
  </dataValidation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V32"/>
  <sheetViews>
    <sheetView view="pageBreakPreview" zoomScale="110" zoomScaleNormal="110" zoomScaleSheetLayoutView="110" workbookViewId="0">
      <pane ySplit="32" topLeftCell="A33" activePane="bottomLeft" state="frozen"/>
      <selection pane="bottomLeft" activeCell="V2" sqref="V2"/>
    </sheetView>
  </sheetViews>
  <sheetFormatPr defaultRowHeight="15"/>
  <cols>
    <col min="1" max="1" width="2" style="1" customWidth="1"/>
    <col min="2" max="2" width="11.42578125" style="1" customWidth="1"/>
    <col min="3" max="3" width="12" style="1" customWidth="1"/>
    <col min="4" max="4" width="4" style="1" customWidth="1"/>
    <col min="5" max="5" width="1.42578125" style="1" customWidth="1"/>
    <col min="6" max="6" width="9.140625" style="1"/>
    <col min="7" max="7" width="8.42578125" style="1" customWidth="1"/>
    <col min="8" max="8" width="1.28515625" style="1" customWidth="1"/>
    <col min="9" max="9" width="1.85546875" style="1" customWidth="1"/>
    <col min="10" max="10" width="12" style="1" customWidth="1"/>
    <col min="11" max="11" width="1.7109375" style="1" customWidth="1"/>
    <col min="12" max="12" width="5.85546875" style="1" customWidth="1"/>
    <col min="13" max="13" width="1.42578125" style="1" customWidth="1"/>
    <col min="14" max="14" width="17" style="1" customWidth="1"/>
    <col min="15" max="15" width="6.5703125" style="1" customWidth="1"/>
    <col min="16" max="16" width="1.5703125" style="1" customWidth="1"/>
    <col min="17" max="17" width="9.140625" style="1"/>
    <col min="18" max="18" width="7" style="1" customWidth="1"/>
    <col min="19" max="19" width="1.85546875" style="1" customWidth="1"/>
    <col min="20" max="20" width="9.140625" style="1"/>
    <col min="21" max="21" width="1.85546875" style="1" customWidth="1"/>
    <col min="22" max="16384" width="9.140625" style="1"/>
  </cols>
  <sheetData>
    <row r="1" spans="1:22" ht="6.75" customHeight="1" thickBot="1">
      <c r="A1" s="8" t="str">
        <f>IF($R$2="vnđ","E","E1")</f>
        <v>E</v>
      </c>
    </row>
    <row r="2" spans="1:22" ht="21.75" customHeight="1" thickBot="1">
      <c r="A2" s="16"/>
      <c r="B2" s="16"/>
      <c r="G2" s="24"/>
      <c r="H2" s="51" t="s">
        <v>52</v>
      </c>
      <c r="M2" s="27" t="s">
        <v>122</v>
      </c>
      <c r="N2" s="27"/>
      <c r="R2" s="13" t="s">
        <v>27</v>
      </c>
      <c r="T2" s="10">
        <v>42793</v>
      </c>
      <c r="U2" s="11"/>
      <c r="V2" s="12" t="s">
        <v>82</v>
      </c>
    </row>
    <row r="3" spans="1:22" ht="12.75" customHeight="1">
      <c r="G3" s="26"/>
      <c r="H3" s="26" t="s">
        <v>53</v>
      </c>
      <c r="I3" s="25"/>
      <c r="M3" s="27" t="s">
        <v>123</v>
      </c>
      <c r="N3" s="27"/>
    </row>
    <row r="4" spans="1:22" ht="12.75" customHeight="1">
      <c r="A4" s="17"/>
      <c r="B4" s="17"/>
    </row>
    <row r="5" spans="1:22" ht="11.25" customHeight="1">
      <c r="A5" s="17" t="s">
        <v>44</v>
      </c>
      <c r="B5" s="17"/>
    </row>
    <row r="6" spans="1:22" s="47" customFormat="1" ht="13.5" customHeight="1">
      <c r="A6" s="17" t="s">
        <v>45</v>
      </c>
      <c r="B6" s="29"/>
      <c r="C6" s="46" t="str">
        <f>"CTY TNHH HẢI SẢN AN LẠC "&amp;IF(RIGHT(VLOOKUP("X1",DS,3,0),1)="V","TRÀ VINH","")</f>
        <v xml:space="preserve">CTY TNHH HẢI SẢN AN LẠC </v>
      </c>
      <c r="G6" s="49"/>
      <c r="H6" s="49"/>
    </row>
    <row r="7" spans="1:22" ht="9" customHeight="1">
      <c r="A7" s="28" t="s">
        <v>35</v>
      </c>
      <c r="B7" s="28"/>
    </row>
    <row r="8" spans="1:22" s="7" customFormat="1" ht="12" customHeight="1">
      <c r="A8" s="17" t="s">
        <v>46</v>
      </c>
      <c r="B8" s="17"/>
      <c r="C8" s="53" t="str">
        <f>IF(AND(RIGHT(VLOOKUP("X1",DS,3,0),1)="1",$R$2="USD"),"1015 148 5100 9193",IF(AND(RIGHT(VLOOKUP("X1",DS,3,0),1)="1",$R$2="VNĐ"),"1015 148 5100 9180",IF(AND(RIGHT(VLOOKUP("X1",DS,3,0),1)="4",$R$2="VNĐ"),"1402 148 5100 9465",IF(AND(RIGHT(VLOOKUP("X1",DS,3,0),1)="4",$R$2="USD"),"1402 148 5100 9479",IF(AND(RIGHT(VLOOKUP("X1",DS,3,0),1)="V",$R$2="VNĐ"),"1402 148 5100 7445",IF(AND(RIGHT(VLOOKUP("X1",DS,3,0),1)="V",$R$2="USD"),"1402 148 5102 8153",""))))))</f>
        <v>1402 148 5100 9465</v>
      </c>
    </row>
    <row r="9" spans="1:22" ht="9.75" customHeight="1">
      <c r="A9" s="28" t="s">
        <v>36</v>
      </c>
      <c r="B9" s="28"/>
    </row>
    <row r="10" spans="1:22" s="7" customFormat="1" ht="12" customHeight="1">
      <c r="A10" s="17" t="s">
        <v>56</v>
      </c>
      <c r="B10" s="17"/>
      <c r="H10" s="53" t="str">
        <f>IF(RIGHT(VLOOKUP("X1",DS,3,0),1)="1","CHI NHÁNH QUẬN 11",IF(RIGHT(VLOOKUP("X1",DS,3,0),1)="4","CHI NHÁNH QUẬN 4",IF(RIGHT(VLOOKUP("X1",DS,3,0),1)="V","CHI NHÁNH QUẬN 4","")))</f>
        <v>CHI NHÁNH QUẬN 4</v>
      </c>
    </row>
    <row r="11" spans="1:22" ht="9" customHeight="1">
      <c r="A11" s="38" t="s">
        <v>37</v>
      </c>
      <c r="B11" s="38"/>
      <c r="C11" s="39"/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</row>
    <row r="12" spans="1:22" ht="15" customHeight="1">
      <c r="A12" s="17" t="s">
        <v>47</v>
      </c>
      <c r="B12" s="17"/>
      <c r="C12" s="43" t="str">
        <f>VLOOKUP("X1",DS,6,0)</f>
        <v>CTY CP GIẢI PHÁP THANH TOÁN ĐIỆN LỰC VÀ VIỄN THÔNG</v>
      </c>
    </row>
    <row r="13" spans="1:22" ht="8.25" customHeight="1">
      <c r="A13" s="28" t="s">
        <v>38</v>
      </c>
      <c r="B13" s="28"/>
      <c r="H13" s="31"/>
    </row>
    <row r="14" spans="1:22" s="7" customFormat="1" ht="12" customHeight="1">
      <c r="A14" s="88" t="s">
        <v>54</v>
      </c>
      <c r="B14" s="17" t="s">
        <v>55</v>
      </c>
      <c r="C14" s="53" t="str">
        <f>VLOOKUP("X1",DS,7,0)</f>
        <v>6801 0000 318 995</v>
      </c>
      <c r="H14" s="45"/>
      <c r="I14" s="7" t="s">
        <v>54</v>
      </c>
      <c r="J14" s="17" t="s">
        <v>77</v>
      </c>
      <c r="K14" s="17"/>
      <c r="L14" s="17"/>
    </row>
    <row r="15" spans="1:22" ht="9" customHeight="1">
      <c r="A15" s="18" t="s">
        <v>39</v>
      </c>
      <c r="B15" s="28"/>
      <c r="H15" s="31"/>
      <c r="J15" s="18" t="s">
        <v>57</v>
      </c>
      <c r="K15" s="18"/>
      <c r="L15" s="18"/>
    </row>
    <row r="16" spans="1:22" ht="12.75" customHeight="1">
      <c r="A16" s="17" t="s">
        <v>48</v>
      </c>
      <c r="B16" s="17"/>
      <c r="C16" s="52" t="str">
        <f>VLOOKUP("X1",DS,8,0)</f>
        <v>BIDV – CHI NHÁNH LONG AN</v>
      </c>
      <c r="D16" s="19"/>
      <c r="E16" s="19"/>
      <c r="H16" s="31"/>
      <c r="J16" s="19" t="s">
        <v>79</v>
      </c>
      <c r="K16" s="19"/>
      <c r="L16" s="19"/>
    </row>
    <row r="17" spans="1:16" ht="8.25" customHeight="1">
      <c r="A17" s="18" t="s">
        <v>40</v>
      </c>
      <c r="B17" s="18"/>
      <c r="H17" s="31"/>
      <c r="J17" s="28" t="s">
        <v>58</v>
      </c>
      <c r="K17" s="28"/>
      <c r="L17" s="28"/>
    </row>
    <row r="18" spans="1:16" ht="12" customHeight="1">
      <c r="A18" s="17" t="s">
        <v>49</v>
      </c>
      <c r="B18" s="17"/>
      <c r="C18" s="53" t="str">
        <f>VLOOKUP("X1",DS,9,0)</f>
        <v>LONG AN</v>
      </c>
      <c r="H18" s="31"/>
      <c r="J18" s="19" t="s">
        <v>78</v>
      </c>
      <c r="K18" s="19"/>
      <c r="L18" s="19"/>
    </row>
    <row r="19" spans="1:16" ht="8.25" customHeight="1">
      <c r="A19" s="18" t="s">
        <v>41</v>
      </c>
      <c r="B19" s="18"/>
      <c r="C19" s="39"/>
      <c r="H19" s="40"/>
      <c r="J19" s="28" t="s">
        <v>59</v>
      </c>
      <c r="K19" s="28"/>
      <c r="L19" s="28"/>
    </row>
    <row r="20" spans="1:16" ht="14.25" customHeight="1">
      <c r="A20" s="33" t="s">
        <v>60</v>
      </c>
      <c r="B20" s="34"/>
      <c r="C20" s="52" t="str">
        <f>[1]!VND($N$22,FALSE)&amp;IF($R$2="USD"," đô la mỹ."," đồng.")</f>
        <v>Bốn mươi lăm triệu, bốn trăm tám mươi bảy ngàn, chín trăm bảy mươi đồng.</v>
      </c>
      <c r="D20" s="35"/>
      <c r="E20" s="35"/>
      <c r="F20" s="35"/>
      <c r="G20" s="35"/>
      <c r="H20" s="35"/>
      <c r="I20" s="35"/>
      <c r="J20" s="35"/>
      <c r="K20" s="35"/>
      <c r="L20" s="35"/>
      <c r="M20" s="36"/>
      <c r="N20" s="240" t="s">
        <v>61</v>
      </c>
      <c r="O20" s="240"/>
      <c r="P20" s="37"/>
    </row>
    <row r="21" spans="1:16" ht="9" customHeight="1">
      <c r="A21" s="28" t="s">
        <v>50</v>
      </c>
      <c r="B21" s="17"/>
      <c r="C21" s="20" t="s">
        <v>42</v>
      </c>
      <c r="D21" s="20"/>
      <c r="E21" s="20"/>
      <c r="M21" s="31"/>
      <c r="N21" s="241" t="s">
        <v>62</v>
      </c>
      <c r="O21" s="241"/>
      <c r="P21" s="32"/>
    </row>
    <row r="22" spans="1:16">
      <c r="A22" s="18"/>
      <c r="B22" s="18"/>
      <c r="M22" s="31"/>
      <c r="N22" s="50">
        <f>IF($R$2="VNĐ",VLOOKUP("X1",DS,16,0),VLOOKUP("X1",DS,15,0))</f>
        <v>45487970</v>
      </c>
      <c r="O22" s="44" t="str">
        <f>R2</f>
        <v>VNĐ</v>
      </c>
      <c r="P22" s="32"/>
    </row>
    <row r="23" spans="1:16" ht="12" customHeight="1">
      <c r="A23" s="17" t="s">
        <v>63</v>
      </c>
      <c r="B23" s="15"/>
      <c r="C23" s="52" t="str">
        <f>VLOOKUP("X1",DS,14,0)</f>
        <v>MKH: PB06030022841- Tiền điện kỳ 3/T1 &amp; kỳ 1,2/T2 năm 2017</v>
      </c>
      <c r="M23" s="31"/>
      <c r="P23" s="32"/>
    </row>
    <row r="24" spans="1:16" ht="9" customHeight="1">
      <c r="A24" s="28" t="s">
        <v>43</v>
      </c>
      <c r="B24" s="21"/>
      <c r="M24" s="48"/>
      <c r="P24" s="48"/>
    </row>
    <row r="25" spans="1:16" ht="8.25" customHeight="1">
      <c r="A25" s="21"/>
      <c r="B25" s="21"/>
    </row>
    <row r="26" spans="1:16" s="7" customFormat="1" ht="11.25" customHeight="1">
      <c r="A26" s="17" t="s">
        <v>101</v>
      </c>
      <c r="B26" s="22"/>
      <c r="E26" s="45"/>
      <c r="F26" s="17" t="s">
        <v>74</v>
      </c>
      <c r="K26" s="45"/>
      <c r="L26" s="17" t="s">
        <v>75</v>
      </c>
    </row>
    <row r="27" spans="1:16" ht="8.25" customHeight="1">
      <c r="A27" s="42" t="s">
        <v>51</v>
      </c>
      <c r="B27" s="21"/>
      <c r="C27" s="23"/>
      <c r="D27" s="23"/>
      <c r="E27" s="41"/>
      <c r="F27" s="28" t="s">
        <v>68</v>
      </c>
      <c r="K27" s="31"/>
      <c r="L27" s="28" t="s">
        <v>73</v>
      </c>
    </row>
    <row r="28" spans="1:16" ht="11.25" customHeight="1">
      <c r="A28" s="27" t="s">
        <v>64</v>
      </c>
      <c r="B28" s="22"/>
      <c r="C28" s="27" t="s">
        <v>66</v>
      </c>
      <c r="E28" s="31"/>
      <c r="F28" s="27" t="s">
        <v>69</v>
      </c>
      <c r="H28" s="27" t="s">
        <v>71</v>
      </c>
      <c r="K28" s="31"/>
      <c r="L28" s="27" t="s">
        <v>69</v>
      </c>
      <c r="O28" s="27" t="s">
        <v>71</v>
      </c>
    </row>
    <row r="29" spans="1:16" ht="9" customHeight="1">
      <c r="A29" s="28" t="s">
        <v>65</v>
      </c>
      <c r="B29" s="21"/>
      <c r="C29" s="28" t="s">
        <v>67</v>
      </c>
      <c r="E29" s="31"/>
      <c r="F29" s="28" t="s">
        <v>70</v>
      </c>
      <c r="H29" s="28" t="s">
        <v>72</v>
      </c>
      <c r="K29" s="31"/>
      <c r="L29" s="28" t="s">
        <v>70</v>
      </c>
      <c r="O29" s="28" t="s">
        <v>72</v>
      </c>
    </row>
    <row r="30" spans="1:16">
      <c r="A30" s="22"/>
      <c r="B30" s="22"/>
      <c r="E30" s="31"/>
      <c r="K30" s="31"/>
    </row>
    <row r="31" spans="1:16">
      <c r="E31" s="31"/>
      <c r="K31" s="31"/>
    </row>
    <row r="32" spans="1:16">
      <c r="E32" s="31"/>
      <c r="K32" s="31"/>
    </row>
  </sheetData>
  <mergeCells count="2">
    <mergeCell ref="N20:O20"/>
    <mergeCell ref="N21:O21"/>
  </mergeCells>
  <dataValidations count="2">
    <dataValidation type="list" allowBlank="1" showInputMessage="1" showErrorMessage="1" sqref="R2">
      <formula1>"USD,VNĐ"</formula1>
    </dataValidation>
    <dataValidation type="list" allowBlank="1" showInputMessage="1" showErrorMessage="1" sqref="V2">
      <formula1>OFFSET(INDIRECT(ADDRESS(MATCH(A1,N_1,0)+3,5,,,"TH")),0,0,COUNTIF(N_1,A1),1)</formula1>
    </dataValidation>
  </dataValidations>
  <pageMargins left="0.5" right="0" top="0.26" bottom="0" header="0.25" footer="0"/>
  <pageSetup orientation="portrait" r:id="rId1"/>
  <headerFooter>
    <oddHeader>&amp;L&amp;G</oddHead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S17"/>
  <sheetViews>
    <sheetView view="pageBreakPreview" zoomScaleSheetLayoutView="100" workbookViewId="0">
      <pane ySplit="18" topLeftCell="A19" activePane="bottomLeft" state="frozen"/>
      <selection pane="bottomLeft" activeCell="I14" sqref="I14"/>
    </sheetView>
  </sheetViews>
  <sheetFormatPr defaultRowHeight="15"/>
  <cols>
    <col min="1" max="1" width="5.42578125" style="1" customWidth="1"/>
    <col min="2" max="2" width="2.7109375" style="1" customWidth="1"/>
    <col min="3" max="3" width="9.85546875" style="1" customWidth="1"/>
    <col min="4" max="4" width="12.28515625" style="1" customWidth="1"/>
    <col min="5" max="5" width="5.7109375" style="1" customWidth="1"/>
    <col min="6" max="6" width="8.85546875" style="1" customWidth="1"/>
    <col min="7" max="7" width="7.5703125" style="1" customWidth="1"/>
    <col min="8" max="8" width="9.140625" style="1"/>
    <col min="9" max="9" width="9.85546875" style="1" customWidth="1"/>
    <col min="10" max="10" width="8.42578125" style="1" customWidth="1"/>
    <col min="11" max="11" width="7.28515625" style="1" customWidth="1"/>
    <col min="12" max="12" width="6.5703125" style="1" customWidth="1"/>
    <col min="13" max="13" width="9.140625" style="1"/>
    <col min="14" max="14" width="7.5703125" style="1" customWidth="1"/>
    <col min="15" max="15" width="7.7109375" style="1" customWidth="1"/>
    <col min="16" max="16" width="3.28515625" style="1" customWidth="1"/>
    <col min="17" max="17" width="9.42578125" style="6" bestFit="1" customWidth="1"/>
    <col min="18" max="18" width="2.85546875" style="9" customWidth="1"/>
    <col min="19" max="19" width="9.140625" style="6"/>
    <col min="20" max="16384" width="9.140625" style="1"/>
  </cols>
  <sheetData>
    <row r="1" spans="1:19" ht="15" customHeight="1" thickBot="1">
      <c r="A1" s="8" t="str">
        <f>IF($O$2="vnđ","p","p1")</f>
        <v>p1</v>
      </c>
      <c r="N1" s="8"/>
    </row>
    <row r="2" spans="1:19" ht="18.75" customHeight="1" thickBot="1">
      <c r="O2" s="13" t="s">
        <v>26</v>
      </c>
      <c r="Q2" s="10">
        <v>42793</v>
      </c>
      <c r="R2" s="11"/>
      <c r="S2" s="12" t="s">
        <v>21</v>
      </c>
    </row>
    <row r="6" spans="1:19" ht="21" customHeight="1">
      <c r="G6" s="1" t="s">
        <v>2</v>
      </c>
    </row>
    <row r="7" spans="1:19" ht="17.25" customHeight="1">
      <c r="E7" s="2" t="str">
        <f>IF($O$2="USD"," 3    7    0    0    0   0    0    0    6    0    7    2"," 0    0    0    0    0   0   0    0   6   0    7    2")</f>
        <v xml:space="preserve"> 3    7    0    0    0   0    0    0    6    0    7    2</v>
      </c>
      <c r="L7" s="7" t="s">
        <v>7</v>
      </c>
    </row>
    <row r="8" spans="1:19" ht="21" customHeight="1">
      <c r="F8" s="242">
        <f>IF($O$2="VNĐ",VLOOKUP("X",DS,16,0),VLOOKUP("X",DS,15,0))</f>
        <v>450000</v>
      </c>
      <c r="G8" s="242"/>
      <c r="K8" s="7" t="str">
        <f>IF(O2="vnđ","x","")</f>
        <v/>
      </c>
      <c r="L8" s="7" t="str">
        <f>IF(O2="usd","x","")</f>
        <v>x</v>
      </c>
    </row>
    <row r="9" spans="1:19" ht="16.5" customHeight="1">
      <c r="F9" s="7" t="str">
        <f>[1]!VND(F8,FALSE)&amp;IF($O$2="USD"," đô la mỹ."," đồng.")</f>
        <v>Bốn trăm năm mươi ngàn đô la mỹ.</v>
      </c>
    </row>
    <row r="10" spans="1:19" ht="16.5" customHeight="1">
      <c r="G10" s="1" t="s">
        <v>3</v>
      </c>
    </row>
    <row r="11" spans="1:19" ht="17.25" customHeight="1">
      <c r="F11" s="7" t="str">
        <f>VLOOKUP("X",DS,14,0)</f>
        <v>Chuyển NT</v>
      </c>
    </row>
    <row r="13" spans="1:19" ht="21" customHeight="1">
      <c r="F13" s="203" t="str">
        <f>VLOOKUP("X",DS,6,0)</f>
        <v>CTY TNHH HẢI SẢN AN LẠC</v>
      </c>
      <c r="G13" s="14"/>
    </row>
    <row r="14" spans="1:19" ht="17.25" customHeight="1"/>
    <row r="16" spans="1:19" ht="21" customHeight="1">
      <c r="C16" s="1" t="s">
        <v>3</v>
      </c>
      <c r="E16" s="1" t="str">
        <f>VLOOKUP("X",DS,7,0)</f>
        <v>1402 148 5100 9479</v>
      </c>
    </row>
    <row r="17" spans="5:5" ht="15.75" customHeight="1">
      <c r="E17" s="7" t="str">
        <f>VLOOKUP("X",DS,8,0)&amp;", "&amp;VLOOKUP("X",DS,9,0)</f>
        <v>Eximbank - CN Q4, TPHCM</v>
      </c>
    </row>
  </sheetData>
  <dataConsolidate/>
  <mergeCells count="1">
    <mergeCell ref="F8:G8"/>
  </mergeCells>
  <dataValidations count="2">
    <dataValidation type="list" allowBlank="1" showInputMessage="1" showErrorMessage="1" sqref="S2">
      <formula1>OFFSET(INDIRECT(ADDRESS(MATCH(A1,N_1,0)+3,5,,,"TH")),0,0,COUNTIF(N_1,A1),1)</formula1>
    </dataValidation>
    <dataValidation type="list" allowBlank="1" showInputMessage="1" showErrorMessage="1" sqref="O2">
      <formula1>"USD,VNĐ"</formula1>
    </dataValidation>
  </dataValidations>
  <pageMargins left="0" right="0" top="0" bottom="0" header="0" footer="0"/>
  <pageSetup scale="98" orientation="portrait" verticalDpi="0" r:id="rId1"/>
  <headerFooter>
    <oddHeader>&amp;L&amp;G</oddHeader>
  </headerFooter>
  <legacyDrawingHF r:id="rId2"/>
  <picture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E1:R17"/>
  <sheetViews>
    <sheetView view="pageBreakPreview" zoomScaleSheetLayoutView="100" workbookViewId="0">
      <pane ySplit="18" topLeftCell="A19" activePane="bottomLeft" state="frozen"/>
      <selection pane="bottomLeft" activeCell="R2" sqref="R2"/>
    </sheetView>
  </sheetViews>
  <sheetFormatPr defaultRowHeight="15"/>
  <cols>
    <col min="1" max="1" width="5.85546875" style="1" customWidth="1"/>
    <col min="2" max="2" width="3.5703125" style="1" customWidth="1"/>
    <col min="3" max="3" width="8.85546875" style="1" customWidth="1"/>
    <col min="4" max="4" width="13.140625" style="1" customWidth="1"/>
    <col min="5" max="5" width="5.7109375" style="1" customWidth="1"/>
    <col min="6" max="6" width="8" style="1" customWidth="1"/>
    <col min="7" max="7" width="15.85546875" style="1" customWidth="1"/>
    <col min="8" max="8" width="4.28515625" style="1" customWidth="1"/>
    <col min="9" max="9" width="3.85546875" style="1" customWidth="1"/>
    <col min="10" max="10" width="5.28515625" style="1" customWidth="1"/>
    <col min="11" max="11" width="4.140625" style="1" customWidth="1"/>
    <col min="12" max="12" width="7" style="1" customWidth="1"/>
    <col min="13" max="13" width="6.85546875" style="1" customWidth="1"/>
    <col min="14" max="16" width="9.140625" style="1"/>
    <col min="17" max="17" width="3" style="1" customWidth="1"/>
    <col min="18" max="16384" width="9.140625" style="1"/>
  </cols>
  <sheetData>
    <row r="1" spans="5:18" ht="18" customHeight="1" thickBot="1"/>
    <row r="2" spans="5:18" ht="21.75" customHeight="1" thickBot="1">
      <c r="P2" s="10">
        <v>42556</v>
      </c>
      <c r="Q2" s="11"/>
      <c r="R2" s="12" t="s">
        <v>25</v>
      </c>
    </row>
    <row r="5" spans="5:18" ht="4.5" customHeight="1"/>
    <row r="6" spans="5:18" ht="21" customHeight="1">
      <c r="F6" s="1" t="s">
        <v>2</v>
      </c>
    </row>
    <row r="7" spans="5:18" ht="18.75" customHeight="1">
      <c r="E7" s="2" t="s">
        <v>8</v>
      </c>
      <c r="M7" s="1" t="s">
        <v>7</v>
      </c>
    </row>
    <row r="8" spans="5:18" ht="21" customHeight="1">
      <c r="E8" s="242" t="e">
        <f>VLOOKUP("X2",DS,16,0)</f>
        <v>#N/A</v>
      </c>
      <c r="F8" s="242"/>
      <c r="G8" s="5"/>
      <c r="L8" s="1" t="s">
        <v>3</v>
      </c>
    </row>
    <row r="9" spans="5:18" ht="17.25" customHeight="1">
      <c r="F9" s="1" t="str">
        <f>[1]!VND(E8,TRUE)</f>
        <v>Error: Đối số của hàm không hợp lệ.</v>
      </c>
    </row>
    <row r="10" spans="5:18" ht="19.5" customHeight="1"/>
    <row r="11" spans="5:18" ht="22.5" customHeight="1">
      <c r="E11" s="1" t="s">
        <v>3</v>
      </c>
    </row>
    <row r="12" spans="5:18" ht="21" customHeight="1">
      <c r="F12" s="1" t="e">
        <f>VLOOKUP("X2",DS,6,0)</f>
        <v>#N/A</v>
      </c>
    </row>
    <row r="13" spans="5:18" ht="19.5" customHeight="1">
      <c r="E13" s="3" t="e">
        <f>VLOOKUP("X2",DS,10,0)</f>
        <v>#N/A</v>
      </c>
      <c r="H13" s="1" t="e">
        <f>DAY(VLOOKUP("X2",DS,11,0))</f>
        <v>#N/A</v>
      </c>
      <c r="I13" s="3" t="e">
        <f>MONTH(VLOOKUP("X2",DS,11,0))</f>
        <v>#N/A</v>
      </c>
      <c r="J13" s="1" t="e">
        <f>YEAR(VLOOKUP("X2",DS,11,0))</f>
        <v>#N/A</v>
      </c>
      <c r="N13" s="1" t="e">
        <f>VLOOKUP("X2",DS,12,0)</f>
        <v>#N/A</v>
      </c>
    </row>
    <row r="14" spans="5:18" ht="20.25" customHeight="1">
      <c r="E14" s="1" t="e">
        <f>VLOOKUP("X2",DS,14,0)</f>
        <v>#N/A</v>
      </c>
    </row>
    <row r="15" spans="5:18" ht="16.5" customHeight="1">
      <c r="H15" s="4"/>
    </row>
    <row r="16" spans="5:18" ht="21" customHeight="1">
      <c r="H16" s="1" t="e">
        <f>VLOOKUP("X2",DS,13,0)</f>
        <v>#N/A</v>
      </c>
    </row>
    <row r="17" ht="15" customHeight="1"/>
  </sheetData>
  <mergeCells count="1">
    <mergeCell ref="E8:F8"/>
  </mergeCells>
  <dataValidations count="1">
    <dataValidation type="list" allowBlank="1" showInputMessage="1" showErrorMessage="1" sqref="R2">
      <formula1>OFFSET(INDIRECT(ADDRESS(MATCH("p2",N_1,0)+3,5,,,"TH")),0,0,COUNTIF(N_1,"p2"),1)</formula1>
    </dataValidation>
  </dataValidations>
  <pageMargins left="0" right="0" top="0" bottom="0" header="0" footer="0"/>
  <pageSetup scale="98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U33"/>
  <sheetViews>
    <sheetView view="pageBreakPreview" zoomScale="110" zoomScaleNormal="110" zoomScaleSheetLayoutView="110" workbookViewId="0">
      <pane ySplit="33" topLeftCell="A34" activePane="bottomLeft" state="frozen"/>
      <selection pane="bottomLeft" activeCell="S2" sqref="S2"/>
    </sheetView>
  </sheetViews>
  <sheetFormatPr defaultRowHeight="15"/>
  <cols>
    <col min="1" max="1" width="2" style="1" customWidth="1"/>
    <col min="2" max="2" width="11.42578125" style="1" customWidth="1"/>
    <col min="3" max="3" width="12" style="1" customWidth="1"/>
    <col min="4" max="4" width="4" style="1" customWidth="1"/>
    <col min="5" max="5" width="1.85546875" style="1" customWidth="1"/>
    <col min="6" max="6" width="9.140625" style="1"/>
    <col min="7" max="7" width="8.42578125" style="1" customWidth="1"/>
    <col min="8" max="8" width="1.28515625" style="1" customWidth="1"/>
    <col min="9" max="9" width="1.85546875" style="1" customWidth="1"/>
    <col min="10" max="10" width="12.140625" style="1" customWidth="1"/>
    <col min="11" max="11" width="1.7109375" style="1" customWidth="1"/>
    <col min="12" max="12" width="5.85546875" style="1" customWidth="1"/>
    <col min="13" max="13" width="1.42578125" style="1" customWidth="1"/>
    <col min="14" max="14" width="1.7109375" style="1" customWidth="1"/>
    <col min="15" max="15" width="15.140625" style="1" customWidth="1"/>
    <col min="16" max="16" width="6.5703125" style="1" customWidth="1"/>
    <col min="17" max="17" width="1.5703125" style="1" customWidth="1"/>
    <col min="18" max="18" width="9.140625" style="1"/>
    <col min="19" max="19" width="10.140625" style="1" bestFit="1" customWidth="1"/>
    <col min="20" max="20" width="1.85546875" style="1" customWidth="1"/>
    <col min="21" max="16384" width="9.140625" style="1"/>
  </cols>
  <sheetData>
    <row r="1" spans="1:21" ht="6.75" customHeight="1" thickBot="1">
      <c r="A1" s="8" t="s">
        <v>144</v>
      </c>
    </row>
    <row r="2" spans="1:21" ht="21.75" customHeight="1" thickBot="1">
      <c r="A2" s="16"/>
      <c r="B2" s="16"/>
      <c r="G2" s="24"/>
      <c r="H2" s="75" t="s">
        <v>103</v>
      </c>
      <c r="M2" s="27" t="s">
        <v>122</v>
      </c>
      <c r="N2" s="27"/>
      <c r="O2" s="27"/>
      <c r="S2" s="10">
        <v>42556</v>
      </c>
      <c r="T2" s="11"/>
      <c r="U2" s="12" t="s">
        <v>76</v>
      </c>
    </row>
    <row r="3" spans="1:21" ht="12.75" customHeight="1">
      <c r="G3" s="26"/>
      <c r="H3" s="26" t="s">
        <v>53</v>
      </c>
      <c r="I3" s="25"/>
      <c r="M3" s="27" t="s">
        <v>123</v>
      </c>
      <c r="N3" s="27"/>
      <c r="O3" s="27"/>
    </row>
    <row r="4" spans="1:21" ht="12.75" customHeight="1">
      <c r="A4" s="17"/>
      <c r="B4" s="17"/>
    </row>
    <row r="5" spans="1:21" s="7" customFormat="1" ht="9.75" customHeight="1">
      <c r="A5" s="78" t="s">
        <v>104</v>
      </c>
      <c r="B5" s="17"/>
      <c r="E5" s="80"/>
      <c r="F5" s="81" t="s">
        <v>106</v>
      </c>
      <c r="I5" s="85" t="s">
        <v>3</v>
      </c>
      <c r="J5" s="81" t="s">
        <v>107</v>
      </c>
    </row>
    <row r="6" spans="1:21" s="7" customFormat="1" ht="8.25" customHeight="1">
      <c r="A6" s="76" t="s">
        <v>105</v>
      </c>
      <c r="B6" s="17"/>
      <c r="F6" s="76" t="s">
        <v>108</v>
      </c>
      <c r="J6" s="76" t="s">
        <v>109</v>
      </c>
    </row>
    <row r="7" spans="1:21" s="47" customFormat="1" ht="13.5" customHeight="1">
      <c r="A7" s="17" t="s">
        <v>45</v>
      </c>
      <c r="B7" s="29"/>
      <c r="C7" s="46" t="e">
        <f>"CTY TNHH HẢI SẢN AN LẠC "&amp;IF(RIGHT(VLOOKUP("X3",DS,3,0),1)="V","TRÀ VINH","")</f>
        <v>#N/A</v>
      </c>
      <c r="G7" s="49"/>
      <c r="H7" s="49"/>
    </row>
    <row r="8" spans="1:21" ht="8.25" customHeight="1">
      <c r="A8" s="28" t="s">
        <v>35</v>
      </c>
      <c r="B8" s="28"/>
    </row>
    <row r="9" spans="1:21" ht="12.75" customHeight="1">
      <c r="A9" s="17" t="s">
        <v>46</v>
      </c>
      <c r="B9" s="29"/>
      <c r="C9" s="52" t="e">
        <f>IF(RIGHT(VLOOKUP("X3",DS,3,0),1)="1","1015 148 5100 9180",IF(RIGHT(VLOOKUP("X3",DS,3,0),1)="4","1402 148 5100 9465",IF(RIGHT(VLOOKUP("X3",DS,3,0),1)="V","1402 148 5100 7445","")))</f>
        <v>#N/A</v>
      </c>
    </row>
    <row r="10" spans="1:21" ht="8.25" customHeight="1">
      <c r="A10" s="28" t="s">
        <v>36</v>
      </c>
      <c r="B10" s="28"/>
    </row>
    <row r="11" spans="1:21" ht="12.75" customHeight="1">
      <c r="A11" s="17" t="s">
        <v>56</v>
      </c>
      <c r="B11" s="17"/>
      <c r="H11" s="52" t="e">
        <f>IF(RIGHT(VLOOKUP("X3",DS,3,0),1)="1","CHI NHÁNH QUẬN 11",IF(RIGHT(VLOOKUP("X3",DS,3,0),1)="4","CHI NHÁNH QUẬN 4",IF(RIGHT(VLOOKUP("X3",DS,3,0),1)="V","CHI NHÁNH QUẬN 4","")))</f>
        <v>#N/A</v>
      </c>
    </row>
    <row r="12" spans="1:21" ht="9" customHeight="1">
      <c r="A12" s="38" t="s">
        <v>37</v>
      </c>
      <c r="B12" s="38"/>
      <c r="C12" s="39"/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</row>
    <row r="13" spans="1:21" ht="15" customHeight="1">
      <c r="A13" s="17" t="s">
        <v>47</v>
      </c>
      <c r="B13" s="17"/>
      <c r="C13" s="43" t="e">
        <f>VLOOKUP("X3",DS,6,0)</f>
        <v>#N/A</v>
      </c>
    </row>
    <row r="14" spans="1:21" ht="8.25" customHeight="1">
      <c r="A14" s="28" t="s">
        <v>38</v>
      </c>
      <c r="B14" s="28"/>
      <c r="H14" s="31"/>
    </row>
    <row r="15" spans="1:21" ht="12" customHeight="1">
      <c r="A15" s="30" t="s">
        <v>54</v>
      </c>
      <c r="B15" s="17" t="s">
        <v>110</v>
      </c>
      <c r="C15" s="52"/>
      <c r="H15" s="31"/>
      <c r="I15" s="7" t="s">
        <v>54</v>
      </c>
      <c r="J15" s="17" t="s">
        <v>114</v>
      </c>
      <c r="K15" s="17"/>
      <c r="L15" s="54" t="e">
        <f>VLOOKUP("X3",DS,10,0)</f>
        <v>#N/A</v>
      </c>
    </row>
    <row r="16" spans="1:21" ht="8.25" customHeight="1">
      <c r="A16" s="18" t="s">
        <v>39</v>
      </c>
      <c r="B16" s="28"/>
      <c r="H16" s="31"/>
      <c r="J16" s="18" t="s">
        <v>57</v>
      </c>
      <c r="K16" s="18"/>
      <c r="L16" s="18"/>
    </row>
    <row r="17" spans="1:17" ht="11.25" customHeight="1">
      <c r="A17" s="17" t="s">
        <v>111</v>
      </c>
      <c r="B17" s="17"/>
      <c r="C17" s="52"/>
      <c r="D17" s="19"/>
      <c r="E17" s="19"/>
      <c r="H17" s="31"/>
      <c r="J17" s="20" t="s">
        <v>112</v>
      </c>
      <c r="K17" s="82"/>
      <c r="L17" s="246" t="e">
        <f>VLOOKUP("X3",DS,11,0)</f>
        <v>#N/A</v>
      </c>
      <c r="M17" s="246"/>
    </row>
    <row r="18" spans="1:17" ht="8.25" customHeight="1">
      <c r="A18" s="18" t="s">
        <v>40</v>
      </c>
      <c r="B18" s="18"/>
      <c r="H18" s="31"/>
      <c r="J18" s="28" t="s">
        <v>58</v>
      </c>
      <c r="K18" s="28"/>
      <c r="L18" s="28"/>
    </row>
    <row r="19" spans="1:17" ht="11.25" customHeight="1">
      <c r="A19" s="17" t="s">
        <v>121</v>
      </c>
      <c r="B19" s="17"/>
      <c r="C19" s="53"/>
      <c r="H19" s="31"/>
      <c r="J19" s="20" t="s">
        <v>113</v>
      </c>
      <c r="K19" s="19"/>
      <c r="L19" s="54" t="e">
        <f>VLOOKUP("X3",DS,12,0)</f>
        <v>#N/A</v>
      </c>
    </row>
    <row r="20" spans="1:17" ht="8.25" customHeight="1">
      <c r="A20" s="18" t="s">
        <v>41</v>
      </c>
      <c r="B20" s="18"/>
      <c r="C20" s="39"/>
      <c r="H20" s="40"/>
      <c r="J20" s="28" t="s">
        <v>59</v>
      </c>
      <c r="K20" s="28"/>
      <c r="L20" s="28"/>
    </row>
    <row r="21" spans="1:17">
      <c r="A21" s="33" t="s">
        <v>60</v>
      </c>
      <c r="B21" s="34"/>
      <c r="C21" s="52" t="str">
        <f>[1]!VND(O23,TRUE)</f>
        <v>Error: Đối số của hàm không hợp lệ.</v>
      </c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243" t="s">
        <v>61</v>
      </c>
      <c r="O21" s="244"/>
      <c r="P21" s="244"/>
      <c r="Q21" s="37"/>
    </row>
    <row r="22" spans="1:17" ht="9" customHeight="1">
      <c r="A22" s="28" t="s">
        <v>50</v>
      </c>
      <c r="B22" s="17"/>
      <c r="C22" s="20" t="s">
        <v>42</v>
      </c>
      <c r="D22" s="20"/>
      <c r="E22" s="20"/>
      <c r="L22" s="48"/>
      <c r="M22" s="48"/>
      <c r="N22" s="245" t="s">
        <v>62</v>
      </c>
      <c r="O22" s="241"/>
      <c r="P22" s="241"/>
      <c r="Q22" s="32"/>
    </row>
    <row r="23" spans="1:17">
      <c r="A23" s="18"/>
      <c r="B23" s="18"/>
      <c r="L23" s="48"/>
      <c r="M23" s="48"/>
      <c r="N23" s="84"/>
      <c r="O23" s="50" t="e">
        <f>VLOOKUP("X3",DS,16,0)</f>
        <v>#N/A</v>
      </c>
      <c r="P23" s="44" t="s">
        <v>27</v>
      </c>
      <c r="Q23" s="32"/>
    </row>
    <row r="24" spans="1:17" s="7" customFormat="1" ht="12.75" customHeight="1">
      <c r="A24" s="17" t="s">
        <v>63</v>
      </c>
      <c r="B24" s="86"/>
      <c r="C24" s="53" t="e">
        <f>VLOOKUP("X3",DS,14,0)</f>
        <v>#N/A</v>
      </c>
      <c r="L24" s="83"/>
      <c r="M24" s="83"/>
      <c r="N24" s="45"/>
      <c r="O24" s="83"/>
      <c r="P24" s="83"/>
      <c r="Q24" s="87"/>
    </row>
    <row r="25" spans="1:17" ht="9" customHeight="1">
      <c r="A25" s="28" t="s">
        <v>43</v>
      </c>
      <c r="B25" s="21"/>
      <c r="M25" s="48"/>
      <c r="Q25" s="48"/>
    </row>
    <row r="26" spans="1:17" ht="8.25" customHeight="1">
      <c r="A26" s="21"/>
      <c r="B26" s="21"/>
    </row>
    <row r="27" spans="1:17" s="7" customFormat="1" ht="11.25" customHeight="1">
      <c r="A27" s="17" t="s">
        <v>101</v>
      </c>
      <c r="B27" s="22"/>
      <c r="E27" s="45"/>
      <c r="F27" s="17" t="s">
        <v>74</v>
      </c>
      <c r="K27" s="83"/>
      <c r="L27" s="17"/>
      <c r="N27" s="45"/>
      <c r="O27" s="79" t="s">
        <v>120</v>
      </c>
    </row>
    <row r="28" spans="1:17" ht="8.25" customHeight="1">
      <c r="A28" s="42" t="s">
        <v>51</v>
      </c>
      <c r="B28" s="21"/>
      <c r="C28" s="23"/>
      <c r="D28" s="23"/>
      <c r="E28" s="41"/>
      <c r="F28" s="28" t="s">
        <v>68</v>
      </c>
      <c r="K28" s="48"/>
      <c r="L28" s="28"/>
      <c r="N28" s="31"/>
      <c r="O28" s="77" t="s">
        <v>117</v>
      </c>
    </row>
    <row r="29" spans="1:17" ht="11.25" customHeight="1">
      <c r="A29" s="27" t="s">
        <v>64</v>
      </c>
      <c r="B29" s="22"/>
      <c r="C29" s="27" t="s">
        <v>66</v>
      </c>
      <c r="E29" s="31"/>
      <c r="F29" s="27" t="s">
        <v>69</v>
      </c>
      <c r="H29" s="27" t="s">
        <v>71</v>
      </c>
      <c r="K29" s="81" t="s">
        <v>115</v>
      </c>
      <c r="L29" s="27"/>
      <c r="N29" s="31"/>
      <c r="O29" s="79" t="s">
        <v>118</v>
      </c>
      <c r="P29" s="27"/>
    </row>
    <row r="30" spans="1:17" ht="9" customHeight="1">
      <c r="A30" s="28" t="s">
        <v>65</v>
      </c>
      <c r="B30" s="21"/>
      <c r="C30" s="28" t="s">
        <v>67</v>
      </c>
      <c r="E30" s="31"/>
      <c r="F30" s="28" t="s">
        <v>70</v>
      </c>
      <c r="H30" s="28" t="s">
        <v>72</v>
      </c>
      <c r="K30" s="77" t="s">
        <v>116</v>
      </c>
      <c r="L30" s="28"/>
      <c r="N30" s="31"/>
      <c r="O30" s="77" t="s">
        <v>119</v>
      </c>
      <c r="P30" s="28"/>
    </row>
    <row r="31" spans="1:17">
      <c r="A31" s="22"/>
      <c r="B31" s="22"/>
      <c r="E31" s="31"/>
      <c r="K31" s="48"/>
      <c r="N31" s="31"/>
    </row>
    <row r="32" spans="1:17">
      <c r="E32" s="31"/>
      <c r="K32" s="48"/>
      <c r="N32" s="31"/>
    </row>
    <row r="33" spans="5:14">
      <c r="E33" s="31"/>
      <c r="K33" s="48"/>
      <c r="N33" s="31"/>
    </row>
  </sheetData>
  <mergeCells count="3">
    <mergeCell ref="N21:P21"/>
    <mergeCell ref="N22:P22"/>
    <mergeCell ref="L17:M17"/>
  </mergeCells>
  <dataValidations count="1">
    <dataValidation type="list" allowBlank="1" showInputMessage="1" showErrorMessage="1" sqref="U2">
      <formula1>OFFSET(INDIRECT(ADDRESS(MATCH("E2",N_1,0)+3,5,,,"TH")),0,0,COUNTIF(N_1,"E2"),1)</formula1>
    </dataValidation>
  </dataValidations>
  <pageMargins left="0.5" right="0" top="0.26" bottom="0" header="0.25" footer="0"/>
  <pageSetup orientation="portrait" r:id="rId1"/>
  <headerFooter>
    <oddHeader>&amp;L&amp;G</oddHead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</sheetPr>
  <dimension ref="A1:J44"/>
  <sheetViews>
    <sheetView topLeftCell="E25" workbookViewId="0">
      <selection activeCell="H41" sqref="H41:H44"/>
    </sheetView>
  </sheetViews>
  <sheetFormatPr defaultRowHeight="12.75"/>
  <cols>
    <col min="1" max="1" width="50.85546875" style="209" customWidth="1"/>
    <col min="2" max="2" width="2.42578125" style="209" customWidth="1"/>
    <col min="3" max="3" width="48.28515625" style="209" customWidth="1"/>
    <col min="4" max="4" width="0.85546875" style="209" hidden="1" customWidth="1"/>
    <col min="5" max="5" width="48.28515625" style="209" customWidth="1"/>
    <col min="6" max="6" width="2.42578125" style="209" customWidth="1"/>
    <col min="7" max="7" width="50.7109375" style="209" customWidth="1"/>
    <col min="8" max="8" width="48.28515625" style="209" customWidth="1"/>
    <col min="9" max="9" width="2.42578125" style="209" customWidth="1"/>
    <col min="10" max="10" width="50.7109375" style="209" customWidth="1"/>
    <col min="11" max="16384" width="9.140625" style="209"/>
  </cols>
  <sheetData>
    <row r="1" spans="1:10" ht="21" customHeight="1">
      <c r="A1" s="208" t="s">
        <v>128</v>
      </c>
      <c r="C1" s="210" t="s">
        <v>430</v>
      </c>
      <c r="E1" s="208" t="s">
        <v>432</v>
      </c>
      <c r="G1" s="208" t="s">
        <v>128</v>
      </c>
      <c r="H1" s="208" t="s">
        <v>439</v>
      </c>
      <c r="J1" s="208" t="s">
        <v>128</v>
      </c>
    </row>
    <row r="2" spans="1:10" ht="17.25" customHeight="1">
      <c r="A2" s="247" t="s">
        <v>435</v>
      </c>
      <c r="C2" s="247" t="s">
        <v>431</v>
      </c>
      <c r="E2" s="212" t="s">
        <v>433</v>
      </c>
      <c r="G2" s="247" t="s">
        <v>435</v>
      </c>
      <c r="H2" s="212" t="s">
        <v>440</v>
      </c>
      <c r="J2" s="247" t="s">
        <v>435</v>
      </c>
    </row>
    <row r="3" spans="1:10" ht="17.25" customHeight="1">
      <c r="A3" s="247"/>
      <c r="C3" s="247"/>
      <c r="E3" s="212" t="s">
        <v>438</v>
      </c>
      <c r="G3" s="247"/>
      <c r="H3" s="212" t="s">
        <v>441</v>
      </c>
      <c r="J3" s="247"/>
    </row>
    <row r="4" spans="1:10" ht="18.75" customHeight="1" thickBot="1">
      <c r="A4" s="211" t="s">
        <v>437</v>
      </c>
      <c r="C4" s="211" t="s">
        <v>436</v>
      </c>
      <c r="E4" s="211" t="s">
        <v>434</v>
      </c>
      <c r="G4" s="211" t="s">
        <v>437</v>
      </c>
      <c r="H4" s="211" t="s">
        <v>442</v>
      </c>
      <c r="J4" s="211" t="s">
        <v>437</v>
      </c>
    </row>
    <row r="5" spans="1:10" ht="11.25" customHeight="1" thickBot="1"/>
    <row r="6" spans="1:10" ht="21" customHeight="1">
      <c r="A6" s="208" t="s">
        <v>128</v>
      </c>
      <c r="C6" s="210" t="s">
        <v>430</v>
      </c>
      <c r="E6" s="208" t="s">
        <v>432</v>
      </c>
      <c r="G6" s="208" t="s">
        <v>128</v>
      </c>
      <c r="H6" s="208" t="s">
        <v>439</v>
      </c>
      <c r="J6" s="208" t="s">
        <v>128</v>
      </c>
    </row>
    <row r="7" spans="1:10" ht="18.75" customHeight="1">
      <c r="A7" s="247" t="s">
        <v>435</v>
      </c>
      <c r="C7" s="247" t="s">
        <v>431</v>
      </c>
      <c r="E7" s="212" t="s">
        <v>433</v>
      </c>
      <c r="G7" s="247" t="s">
        <v>435</v>
      </c>
      <c r="H7" s="212" t="s">
        <v>440</v>
      </c>
      <c r="J7" s="247" t="s">
        <v>435</v>
      </c>
    </row>
    <row r="8" spans="1:10" ht="18.75" customHeight="1">
      <c r="A8" s="247"/>
      <c r="C8" s="247"/>
      <c r="E8" s="212" t="s">
        <v>438</v>
      </c>
      <c r="G8" s="247"/>
      <c r="H8" s="212" t="s">
        <v>441</v>
      </c>
      <c r="J8" s="247"/>
    </row>
    <row r="9" spans="1:10" ht="18.75" customHeight="1" thickBot="1">
      <c r="A9" s="211" t="s">
        <v>437</v>
      </c>
      <c r="C9" s="211" t="s">
        <v>436</v>
      </c>
      <c r="E9" s="211" t="s">
        <v>434</v>
      </c>
      <c r="G9" s="211" t="s">
        <v>437</v>
      </c>
      <c r="H9" s="211" t="s">
        <v>442</v>
      </c>
      <c r="J9" s="211" t="s">
        <v>437</v>
      </c>
    </row>
    <row r="10" spans="1:10" ht="11.25" customHeight="1" thickBot="1"/>
    <row r="11" spans="1:10" ht="21" customHeight="1">
      <c r="A11" s="208" t="s">
        <v>128</v>
      </c>
      <c r="C11" s="210" t="s">
        <v>430</v>
      </c>
      <c r="E11" s="208" t="s">
        <v>432</v>
      </c>
      <c r="G11" s="208" t="s">
        <v>128</v>
      </c>
      <c r="H11" s="208" t="s">
        <v>439</v>
      </c>
      <c r="J11" s="208" t="s">
        <v>128</v>
      </c>
    </row>
    <row r="12" spans="1:10" ht="18.75" customHeight="1">
      <c r="A12" s="247" t="s">
        <v>435</v>
      </c>
      <c r="C12" s="247" t="s">
        <v>431</v>
      </c>
      <c r="E12" s="212" t="s">
        <v>433</v>
      </c>
      <c r="G12" s="247" t="s">
        <v>435</v>
      </c>
      <c r="H12" s="212" t="s">
        <v>440</v>
      </c>
      <c r="J12" s="247" t="s">
        <v>435</v>
      </c>
    </row>
    <row r="13" spans="1:10" ht="18.75" customHeight="1">
      <c r="A13" s="247"/>
      <c r="C13" s="247"/>
      <c r="E13" s="212" t="s">
        <v>438</v>
      </c>
      <c r="G13" s="247"/>
      <c r="H13" s="212" t="s">
        <v>441</v>
      </c>
      <c r="J13" s="247"/>
    </row>
    <row r="14" spans="1:10" ht="18.75" customHeight="1" thickBot="1">
      <c r="A14" s="211" t="s">
        <v>437</v>
      </c>
      <c r="C14" s="211" t="s">
        <v>436</v>
      </c>
      <c r="E14" s="211" t="s">
        <v>434</v>
      </c>
      <c r="G14" s="211" t="s">
        <v>437</v>
      </c>
      <c r="H14" s="211" t="s">
        <v>442</v>
      </c>
      <c r="J14" s="211" t="s">
        <v>437</v>
      </c>
    </row>
    <row r="15" spans="1:10" ht="11.25" customHeight="1" thickBot="1"/>
    <row r="16" spans="1:10" ht="21" customHeight="1">
      <c r="A16" s="208" t="s">
        <v>128</v>
      </c>
      <c r="C16" s="210" t="s">
        <v>430</v>
      </c>
      <c r="E16" s="208" t="s">
        <v>432</v>
      </c>
      <c r="G16" s="208" t="s">
        <v>128</v>
      </c>
      <c r="H16" s="208" t="s">
        <v>439</v>
      </c>
      <c r="J16" s="208" t="s">
        <v>128</v>
      </c>
    </row>
    <row r="17" spans="1:10" ht="18.75" customHeight="1">
      <c r="A17" s="247" t="s">
        <v>435</v>
      </c>
      <c r="C17" s="247" t="s">
        <v>431</v>
      </c>
      <c r="E17" s="212" t="s">
        <v>433</v>
      </c>
      <c r="G17" s="247" t="s">
        <v>435</v>
      </c>
      <c r="H17" s="212" t="s">
        <v>440</v>
      </c>
      <c r="J17" s="247" t="s">
        <v>435</v>
      </c>
    </row>
    <row r="18" spans="1:10" ht="18.75" customHeight="1">
      <c r="A18" s="247"/>
      <c r="C18" s="247"/>
      <c r="E18" s="212" t="s">
        <v>438</v>
      </c>
      <c r="G18" s="247"/>
      <c r="H18" s="212" t="s">
        <v>441</v>
      </c>
      <c r="J18" s="247"/>
    </row>
    <row r="19" spans="1:10" ht="18.75" customHeight="1" thickBot="1">
      <c r="A19" s="211" t="s">
        <v>437</v>
      </c>
      <c r="C19" s="211" t="s">
        <v>436</v>
      </c>
      <c r="E19" s="211" t="s">
        <v>434</v>
      </c>
      <c r="G19" s="211" t="s">
        <v>437</v>
      </c>
      <c r="H19" s="211" t="s">
        <v>442</v>
      </c>
      <c r="J19" s="211" t="s">
        <v>437</v>
      </c>
    </row>
    <row r="20" spans="1:10" ht="11.25" customHeight="1" thickBot="1"/>
    <row r="21" spans="1:10" ht="21" customHeight="1">
      <c r="A21" s="208" t="s">
        <v>128</v>
      </c>
      <c r="C21" s="210" t="s">
        <v>430</v>
      </c>
      <c r="E21" s="208" t="s">
        <v>432</v>
      </c>
      <c r="G21" s="208" t="s">
        <v>128</v>
      </c>
      <c r="H21" s="208" t="s">
        <v>439</v>
      </c>
      <c r="J21" s="208" t="s">
        <v>128</v>
      </c>
    </row>
    <row r="22" spans="1:10" ht="18.75" customHeight="1">
      <c r="A22" s="247" t="s">
        <v>435</v>
      </c>
      <c r="C22" s="247" t="s">
        <v>431</v>
      </c>
      <c r="E22" s="212" t="s">
        <v>433</v>
      </c>
      <c r="G22" s="247" t="s">
        <v>435</v>
      </c>
      <c r="H22" s="212" t="s">
        <v>440</v>
      </c>
      <c r="J22" s="247" t="s">
        <v>435</v>
      </c>
    </row>
    <row r="23" spans="1:10" ht="18.75" customHeight="1">
      <c r="A23" s="247"/>
      <c r="C23" s="247"/>
      <c r="E23" s="212" t="s">
        <v>438</v>
      </c>
      <c r="G23" s="247"/>
      <c r="H23" s="212" t="s">
        <v>441</v>
      </c>
      <c r="J23" s="247"/>
    </row>
    <row r="24" spans="1:10" ht="18.75" customHeight="1" thickBot="1">
      <c r="A24" s="211" t="s">
        <v>437</v>
      </c>
      <c r="C24" s="211" t="s">
        <v>436</v>
      </c>
      <c r="E24" s="211" t="s">
        <v>434</v>
      </c>
      <c r="G24" s="211" t="s">
        <v>437</v>
      </c>
      <c r="H24" s="211" t="s">
        <v>442</v>
      </c>
      <c r="J24" s="211" t="s">
        <v>437</v>
      </c>
    </row>
    <row r="25" spans="1:10" ht="11.25" customHeight="1" thickBot="1"/>
    <row r="26" spans="1:10" ht="21" customHeight="1">
      <c r="A26" s="208" t="s">
        <v>128</v>
      </c>
      <c r="C26" s="210" t="s">
        <v>430</v>
      </c>
      <c r="E26" s="208" t="s">
        <v>432</v>
      </c>
      <c r="G26" s="208" t="s">
        <v>128</v>
      </c>
      <c r="H26" s="208" t="s">
        <v>439</v>
      </c>
      <c r="J26" s="208" t="s">
        <v>128</v>
      </c>
    </row>
    <row r="27" spans="1:10" ht="18.75" customHeight="1">
      <c r="A27" s="247" t="s">
        <v>435</v>
      </c>
      <c r="C27" s="247" t="s">
        <v>431</v>
      </c>
      <c r="E27" s="212" t="s">
        <v>433</v>
      </c>
      <c r="G27" s="247" t="s">
        <v>435</v>
      </c>
      <c r="H27" s="212" t="s">
        <v>440</v>
      </c>
      <c r="J27" s="247" t="s">
        <v>435</v>
      </c>
    </row>
    <row r="28" spans="1:10" ht="18.75" customHeight="1">
      <c r="A28" s="247"/>
      <c r="C28" s="247"/>
      <c r="E28" s="212" t="s">
        <v>438</v>
      </c>
      <c r="G28" s="247"/>
      <c r="H28" s="212" t="s">
        <v>441</v>
      </c>
      <c r="J28" s="247"/>
    </row>
    <row r="29" spans="1:10" ht="17.25" customHeight="1" thickBot="1">
      <c r="A29" s="211" t="s">
        <v>437</v>
      </c>
      <c r="C29" s="211" t="s">
        <v>436</v>
      </c>
      <c r="E29" s="211" t="s">
        <v>434</v>
      </c>
      <c r="G29" s="211" t="s">
        <v>437</v>
      </c>
      <c r="H29" s="211" t="s">
        <v>442</v>
      </c>
      <c r="J29" s="211" t="s">
        <v>437</v>
      </c>
    </row>
    <row r="30" spans="1:10" ht="11.25" customHeight="1" thickBot="1"/>
    <row r="31" spans="1:10" ht="21" customHeight="1">
      <c r="A31" s="208" t="s">
        <v>128</v>
      </c>
      <c r="C31" s="210" t="s">
        <v>430</v>
      </c>
      <c r="E31" s="208" t="s">
        <v>432</v>
      </c>
      <c r="G31" s="208" t="s">
        <v>128</v>
      </c>
      <c r="H31" s="208" t="s">
        <v>439</v>
      </c>
      <c r="J31" s="208" t="s">
        <v>128</v>
      </c>
    </row>
    <row r="32" spans="1:10" ht="18.75" customHeight="1">
      <c r="A32" s="247" t="s">
        <v>435</v>
      </c>
      <c r="C32" s="247" t="s">
        <v>431</v>
      </c>
      <c r="E32" s="212" t="s">
        <v>433</v>
      </c>
      <c r="G32" s="247" t="s">
        <v>435</v>
      </c>
      <c r="H32" s="212" t="s">
        <v>440</v>
      </c>
      <c r="J32" s="247" t="s">
        <v>435</v>
      </c>
    </row>
    <row r="33" spans="1:10" ht="18.75" customHeight="1">
      <c r="A33" s="247"/>
      <c r="C33" s="247"/>
      <c r="E33" s="212" t="s">
        <v>438</v>
      </c>
      <c r="G33" s="247"/>
      <c r="H33" s="212" t="s">
        <v>441</v>
      </c>
      <c r="J33" s="247"/>
    </row>
    <row r="34" spans="1:10" ht="18.75" customHeight="1" thickBot="1">
      <c r="A34" s="211" t="s">
        <v>437</v>
      </c>
      <c r="C34" s="211" t="s">
        <v>436</v>
      </c>
      <c r="E34" s="211" t="s">
        <v>434</v>
      </c>
      <c r="G34" s="211" t="s">
        <v>437</v>
      </c>
      <c r="H34" s="211" t="s">
        <v>442</v>
      </c>
      <c r="J34" s="211" t="s">
        <v>437</v>
      </c>
    </row>
    <row r="35" spans="1:10" ht="13.5" thickBot="1"/>
    <row r="36" spans="1:10" ht="21" customHeight="1">
      <c r="A36" s="208" t="s">
        <v>128</v>
      </c>
      <c r="C36" s="210" t="s">
        <v>430</v>
      </c>
      <c r="E36" s="208" t="s">
        <v>432</v>
      </c>
      <c r="G36" s="208" t="s">
        <v>128</v>
      </c>
      <c r="H36" s="208" t="s">
        <v>439</v>
      </c>
      <c r="J36" s="208" t="s">
        <v>128</v>
      </c>
    </row>
    <row r="37" spans="1:10" ht="18.75" customHeight="1">
      <c r="A37" s="247" t="s">
        <v>435</v>
      </c>
      <c r="C37" s="247" t="s">
        <v>431</v>
      </c>
      <c r="E37" s="212" t="s">
        <v>433</v>
      </c>
      <c r="G37" s="247" t="s">
        <v>435</v>
      </c>
      <c r="H37" s="212" t="s">
        <v>440</v>
      </c>
      <c r="J37" s="247" t="s">
        <v>435</v>
      </c>
    </row>
    <row r="38" spans="1:10" ht="18.75" customHeight="1">
      <c r="A38" s="247"/>
      <c r="C38" s="247"/>
      <c r="E38" s="212" t="s">
        <v>438</v>
      </c>
      <c r="G38" s="247"/>
      <c r="H38" s="212" t="s">
        <v>441</v>
      </c>
      <c r="J38" s="247"/>
    </row>
    <row r="39" spans="1:10" ht="17.25" customHeight="1" thickBot="1">
      <c r="A39" s="211" t="s">
        <v>437</v>
      </c>
      <c r="C39" s="211" t="s">
        <v>436</v>
      </c>
      <c r="E39" s="211" t="s">
        <v>434</v>
      </c>
      <c r="G39" s="211" t="s">
        <v>437</v>
      </c>
      <c r="H39" s="211" t="s">
        <v>442</v>
      </c>
      <c r="J39" s="211" t="s">
        <v>437</v>
      </c>
    </row>
    <row r="40" spans="1:10" ht="11.25" customHeight="1" thickBot="1"/>
    <row r="41" spans="1:10" ht="21" customHeight="1">
      <c r="A41" s="208" t="s">
        <v>128</v>
      </c>
      <c r="C41" s="210" t="s">
        <v>430</v>
      </c>
      <c r="E41" s="208" t="s">
        <v>432</v>
      </c>
      <c r="G41" s="208" t="s">
        <v>128</v>
      </c>
      <c r="H41" s="208" t="s">
        <v>439</v>
      </c>
      <c r="J41" s="208" t="s">
        <v>128</v>
      </c>
    </row>
    <row r="42" spans="1:10" ht="18.75" customHeight="1">
      <c r="A42" s="247" t="s">
        <v>435</v>
      </c>
      <c r="C42" s="247" t="s">
        <v>431</v>
      </c>
      <c r="E42" s="212" t="s">
        <v>433</v>
      </c>
      <c r="G42" s="247" t="s">
        <v>435</v>
      </c>
      <c r="H42" s="212" t="s">
        <v>440</v>
      </c>
      <c r="J42" s="247" t="s">
        <v>435</v>
      </c>
    </row>
    <row r="43" spans="1:10" ht="18.75" customHeight="1">
      <c r="A43" s="247"/>
      <c r="C43" s="247"/>
      <c r="E43" s="212" t="s">
        <v>438</v>
      </c>
      <c r="G43" s="247"/>
      <c r="H43" s="212" t="s">
        <v>441</v>
      </c>
      <c r="J43" s="247"/>
    </row>
    <row r="44" spans="1:10" ht="18.75" customHeight="1" thickBot="1">
      <c r="A44" s="211" t="s">
        <v>437</v>
      </c>
      <c r="C44" s="211" t="s">
        <v>436</v>
      </c>
      <c r="E44" s="211" t="s">
        <v>434</v>
      </c>
      <c r="G44" s="211" t="s">
        <v>437</v>
      </c>
      <c r="H44" s="211" t="s">
        <v>442</v>
      </c>
      <c r="J44" s="211" t="s">
        <v>437</v>
      </c>
    </row>
  </sheetData>
  <mergeCells count="36">
    <mergeCell ref="J27:J28"/>
    <mergeCell ref="J32:J33"/>
    <mergeCell ref="J37:J38"/>
    <mergeCell ref="J42:J43"/>
    <mergeCell ref="J2:J3"/>
    <mergeCell ref="J7:J8"/>
    <mergeCell ref="J12:J13"/>
    <mergeCell ref="J17:J18"/>
    <mergeCell ref="J22:J23"/>
    <mergeCell ref="A37:A38"/>
    <mergeCell ref="C37:C38"/>
    <mergeCell ref="G37:G38"/>
    <mergeCell ref="A42:A43"/>
    <mergeCell ref="C42:C43"/>
    <mergeCell ref="G42:G43"/>
    <mergeCell ref="A32:A33"/>
    <mergeCell ref="C32:C33"/>
    <mergeCell ref="G2:G3"/>
    <mergeCell ref="G7:G8"/>
    <mergeCell ref="G12:G13"/>
    <mergeCell ref="G17:G18"/>
    <mergeCell ref="G22:G23"/>
    <mergeCell ref="G27:G28"/>
    <mergeCell ref="G32:G33"/>
    <mergeCell ref="A17:A18"/>
    <mergeCell ref="C17:C18"/>
    <mergeCell ref="A22:A23"/>
    <mergeCell ref="C22:C23"/>
    <mergeCell ref="A27:A28"/>
    <mergeCell ref="C27:C28"/>
    <mergeCell ref="A2:A3"/>
    <mergeCell ref="C2:C3"/>
    <mergeCell ref="A7:A8"/>
    <mergeCell ref="C7:C8"/>
    <mergeCell ref="A12:A13"/>
    <mergeCell ref="C12:C13"/>
  </mergeCells>
  <pageMargins left="0.16" right="0.13" top="0.42" bottom="0.16" header="0.35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D16"/>
  <sheetViews>
    <sheetView workbookViewId="0">
      <selection activeCell="B2" sqref="B2:B3"/>
    </sheetView>
  </sheetViews>
  <sheetFormatPr defaultRowHeight="23.25" customHeight="1"/>
  <cols>
    <col min="1" max="1" width="35.7109375" style="110" customWidth="1"/>
    <col min="2" max="2" width="35.28515625" style="110" customWidth="1"/>
    <col min="3" max="4" width="35.5703125" style="110" customWidth="1"/>
    <col min="5" max="16384" width="9.140625" style="110"/>
  </cols>
  <sheetData>
    <row r="1" spans="1:4" s="106" customFormat="1" ht="23.25" customHeight="1">
      <c r="A1" s="105" t="s">
        <v>232</v>
      </c>
      <c r="B1" s="105" t="s">
        <v>233</v>
      </c>
      <c r="C1" s="105" t="s">
        <v>234</v>
      </c>
      <c r="D1" s="105"/>
    </row>
    <row r="2" spans="1:4" s="106" customFormat="1" ht="23.25" customHeight="1">
      <c r="A2" s="107" t="s">
        <v>235</v>
      </c>
      <c r="B2" s="107" t="s">
        <v>236</v>
      </c>
      <c r="C2" s="107" t="s">
        <v>236</v>
      </c>
      <c r="D2" s="107" t="s">
        <v>237</v>
      </c>
    </row>
    <row r="3" spans="1:4" s="106" customFormat="1" ht="23.25" customHeight="1">
      <c r="A3" s="108" t="s">
        <v>238</v>
      </c>
      <c r="B3" s="108" t="s">
        <v>239</v>
      </c>
      <c r="C3" s="108" t="s">
        <v>240</v>
      </c>
      <c r="D3" s="108" t="s">
        <v>241</v>
      </c>
    </row>
    <row r="4" spans="1:4" s="106" customFormat="1" ht="23.25" customHeight="1">
      <c r="A4" s="109" t="s">
        <v>242</v>
      </c>
      <c r="B4" s="109" t="s">
        <v>243</v>
      </c>
      <c r="C4" s="109" t="s">
        <v>244</v>
      </c>
      <c r="D4" s="109" t="s">
        <v>245</v>
      </c>
    </row>
    <row r="5" spans="1:4" s="106" customFormat="1" ht="23.25" customHeight="1">
      <c r="A5" s="105"/>
      <c r="B5" s="105" t="s">
        <v>246</v>
      </c>
      <c r="C5" s="105" t="s">
        <v>247</v>
      </c>
      <c r="D5" s="105"/>
    </row>
    <row r="6" spans="1:4" s="106" customFormat="1" ht="23.25" customHeight="1">
      <c r="A6" s="107" t="s">
        <v>237</v>
      </c>
      <c r="B6" s="107" t="s">
        <v>248</v>
      </c>
      <c r="C6" s="107" t="s">
        <v>248</v>
      </c>
      <c r="D6" s="107" t="s">
        <v>237</v>
      </c>
    </row>
    <row r="7" spans="1:4" s="106" customFormat="1" ht="23.25" customHeight="1">
      <c r="A7" s="108" t="s">
        <v>241</v>
      </c>
      <c r="B7" s="108" t="s">
        <v>249</v>
      </c>
      <c r="C7" s="108" t="s">
        <v>250</v>
      </c>
      <c r="D7" s="108" t="s">
        <v>241</v>
      </c>
    </row>
    <row r="8" spans="1:4" s="106" customFormat="1" ht="23.25" customHeight="1">
      <c r="A8" s="109" t="s">
        <v>245</v>
      </c>
      <c r="B8" s="109" t="s">
        <v>251</v>
      </c>
      <c r="C8" s="109" t="s">
        <v>252</v>
      </c>
      <c r="D8" s="109" t="s">
        <v>245</v>
      </c>
    </row>
    <row r="9" spans="1:4" s="106" customFormat="1" ht="23.25" customHeight="1">
      <c r="A9" s="105"/>
      <c r="B9" s="105" t="s">
        <v>253</v>
      </c>
      <c r="C9" s="105" t="s">
        <v>254</v>
      </c>
      <c r="D9" s="105"/>
    </row>
    <row r="10" spans="1:4" s="106" customFormat="1" ht="23.25" customHeight="1">
      <c r="A10" s="107" t="s">
        <v>237</v>
      </c>
      <c r="B10" s="107" t="s">
        <v>255</v>
      </c>
      <c r="C10" s="107" t="s">
        <v>255</v>
      </c>
      <c r="D10" s="107" t="s">
        <v>237</v>
      </c>
    </row>
    <row r="11" spans="1:4" s="106" customFormat="1" ht="23.25" customHeight="1">
      <c r="A11" s="108" t="s">
        <v>241</v>
      </c>
      <c r="B11" s="108" t="s">
        <v>256</v>
      </c>
      <c r="C11" s="108" t="s">
        <v>257</v>
      </c>
      <c r="D11" s="108" t="s">
        <v>241</v>
      </c>
    </row>
    <row r="12" spans="1:4" s="106" customFormat="1" ht="23.25" customHeight="1">
      <c r="A12" s="109" t="s">
        <v>245</v>
      </c>
      <c r="B12" s="109" t="s">
        <v>251</v>
      </c>
      <c r="C12" s="109" t="s">
        <v>252</v>
      </c>
      <c r="D12" s="109" t="s">
        <v>245</v>
      </c>
    </row>
    <row r="13" spans="1:4" s="106" customFormat="1" ht="23.25" customHeight="1">
      <c r="A13" s="105"/>
      <c r="B13" s="105"/>
      <c r="C13" s="105"/>
      <c r="D13" s="105"/>
    </row>
    <row r="14" spans="1:4" s="106" customFormat="1" ht="23.25" customHeight="1">
      <c r="A14" s="107" t="s">
        <v>237</v>
      </c>
      <c r="B14" s="107" t="s">
        <v>237</v>
      </c>
      <c r="C14" s="107" t="s">
        <v>237</v>
      </c>
      <c r="D14" s="107" t="s">
        <v>237</v>
      </c>
    </row>
    <row r="15" spans="1:4" s="106" customFormat="1" ht="23.25" customHeight="1">
      <c r="A15" s="108" t="s">
        <v>241</v>
      </c>
      <c r="B15" s="108" t="s">
        <v>241</v>
      </c>
      <c r="C15" s="108" t="s">
        <v>241</v>
      </c>
      <c r="D15" s="108" t="s">
        <v>241</v>
      </c>
    </row>
    <row r="16" spans="1:4" s="106" customFormat="1" ht="23.25" customHeight="1">
      <c r="A16" s="109" t="s">
        <v>245</v>
      </c>
      <c r="B16" s="109" t="s">
        <v>245</v>
      </c>
      <c r="C16" s="109" t="s">
        <v>245</v>
      </c>
      <c r="D16" s="109" t="s">
        <v>245</v>
      </c>
    </row>
  </sheetData>
  <pageMargins left="0.16" right="0.15" top="0.31" bottom="0.15" header="0.16" footer="0.1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</sheetPr>
  <dimension ref="A1:S58"/>
  <sheetViews>
    <sheetView workbookViewId="0">
      <pane xSplit="4" ySplit="3" topLeftCell="E7" activePane="bottomRight" state="frozen"/>
      <selection activeCell="B2" sqref="B2:B3"/>
      <selection pane="topRight" activeCell="B2" sqref="B2:B3"/>
      <selection pane="bottomLeft" activeCell="B2" sqref="B2:B3"/>
      <selection pane="bottomRight" activeCell="B22" sqref="B22"/>
    </sheetView>
  </sheetViews>
  <sheetFormatPr defaultRowHeight="17.25" customHeight="1"/>
  <cols>
    <col min="1" max="1" width="4" style="174" customWidth="1"/>
    <col min="2" max="2" width="16.140625" style="175" customWidth="1"/>
    <col min="3" max="4" width="8.28515625" style="176" customWidth="1"/>
    <col min="5" max="5" width="12.7109375" style="177" customWidth="1"/>
    <col min="6" max="6" width="11" style="181" customWidth="1"/>
    <col min="7" max="7" width="8" style="177" hidden="1" customWidth="1"/>
    <col min="8" max="8" width="7.5703125" style="229" customWidth="1"/>
    <col min="9" max="9" width="11" style="177" customWidth="1"/>
    <col min="10" max="10" width="10" style="177" hidden="1" customWidth="1"/>
    <col min="11" max="11" width="13.140625" style="177" customWidth="1"/>
    <col min="12" max="12" width="11" style="181" customWidth="1"/>
    <col min="13" max="13" width="10.7109375" style="177" customWidth="1"/>
    <col min="14" max="14" width="7.28515625" style="177" customWidth="1"/>
    <col min="15" max="15" width="8.140625" style="175" customWidth="1"/>
    <col min="16" max="16" width="8" style="174" customWidth="1"/>
    <col min="17" max="17" width="6.28515625" style="174" customWidth="1"/>
    <col min="18" max="18" width="16.28515625" style="174" customWidth="1"/>
    <col min="19" max="19" width="15.85546875" style="175" customWidth="1"/>
    <col min="20" max="16384" width="9.140625" style="175"/>
  </cols>
  <sheetData>
    <row r="1" spans="1:19" s="121" customFormat="1" ht="17.25" customHeight="1">
      <c r="A1" s="111"/>
      <c r="B1" s="230" t="s">
        <v>447</v>
      </c>
      <c r="C1" s="113"/>
      <c r="D1" s="114"/>
      <c r="E1" s="115"/>
      <c r="F1" s="116"/>
      <c r="G1" s="115"/>
      <c r="H1" s="215"/>
      <c r="I1" s="115"/>
      <c r="J1" s="115"/>
      <c r="K1" s="115"/>
      <c r="L1" s="216"/>
      <c r="M1" s="216"/>
      <c r="N1" s="216"/>
      <c r="O1" s="216"/>
      <c r="P1" s="216"/>
      <c r="Q1" s="111"/>
      <c r="R1" s="111"/>
    </row>
    <row r="2" spans="1:19" s="122" customFormat="1" ht="16.5" customHeight="1">
      <c r="A2" s="250" t="s">
        <v>259</v>
      </c>
      <c r="B2" s="250" t="s">
        <v>260</v>
      </c>
      <c r="C2" s="253" t="s">
        <v>261</v>
      </c>
      <c r="D2" s="253"/>
      <c r="E2" s="254" t="s">
        <v>262</v>
      </c>
      <c r="F2" s="254"/>
      <c r="G2" s="254"/>
      <c r="H2" s="248" t="s">
        <v>263</v>
      </c>
      <c r="I2" s="248"/>
      <c r="J2" s="248"/>
      <c r="K2" s="248" t="s">
        <v>264</v>
      </c>
      <c r="L2" s="248"/>
      <c r="M2" s="248" t="s">
        <v>265</v>
      </c>
      <c r="N2" s="248"/>
      <c r="O2" s="248"/>
      <c r="P2" s="248"/>
      <c r="Q2" s="249" t="s">
        <v>266</v>
      </c>
      <c r="R2" s="250" t="s">
        <v>267</v>
      </c>
    </row>
    <row r="3" spans="1:19" s="122" customFormat="1" ht="33" customHeight="1">
      <c r="A3" s="250"/>
      <c r="B3" s="250"/>
      <c r="C3" s="123" t="s">
        <v>268</v>
      </c>
      <c r="D3" s="123" t="s">
        <v>269</v>
      </c>
      <c r="E3" s="124" t="s">
        <v>270</v>
      </c>
      <c r="F3" s="125" t="s">
        <v>26</v>
      </c>
      <c r="G3" s="186" t="s">
        <v>297</v>
      </c>
      <c r="H3" s="217" t="s">
        <v>271</v>
      </c>
      <c r="I3" s="214" t="s">
        <v>270</v>
      </c>
      <c r="J3" s="214" t="s">
        <v>26</v>
      </c>
      <c r="K3" s="214" t="s">
        <v>270</v>
      </c>
      <c r="L3" s="125" t="s">
        <v>26</v>
      </c>
      <c r="M3" s="214" t="s">
        <v>273</v>
      </c>
      <c r="N3" s="213" t="s">
        <v>275</v>
      </c>
      <c r="O3" s="218" t="s">
        <v>307</v>
      </c>
      <c r="P3" s="218" t="s">
        <v>276</v>
      </c>
      <c r="Q3" s="249"/>
      <c r="R3" s="250"/>
    </row>
    <row r="4" spans="1:19" s="132" customFormat="1" ht="17.25" customHeight="1">
      <c r="A4" s="128">
        <f>ROW()-3</f>
        <v>1</v>
      </c>
      <c r="B4" s="133" t="s">
        <v>304</v>
      </c>
      <c r="C4" s="134">
        <v>42552</v>
      </c>
      <c r="D4" s="134">
        <v>42736</v>
      </c>
      <c r="E4" s="135"/>
      <c r="F4" s="135">
        <v>43000</v>
      </c>
      <c r="G4" s="136"/>
      <c r="H4" s="134"/>
      <c r="I4" s="135"/>
      <c r="J4" s="135"/>
      <c r="K4" s="130"/>
      <c r="L4" s="130">
        <f>F4-J4</f>
        <v>43000</v>
      </c>
      <c r="M4" s="135"/>
      <c r="N4" s="135">
        <f>IF((LEFT(B4,4)="1402"),F4*Q4*DATEDIF(DATE(YEAR(P4),MONTH(P4)-1,IF(MONTH(C4)=(MONTH(P4)-1),DAY(C4),16)),P4,"d")/360,0)</f>
        <v>92.569444444444443</v>
      </c>
      <c r="O4" s="135">
        <f>IF((LEFT(B4,4)="1025"),F4*Q4*DATEDIF(DATE(YEAR(P4),MONTH(P4)-1,IF(MONTH(C4)=(MONTH($N$1)-1),DAY(C4),16)),P4,"d")/360,0)</f>
        <v>0</v>
      </c>
      <c r="P4" s="129">
        <v>42751</v>
      </c>
      <c r="Q4" s="187">
        <v>2.5000000000000001E-2</v>
      </c>
      <c r="R4" s="138" t="s">
        <v>277</v>
      </c>
    </row>
    <row r="5" spans="1:19" s="132" customFormat="1" ht="17.25" customHeight="1">
      <c r="A5" s="128">
        <f t="shared" ref="A5:A7" si="0">ROW()-3</f>
        <v>2</v>
      </c>
      <c r="B5" s="133" t="s">
        <v>303</v>
      </c>
      <c r="C5" s="134">
        <v>42586</v>
      </c>
      <c r="D5" s="134">
        <v>42770</v>
      </c>
      <c r="E5" s="135"/>
      <c r="F5" s="135">
        <v>52300</v>
      </c>
      <c r="G5" s="136"/>
      <c r="H5" s="134"/>
      <c r="I5" s="135"/>
      <c r="J5" s="135"/>
      <c r="K5" s="130"/>
      <c r="L5" s="130">
        <f>F5-J5</f>
        <v>52300</v>
      </c>
      <c r="M5" s="135"/>
      <c r="N5" s="135">
        <f>IF((LEFT(B5,4)="1402"),F5*Q5*DATEDIF(DATE(YEAR(P5),MONTH(P5)-1,IF(MONTH(C5)=(MONTH(P5)-1),DAY(C5),16)),P5,"d")/360,0)</f>
        <v>112.59027777777777</v>
      </c>
      <c r="O5" s="135">
        <f>IF((LEFT(B5,4)="1025"),F5*Q5*DATEDIF(DATE(YEAR(P5),MONTH(P5)-1,IF(MONTH(C5)=(MONTH($N$1)-1),DAY(C5),16)),P5,"d")/360,0)</f>
        <v>0</v>
      </c>
      <c r="P5" s="129">
        <v>42751</v>
      </c>
      <c r="Q5" s="187">
        <v>2.5000000000000001E-2</v>
      </c>
      <c r="R5" s="138" t="s">
        <v>278</v>
      </c>
    </row>
    <row r="6" spans="1:19" s="132" customFormat="1" ht="17.25" customHeight="1">
      <c r="A6" s="128">
        <f t="shared" si="0"/>
        <v>3</v>
      </c>
      <c r="B6" s="133" t="s">
        <v>428</v>
      </c>
      <c r="C6" s="134">
        <v>42718</v>
      </c>
      <c r="D6" s="134">
        <v>42900</v>
      </c>
      <c r="E6" s="135"/>
      <c r="F6" s="135">
        <v>93000</v>
      </c>
      <c r="G6" s="136"/>
      <c r="H6" s="134"/>
      <c r="I6" s="135"/>
      <c r="J6" s="135"/>
      <c r="K6" s="130"/>
      <c r="L6" s="130">
        <f>F6-J6</f>
        <v>93000</v>
      </c>
      <c r="M6" s="135"/>
      <c r="N6" s="135">
        <f>IF((LEFT(B6,4)="1402"),F6*Q6*DATEDIF(DATE(YEAR(P6),MONTH(P6)-1,IF(MONTH(C6)=(MONTH(P6)-1),DAY(C6),16)),P6,"d")/360,0)</f>
        <v>200.20833333333334</v>
      </c>
      <c r="O6" s="135">
        <f>IF((LEFT(B6,4)="1025"),F6*Q6*DATEDIF(DATE(YEAR(P6),MONTH(P6)-1,IF(MONTH(C6)=(MONTH($N$1)-1),DAY(C6),16)),P6,"d")/360,0)</f>
        <v>0</v>
      </c>
      <c r="P6" s="129">
        <v>42751</v>
      </c>
      <c r="Q6" s="187">
        <v>2.5000000000000001E-2</v>
      </c>
      <c r="R6" s="138" t="s">
        <v>277</v>
      </c>
    </row>
    <row r="7" spans="1:19" s="132" customFormat="1" ht="17.25" customHeight="1">
      <c r="A7" s="128">
        <f t="shared" si="0"/>
        <v>4</v>
      </c>
      <c r="B7" s="219" t="s">
        <v>427</v>
      </c>
      <c r="C7" s="134">
        <v>42710</v>
      </c>
      <c r="D7" s="134">
        <v>42892</v>
      </c>
      <c r="E7" s="135"/>
      <c r="F7" s="135">
        <v>70500</v>
      </c>
      <c r="G7" s="136"/>
      <c r="H7" s="134"/>
      <c r="I7" s="135"/>
      <c r="J7" s="135"/>
      <c r="K7" s="130"/>
      <c r="L7" s="130">
        <f>F7-J7</f>
        <v>70500</v>
      </c>
      <c r="M7" s="135"/>
      <c r="N7" s="135">
        <f>IF((LEFT(B7,4)="1402"),F7*Q7*DATEDIF(DATE(YEAR(P7),MONTH(P7)-1,IF(MONTH(C7)=(MONTH(P7)-1),DAY(C7),16)),P7,"d")/360,0)</f>
        <v>151.77083333333334</v>
      </c>
      <c r="O7" s="135">
        <f>IF((LEFT(B7,4)="1025"),F7*Q7*DATEDIF(DATE(YEAR(P7),MONTH(P7)-1,IF(MONTH(C7)=(MONTH($N$1)-1),DAY(C7),16)),P7,"d")/360,0)</f>
        <v>0</v>
      </c>
      <c r="P7" s="129">
        <v>42751</v>
      </c>
      <c r="Q7" s="187">
        <v>2.5000000000000001E-2</v>
      </c>
      <c r="R7" s="138" t="s">
        <v>277</v>
      </c>
    </row>
    <row r="8" spans="1:19" s="132" customFormat="1" ht="17.25" customHeight="1">
      <c r="A8" s="220"/>
      <c r="B8" s="221"/>
      <c r="C8" s="158"/>
      <c r="D8" s="158"/>
      <c r="E8" s="222"/>
      <c r="F8" s="222"/>
      <c r="G8" s="223"/>
      <c r="H8" s="158"/>
      <c r="I8" s="222"/>
      <c r="J8" s="222"/>
      <c r="K8" s="222"/>
      <c r="L8" s="222"/>
      <c r="M8" s="222"/>
      <c r="N8" s="222"/>
      <c r="O8" s="222"/>
      <c r="P8" s="158"/>
      <c r="Q8" s="224"/>
      <c r="R8" s="225"/>
    </row>
    <row r="9" spans="1:19" s="144" customFormat="1" ht="17.25" customHeight="1">
      <c r="A9" s="251" t="s">
        <v>279</v>
      </c>
      <c r="B9" s="251"/>
      <c r="C9" s="139"/>
      <c r="D9" s="139"/>
      <c r="E9" s="140"/>
      <c r="F9" s="141">
        <f>SUM(F4:F8)</f>
        <v>258800</v>
      </c>
      <c r="G9" s="140">
        <f>SUM(G4:G6)</f>
        <v>0</v>
      </c>
      <c r="H9" s="141"/>
      <c r="I9" s="140"/>
      <c r="J9" s="141">
        <f>SUM(J4:J8)</f>
        <v>0</v>
      </c>
      <c r="K9" s="140"/>
      <c r="L9" s="141">
        <f>SUM(L4:L8)</f>
        <v>258800</v>
      </c>
      <c r="M9" s="140"/>
      <c r="N9" s="141">
        <f>SUM(N4:N8)</f>
        <v>557.13888888888891</v>
      </c>
      <c r="O9" s="141">
        <f>SUM(O4:O8)</f>
        <v>0</v>
      </c>
      <c r="P9" s="139"/>
      <c r="Q9" s="226"/>
      <c r="R9" s="143"/>
      <c r="S9" s="132"/>
    </row>
    <row r="10" spans="1:19" s="132" customFormat="1" ht="17.25" customHeight="1">
      <c r="A10" s="128">
        <f t="shared" ref="A10:A25" si="1">ROW()-9</f>
        <v>1</v>
      </c>
      <c r="B10" s="133" t="s">
        <v>301</v>
      </c>
      <c r="C10" s="134">
        <v>42600</v>
      </c>
      <c r="D10" s="134">
        <v>42784</v>
      </c>
      <c r="E10" s="136"/>
      <c r="F10" s="135">
        <v>63000</v>
      </c>
      <c r="G10" s="136"/>
      <c r="H10" s="134"/>
      <c r="I10" s="135"/>
      <c r="J10" s="135"/>
      <c r="K10" s="130"/>
      <c r="L10" s="130">
        <f t="shared" ref="L10:L25" si="2">F10-J10</f>
        <v>63000</v>
      </c>
      <c r="M10" s="135"/>
      <c r="N10" s="135">
        <f t="shared" ref="N10:N25" si="3">IF((LEFT(B10,4)="1402"),F10*Q10*DATEDIF(DATE(YEAR(P10),MONTH(P10)-1,IF(MONTH(C10)=(MONTH(P10)-1),DAY(C10),16)),P10,"d")/360,0)</f>
        <v>0</v>
      </c>
      <c r="O10" s="135">
        <f t="shared" ref="O10:O25" si="4">IF((LEFT(B10,4)="1025"),F10*Q10*DATEDIF(DATE(YEAR(P10),IF(MONTH(P10)=MONTH(C10),MONTH(P10),MONTH(P10)-1),IF(OR(MONTH(P10)=MONTH(C10),MONTH(C10)=(MONTH(P10)-1)),DAY(C10),DAY(P10))),P10,"d")/360,0)</f>
        <v>162.75</v>
      </c>
      <c r="P10" s="129">
        <v>42757</v>
      </c>
      <c r="Q10" s="187">
        <v>0.03</v>
      </c>
      <c r="R10" s="138" t="s">
        <v>380</v>
      </c>
      <c r="S10" s="191"/>
    </row>
    <row r="11" spans="1:19" s="132" customFormat="1" ht="17.25" customHeight="1">
      <c r="A11" s="128">
        <f t="shared" si="1"/>
        <v>2</v>
      </c>
      <c r="B11" s="133" t="s">
        <v>306</v>
      </c>
      <c r="C11" s="134">
        <v>42612</v>
      </c>
      <c r="D11" s="134">
        <v>42794</v>
      </c>
      <c r="E11" s="136"/>
      <c r="F11" s="135">
        <v>89500</v>
      </c>
      <c r="G11" s="136"/>
      <c r="H11" s="134"/>
      <c r="I11" s="135"/>
      <c r="J11" s="135"/>
      <c r="K11" s="130"/>
      <c r="L11" s="130">
        <f t="shared" si="2"/>
        <v>89500</v>
      </c>
      <c r="M11" s="135"/>
      <c r="N11" s="135">
        <f t="shared" si="3"/>
        <v>0</v>
      </c>
      <c r="O11" s="135">
        <f t="shared" si="4"/>
        <v>231.20833333333334</v>
      </c>
      <c r="P11" s="129">
        <v>42757</v>
      </c>
      <c r="Q11" s="187">
        <v>0.03</v>
      </c>
      <c r="R11" s="138" t="s">
        <v>380</v>
      </c>
      <c r="S11" s="191"/>
    </row>
    <row r="12" spans="1:19" s="132" customFormat="1" ht="17.25" customHeight="1">
      <c r="A12" s="128">
        <f t="shared" si="1"/>
        <v>3</v>
      </c>
      <c r="B12" s="133" t="s">
        <v>314</v>
      </c>
      <c r="C12" s="134">
        <v>42626</v>
      </c>
      <c r="D12" s="134">
        <v>42807</v>
      </c>
      <c r="E12" s="136"/>
      <c r="F12" s="135">
        <v>88000</v>
      </c>
      <c r="G12" s="136"/>
      <c r="H12" s="134"/>
      <c r="I12" s="135"/>
      <c r="J12" s="135"/>
      <c r="K12" s="130"/>
      <c r="L12" s="130">
        <f t="shared" si="2"/>
        <v>88000</v>
      </c>
      <c r="M12" s="135"/>
      <c r="N12" s="135">
        <f t="shared" si="3"/>
        <v>0</v>
      </c>
      <c r="O12" s="135">
        <f t="shared" si="4"/>
        <v>227.33333333333334</v>
      </c>
      <c r="P12" s="129">
        <v>42757</v>
      </c>
      <c r="Q12" s="187">
        <v>0.03</v>
      </c>
      <c r="R12" s="138" t="s">
        <v>380</v>
      </c>
    </row>
    <row r="13" spans="1:19" s="132" customFormat="1" ht="17.25" customHeight="1">
      <c r="A13" s="128">
        <f t="shared" si="1"/>
        <v>4</v>
      </c>
      <c r="B13" s="133" t="s">
        <v>378</v>
      </c>
      <c r="C13" s="134">
        <v>42649</v>
      </c>
      <c r="D13" s="134">
        <v>42831</v>
      </c>
      <c r="E13" s="136"/>
      <c r="F13" s="135">
        <v>96000</v>
      </c>
      <c r="G13" s="136"/>
      <c r="H13" s="134"/>
      <c r="I13" s="135"/>
      <c r="J13" s="135"/>
      <c r="K13" s="130"/>
      <c r="L13" s="130">
        <f t="shared" si="2"/>
        <v>96000</v>
      </c>
      <c r="M13" s="135"/>
      <c r="N13" s="135">
        <f t="shared" si="3"/>
        <v>0</v>
      </c>
      <c r="O13" s="135">
        <f t="shared" si="4"/>
        <v>248</v>
      </c>
      <c r="P13" s="129">
        <v>42757</v>
      </c>
      <c r="Q13" s="187">
        <v>0.03</v>
      </c>
      <c r="R13" s="138" t="s">
        <v>380</v>
      </c>
      <c r="S13" s="191"/>
    </row>
    <row r="14" spans="1:19" s="132" customFormat="1" ht="17.25" customHeight="1">
      <c r="A14" s="128">
        <f t="shared" si="1"/>
        <v>5</v>
      </c>
      <c r="B14" s="133" t="s">
        <v>379</v>
      </c>
      <c r="C14" s="134">
        <v>42660</v>
      </c>
      <c r="D14" s="134">
        <v>42842</v>
      </c>
      <c r="E14" s="136"/>
      <c r="F14" s="135">
        <v>96000</v>
      </c>
      <c r="G14" s="136"/>
      <c r="H14" s="134"/>
      <c r="I14" s="135"/>
      <c r="J14" s="135"/>
      <c r="K14" s="130"/>
      <c r="L14" s="130">
        <f t="shared" si="2"/>
        <v>96000</v>
      </c>
      <c r="M14" s="135"/>
      <c r="N14" s="135">
        <f t="shared" si="3"/>
        <v>0</v>
      </c>
      <c r="O14" s="135">
        <f t="shared" si="4"/>
        <v>248</v>
      </c>
      <c r="P14" s="129">
        <v>42757</v>
      </c>
      <c r="Q14" s="187">
        <v>0.03</v>
      </c>
      <c r="R14" s="138" t="s">
        <v>380</v>
      </c>
    </row>
    <row r="15" spans="1:19" s="132" customFormat="1" ht="17.25" customHeight="1">
      <c r="A15" s="128">
        <f t="shared" si="1"/>
        <v>6</v>
      </c>
      <c r="B15" s="133" t="s">
        <v>466</v>
      </c>
      <c r="C15" s="134">
        <v>42684</v>
      </c>
      <c r="D15" s="134">
        <v>42865</v>
      </c>
      <c r="E15" s="136"/>
      <c r="F15" s="135">
        <v>82000</v>
      </c>
      <c r="G15" s="136"/>
      <c r="H15" s="134"/>
      <c r="I15" s="135"/>
      <c r="J15" s="135"/>
      <c r="K15" s="130"/>
      <c r="L15" s="130">
        <f t="shared" si="2"/>
        <v>82000</v>
      </c>
      <c r="M15" s="135"/>
      <c r="N15" s="135">
        <f t="shared" si="3"/>
        <v>0</v>
      </c>
      <c r="O15" s="135">
        <f t="shared" si="4"/>
        <v>211.83333333333334</v>
      </c>
      <c r="P15" s="129">
        <v>42757</v>
      </c>
      <c r="Q15" s="187">
        <v>0.03</v>
      </c>
      <c r="R15" s="138" t="s">
        <v>380</v>
      </c>
    </row>
    <row r="16" spans="1:19" s="132" customFormat="1" ht="17.25" customHeight="1">
      <c r="A16" s="128">
        <f t="shared" si="1"/>
        <v>7</v>
      </c>
      <c r="B16" s="133" t="s">
        <v>467</v>
      </c>
      <c r="C16" s="134">
        <v>42689</v>
      </c>
      <c r="D16" s="134">
        <v>42870</v>
      </c>
      <c r="E16" s="136"/>
      <c r="F16" s="135">
        <v>89000</v>
      </c>
      <c r="G16" s="136"/>
      <c r="H16" s="134"/>
      <c r="I16" s="135"/>
      <c r="J16" s="135"/>
      <c r="K16" s="130"/>
      <c r="L16" s="130">
        <f t="shared" si="2"/>
        <v>89000</v>
      </c>
      <c r="M16" s="135"/>
      <c r="N16" s="135">
        <f t="shared" si="3"/>
        <v>0</v>
      </c>
      <c r="O16" s="135">
        <f t="shared" si="4"/>
        <v>229.91666666666666</v>
      </c>
      <c r="P16" s="129">
        <v>42757</v>
      </c>
      <c r="Q16" s="187">
        <v>0.03</v>
      </c>
      <c r="R16" s="138" t="s">
        <v>380</v>
      </c>
      <c r="S16" s="191"/>
    </row>
    <row r="17" spans="1:19" s="132" customFormat="1" ht="17.25" customHeight="1">
      <c r="A17" s="128">
        <f t="shared" si="1"/>
        <v>8</v>
      </c>
      <c r="B17" s="133" t="s">
        <v>468</v>
      </c>
      <c r="C17" s="162">
        <v>42717</v>
      </c>
      <c r="D17" s="134">
        <v>42899</v>
      </c>
      <c r="E17" s="136"/>
      <c r="F17" s="163">
        <v>50400</v>
      </c>
      <c r="G17" s="136"/>
      <c r="H17" s="162"/>
      <c r="I17" s="163"/>
      <c r="J17" s="163"/>
      <c r="K17" s="130"/>
      <c r="L17" s="130">
        <f t="shared" si="2"/>
        <v>50400</v>
      </c>
      <c r="M17" s="163"/>
      <c r="N17" s="135">
        <f t="shared" si="3"/>
        <v>0</v>
      </c>
      <c r="O17" s="135">
        <f t="shared" si="4"/>
        <v>130.19999999999999</v>
      </c>
      <c r="P17" s="129">
        <v>42757</v>
      </c>
      <c r="Q17" s="187">
        <v>0.03</v>
      </c>
      <c r="R17" s="138" t="s">
        <v>460</v>
      </c>
    </row>
    <row r="18" spans="1:19" s="132" customFormat="1" ht="17.25" customHeight="1">
      <c r="A18" s="128">
        <f t="shared" si="1"/>
        <v>9</v>
      </c>
      <c r="B18" s="133" t="s">
        <v>426</v>
      </c>
      <c r="C18" s="162">
        <v>42718</v>
      </c>
      <c r="D18" s="134">
        <v>42900</v>
      </c>
      <c r="E18" s="164"/>
      <c r="F18" s="163">
        <v>137000</v>
      </c>
      <c r="G18" s="136"/>
      <c r="H18" s="162"/>
      <c r="I18" s="163"/>
      <c r="J18" s="163"/>
      <c r="K18" s="130"/>
      <c r="L18" s="130">
        <f t="shared" si="2"/>
        <v>137000</v>
      </c>
      <c r="M18" s="163"/>
      <c r="N18" s="135">
        <f t="shared" si="3"/>
        <v>0</v>
      </c>
      <c r="O18" s="135">
        <f t="shared" si="4"/>
        <v>353.91666666666669</v>
      </c>
      <c r="P18" s="129">
        <v>42757</v>
      </c>
      <c r="Q18" s="187">
        <v>0.03</v>
      </c>
      <c r="R18" s="138" t="s">
        <v>380</v>
      </c>
      <c r="S18" s="201">
        <f>E17*Q17/12</f>
        <v>0</v>
      </c>
    </row>
    <row r="19" spans="1:19" s="132" customFormat="1" ht="17.25" customHeight="1">
      <c r="A19" s="128">
        <f t="shared" si="1"/>
        <v>10</v>
      </c>
      <c r="B19" s="133" t="s">
        <v>465</v>
      </c>
      <c r="C19" s="162">
        <v>42733</v>
      </c>
      <c r="D19" s="134">
        <v>42915</v>
      </c>
      <c r="E19" s="164"/>
      <c r="F19" s="163">
        <v>85000</v>
      </c>
      <c r="G19" s="136"/>
      <c r="H19" s="162"/>
      <c r="I19" s="163"/>
      <c r="J19" s="163"/>
      <c r="K19" s="130"/>
      <c r="L19" s="130">
        <f t="shared" si="2"/>
        <v>85000</v>
      </c>
      <c r="M19" s="163"/>
      <c r="N19" s="135">
        <f t="shared" si="3"/>
        <v>0</v>
      </c>
      <c r="O19" s="135">
        <f t="shared" si="4"/>
        <v>219.58333333333334</v>
      </c>
      <c r="P19" s="129">
        <v>42757</v>
      </c>
      <c r="Q19" s="187">
        <v>0.03</v>
      </c>
      <c r="R19" s="138" t="s">
        <v>380</v>
      </c>
      <c r="S19" s="191"/>
    </row>
    <row r="20" spans="1:19" s="132" customFormat="1" ht="17.25" customHeight="1">
      <c r="A20" s="128">
        <f t="shared" si="1"/>
        <v>11</v>
      </c>
      <c r="B20" s="133" t="s">
        <v>300</v>
      </c>
      <c r="C20" s="162">
        <v>42741</v>
      </c>
      <c r="D20" s="134">
        <v>42922</v>
      </c>
      <c r="E20" s="164"/>
      <c r="F20" s="163">
        <v>93000</v>
      </c>
      <c r="G20" s="164"/>
      <c r="H20" s="162"/>
      <c r="I20" s="163"/>
      <c r="J20" s="163"/>
      <c r="K20" s="130"/>
      <c r="L20" s="130">
        <f t="shared" si="2"/>
        <v>93000</v>
      </c>
      <c r="M20" s="163"/>
      <c r="N20" s="135">
        <f t="shared" si="3"/>
        <v>0</v>
      </c>
      <c r="O20" s="135">
        <f t="shared" si="4"/>
        <v>124</v>
      </c>
      <c r="P20" s="129">
        <v>42757</v>
      </c>
      <c r="Q20" s="187">
        <v>0.03</v>
      </c>
      <c r="R20" s="138" t="s">
        <v>380</v>
      </c>
      <c r="S20" s="191"/>
    </row>
    <row r="21" spans="1:19" s="132" customFormat="1" ht="17.25" customHeight="1">
      <c r="A21" s="128">
        <f t="shared" si="1"/>
        <v>12</v>
      </c>
      <c r="B21" s="133" t="s">
        <v>469</v>
      </c>
      <c r="C21" s="162">
        <v>42748</v>
      </c>
      <c r="D21" s="134">
        <v>42787</v>
      </c>
      <c r="E21" s="164"/>
      <c r="F21" s="163">
        <v>40000</v>
      </c>
      <c r="G21" s="164"/>
      <c r="H21" s="162"/>
      <c r="I21" s="163"/>
      <c r="J21" s="163"/>
      <c r="K21" s="130"/>
      <c r="L21" s="130">
        <f t="shared" si="2"/>
        <v>40000</v>
      </c>
      <c r="M21" s="163"/>
      <c r="N21" s="135">
        <f t="shared" si="3"/>
        <v>0</v>
      </c>
      <c r="O21" s="135">
        <f t="shared" si="4"/>
        <v>30</v>
      </c>
      <c r="P21" s="129">
        <v>42757</v>
      </c>
      <c r="Q21" s="187">
        <v>0.03</v>
      </c>
      <c r="R21" s="138" t="s">
        <v>461</v>
      </c>
    </row>
    <row r="22" spans="1:19" s="132" customFormat="1" ht="17.25" customHeight="1">
      <c r="A22" s="128">
        <f t="shared" si="1"/>
        <v>13</v>
      </c>
      <c r="B22" s="133" t="s">
        <v>470</v>
      </c>
      <c r="C22" s="162">
        <v>42751</v>
      </c>
      <c r="D22" s="134">
        <v>42791</v>
      </c>
      <c r="E22" s="164"/>
      <c r="F22" s="163">
        <v>102600</v>
      </c>
      <c r="G22" s="164"/>
      <c r="H22" s="162"/>
      <c r="I22" s="163"/>
      <c r="J22" s="163"/>
      <c r="K22" s="130"/>
      <c r="L22" s="130">
        <f t="shared" si="2"/>
        <v>102600</v>
      </c>
      <c r="M22" s="163"/>
      <c r="N22" s="135">
        <f t="shared" si="3"/>
        <v>0</v>
      </c>
      <c r="O22" s="135">
        <f t="shared" si="4"/>
        <v>51.3</v>
      </c>
      <c r="P22" s="129">
        <v>42757</v>
      </c>
      <c r="Q22" s="187">
        <v>0.03</v>
      </c>
      <c r="R22" s="138" t="s">
        <v>462</v>
      </c>
    </row>
    <row r="23" spans="1:19" s="132" customFormat="1" ht="17.25" customHeight="1">
      <c r="A23" s="128">
        <f t="shared" si="1"/>
        <v>14</v>
      </c>
      <c r="B23" s="133" t="s">
        <v>471</v>
      </c>
      <c r="C23" s="162">
        <v>42754</v>
      </c>
      <c r="D23" s="134">
        <v>42844</v>
      </c>
      <c r="E23" s="164"/>
      <c r="F23" s="163">
        <v>37584</v>
      </c>
      <c r="G23" s="164"/>
      <c r="H23" s="162"/>
      <c r="I23" s="163"/>
      <c r="J23" s="163"/>
      <c r="K23" s="130"/>
      <c r="L23" s="130">
        <f t="shared" si="2"/>
        <v>37584</v>
      </c>
      <c r="M23" s="163"/>
      <c r="N23" s="135">
        <f t="shared" si="3"/>
        <v>0</v>
      </c>
      <c r="O23" s="135">
        <f t="shared" si="4"/>
        <v>9.395999999999999</v>
      </c>
      <c r="P23" s="129">
        <v>42757</v>
      </c>
      <c r="Q23" s="187">
        <v>0.03</v>
      </c>
      <c r="R23" s="138" t="s">
        <v>463</v>
      </c>
    </row>
    <row r="24" spans="1:19" s="132" customFormat="1" ht="17.25" customHeight="1">
      <c r="A24" s="128">
        <f t="shared" si="1"/>
        <v>15</v>
      </c>
      <c r="B24" s="133" t="s">
        <v>472</v>
      </c>
      <c r="C24" s="162">
        <v>42754</v>
      </c>
      <c r="D24" s="134">
        <v>42788</v>
      </c>
      <c r="E24" s="164"/>
      <c r="F24" s="163">
        <v>41200</v>
      </c>
      <c r="G24" s="164"/>
      <c r="H24" s="162"/>
      <c r="I24" s="163"/>
      <c r="J24" s="163"/>
      <c r="K24" s="130"/>
      <c r="L24" s="130">
        <f t="shared" si="2"/>
        <v>41200</v>
      </c>
      <c r="M24" s="163"/>
      <c r="N24" s="135">
        <f t="shared" si="3"/>
        <v>0</v>
      </c>
      <c r="O24" s="135">
        <f t="shared" si="4"/>
        <v>10.3</v>
      </c>
      <c r="P24" s="129">
        <v>42757</v>
      </c>
      <c r="Q24" s="187">
        <v>0.03</v>
      </c>
      <c r="R24" s="138" t="s">
        <v>464</v>
      </c>
    </row>
    <row r="25" spans="1:19" s="132" customFormat="1" ht="17.25" customHeight="1">
      <c r="A25" s="128">
        <f t="shared" si="1"/>
        <v>16</v>
      </c>
      <c r="B25" s="133" t="s">
        <v>473</v>
      </c>
      <c r="C25" s="162">
        <v>42754</v>
      </c>
      <c r="D25" s="134">
        <v>42935</v>
      </c>
      <c r="E25" s="164"/>
      <c r="F25" s="163">
        <v>51100</v>
      </c>
      <c r="G25" s="164"/>
      <c r="H25" s="162"/>
      <c r="I25" s="163"/>
      <c r="J25" s="163"/>
      <c r="K25" s="130"/>
      <c r="L25" s="130">
        <f t="shared" si="2"/>
        <v>51100</v>
      </c>
      <c r="M25" s="163"/>
      <c r="N25" s="135">
        <f t="shared" si="3"/>
        <v>0</v>
      </c>
      <c r="O25" s="135">
        <f t="shared" si="4"/>
        <v>12.775</v>
      </c>
      <c r="P25" s="129">
        <v>42757</v>
      </c>
      <c r="Q25" s="187">
        <v>0.03</v>
      </c>
      <c r="R25" s="138" t="s">
        <v>460</v>
      </c>
    </row>
    <row r="26" spans="1:19" s="132" customFormat="1" ht="17.25" customHeight="1">
      <c r="A26" s="128"/>
      <c r="B26" s="133"/>
      <c r="C26" s="162"/>
      <c r="D26" s="134"/>
      <c r="E26" s="163"/>
      <c r="F26" s="163"/>
      <c r="G26" s="164"/>
      <c r="H26" s="162"/>
      <c r="I26" s="163"/>
      <c r="J26" s="163"/>
      <c r="K26" s="130"/>
      <c r="L26" s="130"/>
      <c r="M26" s="163"/>
      <c r="N26" s="135"/>
      <c r="O26" s="135"/>
      <c r="P26" s="129"/>
      <c r="Q26" s="187"/>
      <c r="R26" s="138"/>
    </row>
    <row r="27" spans="1:19" s="168" customFormat="1" ht="17.25" customHeight="1">
      <c r="A27" s="252" t="s">
        <v>305</v>
      </c>
      <c r="B27" s="252"/>
      <c r="C27" s="165"/>
      <c r="D27" s="165"/>
      <c r="E27" s="140">
        <f>SUM(E4:E26)</f>
        <v>0</v>
      </c>
      <c r="F27" s="141">
        <f>SUM(F10:F26)</f>
        <v>1241384</v>
      </c>
      <c r="G27" s="140">
        <f>SUM(G4:G16)</f>
        <v>0</v>
      </c>
      <c r="H27" s="139"/>
      <c r="I27" s="141">
        <f>SUM(I10:I26)</f>
        <v>0</v>
      </c>
      <c r="J27" s="141">
        <f>SUM(J10:J26)</f>
        <v>0</v>
      </c>
      <c r="K27" s="141">
        <f>SUM(K10:K26)</f>
        <v>0</v>
      </c>
      <c r="L27" s="141">
        <f>SUM(L10:L26)</f>
        <v>1241384</v>
      </c>
      <c r="M27" s="141">
        <f>SUM(M4:M14)</f>
        <v>0</v>
      </c>
      <c r="N27" s="141">
        <f>SUM(N10:N26)</f>
        <v>0</v>
      </c>
      <c r="O27" s="141">
        <f>SUM(O10:O26)</f>
        <v>2500.5126666666674</v>
      </c>
      <c r="P27" s="141"/>
      <c r="Q27" s="143"/>
      <c r="R27" s="143"/>
    </row>
    <row r="28" spans="1:19" s="132" customFormat="1" ht="17.25" customHeight="1">
      <c r="A28" s="128">
        <f>ROW()-27</f>
        <v>1</v>
      </c>
      <c r="B28" s="133" t="s">
        <v>280</v>
      </c>
      <c r="C28" s="134">
        <v>41870</v>
      </c>
      <c r="D28" s="134">
        <v>46253</v>
      </c>
      <c r="E28" s="136">
        <v>966640000</v>
      </c>
      <c r="F28" s="135"/>
      <c r="G28" s="136"/>
      <c r="H28" s="134">
        <v>42755</v>
      </c>
      <c r="I28" s="136">
        <v>8340000</v>
      </c>
      <c r="J28" s="135"/>
      <c r="K28" s="136">
        <f t="shared" ref="K28:K42" si="5">E28-I28</f>
        <v>958300000</v>
      </c>
      <c r="L28" s="135"/>
      <c r="M28" s="136">
        <f t="shared" ref="M28:M41" si="6">IF((LEFT(B28,4)="1402"),E28*Q28*DATEDIF(DATE(YEAR(P28),MONTH(P28)-1,IF(MONTH(C28)=(MONTH(P28)-1),DAY(C28),DAY(P28))),P28,"d")/360,0)</f>
        <v>7491460</v>
      </c>
      <c r="N28" s="135">
        <f t="shared" ref="N28:N42" si="7">IF((LEFT(B28,4)="1402"),F28*Q28*DATEDIF(DATE(YEAR(P28),MONTH(P28)-1,IF(MONTH(C28)=(MONTH(P28)-1),DAY(C28),16)),P28,"d")/360,0)</f>
        <v>0</v>
      </c>
      <c r="O28" s="135">
        <f t="shared" ref="O28:O42" si="8">IF((LEFT(B28,4)="1015"),F28*Q28*DATEDIF(P28,P$1,"d")/360,0)</f>
        <v>0</v>
      </c>
      <c r="P28" s="227">
        <f>H28</f>
        <v>42755</v>
      </c>
      <c r="Q28" s="187">
        <v>0.09</v>
      </c>
      <c r="R28" s="228" t="s">
        <v>281</v>
      </c>
    </row>
    <row r="29" spans="1:19" s="132" customFormat="1" ht="17.25" customHeight="1">
      <c r="A29" s="128">
        <f t="shared" ref="A29:A42" si="9">ROW()-27</f>
        <v>2</v>
      </c>
      <c r="B29" s="133" t="s">
        <v>282</v>
      </c>
      <c r="C29" s="134">
        <v>41905</v>
      </c>
      <c r="D29" s="134">
        <v>46253</v>
      </c>
      <c r="E29" s="136">
        <v>1933320000</v>
      </c>
      <c r="F29" s="135"/>
      <c r="G29" s="136"/>
      <c r="H29" s="134">
        <v>42755</v>
      </c>
      <c r="I29" s="136">
        <v>16670000</v>
      </c>
      <c r="J29" s="135"/>
      <c r="K29" s="136">
        <f t="shared" si="5"/>
        <v>1916650000</v>
      </c>
      <c r="L29" s="135"/>
      <c r="M29" s="136">
        <f t="shared" si="6"/>
        <v>14983230</v>
      </c>
      <c r="N29" s="135">
        <f t="shared" si="7"/>
        <v>0</v>
      </c>
      <c r="O29" s="135">
        <f t="shared" si="8"/>
        <v>0</v>
      </c>
      <c r="P29" s="227">
        <f t="shared" ref="P29:P42" si="10">H29</f>
        <v>42755</v>
      </c>
      <c r="Q29" s="187">
        <v>0.09</v>
      </c>
      <c r="R29" s="138" t="s">
        <v>281</v>
      </c>
    </row>
    <row r="30" spans="1:19" s="132" customFormat="1" ht="17.25" customHeight="1">
      <c r="A30" s="128">
        <f t="shared" si="9"/>
        <v>3</v>
      </c>
      <c r="B30" s="133" t="s">
        <v>283</v>
      </c>
      <c r="C30" s="162">
        <v>41934</v>
      </c>
      <c r="D30" s="134">
        <v>46253</v>
      </c>
      <c r="E30" s="164">
        <v>1546640000</v>
      </c>
      <c r="F30" s="163"/>
      <c r="G30" s="164"/>
      <c r="H30" s="134">
        <v>42755</v>
      </c>
      <c r="I30" s="164">
        <v>13340000</v>
      </c>
      <c r="J30" s="163"/>
      <c r="K30" s="136">
        <f t="shared" si="5"/>
        <v>1533300000</v>
      </c>
      <c r="L30" s="163"/>
      <c r="M30" s="136">
        <f t="shared" si="6"/>
        <v>11986460</v>
      </c>
      <c r="N30" s="135">
        <f t="shared" si="7"/>
        <v>0</v>
      </c>
      <c r="O30" s="135">
        <f t="shared" si="8"/>
        <v>0</v>
      </c>
      <c r="P30" s="227">
        <f t="shared" si="10"/>
        <v>42755</v>
      </c>
      <c r="Q30" s="187">
        <v>0.09</v>
      </c>
      <c r="R30" s="138" t="s">
        <v>281</v>
      </c>
    </row>
    <row r="31" spans="1:19" s="132" customFormat="1" ht="17.25" customHeight="1">
      <c r="A31" s="128">
        <f t="shared" si="9"/>
        <v>4</v>
      </c>
      <c r="B31" s="133" t="s">
        <v>284</v>
      </c>
      <c r="C31" s="162">
        <v>41963</v>
      </c>
      <c r="D31" s="134">
        <v>46253</v>
      </c>
      <c r="E31" s="164">
        <v>1475000000</v>
      </c>
      <c r="F31" s="163"/>
      <c r="G31" s="164"/>
      <c r="H31" s="134">
        <v>42755</v>
      </c>
      <c r="I31" s="164">
        <v>12500000</v>
      </c>
      <c r="J31" s="163"/>
      <c r="K31" s="136">
        <f t="shared" si="5"/>
        <v>1462500000</v>
      </c>
      <c r="L31" s="163"/>
      <c r="M31" s="136">
        <f t="shared" si="6"/>
        <v>11431250</v>
      </c>
      <c r="N31" s="135">
        <f t="shared" si="7"/>
        <v>0</v>
      </c>
      <c r="O31" s="135">
        <f t="shared" si="8"/>
        <v>0</v>
      </c>
      <c r="P31" s="227">
        <f t="shared" si="10"/>
        <v>42755</v>
      </c>
      <c r="Q31" s="187">
        <v>0.09</v>
      </c>
      <c r="R31" s="138" t="s">
        <v>281</v>
      </c>
    </row>
    <row r="32" spans="1:19" s="132" customFormat="1" ht="17.25" customHeight="1">
      <c r="A32" s="128">
        <f t="shared" si="9"/>
        <v>5</v>
      </c>
      <c r="B32" s="133" t="s">
        <v>285</v>
      </c>
      <c r="C32" s="162">
        <v>41984</v>
      </c>
      <c r="D32" s="134">
        <v>46253</v>
      </c>
      <c r="E32" s="164">
        <v>966680000</v>
      </c>
      <c r="F32" s="163"/>
      <c r="G32" s="164"/>
      <c r="H32" s="134">
        <v>42755</v>
      </c>
      <c r="I32" s="164">
        <v>8330000</v>
      </c>
      <c r="J32" s="163"/>
      <c r="K32" s="164">
        <f t="shared" si="5"/>
        <v>958350000</v>
      </c>
      <c r="L32" s="163"/>
      <c r="M32" s="136">
        <f t="shared" si="6"/>
        <v>7491770</v>
      </c>
      <c r="N32" s="135">
        <f t="shared" si="7"/>
        <v>0</v>
      </c>
      <c r="O32" s="135">
        <f t="shared" si="8"/>
        <v>0</v>
      </c>
      <c r="P32" s="227">
        <f t="shared" si="10"/>
        <v>42755</v>
      </c>
      <c r="Q32" s="187">
        <v>0.09</v>
      </c>
      <c r="R32" s="138" t="s">
        <v>281</v>
      </c>
    </row>
    <row r="33" spans="1:18" s="132" customFormat="1" ht="17.25" customHeight="1">
      <c r="A33" s="128">
        <f t="shared" si="9"/>
        <v>6</v>
      </c>
      <c r="B33" s="133" t="s">
        <v>286</v>
      </c>
      <c r="C33" s="162">
        <v>42033</v>
      </c>
      <c r="D33" s="134">
        <v>46253</v>
      </c>
      <c r="E33" s="164">
        <v>1450000000</v>
      </c>
      <c r="F33" s="163"/>
      <c r="G33" s="164"/>
      <c r="H33" s="134">
        <v>42755</v>
      </c>
      <c r="I33" s="164">
        <v>12500000</v>
      </c>
      <c r="J33" s="163"/>
      <c r="K33" s="164">
        <f t="shared" si="5"/>
        <v>1437500000</v>
      </c>
      <c r="L33" s="163"/>
      <c r="M33" s="136">
        <f t="shared" si="6"/>
        <v>11237500</v>
      </c>
      <c r="N33" s="135">
        <f t="shared" si="7"/>
        <v>0</v>
      </c>
      <c r="O33" s="135">
        <f t="shared" si="8"/>
        <v>0</v>
      </c>
      <c r="P33" s="227">
        <f t="shared" si="10"/>
        <v>42755</v>
      </c>
      <c r="Q33" s="187">
        <v>0.09</v>
      </c>
      <c r="R33" s="138" t="s">
        <v>281</v>
      </c>
    </row>
    <row r="34" spans="1:18" s="132" customFormat="1" ht="17.25" customHeight="1">
      <c r="A34" s="128">
        <f t="shared" si="9"/>
        <v>7</v>
      </c>
      <c r="B34" s="133" t="s">
        <v>287</v>
      </c>
      <c r="C34" s="162">
        <v>42088</v>
      </c>
      <c r="D34" s="134">
        <v>46253</v>
      </c>
      <c r="E34" s="164">
        <v>1933320000</v>
      </c>
      <c r="F34" s="163"/>
      <c r="G34" s="164"/>
      <c r="H34" s="134">
        <v>42755</v>
      </c>
      <c r="I34" s="164">
        <v>16670000</v>
      </c>
      <c r="J34" s="163"/>
      <c r="K34" s="164">
        <f t="shared" si="5"/>
        <v>1916650000</v>
      </c>
      <c r="L34" s="163"/>
      <c r="M34" s="136">
        <f t="shared" si="6"/>
        <v>14983230</v>
      </c>
      <c r="N34" s="135">
        <f t="shared" si="7"/>
        <v>0</v>
      </c>
      <c r="O34" s="135">
        <f t="shared" si="8"/>
        <v>0</v>
      </c>
      <c r="P34" s="227">
        <f t="shared" si="10"/>
        <v>42755</v>
      </c>
      <c r="Q34" s="187">
        <v>0.09</v>
      </c>
      <c r="R34" s="138" t="s">
        <v>281</v>
      </c>
    </row>
    <row r="35" spans="1:18" s="132" customFormat="1" ht="17.25" customHeight="1">
      <c r="A35" s="128">
        <f t="shared" si="9"/>
        <v>8</v>
      </c>
      <c r="B35" s="133" t="s">
        <v>288</v>
      </c>
      <c r="C35" s="162">
        <v>42114</v>
      </c>
      <c r="D35" s="134">
        <v>46253</v>
      </c>
      <c r="E35" s="164">
        <v>1353320000</v>
      </c>
      <c r="F35" s="163"/>
      <c r="G35" s="164"/>
      <c r="H35" s="134">
        <v>42755</v>
      </c>
      <c r="I35" s="164">
        <v>11670000</v>
      </c>
      <c r="J35" s="163"/>
      <c r="K35" s="164">
        <f t="shared" si="5"/>
        <v>1341650000</v>
      </c>
      <c r="L35" s="163"/>
      <c r="M35" s="136">
        <f t="shared" si="6"/>
        <v>10488230</v>
      </c>
      <c r="N35" s="135">
        <f t="shared" si="7"/>
        <v>0</v>
      </c>
      <c r="O35" s="135">
        <f t="shared" si="8"/>
        <v>0</v>
      </c>
      <c r="P35" s="227">
        <f t="shared" si="10"/>
        <v>42755</v>
      </c>
      <c r="Q35" s="187">
        <v>0.09</v>
      </c>
      <c r="R35" s="138" t="s">
        <v>281</v>
      </c>
    </row>
    <row r="36" spans="1:18" s="132" customFormat="1" ht="17.25" customHeight="1">
      <c r="A36" s="128">
        <f t="shared" si="9"/>
        <v>9</v>
      </c>
      <c r="B36" s="133" t="s">
        <v>289</v>
      </c>
      <c r="C36" s="162">
        <v>42138</v>
      </c>
      <c r="D36" s="134">
        <v>46253</v>
      </c>
      <c r="E36" s="164">
        <v>1450000000</v>
      </c>
      <c r="F36" s="163"/>
      <c r="G36" s="164"/>
      <c r="H36" s="134">
        <v>42755</v>
      </c>
      <c r="I36" s="164">
        <v>12500000</v>
      </c>
      <c r="J36" s="163"/>
      <c r="K36" s="164">
        <f t="shared" si="5"/>
        <v>1437500000</v>
      </c>
      <c r="L36" s="163"/>
      <c r="M36" s="136">
        <f t="shared" si="6"/>
        <v>11237500</v>
      </c>
      <c r="N36" s="135">
        <f t="shared" si="7"/>
        <v>0</v>
      </c>
      <c r="O36" s="135">
        <f t="shared" si="8"/>
        <v>0</v>
      </c>
      <c r="P36" s="227">
        <f t="shared" si="10"/>
        <v>42755</v>
      </c>
      <c r="Q36" s="187">
        <v>0.09</v>
      </c>
      <c r="R36" s="138" t="s">
        <v>281</v>
      </c>
    </row>
    <row r="37" spans="1:18" s="132" customFormat="1" ht="17.25" customHeight="1">
      <c r="A37" s="128">
        <f t="shared" si="9"/>
        <v>10</v>
      </c>
      <c r="B37" s="133" t="s">
        <v>290</v>
      </c>
      <c r="C37" s="162">
        <v>42164</v>
      </c>
      <c r="D37" s="134">
        <v>46253</v>
      </c>
      <c r="E37" s="164">
        <v>1450000000</v>
      </c>
      <c r="F37" s="163"/>
      <c r="G37" s="164"/>
      <c r="H37" s="134">
        <v>42755</v>
      </c>
      <c r="I37" s="164">
        <v>12500000</v>
      </c>
      <c r="J37" s="163"/>
      <c r="K37" s="164">
        <f t="shared" si="5"/>
        <v>1437500000</v>
      </c>
      <c r="L37" s="163"/>
      <c r="M37" s="136">
        <f t="shared" si="6"/>
        <v>11237500</v>
      </c>
      <c r="N37" s="135">
        <f t="shared" si="7"/>
        <v>0</v>
      </c>
      <c r="O37" s="135">
        <f t="shared" si="8"/>
        <v>0</v>
      </c>
      <c r="P37" s="227">
        <f t="shared" si="10"/>
        <v>42755</v>
      </c>
      <c r="Q37" s="187">
        <v>0.09</v>
      </c>
      <c r="R37" s="138" t="s">
        <v>281</v>
      </c>
    </row>
    <row r="38" spans="1:18" s="132" customFormat="1" ht="17.25" customHeight="1">
      <c r="A38" s="128">
        <f t="shared" si="9"/>
        <v>11</v>
      </c>
      <c r="B38" s="133" t="s">
        <v>291</v>
      </c>
      <c r="C38" s="162">
        <v>42187</v>
      </c>
      <c r="D38" s="134">
        <v>46253</v>
      </c>
      <c r="E38" s="164">
        <v>1450000000</v>
      </c>
      <c r="F38" s="163"/>
      <c r="G38" s="164"/>
      <c r="H38" s="134">
        <v>42755</v>
      </c>
      <c r="I38" s="164">
        <v>12500000</v>
      </c>
      <c r="J38" s="163"/>
      <c r="K38" s="164">
        <f t="shared" si="5"/>
        <v>1437500000</v>
      </c>
      <c r="L38" s="163"/>
      <c r="M38" s="136">
        <f t="shared" si="6"/>
        <v>11237500</v>
      </c>
      <c r="N38" s="135">
        <f t="shared" si="7"/>
        <v>0</v>
      </c>
      <c r="O38" s="135">
        <f t="shared" si="8"/>
        <v>0</v>
      </c>
      <c r="P38" s="227">
        <f t="shared" si="10"/>
        <v>42755</v>
      </c>
      <c r="Q38" s="187">
        <v>0.09</v>
      </c>
      <c r="R38" s="138" t="s">
        <v>281</v>
      </c>
    </row>
    <row r="39" spans="1:18" s="132" customFormat="1" ht="17.25" customHeight="1">
      <c r="A39" s="128">
        <f t="shared" si="9"/>
        <v>12</v>
      </c>
      <c r="B39" s="133" t="s">
        <v>292</v>
      </c>
      <c r="C39" s="162">
        <v>42195</v>
      </c>
      <c r="D39" s="134">
        <v>46253</v>
      </c>
      <c r="E39" s="164">
        <v>1450000000</v>
      </c>
      <c r="F39" s="163"/>
      <c r="G39" s="164"/>
      <c r="H39" s="134">
        <v>42755</v>
      </c>
      <c r="I39" s="164">
        <v>12500000</v>
      </c>
      <c r="J39" s="163"/>
      <c r="K39" s="164">
        <f t="shared" si="5"/>
        <v>1437500000</v>
      </c>
      <c r="L39" s="163"/>
      <c r="M39" s="136">
        <f t="shared" si="6"/>
        <v>11237500</v>
      </c>
      <c r="N39" s="135">
        <f t="shared" si="7"/>
        <v>0</v>
      </c>
      <c r="O39" s="135">
        <f t="shared" si="8"/>
        <v>0</v>
      </c>
      <c r="P39" s="227">
        <f t="shared" si="10"/>
        <v>42755</v>
      </c>
      <c r="Q39" s="187">
        <v>0.09</v>
      </c>
      <c r="R39" s="138" t="s">
        <v>281</v>
      </c>
    </row>
    <row r="40" spans="1:18" s="132" customFormat="1" ht="17.25" customHeight="1">
      <c r="A40" s="128">
        <f t="shared" si="9"/>
        <v>13</v>
      </c>
      <c r="B40" s="133" t="s">
        <v>293</v>
      </c>
      <c r="C40" s="162">
        <v>42215</v>
      </c>
      <c r="D40" s="134">
        <v>46253</v>
      </c>
      <c r="E40" s="164">
        <v>966640000</v>
      </c>
      <c r="F40" s="163"/>
      <c r="G40" s="164"/>
      <c r="H40" s="134">
        <v>42755</v>
      </c>
      <c r="I40" s="164">
        <v>8330000</v>
      </c>
      <c r="J40" s="163"/>
      <c r="K40" s="164">
        <f t="shared" si="5"/>
        <v>958310000</v>
      </c>
      <c r="L40" s="163"/>
      <c r="M40" s="136">
        <f t="shared" si="6"/>
        <v>7491460</v>
      </c>
      <c r="N40" s="135">
        <f t="shared" si="7"/>
        <v>0</v>
      </c>
      <c r="O40" s="135">
        <f t="shared" si="8"/>
        <v>0</v>
      </c>
      <c r="P40" s="227">
        <f t="shared" si="10"/>
        <v>42755</v>
      </c>
      <c r="Q40" s="187">
        <v>0.09</v>
      </c>
      <c r="R40" s="138" t="s">
        <v>281</v>
      </c>
    </row>
    <row r="41" spans="1:18" s="132" customFormat="1" ht="17.25" customHeight="1">
      <c r="A41" s="128">
        <f t="shared" si="9"/>
        <v>14</v>
      </c>
      <c r="B41" s="133" t="s">
        <v>294</v>
      </c>
      <c r="C41" s="162">
        <v>42229</v>
      </c>
      <c r="D41" s="134">
        <v>46253</v>
      </c>
      <c r="E41" s="164">
        <v>966640000</v>
      </c>
      <c r="F41" s="163"/>
      <c r="G41" s="164"/>
      <c r="H41" s="134">
        <v>42755</v>
      </c>
      <c r="I41" s="164">
        <v>8330000</v>
      </c>
      <c r="J41" s="163"/>
      <c r="K41" s="164">
        <f t="shared" si="5"/>
        <v>958310000</v>
      </c>
      <c r="L41" s="163"/>
      <c r="M41" s="136">
        <f t="shared" si="6"/>
        <v>7491460</v>
      </c>
      <c r="N41" s="135">
        <f t="shared" si="7"/>
        <v>0</v>
      </c>
      <c r="O41" s="135">
        <f t="shared" si="8"/>
        <v>0</v>
      </c>
      <c r="P41" s="227">
        <f t="shared" si="10"/>
        <v>42755</v>
      </c>
      <c r="Q41" s="187">
        <v>0.09</v>
      </c>
      <c r="R41" s="138" t="s">
        <v>281</v>
      </c>
    </row>
    <row r="42" spans="1:18" s="132" customFormat="1" ht="17.25" customHeight="1">
      <c r="A42" s="128">
        <f t="shared" si="9"/>
        <v>15</v>
      </c>
      <c r="B42" s="133" t="s">
        <v>429</v>
      </c>
      <c r="C42" s="162">
        <v>42730</v>
      </c>
      <c r="D42" s="162">
        <v>42851</v>
      </c>
      <c r="E42" s="164"/>
      <c r="F42" s="163">
        <v>87000</v>
      </c>
      <c r="G42" s="164"/>
      <c r="H42" s="162">
        <v>42750</v>
      </c>
      <c r="I42" s="164"/>
      <c r="J42" s="163"/>
      <c r="K42" s="164">
        <f t="shared" si="5"/>
        <v>0</v>
      </c>
      <c r="L42" s="163">
        <f>F42</f>
        <v>87000</v>
      </c>
      <c r="M42" s="136"/>
      <c r="N42" s="135">
        <f t="shared" si="7"/>
        <v>181.25</v>
      </c>
      <c r="O42" s="135">
        <f t="shared" si="8"/>
        <v>0</v>
      </c>
      <c r="P42" s="227">
        <f t="shared" si="10"/>
        <v>42750</v>
      </c>
      <c r="Q42" s="187">
        <v>2.5000000000000001E-2</v>
      </c>
      <c r="R42" s="138"/>
    </row>
    <row r="43" spans="1:18" s="132" customFormat="1" ht="17.25" customHeight="1">
      <c r="A43" s="128"/>
      <c r="B43" s="133"/>
      <c r="C43" s="162"/>
      <c r="D43" s="162"/>
      <c r="E43" s="164"/>
      <c r="F43" s="163"/>
      <c r="G43" s="164"/>
      <c r="H43" s="162"/>
      <c r="I43" s="164"/>
      <c r="J43" s="163"/>
      <c r="K43" s="164"/>
      <c r="L43" s="163"/>
      <c r="M43" s="164"/>
      <c r="N43" s="163"/>
      <c r="O43" s="163"/>
      <c r="P43" s="129"/>
      <c r="Q43" s="161"/>
      <c r="R43" s="138"/>
    </row>
    <row r="44" spans="1:18" s="168" customFormat="1" ht="17.25" customHeight="1">
      <c r="A44" s="252" t="s">
        <v>295</v>
      </c>
      <c r="B44" s="252"/>
      <c r="C44" s="165"/>
      <c r="D44" s="165"/>
      <c r="E44" s="140">
        <f>SUM(E28:E43)</f>
        <v>19358200000</v>
      </c>
      <c r="F44" s="141">
        <f>SUM(F28:F43)</f>
        <v>87000</v>
      </c>
      <c r="G44" s="140">
        <f>SUM(G28:G43)</f>
        <v>0</v>
      </c>
      <c r="H44" s="141"/>
      <c r="I44" s="140">
        <f t="shared" ref="I44:O44" si="11">SUM(I28:I43)</f>
        <v>166680000</v>
      </c>
      <c r="J44" s="141">
        <f t="shared" si="11"/>
        <v>0</v>
      </c>
      <c r="K44" s="140">
        <f t="shared" si="11"/>
        <v>19191520000</v>
      </c>
      <c r="L44" s="141">
        <f t="shared" si="11"/>
        <v>87000</v>
      </c>
      <c r="M44" s="140">
        <f t="shared" si="11"/>
        <v>150026050</v>
      </c>
      <c r="N44" s="141">
        <f t="shared" si="11"/>
        <v>181.25</v>
      </c>
      <c r="O44" s="141">
        <f t="shared" si="11"/>
        <v>0</v>
      </c>
      <c r="P44" s="141"/>
      <c r="Q44" s="143"/>
      <c r="R44" s="143"/>
    </row>
    <row r="45" spans="1:18" ht="17.25" customHeight="1">
      <c r="F45" s="178"/>
    </row>
    <row r="46" spans="1:18" ht="17.25" customHeight="1">
      <c r="F46" s="178"/>
    </row>
    <row r="47" spans="1:18" ht="17.25" customHeight="1">
      <c r="F47" s="175"/>
    </row>
    <row r="48" spans="1:18" ht="17.25" customHeight="1">
      <c r="F48" s="175"/>
    </row>
    <row r="50" spans="6:14" ht="17.25" customHeight="1">
      <c r="F50" s="178"/>
    </row>
    <row r="58" spans="6:14" ht="17.25" customHeight="1">
      <c r="M58" s="181"/>
      <c r="N58" s="181"/>
    </row>
  </sheetData>
  <autoFilter ref="A3:R27"/>
  <sortState ref="A10:T25">
    <sortCondition ref="C10:C25"/>
  </sortState>
  <mergeCells count="12">
    <mergeCell ref="A44:B44"/>
    <mergeCell ref="A2:A3"/>
    <mergeCell ref="B2:B3"/>
    <mergeCell ref="C2:D2"/>
    <mergeCell ref="E2:G2"/>
    <mergeCell ref="M2:P2"/>
    <mergeCell ref="Q2:Q3"/>
    <mergeCell ref="R2:R3"/>
    <mergeCell ref="A9:B9"/>
    <mergeCell ref="A27:B27"/>
    <mergeCell ref="H2:J2"/>
    <mergeCell ref="K2:L2"/>
  </mergeCells>
  <pageMargins left="0.18" right="0" top="0.12" bottom="0" header="0" footer="0"/>
  <pageSetup paperSize="9" scale="90" orientation="landscape" r:id="rId1"/>
  <headerFooter alignWithMargins="0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</sheetPr>
  <dimension ref="A1:T54"/>
  <sheetViews>
    <sheetView workbookViewId="0">
      <pane xSplit="4" ySplit="3" topLeftCell="E4" activePane="bottomRight" state="frozen"/>
      <selection activeCell="B2" sqref="B2:B3"/>
      <selection pane="topRight" activeCell="B2" sqref="B2:B3"/>
      <selection pane="bottomLeft" activeCell="B2" sqref="B2:B3"/>
      <selection pane="bottomRight" activeCell="E5" sqref="E5"/>
    </sheetView>
  </sheetViews>
  <sheetFormatPr defaultRowHeight="17.25" customHeight="1"/>
  <cols>
    <col min="1" max="1" width="5.140625" style="174" bestFit="1" customWidth="1"/>
    <col min="2" max="2" width="17.5703125" style="175" customWidth="1"/>
    <col min="3" max="4" width="8.28515625" style="176" customWidth="1"/>
    <col min="5" max="5" width="13.42578125" style="177" customWidth="1"/>
    <col min="6" max="6" width="11.7109375" style="181" customWidth="1"/>
    <col min="7" max="7" width="8" style="177" customWidth="1"/>
    <col min="8" max="8" width="7.5703125" style="179" customWidth="1"/>
    <col min="9" max="9" width="11" style="180" customWidth="1"/>
    <col min="10" max="10" width="10" style="180" customWidth="1"/>
    <col min="11" max="11" width="13.85546875" style="177" customWidth="1"/>
    <col min="12" max="12" width="11.5703125" style="181" customWidth="1"/>
    <col min="13" max="13" width="10.7109375" style="182" customWidth="1"/>
    <col min="14" max="14" width="10" style="182" customWidth="1"/>
    <col min="15" max="15" width="9" style="182" customWidth="1"/>
    <col min="16" max="16" width="9" style="183" customWidth="1"/>
    <col min="17" max="17" width="8.42578125" style="184" customWidth="1"/>
    <col min="18" max="18" width="7.7109375" style="184" customWidth="1"/>
    <col min="19" max="19" width="15" style="174" customWidth="1"/>
    <col min="20" max="20" width="15.85546875" style="175" customWidth="1"/>
    <col min="21" max="16384" width="9.140625" style="175"/>
  </cols>
  <sheetData>
    <row r="1" spans="1:20" s="121" customFormat="1" ht="17.25" customHeight="1">
      <c r="A1" s="111"/>
      <c r="B1" s="112" t="s">
        <v>258</v>
      </c>
      <c r="C1" s="113"/>
      <c r="D1" s="114"/>
      <c r="E1" s="115"/>
      <c r="F1" s="116"/>
      <c r="G1" s="115"/>
      <c r="H1" s="117"/>
      <c r="I1" s="118"/>
      <c r="J1" s="118"/>
      <c r="K1" s="115"/>
      <c r="L1" s="119"/>
      <c r="M1" s="119"/>
      <c r="N1" s="119"/>
      <c r="O1" s="119"/>
      <c r="P1" s="119"/>
      <c r="Q1" s="119"/>
      <c r="R1" s="120"/>
      <c r="S1" s="111"/>
    </row>
    <row r="2" spans="1:20" s="122" customFormat="1" ht="16.5" customHeight="1">
      <c r="A2" s="250" t="s">
        <v>259</v>
      </c>
      <c r="B2" s="250" t="s">
        <v>260</v>
      </c>
      <c r="C2" s="253" t="s">
        <v>261</v>
      </c>
      <c r="D2" s="253"/>
      <c r="E2" s="254" t="s">
        <v>262</v>
      </c>
      <c r="F2" s="254"/>
      <c r="G2" s="254"/>
      <c r="H2" s="257" t="s">
        <v>263</v>
      </c>
      <c r="I2" s="257"/>
      <c r="J2" s="257"/>
      <c r="K2" s="248" t="s">
        <v>264</v>
      </c>
      <c r="L2" s="248"/>
      <c r="M2" s="255" t="s">
        <v>265</v>
      </c>
      <c r="N2" s="255"/>
      <c r="O2" s="255"/>
      <c r="P2" s="255"/>
      <c r="Q2" s="255"/>
      <c r="R2" s="256" t="s">
        <v>266</v>
      </c>
      <c r="S2" s="250" t="s">
        <v>267</v>
      </c>
    </row>
    <row r="3" spans="1:20" s="122" customFormat="1" ht="33" customHeight="1">
      <c r="A3" s="250"/>
      <c r="B3" s="250"/>
      <c r="C3" s="123" t="s">
        <v>268</v>
      </c>
      <c r="D3" s="123" t="s">
        <v>269</v>
      </c>
      <c r="E3" s="124" t="s">
        <v>270</v>
      </c>
      <c r="F3" s="125" t="s">
        <v>26</v>
      </c>
      <c r="G3" s="186" t="s">
        <v>297</v>
      </c>
      <c r="H3" s="126" t="s">
        <v>271</v>
      </c>
      <c r="I3" s="206" t="s">
        <v>270</v>
      </c>
      <c r="J3" s="206" t="s">
        <v>272</v>
      </c>
      <c r="K3" s="207" t="s">
        <v>270</v>
      </c>
      <c r="L3" s="125" t="s">
        <v>272</v>
      </c>
      <c r="M3" s="204" t="s">
        <v>273</v>
      </c>
      <c r="N3" s="204" t="s">
        <v>274</v>
      </c>
      <c r="O3" s="127" t="s">
        <v>275</v>
      </c>
      <c r="P3" s="205" t="s">
        <v>307</v>
      </c>
      <c r="Q3" s="205" t="s">
        <v>276</v>
      </c>
      <c r="R3" s="256"/>
      <c r="S3" s="250"/>
    </row>
    <row r="4" spans="1:20" s="147" customFormat="1" ht="17.25" customHeight="1">
      <c r="A4" s="145">
        <f>ROW()-3</f>
        <v>1</v>
      </c>
      <c r="B4" s="148" t="s">
        <v>498</v>
      </c>
      <c r="C4" s="149">
        <v>42742</v>
      </c>
      <c r="D4" s="149">
        <v>42923</v>
      </c>
      <c r="E4" s="137"/>
      <c r="F4" s="137">
        <v>43000</v>
      </c>
      <c r="G4" s="150"/>
      <c r="H4" s="149"/>
      <c r="I4" s="137"/>
      <c r="J4" s="137"/>
      <c r="K4" s="131"/>
      <c r="L4" s="131">
        <f>F4-J4</f>
        <v>43000</v>
      </c>
      <c r="M4" s="137"/>
      <c r="N4" s="137"/>
      <c r="O4" s="137">
        <f>IF((LEFT(B4,4)="1402"),F4*R4*DATEDIF(DATE(YEAR(Q4),MONTH(Q4)-1,IF(MONTH(C4)=(MONTH(Q4)-1),DAY(C4),16)),Q4,"d")/360,0)</f>
        <v>92.569444444444443</v>
      </c>
      <c r="P4" s="137">
        <f>IF((LEFT(B4,4)="1025"),F4*R4*DATEDIF(DATE(YEAR(Q4),MONTH(Q4)-1,IF(MONTH(C4)=(MONTH($O$1)-1),DAY(C4),16)),Q4,"d")/360,0)</f>
        <v>0</v>
      </c>
      <c r="Q4" s="129">
        <v>42690</v>
      </c>
      <c r="R4" s="188">
        <v>2.5000000000000001E-2</v>
      </c>
      <c r="S4" s="152" t="s">
        <v>277</v>
      </c>
      <c r="T4" s="132"/>
    </row>
    <row r="5" spans="1:20" s="147" customFormat="1" ht="17.25" customHeight="1">
      <c r="A5" s="145">
        <f t="shared" ref="A5:A7" si="0">ROW()-3</f>
        <v>2</v>
      </c>
      <c r="B5" s="148" t="s">
        <v>303</v>
      </c>
      <c r="C5" s="149">
        <v>42586</v>
      </c>
      <c r="D5" s="149">
        <v>42770</v>
      </c>
      <c r="E5" s="137"/>
      <c r="F5" s="137">
        <v>52300</v>
      </c>
      <c r="G5" s="150"/>
      <c r="H5" s="149"/>
      <c r="I5" s="137"/>
      <c r="J5" s="137"/>
      <c r="K5" s="131"/>
      <c r="L5" s="131">
        <f>F5-J5</f>
        <v>52300</v>
      </c>
      <c r="M5" s="137"/>
      <c r="N5" s="137"/>
      <c r="O5" s="137">
        <f t="shared" ref="O5:O7" si="1">IF((LEFT(B5,4)="1402"),F5*R5*DATEDIF(DATE(YEAR(Q5),MONTH(Q5)-1,IF(MONTH(C5)=(MONTH(Q5)-1),DAY(C5),16)),Q5,"d")/360,0)</f>
        <v>112.59027777777777</v>
      </c>
      <c r="P5" s="137">
        <f t="shared" ref="P5:P7" si="2">IF((LEFT(B5,4)="1025"),F5*R5*DATEDIF(DATE(YEAR(Q5),MONTH(Q5)-1,IF(MONTH(C5)=(MONTH($O$1)-1),DAY(C5),16)),Q5,"d")/360,0)</f>
        <v>0</v>
      </c>
      <c r="Q5" s="129">
        <v>42690</v>
      </c>
      <c r="R5" s="188">
        <v>2.5000000000000001E-2</v>
      </c>
      <c r="S5" s="152" t="s">
        <v>278</v>
      </c>
      <c r="T5" s="132"/>
    </row>
    <row r="6" spans="1:20" s="132" customFormat="1" ht="17.25" customHeight="1">
      <c r="A6" s="145">
        <f t="shared" si="0"/>
        <v>3</v>
      </c>
      <c r="B6" s="148" t="s">
        <v>428</v>
      </c>
      <c r="C6" s="149">
        <v>42718</v>
      </c>
      <c r="D6" s="149">
        <v>42900</v>
      </c>
      <c r="E6" s="137"/>
      <c r="F6" s="137">
        <v>93000</v>
      </c>
      <c r="G6" s="150"/>
      <c r="H6" s="149"/>
      <c r="I6" s="137"/>
      <c r="J6" s="137"/>
      <c r="K6" s="131"/>
      <c r="L6" s="131">
        <f>F6-J6</f>
        <v>93000</v>
      </c>
      <c r="M6" s="137"/>
      <c r="N6" s="137"/>
      <c r="O6" s="137">
        <f t="shared" si="1"/>
        <v>200.20833333333334</v>
      </c>
      <c r="P6" s="137">
        <f t="shared" si="2"/>
        <v>0</v>
      </c>
      <c r="Q6" s="129">
        <v>42690</v>
      </c>
      <c r="R6" s="188">
        <v>2.5000000000000001E-2</v>
      </c>
      <c r="S6" s="152" t="s">
        <v>277</v>
      </c>
    </row>
    <row r="7" spans="1:20" s="132" customFormat="1" ht="17.25" customHeight="1">
      <c r="A7" s="145">
        <f t="shared" si="0"/>
        <v>4</v>
      </c>
      <c r="B7" s="146" t="s">
        <v>427</v>
      </c>
      <c r="C7" s="149">
        <v>42710</v>
      </c>
      <c r="D7" s="149">
        <v>42892</v>
      </c>
      <c r="E7" s="137"/>
      <c r="F7" s="137">
        <v>70500</v>
      </c>
      <c r="G7" s="150"/>
      <c r="H7" s="149"/>
      <c r="I7" s="137"/>
      <c r="J7" s="137"/>
      <c r="K7" s="131"/>
      <c r="L7" s="131">
        <f>F7-J7</f>
        <v>70500</v>
      </c>
      <c r="M7" s="137"/>
      <c r="N7" s="137"/>
      <c r="O7" s="137">
        <f t="shared" si="1"/>
        <v>151.77083333333334</v>
      </c>
      <c r="P7" s="137">
        <f t="shared" si="2"/>
        <v>0</v>
      </c>
      <c r="Q7" s="129">
        <v>42690</v>
      </c>
      <c r="R7" s="188">
        <v>2.5000000000000001E-2</v>
      </c>
      <c r="S7" s="152" t="s">
        <v>277</v>
      </c>
    </row>
    <row r="8" spans="1:20" s="132" customFormat="1" ht="17.25" customHeight="1">
      <c r="A8" s="153"/>
      <c r="B8" s="154"/>
      <c r="C8" s="155"/>
      <c r="D8" s="155"/>
      <c r="E8" s="156"/>
      <c r="F8" s="156"/>
      <c r="G8" s="157"/>
      <c r="H8" s="155"/>
      <c r="I8" s="156"/>
      <c r="J8" s="156"/>
      <c r="K8" s="156"/>
      <c r="L8" s="156"/>
      <c r="M8" s="156"/>
      <c r="N8" s="156"/>
      <c r="O8" s="156"/>
      <c r="P8" s="156"/>
      <c r="Q8" s="158"/>
      <c r="R8" s="159"/>
      <c r="S8" s="160"/>
    </row>
    <row r="9" spans="1:20" s="144" customFormat="1" ht="17.25" customHeight="1">
      <c r="A9" s="251" t="s">
        <v>279</v>
      </c>
      <c r="B9" s="251"/>
      <c r="C9" s="139"/>
      <c r="D9" s="139"/>
      <c r="E9" s="140"/>
      <c r="F9" s="141">
        <f>SUM(F4:F8)</f>
        <v>258800</v>
      </c>
      <c r="G9" s="140">
        <f>SUM(G4:G6)</f>
        <v>0</v>
      </c>
      <c r="H9" s="141"/>
      <c r="I9" s="140"/>
      <c r="J9" s="141">
        <f>SUM(J4:J8)</f>
        <v>0</v>
      </c>
      <c r="K9" s="140"/>
      <c r="L9" s="141">
        <f>SUM(L4:L8)</f>
        <v>258800</v>
      </c>
      <c r="M9" s="140"/>
      <c r="N9" s="140">
        <f>SUM(N4:N6)</f>
        <v>0</v>
      </c>
      <c r="O9" s="141">
        <f>SUM(O4:O8)</f>
        <v>557.13888888888891</v>
      </c>
      <c r="P9" s="141">
        <f>SUM(P4:P8)</f>
        <v>0</v>
      </c>
      <c r="Q9" s="139"/>
      <c r="R9" s="142"/>
      <c r="S9" s="143"/>
      <c r="T9" s="132"/>
    </row>
    <row r="10" spans="1:20" s="132" customFormat="1" ht="17.25" customHeight="1">
      <c r="A10" s="145">
        <f t="shared" ref="A10:A20" si="3">ROW()-9</f>
        <v>1</v>
      </c>
      <c r="B10" s="133" t="s">
        <v>299</v>
      </c>
      <c r="C10" s="134">
        <v>42689</v>
      </c>
      <c r="D10" s="134">
        <v>42870</v>
      </c>
      <c r="E10" s="136"/>
      <c r="F10" s="135">
        <v>89000</v>
      </c>
      <c r="G10" s="136"/>
      <c r="H10" s="134"/>
      <c r="I10" s="135"/>
      <c r="J10" s="135"/>
      <c r="K10" s="131"/>
      <c r="L10" s="130">
        <f t="shared" ref="L10:L20" si="4">F10-J10</f>
        <v>89000</v>
      </c>
      <c r="M10" s="135"/>
      <c r="N10" s="135"/>
      <c r="O10" s="137">
        <f t="shared" ref="O10:O19" si="5">IF((LEFT(B10,4)="1402"),F10*R10*DATEDIF(DATE(YEAR(Q10),MONTH(Q10)-1,IF(MONTH(C10)=(MONTH(Q10)-1),DAY(C10),16)),Q10,"d")/360,0)</f>
        <v>0</v>
      </c>
      <c r="P10" s="137">
        <f>IF((LEFT(B10,4)="1025"),F10*R10*DATEDIF(DATE(YEAR(Q10),MONTH(Q10)-1,DAY(Q10)),Q10,"d")/360,0)</f>
        <v>229.91666666666666</v>
      </c>
      <c r="Q10" s="129">
        <v>42696</v>
      </c>
      <c r="R10" s="187">
        <v>0.03</v>
      </c>
      <c r="S10" s="152" t="s">
        <v>380</v>
      </c>
      <c r="T10" s="190"/>
    </row>
    <row r="11" spans="1:20" s="132" customFormat="1" ht="17.25" customHeight="1">
      <c r="A11" s="145">
        <f t="shared" si="3"/>
        <v>2</v>
      </c>
      <c r="B11" s="133" t="s">
        <v>298</v>
      </c>
      <c r="C11" s="134">
        <v>42684</v>
      </c>
      <c r="D11" s="134">
        <v>42865</v>
      </c>
      <c r="E11" s="136"/>
      <c r="F11" s="135">
        <v>82000</v>
      </c>
      <c r="G11" s="136"/>
      <c r="H11" s="134"/>
      <c r="I11" s="135"/>
      <c r="J11" s="135"/>
      <c r="K11" s="131"/>
      <c r="L11" s="130">
        <f t="shared" si="4"/>
        <v>82000</v>
      </c>
      <c r="M11" s="135"/>
      <c r="N11" s="135"/>
      <c r="O11" s="137">
        <f t="shared" si="5"/>
        <v>0</v>
      </c>
      <c r="P11" s="137">
        <f t="shared" ref="P11:P19" si="6">IF((LEFT(B11,4)="1025"),F11*R11*DATEDIF(DATE(YEAR(Q11),MONTH(Q11)-1,DAY(Q11)),Q11,"d")/360,0)</f>
        <v>211.83333333333334</v>
      </c>
      <c r="Q11" s="129">
        <v>42696</v>
      </c>
      <c r="R11" s="187">
        <v>0.03</v>
      </c>
      <c r="S11" s="152" t="s">
        <v>380</v>
      </c>
    </row>
    <row r="12" spans="1:20" s="132" customFormat="1" ht="17.25" customHeight="1">
      <c r="A12" s="145">
        <f t="shared" si="3"/>
        <v>3</v>
      </c>
      <c r="B12" s="133" t="s">
        <v>379</v>
      </c>
      <c r="C12" s="134">
        <v>42660</v>
      </c>
      <c r="D12" s="134">
        <v>42842</v>
      </c>
      <c r="E12" s="136"/>
      <c r="F12" s="135">
        <v>96000</v>
      </c>
      <c r="G12" s="136"/>
      <c r="H12" s="134"/>
      <c r="I12" s="135"/>
      <c r="J12" s="135"/>
      <c r="K12" s="131"/>
      <c r="L12" s="130">
        <f t="shared" si="4"/>
        <v>96000</v>
      </c>
      <c r="M12" s="135"/>
      <c r="N12" s="135"/>
      <c r="O12" s="137">
        <f t="shared" si="5"/>
        <v>0</v>
      </c>
      <c r="P12" s="137">
        <f>IF((LEFT(B12,4)="1025"),F12*R12*DATEDIF(DATE(YEAR(Q12),MONTH(Q12)-1,DAY(Q12)),Q12,"d")/360,0)</f>
        <v>248</v>
      </c>
      <c r="Q12" s="129">
        <v>42696</v>
      </c>
      <c r="R12" s="187">
        <v>0.03</v>
      </c>
      <c r="S12" s="152" t="s">
        <v>381</v>
      </c>
    </row>
    <row r="13" spans="1:20" s="132" customFormat="1" ht="17.25" customHeight="1">
      <c r="A13" s="145">
        <f t="shared" si="3"/>
        <v>4</v>
      </c>
      <c r="B13" s="133" t="s">
        <v>378</v>
      </c>
      <c r="C13" s="134">
        <v>42649</v>
      </c>
      <c r="D13" s="134">
        <v>42831</v>
      </c>
      <c r="E13" s="136"/>
      <c r="F13" s="135">
        <v>96000</v>
      </c>
      <c r="G13" s="136"/>
      <c r="H13" s="134"/>
      <c r="I13" s="135"/>
      <c r="J13" s="135"/>
      <c r="K13" s="131"/>
      <c r="L13" s="130">
        <f t="shared" si="4"/>
        <v>96000</v>
      </c>
      <c r="M13" s="135"/>
      <c r="N13" s="135"/>
      <c r="O13" s="137">
        <f t="shared" si="5"/>
        <v>0</v>
      </c>
      <c r="P13" s="137">
        <f t="shared" si="6"/>
        <v>248</v>
      </c>
      <c r="Q13" s="129">
        <v>42696</v>
      </c>
      <c r="R13" s="187">
        <v>0.03</v>
      </c>
      <c r="S13" s="152" t="s">
        <v>381</v>
      </c>
      <c r="T13" s="191"/>
    </row>
    <row r="14" spans="1:20" s="147" customFormat="1" ht="17.25" customHeight="1">
      <c r="A14" s="145">
        <f t="shared" si="3"/>
        <v>5</v>
      </c>
      <c r="B14" s="133" t="s">
        <v>426</v>
      </c>
      <c r="C14" s="134">
        <v>42718</v>
      </c>
      <c r="D14" s="134">
        <v>42900</v>
      </c>
      <c r="E14" s="136"/>
      <c r="F14" s="135">
        <v>137000</v>
      </c>
      <c r="G14" s="136"/>
      <c r="H14" s="134"/>
      <c r="I14" s="135"/>
      <c r="J14" s="135"/>
      <c r="K14" s="130"/>
      <c r="L14" s="130">
        <f t="shared" si="4"/>
        <v>137000</v>
      </c>
      <c r="M14" s="135"/>
      <c r="N14" s="135"/>
      <c r="O14" s="137">
        <f t="shared" si="5"/>
        <v>0</v>
      </c>
      <c r="P14" s="137">
        <f t="shared" si="6"/>
        <v>353.91666666666669</v>
      </c>
      <c r="Q14" s="129">
        <v>42696</v>
      </c>
      <c r="R14" s="187">
        <v>0.03</v>
      </c>
      <c r="S14" s="138" t="s">
        <v>382</v>
      </c>
      <c r="T14" s="201">
        <f>E13*R13/12</f>
        <v>0</v>
      </c>
    </row>
    <row r="15" spans="1:20" s="132" customFormat="1" ht="17.25" customHeight="1">
      <c r="A15" s="145">
        <f t="shared" si="3"/>
        <v>6</v>
      </c>
      <c r="B15" s="133" t="s">
        <v>465</v>
      </c>
      <c r="C15" s="134">
        <v>42733</v>
      </c>
      <c r="D15" s="134">
        <v>42915</v>
      </c>
      <c r="E15" s="136"/>
      <c r="F15" s="135">
        <v>85000</v>
      </c>
      <c r="G15" s="136"/>
      <c r="H15" s="134"/>
      <c r="I15" s="135"/>
      <c r="J15" s="135"/>
      <c r="K15" s="130"/>
      <c r="L15" s="130">
        <f t="shared" si="4"/>
        <v>85000</v>
      </c>
      <c r="M15" s="135"/>
      <c r="N15" s="135"/>
      <c r="O15" s="137">
        <f t="shared" si="5"/>
        <v>0</v>
      </c>
      <c r="P15" s="137">
        <f t="shared" si="6"/>
        <v>219.58333333333334</v>
      </c>
      <c r="Q15" s="129">
        <v>42696</v>
      </c>
      <c r="R15" s="187">
        <v>0.03</v>
      </c>
      <c r="S15" s="138" t="s">
        <v>382</v>
      </c>
      <c r="T15" s="191"/>
    </row>
    <row r="16" spans="1:20" s="132" customFormat="1" ht="17.25" customHeight="1">
      <c r="A16" s="145">
        <f t="shared" si="3"/>
        <v>7</v>
      </c>
      <c r="B16" s="133" t="s">
        <v>484</v>
      </c>
      <c r="C16" s="134">
        <v>42741</v>
      </c>
      <c r="D16" s="134">
        <v>42922</v>
      </c>
      <c r="E16" s="136"/>
      <c r="F16" s="135">
        <v>93000</v>
      </c>
      <c r="G16" s="136"/>
      <c r="H16" s="134"/>
      <c r="I16" s="135"/>
      <c r="J16" s="135"/>
      <c r="K16" s="130"/>
      <c r="L16" s="130">
        <f t="shared" si="4"/>
        <v>93000</v>
      </c>
      <c r="M16" s="135"/>
      <c r="N16" s="135"/>
      <c r="O16" s="137">
        <f t="shared" si="5"/>
        <v>0</v>
      </c>
      <c r="P16" s="137">
        <f t="shared" si="6"/>
        <v>240.25</v>
      </c>
      <c r="Q16" s="129">
        <v>42696</v>
      </c>
      <c r="R16" s="187">
        <v>0.03</v>
      </c>
      <c r="S16" s="152" t="s">
        <v>380</v>
      </c>
      <c r="T16" s="191"/>
    </row>
    <row r="17" spans="1:20" s="132" customFormat="1" ht="17.25" customHeight="1">
      <c r="A17" s="145">
        <f t="shared" si="3"/>
        <v>8</v>
      </c>
      <c r="B17" s="133" t="s">
        <v>301</v>
      </c>
      <c r="C17" s="162">
        <v>42600</v>
      </c>
      <c r="D17" s="134">
        <v>42784</v>
      </c>
      <c r="E17" s="136"/>
      <c r="F17" s="163">
        <v>63000</v>
      </c>
      <c r="G17" s="136"/>
      <c r="H17" s="162"/>
      <c r="I17" s="163"/>
      <c r="J17" s="163"/>
      <c r="K17" s="130"/>
      <c r="L17" s="130">
        <f t="shared" si="4"/>
        <v>63000</v>
      </c>
      <c r="M17" s="163"/>
      <c r="N17" s="163"/>
      <c r="O17" s="137">
        <f t="shared" si="5"/>
        <v>0</v>
      </c>
      <c r="P17" s="137">
        <f t="shared" si="6"/>
        <v>162.75</v>
      </c>
      <c r="Q17" s="129">
        <v>42696</v>
      </c>
      <c r="R17" s="187">
        <v>0.03</v>
      </c>
      <c r="S17" s="152" t="s">
        <v>380</v>
      </c>
      <c r="T17" s="191"/>
    </row>
    <row r="18" spans="1:20" s="132" customFormat="1" ht="17.25" customHeight="1">
      <c r="A18" s="145">
        <f t="shared" si="3"/>
        <v>9</v>
      </c>
      <c r="B18" s="133" t="s">
        <v>306</v>
      </c>
      <c r="C18" s="162">
        <v>42612</v>
      </c>
      <c r="D18" s="134">
        <v>42794</v>
      </c>
      <c r="E18" s="164"/>
      <c r="F18" s="163">
        <v>89500</v>
      </c>
      <c r="G18" s="136"/>
      <c r="H18" s="162"/>
      <c r="I18" s="163"/>
      <c r="J18" s="163"/>
      <c r="K18" s="130"/>
      <c r="L18" s="130">
        <f t="shared" si="4"/>
        <v>89500</v>
      </c>
      <c r="M18" s="163"/>
      <c r="N18" s="163"/>
      <c r="O18" s="137">
        <f t="shared" si="5"/>
        <v>0</v>
      </c>
      <c r="P18" s="137">
        <f t="shared" si="6"/>
        <v>231.20833333333334</v>
      </c>
      <c r="Q18" s="129">
        <v>42696</v>
      </c>
      <c r="R18" s="187">
        <v>0.03</v>
      </c>
      <c r="S18" s="152" t="s">
        <v>380</v>
      </c>
      <c r="T18" s="191"/>
    </row>
    <row r="19" spans="1:20" s="132" customFormat="1" ht="17.25" customHeight="1">
      <c r="A19" s="145">
        <f t="shared" si="3"/>
        <v>10</v>
      </c>
      <c r="B19" s="133" t="s">
        <v>314</v>
      </c>
      <c r="C19" s="162">
        <v>42626</v>
      </c>
      <c r="D19" s="134">
        <v>42807</v>
      </c>
      <c r="E19" s="164"/>
      <c r="F19" s="163">
        <v>88000</v>
      </c>
      <c r="G19" s="136"/>
      <c r="H19" s="162"/>
      <c r="I19" s="163"/>
      <c r="J19" s="163"/>
      <c r="K19" s="131"/>
      <c r="L19" s="130">
        <f t="shared" si="4"/>
        <v>88000</v>
      </c>
      <c r="M19" s="163"/>
      <c r="N19" s="164">
        <f>P19*G19</f>
        <v>0</v>
      </c>
      <c r="O19" s="137">
        <f t="shared" si="5"/>
        <v>0</v>
      </c>
      <c r="P19" s="137">
        <f t="shared" si="6"/>
        <v>227.33333333333334</v>
      </c>
      <c r="Q19" s="129">
        <v>42696</v>
      </c>
      <c r="R19" s="187">
        <v>0.03</v>
      </c>
      <c r="S19" s="152" t="s">
        <v>380</v>
      </c>
    </row>
    <row r="20" spans="1:20" s="132" customFormat="1" ht="17.25" customHeight="1">
      <c r="A20" s="145">
        <f t="shared" si="3"/>
        <v>11</v>
      </c>
      <c r="B20" s="133"/>
      <c r="C20" s="162">
        <v>42754</v>
      </c>
      <c r="D20" s="134"/>
      <c r="E20" s="164"/>
      <c r="F20" s="163">
        <v>51100</v>
      </c>
      <c r="G20" s="164"/>
      <c r="H20" s="162"/>
      <c r="I20" s="163"/>
      <c r="J20" s="163"/>
      <c r="K20" s="131"/>
      <c r="L20" s="130">
        <f t="shared" si="4"/>
        <v>51100</v>
      </c>
      <c r="M20" s="163"/>
      <c r="N20" s="164"/>
      <c r="O20" s="137"/>
      <c r="P20" s="137"/>
      <c r="Q20" s="129"/>
      <c r="R20" s="187"/>
      <c r="S20" s="152"/>
    </row>
    <row r="21" spans="1:20" s="132" customFormat="1" ht="17.25" customHeight="1">
      <c r="A21" s="145"/>
      <c r="B21" s="133"/>
      <c r="C21" s="162"/>
      <c r="D21" s="134"/>
      <c r="E21" s="163"/>
      <c r="F21" s="163"/>
      <c r="G21" s="164"/>
      <c r="H21" s="162"/>
      <c r="I21" s="163"/>
      <c r="J21" s="163"/>
      <c r="K21" s="130"/>
      <c r="L21" s="130"/>
      <c r="M21" s="163"/>
      <c r="N21" s="163"/>
      <c r="O21" s="135"/>
      <c r="P21" s="135"/>
      <c r="Q21" s="129"/>
      <c r="R21" s="187"/>
      <c r="S21" s="152"/>
    </row>
    <row r="22" spans="1:20" s="168" customFormat="1" ht="17.25" customHeight="1">
      <c r="A22" s="252" t="s">
        <v>305</v>
      </c>
      <c r="B22" s="252"/>
      <c r="C22" s="165"/>
      <c r="D22" s="165"/>
      <c r="E22" s="140">
        <f>SUM(E4:E21)</f>
        <v>0</v>
      </c>
      <c r="F22" s="141">
        <f>SUM(F10:F21)</f>
        <v>969600</v>
      </c>
      <c r="G22" s="140">
        <f>SUM(G4:G16)</f>
        <v>0</v>
      </c>
      <c r="H22" s="139"/>
      <c r="I22" s="141">
        <f>SUM(I10:I21)</f>
        <v>0</v>
      </c>
      <c r="J22" s="141">
        <f>SUM(J10:J21)</f>
        <v>0</v>
      </c>
      <c r="K22" s="141">
        <f>SUM(K10:K21)</f>
        <v>0</v>
      </c>
      <c r="L22" s="141">
        <f>SUM(L10:L21)</f>
        <v>969600</v>
      </c>
      <c r="M22" s="141">
        <f>SUM(M4:M14)</f>
        <v>0</v>
      </c>
      <c r="N22" s="141"/>
      <c r="O22" s="141">
        <f>SUM(O10:O21)</f>
        <v>0</v>
      </c>
      <c r="P22" s="141">
        <f>SUM(P10:P21)</f>
        <v>2372.791666666667</v>
      </c>
      <c r="Q22" s="166"/>
      <c r="R22" s="167"/>
      <c r="S22" s="143"/>
    </row>
    <row r="23" spans="1:20" s="147" customFormat="1" ht="17.25" customHeight="1">
      <c r="A23" s="145">
        <f>ROW()-22</f>
        <v>1</v>
      </c>
      <c r="B23" s="148" t="s">
        <v>280</v>
      </c>
      <c r="C23" s="149">
        <v>41870</v>
      </c>
      <c r="D23" s="149">
        <v>46253</v>
      </c>
      <c r="E23" s="150">
        <f>'01-17'!K28</f>
        <v>958300000</v>
      </c>
      <c r="F23" s="137"/>
      <c r="G23" s="150"/>
      <c r="H23" s="149">
        <v>42785</v>
      </c>
      <c r="I23" s="150">
        <v>8340000</v>
      </c>
      <c r="J23" s="137"/>
      <c r="K23" s="150">
        <f t="shared" ref="K23:K37" si="7">E23-I23</f>
        <v>949960000</v>
      </c>
      <c r="L23" s="137"/>
      <c r="M23" s="150">
        <f>IF((LEFT(B23,4)="1402"),E23*R23*DATEDIF(DATE(YEAR(Q23),MONTH(Q23)-1,IF(MONTH(C23)=(MONTH(Q23)-1),DAY(C23),16)),Q23,"d")/360,0)</f>
        <v>8145550</v>
      </c>
      <c r="N23" s="137"/>
      <c r="O23" s="137">
        <f>IF((LEFT(B23,4)="1402"),F23*R23*DATEDIF(DATE(YEAR(Q23),MONTH(Q23)-1,IF(MONTH(C23)=(MONTH(Q23)-1),DAY(C23),16)),Q23,"d")/360,0)</f>
        <v>0</v>
      </c>
      <c r="P23" s="137">
        <f t="shared" ref="P23:P37" si="8">IF((LEFT(B23,4)="1015"),F23*R23*DATEDIF(Q23,Q$1,"d")/360,0)</f>
        <v>0</v>
      </c>
      <c r="Q23" s="189">
        <v>42785</v>
      </c>
      <c r="R23" s="188">
        <v>0.09</v>
      </c>
      <c r="S23" s="170" t="s">
        <v>281</v>
      </c>
    </row>
    <row r="24" spans="1:20" s="147" customFormat="1" ht="17.25" customHeight="1">
      <c r="A24" s="145">
        <f t="shared" ref="A24:A37" si="9">ROW()-22</f>
        <v>2</v>
      </c>
      <c r="B24" s="148" t="s">
        <v>282</v>
      </c>
      <c r="C24" s="149">
        <v>41905</v>
      </c>
      <c r="D24" s="149">
        <v>46253</v>
      </c>
      <c r="E24" s="150">
        <f>'01-17'!K29</f>
        <v>1916650000</v>
      </c>
      <c r="F24" s="137"/>
      <c r="G24" s="150"/>
      <c r="H24" s="149">
        <v>42785</v>
      </c>
      <c r="I24" s="150">
        <v>16670000</v>
      </c>
      <c r="J24" s="137"/>
      <c r="K24" s="150">
        <f t="shared" si="7"/>
        <v>1899980000</v>
      </c>
      <c r="L24" s="137"/>
      <c r="M24" s="150">
        <f t="shared" ref="M24:M36" si="10">IF((LEFT(B24,4)="1402"),E24*R24*DATEDIF(DATE(YEAR(Q24),MONTH(Q24)-1,IF(MONTH(C24)=(MONTH(Q24)-1),DAY(C24),16)),Q24,"d")/360,0)</f>
        <v>16291525</v>
      </c>
      <c r="N24" s="137"/>
      <c r="O24" s="137">
        <f t="shared" ref="O24:O37" si="11">IF((LEFT(B24,4)="1402"),F24*R24*DATEDIF(DATE(YEAR(Q24),MONTH(Q24)-1,IF(MONTH(C24)=(MONTH(Q24)-1),DAY(C24),16)),Q24,"d")/360,0)</f>
        <v>0</v>
      </c>
      <c r="P24" s="137">
        <f t="shared" si="8"/>
        <v>0</v>
      </c>
      <c r="Q24" s="189">
        <v>42785</v>
      </c>
      <c r="R24" s="188">
        <v>0.09</v>
      </c>
      <c r="S24" s="152" t="s">
        <v>281</v>
      </c>
    </row>
    <row r="25" spans="1:20" s="147" customFormat="1" ht="17.25" customHeight="1">
      <c r="A25" s="145">
        <f t="shared" si="9"/>
        <v>3</v>
      </c>
      <c r="B25" s="148" t="s">
        <v>283</v>
      </c>
      <c r="C25" s="171">
        <v>41934</v>
      </c>
      <c r="D25" s="149">
        <v>46253</v>
      </c>
      <c r="E25" s="150">
        <f>'01-17'!K30</f>
        <v>1533300000</v>
      </c>
      <c r="F25" s="173"/>
      <c r="G25" s="172"/>
      <c r="H25" s="149">
        <v>42785</v>
      </c>
      <c r="I25" s="172">
        <v>13340000</v>
      </c>
      <c r="J25" s="173"/>
      <c r="K25" s="150">
        <f t="shared" si="7"/>
        <v>1519960000</v>
      </c>
      <c r="L25" s="173"/>
      <c r="M25" s="150">
        <f t="shared" si="10"/>
        <v>13033050</v>
      </c>
      <c r="N25" s="173"/>
      <c r="O25" s="137">
        <f t="shared" si="11"/>
        <v>0</v>
      </c>
      <c r="P25" s="137">
        <f t="shared" si="8"/>
        <v>0</v>
      </c>
      <c r="Q25" s="189">
        <v>42785</v>
      </c>
      <c r="R25" s="188">
        <v>0.09</v>
      </c>
      <c r="S25" s="152" t="s">
        <v>281</v>
      </c>
    </row>
    <row r="26" spans="1:20" s="147" customFormat="1" ht="17.25" customHeight="1">
      <c r="A26" s="145">
        <f t="shared" si="9"/>
        <v>4</v>
      </c>
      <c r="B26" s="148" t="s">
        <v>284</v>
      </c>
      <c r="C26" s="171">
        <v>41963</v>
      </c>
      <c r="D26" s="149">
        <v>46253</v>
      </c>
      <c r="E26" s="150">
        <f>'01-17'!K31</f>
        <v>1462500000</v>
      </c>
      <c r="F26" s="173"/>
      <c r="G26" s="172"/>
      <c r="H26" s="149">
        <v>42785</v>
      </c>
      <c r="I26" s="172">
        <v>12500000</v>
      </c>
      <c r="J26" s="173"/>
      <c r="K26" s="150">
        <f t="shared" si="7"/>
        <v>1450000000</v>
      </c>
      <c r="L26" s="173"/>
      <c r="M26" s="150">
        <f t="shared" si="10"/>
        <v>12431250</v>
      </c>
      <c r="N26" s="173"/>
      <c r="O26" s="137">
        <f t="shared" si="11"/>
        <v>0</v>
      </c>
      <c r="P26" s="137">
        <f t="shared" si="8"/>
        <v>0</v>
      </c>
      <c r="Q26" s="189">
        <v>42785</v>
      </c>
      <c r="R26" s="188">
        <v>0.09</v>
      </c>
      <c r="S26" s="152" t="s">
        <v>281</v>
      </c>
    </row>
    <row r="27" spans="1:20" s="147" customFormat="1" ht="17.25" customHeight="1">
      <c r="A27" s="145">
        <f t="shared" si="9"/>
        <v>5</v>
      </c>
      <c r="B27" s="148" t="s">
        <v>285</v>
      </c>
      <c r="C27" s="171">
        <v>41984</v>
      </c>
      <c r="D27" s="149">
        <v>46253</v>
      </c>
      <c r="E27" s="150">
        <f>'01-17'!K32</f>
        <v>958350000</v>
      </c>
      <c r="F27" s="173"/>
      <c r="G27" s="172"/>
      <c r="H27" s="149">
        <v>42785</v>
      </c>
      <c r="I27" s="172">
        <v>8330000</v>
      </c>
      <c r="J27" s="173"/>
      <c r="K27" s="172">
        <f t="shared" si="7"/>
        <v>950020000</v>
      </c>
      <c r="L27" s="173"/>
      <c r="M27" s="150">
        <f t="shared" si="10"/>
        <v>8145975</v>
      </c>
      <c r="N27" s="173"/>
      <c r="O27" s="137">
        <f t="shared" si="11"/>
        <v>0</v>
      </c>
      <c r="P27" s="137">
        <f t="shared" si="8"/>
        <v>0</v>
      </c>
      <c r="Q27" s="189">
        <v>42785</v>
      </c>
      <c r="R27" s="188">
        <v>0.09</v>
      </c>
      <c r="S27" s="152" t="s">
        <v>281</v>
      </c>
    </row>
    <row r="28" spans="1:20" s="147" customFormat="1" ht="17.25" customHeight="1">
      <c r="A28" s="145">
        <f t="shared" si="9"/>
        <v>6</v>
      </c>
      <c r="B28" s="148" t="s">
        <v>286</v>
      </c>
      <c r="C28" s="171">
        <v>42033</v>
      </c>
      <c r="D28" s="149">
        <v>46253</v>
      </c>
      <c r="E28" s="150">
        <f>'01-17'!K33</f>
        <v>1437500000</v>
      </c>
      <c r="F28" s="173"/>
      <c r="G28" s="172"/>
      <c r="H28" s="149">
        <v>42785</v>
      </c>
      <c r="I28" s="172">
        <v>12500000</v>
      </c>
      <c r="J28" s="173"/>
      <c r="K28" s="172">
        <f t="shared" si="7"/>
        <v>1425000000</v>
      </c>
      <c r="L28" s="173"/>
      <c r="M28" s="150">
        <f t="shared" si="10"/>
        <v>7546875</v>
      </c>
      <c r="N28" s="173"/>
      <c r="O28" s="137">
        <f t="shared" si="11"/>
        <v>0</v>
      </c>
      <c r="P28" s="137">
        <f t="shared" si="8"/>
        <v>0</v>
      </c>
      <c r="Q28" s="189">
        <v>42785</v>
      </c>
      <c r="R28" s="188">
        <v>0.09</v>
      </c>
      <c r="S28" s="152" t="s">
        <v>281</v>
      </c>
    </row>
    <row r="29" spans="1:20" s="147" customFormat="1" ht="17.25" customHeight="1">
      <c r="A29" s="145">
        <f t="shared" si="9"/>
        <v>7</v>
      </c>
      <c r="B29" s="148" t="s">
        <v>287</v>
      </c>
      <c r="C29" s="171">
        <v>42088</v>
      </c>
      <c r="D29" s="149">
        <v>46253</v>
      </c>
      <c r="E29" s="150">
        <f>'01-17'!K34</f>
        <v>1916650000</v>
      </c>
      <c r="F29" s="173"/>
      <c r="G29" s="172"/>
      <c r="H29" s="149">
        <v>42785</v>
      </c>
      <c r="I29" s="172">
        <v>16670000</v>
      </c>
      <c r="J29" s="173"/>
      <c r="K29" s="172">
        <f t="shared" si="7"/>
        <v>1899980000</v>
      </c>
      <c r="L29" s="173"/>
      <c r="M29" s="150">
        <f t="shared" si="10"/>
        <v>16291525</v>
      </c>
      <c r="N29" s="173"/>
      <c r="O29" s="137">
        <f t="shared" si="11"/>
        <v>0</v>
      </c>
      <c r="P29" s="137">
        <f t="shared" si="8"/>
        <v>0</v>
      </c>
      <c r="Q29" s="189">
        <v>42785</v>
      </c>
      <c r="R29" s="188">
        <v>0.09</v>
      </c>
      <c r="S29" s="152" t="s">
        <v>281</v>
      </c>
    </row>
    <row r="30" spans="1:20" s="147" customFormat="1" ht="17.25" customHeight="1">
      <c r="A30" s="145">
        <f t="shared" si="9"/>
        <v>8</v>
      </c>
      <c r="B30" s="148" t="s">
        <v>288</v>
      </c>
      <c r="C30" s="171">
        <v>42114</v>
      </c>
      <c r="D30" s="149">
        <v>46253</v>
      </c>
      <c r="E30" s="150">
        <f>'01-17'!K35</f>
        <v>1341650000</v>
      </c>
      <c r="F30" s="173"/>
      <c r="G30" s="172"/>
      <c r="H30" s="149">
        <v>42785</v>
      </c>
      <c r="I30" s="172">
        <v>11670000</v>
      </c>
      <c r="J30" s="173"/>
      <c r="K30" s="172">
        <f t="shared" si="7"/>
        <v>1329980000</v>
      </c>
      <c r="L30" s="173"/>
      <c r="M30" s="150">
        <f t="shared" si="10"/>
        <v>11404025</v>
      </c>
      <c r="N30" s="173"/>
      <c r="O30" s="137">
        <f t="shared" si="11"/>
        <v>0</v>
      </c>
      <c r="P30" s="137">
        <f t="shared" si="8"/>
        <v>0</v>
      </c>
      <c r="Q30" s="189">
        <v>42785</v>
      </c>
      <c r="R30" s="188">
        <v>0.09</v>
      </c>
      <c r="S30" s="152" t="s">
        <v>281</v>
      </c>
    </row>
    <row r="31" spans="1:20" s="147" customFormat="1" ht="17.25" customHeight="1">
      <c r="A31" s="145">
        <f t="shared" si="9"/>
        <v>9</v>
      </c>
      <c r="B31" s="148" t="s">
        <v>289</v>
      </c>
      <c r="C31" s="171">
        <v>42138</v>
      </c>
      <c r="D31" s="149">
        <v>46253</v>
      </c>
      <c r="E31" s="150">
        <f>'01-17'!K36</f>
        <v>1437500000</v>
      </c>
      <c r="F31" s="173"/>
      <c r="G31" s="172"/>
      <c r="H31" s="149">
        <v>42785</v>
      </c>
      <c r="I31" s="172">
        <v>12500000</v>
      </c>
      <c r="J31" s="173"/>
      <c r="K31" s="172">
        <f t="shared" si="7"/>
        <v>1425000000</v>
      </c>
      <c r="L31" s="173"/>
      <c r="M31" s="150">
        <f t="shared" si="10"/>
        <v>12218750</v>
      </c>
      <c r="N31" s="173"/>
      <c r="O31" s="137">
        <f t="shared" si="11"/>
        <v>0</v>
      </c>
      <c r="P31" s="137">
        <f t="shared" si="8"/>
        <v>0</v>
      </c>
      <c r="Q31" s="189">
        <v>42785</v>
      </c>
      <c r="R31" s="188">
        <v>0.09</v>
      </c>
      <c r="S31" s="152" t="s">
        <v>281</v>
      </c>
    </row>
    <row r="32" spans="1:20" s="147" customFormat="1" ht="17.25" customHeight="1">
      <c r="A32" s="145">
        <f t="shared" si="9"/>
        <v>10</v>
      </c>
      <c r="B32" s="148" t="s">
        <v>290</v>
      </c>
      <c r="C32" s="171">
        <v>42164</v>
      </c>
      <c r="D32" s="149">
        <v>46253</v>
      </c>
      <c r="E32" s="150">
        <f>'01-17'!K37</f>
        <v>1437500000</v>
      </c>
      <c r="F32" s="173"/>
      <c r="G32" s="172"/>
      <c r="H32" s="149">
        <v>42785</v>
      </c>
      <c r="I32" s="172">
        <v>12500000</v>
      </c>
      <c r="J32" s="173"/>
      <c r="K32" s="172">
        <f t="shared" si="7"/>
        <v>1425000000</v>
      </c>
      <c r="L32" s="173"/>
      <c r="M32" s="150">
        <f t="shared" si="10"/>
        <v>12218750</v>
      </c>
      <c r="N32" s="173"/>
      <c r="O32" s="137">
        <f t="shared" si="11"/>
        <v>0</v>
      </c>
      <c r="P32" s="137">
        <f t="shared" si="8"/>
        <v>0</v>
      </c>
      <c r="Q32" s="189">
        <v>42785</v>
      </c>
      <c r="R32" s="188">
        <v>0.09</v>
      </c>
      <c r="S32" s="152" t="s">
        <v>281</v>
      </c>
    </row>
    <row r="33" spans="1:19" s="147" customFormat="1" ht="17.25" customHeight="1">
      <c r="A33" s="145">
        <f t="shared" si="9"/>
        <v>11</v>
      </c>
      <c r="B33" s="148" t="s">
        <v>291</v>
      </c>
      <c r="C33" s="171">
        <v>42187</v>
      </c>
      <c r="D33" s="149">
        <v>46253</v>
      </c>
      <c r="E33" s="150">
        <f>'01-17'!K38</f>
        <v>1437500000</v>
      </c>
      <c r="F33" s="173"/>
      <c r="G33" s="172"/>
      <c r="H33" s="149">
        <v>42785</v>
      </c>
      <c r="I33" s="172">
        <v>12500000</v>
      </c>
      <c r="J33" s="173"/>
      <c r="K33" s="172">
        <f t="shared" si="7"/>
        <v>1425000000</v>
      </c>
      <c r="L33" s="173"/>
      <c r="M33" s="150">
        <f t="shared" si="10"/>
        <v>12218750</v>
      </c>
      <c r="N33" s="173"/>
      <c r="O33" s="137">
        <f t="shared" si="11"/>
        <v>0</v>
      </c>
      <c r="P33" s="137">
        <f t="shared" si="8"/>
        <v>0</v>
      </c>
      <c r="Q33" s="189">
        <v>42785</v>
      </c>
      <c r="R33" s="188">
        <v>0.09</v>
      </c>
      <c r="S33" s="152" t="s">
        <v>281</v>
      </c>
    </row>
    <row r="34" spans="1:19" s="147" customFormat="1" ht="17.25" customHeight="1">
      <c r="A34" s="145">
        <f t="shared" si="9"/>
        <v>12</v>
      </c>
      <c r="B34" s="148" t="s">
        <v>292</v>
      </c>
      <c r="C34" s="171">
        <v>42195</v>
      </c>
      <c r="D34" s="149">
        <v>46253</v>
      </c>
      <c r="E34" s="150">
        <f>'01-17'!K39</f>
        <v>1437500000</v>
      </c>
      <c r="F34" s="173"/>
      <c r="G34" s="172"/>
      <c r="H34" s="149">
        <v>42785</v>
      </c>
      <c r="I34" s="172">
        <v>12500000</v>
      </c>
      <c r="J34" s="173"/>
      <c r="K34" s="172">
        <f t="shared" si="7"/>
        <v>1425000000</v>
      </c>
      <c r="L34" s="173"/>
      <c r="M34" s="150">
        <f t="shared" si="10"/>
        <v>12218750</v>
      </c>
      <c r="N34" s="173"/>
      <c r="O34" s="137">
        <f t="shared" si="11"/>
        <v>0</v>
      </c>
      <c r="P34" s="137">
        <f t="shared" si="8"/>
        <v>0</v>
      </c>
      <c r="Q34" s="189">
        <v>42785</v>
      </c>
      <c r="R34" s="188">
        <v>0.09</v>
      </c>
      <c r="S34" s="152" t="s">
        <v>281</v>
      </c>
    </row>
    <row r="35" spans="1:19" s="147" customFormat="1" ht="17.25" customHeight="1">
      <c r="A35" s="145">
        <f t="shared" si="9"/>
        <v>13</v>
      </c>
      <c r="B35" s="148" t="s">
        <v>293</v>
      </c>
      <c r="C35" s="171">
        <v>42215</v>
      </c>
      <c r="D35" s="149">
        <v>46253</v>
      </c>
      <c r="E35" s="150">
        <f>'01-17'!K40</f>
        <v>958310000</v>
      </c>
      <c r="F35" s="173"/>
      <c r="G35" s="172"/>
      <c r="H35" s="149">
        <v>42785</v>
      </c>
      <c r="I35" s="172">
        <v>8330000</v>
      </c>
      <c r="J35" s="173"/>
      <c r="K35" s="172">
        <f t="shared" si="7"/>
        <v>949980000</v>
      </c>
      <c r="L35" s="173"/>
      <c r="M35" s="150">
        <f t="shared" si="10"/>
        <v>8145635</v>
      </c>
      <c r="N35" s="173"/>
      <c r="O35" s="137">
        <f t="shared" si="11"/>
        <v>0</v>
      </c>
      <c r="P35" s="137">
        <f t="shared" si="8"/>
        <v>0</v>
      </c>
      <c r="Q35" s="189">
        <v>42785</v>
      </c>
      <c r="R35" s="188">
        <v>0.09</v>
      </c>
      <c r="S35" s="152" t="s">
        <v>281</v>
      </c>
    </row>
    <row r="36" spans="1:19" s="147" customFormat="1" ht="17.25" customHeight="1">
      <c r="A36" s="145">
        <f t="shared" si="9"/>
        <v>14</v>
      </c>
      <c r="B36" s="148" t="s">
        <v>294</v>
      </c>
      <c r="C36" s="171">
        <v>42229</v>
      </c>
      <c r="D36" s="149">
        <v>46253</v>
      </c>
      <c r="E36" s="150">
        <f>'01-17'!K41</f>
        <v>958310000</v>
      </c>
      <c r="F36" s="173"/>
      <c r="G36" s="172"/>
      <c r="H36" s="149">
        <v>42785</v>
      </c>
      <c r="I36" s="172">
        <v>8330000</v>
      </c>
      <c r="J36" s="173"/>
      <c r="K36" s="172">
        <f t="shared" si="7"/>
        <v>949980000</v>
      </c>
      <c r="L36" s="173"/>
      <c r="M36" s="150">
        <f t="shared" si="10"/>
        <v>8145635</v>
      </c>
      <c r="N36" s="173"/>
      <c r="O36" s="137">
        <f t="shared" si="11"/>
        <v>0</v>
      </c>
      <c r="P36" s="137">
        <f t="shared" si="8"/>
        <v>0</v>
      </c>
      <c r="Q36" s="189">
        <v>42785</v>
      </c>
      <c r="R36" s="188">
        <v>0.09</v>
      </c>
      <c r="S36" s="152" t="s">
        <v>281</v>
      </c>
    </row>
    <row r="37" spans="1:19" s="147" customFormat="1" ht="17.25" customHeight="1">
      <c r="A37" s="145">
        <f t="shared" si="9"/>
        <v>15</v>
      </c>
      <c r="B37" s="148" t="s">
        <v>429</v>
      </c>
      <c r="C37" s="171">
        <v>42730</v>
      </c>
      <c r="D37" s="171">
        <v>42851</v>
      </c>
      <c r="E37" s="172"/>
      <c r="F37" s="173">
        <v>87000</v>
      </c>
      <c r="G37" s="172"/>
      <c r="H37" s="171"/>
      <c r="I37" s="172"/>
      <c r="J37" s="173"/>
      <c r="K37" s="172">
        <f t="shared" si="7"/>
        <v>0</v>
      </c>
      <c r="L37" s="173">
        <f>F37</f>
        <v>87000</v>
      </c>
      <c r="M37" s="150"/>
      <c r="N37" s="173"/>
      <c r="O37" s="137">
        <f t="shared" si="11"/>
        <v>205.41666666666666</v>
      </c>
      <c r="P37" s="137">
        <f t="shared" si="8"/>
        <v>0</v>
      </c>
      <c r="Q37" s="189">
        <v>42785</v>
      </c>
      <c r="R37" s="188">
        <v>2.5000000000000001E-2</v>
      </c>
      <c r="S37" s="152"/>
    </row>
    <row r="38" spans="1:19" s="147" customFormat="1" ht="17.25" hidden="1" customHeight="1">
      <c r="A38" s="145"/>
      <c r="B38" s="148"/>
      <c r="C38" s="171"/>
      <c r="D38" s="171"/>
      <c r="E38" s="172"/>
      <c r="F38" s="173"/>
      <c r="G38" s="172"/>
      <c r="H38" s="171"/>
      <c r="I38" s="172"/>
      <c r="J38" s="173"/>
      <c r="K38" s="172"/>
      <c r="L38" s="173"/>
      <c r="M38" s="172"/>
      <c r="N38" s="173"/>
      <c r="O38" s="173"/>
      <c r="P38" s="173"/>
      <c r="Q38" s="169"/>
      <c r="R38" s="151"/>
      <c r="S38" s="152"/>
    </row>
    <row r="39" spans="1:19" s="132" customFormat="1" ht="17.25" customHeight="1">
      <c r="A39" s="128"/>
      <c r="B39" s="133"/>
      <c r="C39" s="162"/>
      <c r="D39" s="162"/>
      <c r="E39" s="164"/>
      <c r="F39" s="163"/>
      <c r="G39" s="164"/>
      <c r="H39" s="162"/>
      <c r="I39" s="164"/>
      <c r="J39" s="163"/>
      <c r="K39" s="164"/>
      <c r="L39" s="163"/>
      <c r="M39" s="164"/>
      <c r="N39" s="163"/>
      <c r="O39" s="163"/>
      <c r="P39" s="163"/>
      <c r="Q39" s="129"/>
      <c r="R39" s="161"/>
      <c r="S39" s="138"/>
    </row>
    <row r="40" spans="1:19" s="168" customFormat="1" ht="17.25" customHeight="1">
      <c r="A40" s="252" t="s">
        <v>295</v>
      </c>
      <c r="B40" s="252"/>
      <c r="C40" s="165"/>
      <c r="D40" s="165"/>
      <c r="E40" s="140">
        <f>SUM(E23:E39)</f>
        <v>19191520000</v>
      </c>
      <c r="F40" s="141">
        <f>SUM(F23:F39)</f>
        <v>87000</v>
      </c>
      <c r="G40" s="140">
        <f>SUM(G23:G39)</f>
        <v>0</v>
      </c>
      <c r="H40" s="141"/>
      <c r="I40" s="140">
        <f t="shared" ref="I40:P40" si="12">SUM(I23:I39)</f>
        <v>166680000</v>
      </c>
      <c r="J40" s="141">
        <f t="shared" si="12"/>
        <v>0</v>
      </c>
      <c r="K40" s="140">
        <f t="shared" si="12"/>
        <v>19024840000</v>
      </c>
      <c r="L40" s="141">
        <f t="shared" si="12"/>
        <v>87000</v>
      </c>
      <c r="M40" s="140">
        <f t="shared" si="12"/>
        <v>158456045</v>
      </c>
      <c r="N40" s="141">
        <f t="shared" si="12"/>
        <v>0</v>
      </c>
      <c r="O40" s="141">
        <f t="shared" si="12"/>
        <v>205.41666666666666</v>
      </c>
      <c r="P40" s="141">
        <f t="shared" si="12"/>
        <v>0</v>
      </c>
      <c r="Q40" s="166"/>
      <c r="R40" s="167"/>
      <c r="S40" s="143"/>
    </row>
    <row r="41" spans="1:19" ht="17.25" customHeight="1">
      <c r="F41" s="178"/>
    </row>
    <row r="42" spans="1:19" ht="17.25" customHeight="1">
      <c r="F42" s="175"/>
    </row>
    <row r="43" spans="1:19" ht="17.25" customHeight="1">
      <c r="F43" s="175"/>
    </row>
    <row r="44" spans="1:19" ht="17.25" customHeight="1">
      <c r="F44" s="175"/>
    </row>
    <row r="46" spans="1:19" ht="17.25" customHeight="1">
      <c r="F46" s="178"/>
    </row>
    <row r="54" spans="1:19" s="183" customFormat="1" ht="17.25" customHeight="1">
      <c r="A54" s="174"/>
      <c r="B54" s="175"/>
      <c r="C54" s="176"/>
      <c r="D54" s="176"/>
      <c r="E54" s="177"/>
      <c r="F54" s="181"/>
      <c r="G54" s="177"/>
      <c r="H54" s="179"/>
      <c r="I54" s="180"/>
      <c r="J54" s="180"/>
      <c r="K54" s="177"/>
      <c r="L54" s="181"/>
      <c r="M54" s="185"/>
      <c r="N54" s="185"/>
      <c r="O54" s="185"/>
      <c r="Q54" s="184"/>
      <c r="R54" s="184"/>
      <c r="S54" s="174"/>
    </row>
  </sheetData>
  <autoFilter ref="A3:S22"/>
  <mergeCells count="12">
    <mergeCell ref="A40:B40"/>
    <mergeCell ref="A2:A3"/>
    <mergeCell ref="B2:B3"/>
    <mergeCell ref="C2:D2"/>
    <mergeCell ref="E2:G2"/>
    <mergeCell ref="M2:Q2"/>
    <mergeCell ref="R2:R3"/>
    <mergeCell ref="S2:S3"/>
    <mergeCell ref="A9:B9"/>
    <mergeCell ref="A22:B22"/>
    <mergeCell ref="H2:J2"/>
    <mergeCell ref="K2:L2"/>
  </mergeCells>
  <pageMargins left="0.18" right="0" top="0.12" bottom="0" header="0" footer="0"/>
  <pageSetup paperSize="9" scale="90" orientation="landscape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8</vt:i4>
      </vt:variant>
    </vt:vector>
  </HeadingPairs>
  <TitlesOfParts>
    <vt:vector size="17" baseType="lpstr">
      <vt:lpstr>TH</vt:lpstr>
      <vt:lpstr>UNC - EIB</vt:lpstr>
      <vt:lpstr>UNC - PV</vt:lpstr>
      <vt:lpstr>LC - PV</vt:lpstr>
      <vt:lpstr>LC - EIB</vt:lpstr>
      <vt:lpstr>MAU</vt:lpstr>
      <vt:lpstr>U&amp;P</vt:lpstr>
      <vt:lpstr>01-17</vt:lpstr>
      <vt:lpstr>02-17</vt:lpstr>
      <vt:lpstr>DS</vt:lpstr>
      <vt:lpstr>N_1</vt:lpstr>
      <vt:lpstr>'LC - EIB'!Print_Area</vt:lpstr>
      <vt:lpstr>'LC - PV'!Print_Area</vt:lpstr>
      <vt:lpstr>'UNC - EIB'!Print_Area</vt:lpstr>
      <vt:lpstr>'UNC - PV'!Print_Area</vt:lpstr>
      <vt:lpstr>'01-17'!Print_Titles</vt:lpstr>
      <vt:lpstr>'02-17'!Print_Titles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 1</dc:creator>
  <cp:lastModifiedBy>User 1</cp:lastModifiedBy>
  <cp:lastPrinted>2017-02-27T04:37:56Z</cp:lastPrinted>
  <dcterms:created xsi:type="dcterms:W3CDTF">2016-07-02T08:51:17Z</dcterms:created>
  <dcterms:modified xsi:type="dcterms:W3CDTF">2017-02-28T09:31:19Z</dcterms:modified>
</cp:coreProperties>
</file>