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210" windowWidth="15150" windowHeight="8580" tabRatio="897" activeTab="4"/>
  </bookViews>
  <sheets>
    <sheet name="TH" sheetId="15" r:id="rId1"/>
    <sheet name="CC - 01" sheetId="50" r:id="rId2"/>
    <sheet name="L - 01" sheetId="51" r:id="rId3"/>
    <sheet name="CC - 02" sheetId="17" r:id="rId4"/>
    <sheet name="L - 02" sheetId="18" r:id="rId5"/>
    <sheet name="Sheet1" sheetId="49" r:id="rId6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2" hidden="1">{"'Sheet1'!$L$16"}</definedName>
    <definedName name="_a1" localSheetId="4" hidden="1">{"'Sheet1'!$L$16"}</definedName>
    <definedName name="_a1" localSheetId="0" hidden="1">{"'Sheet1'!$L$16"}</definedName>
    <definedName name="_a1" hidden="1">{"'Sheet1'!$L$16"}</definedName>
    <definedName name="_Fill" localSheetId="1" hidden="1">#REF!</definedName>
    <definedName name="_Fill" localSheetId="2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2" hidden="1">'L - 01'!$A$7:$AE$10</definedName>
    <definedName name="_xlnm._FilterDatabase" localSheetId="4" hidden="1">'L - 02'!$A$7:$AE$10</definedName>
    <definedName name="_xlnm._FilterDatabase" localSheetId="0" hidden="1">TH!$A$10:$AA$55</definedName>
    <definedName name="_Key1" localSheetId="1" hidden="1">#REF!</definedName>
    <definedName name="_Key1" localSheetId="2" hidden="1">#REF!</definedName>
    <definedName name="_Key1" hidden="1">#REF!</definedName>
    <definedName name="_Key2" localSheetId="1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2" hidden="1">#REF!</definedName>
    <definedName name="_Sort" hidden="1">#REF!</definedName>
    <definedName name="CP" localSheetId="1" hidden="1">#REF!</definedName>
    <definedName name="CP" localSheetId="2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0" hidden="1">{#N/A,#N/A,FALSE,"Chi tiÆt"}</definedName>
    <definedName name="dh" hidden="1">{#N/A,#N/A,FALSE,"Chi tiÆt"}</definedName>
    <definedName name="DS">TH!$B$11:$Y$55</definedName>
    <definedName name="GFSAH" localSheetId="1" hidden="1">{"'Sheet1'!$L$16"}</definedName>
    <definedName name="GFSAH" localSheetId="3" hidden="1">{"'Sheet1'!$L$16"}</definedName>
    <definedName name="GFSAH" localSheetId="2" hidden="1">{"'Sheet1'!$L$16"}</definedName>
    <definedName name="GFSAH" localSheetId="4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2" hidden="1">{"'Sheet1'!$L$16"}</definedName>
    <definedName name="h" localSheetId="4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2" hidden="1">{"'Sheet1'!$L$16"}</definedName>
    <definedName name="huy" localSheetId="4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2" hidden="1">{"'Sheet1'!$L$16"}</definedName>
    <definedName name="khkl" localSheetId="4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2" hidden="1">{"'Sheet1'!$L$16"}</definedName>
    <definedName name="kjjh" localSheetId="4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- 01'!$A$100:$AS$124</definedName>
    <definedName name="_xlnm.Print_Area" localSheetId="3">'CC - 02'!$A$100:$AS$124</definedName>
    <definedName name="_xlnm.Print_Area" localSheetId="2">'L - 01'!$A$44:$T$63</definedName>
    <definedName name="_xlnm.Print_Area" localSheetId="4">'L - 02'!$A$44:$T$63</definedName>
    <definedName name="ưer" localSheetId="1" hidden="1">{"'Sheet1'!$L$16"}</definedName>
    <definedName name="ưer" localSheetId="3" hidden="1">{"'Sheet1'!$L$16"}</definedName>
    <definedName name="ưer" localSheetId="2" hidden="1">{"'Sheet1'!$L$16"}</definedName>
    <definedName name="ưer" localSheetId="4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2" hidden="1">{"'Sheet1'!$L$16"}</definedName>
    <definedName name="UU" localSheetId="4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5725"/>
</workbook>
</file>

<file path=xl/calcChain.xml><?xml version="1.0" encoding="utf-8"?>
<calcChain xmlns="http://schemas.openxmlformats.org/spreadsheetml/2006/main">
  <c r="C93" i="17"/>
  <c r="E59" i="18"/>
  <c r="C59"/>
  <c r="D59"/>
  <c r="F59"/>
  <c r="H59"/>
  <c r="I59" s="1"/>
  <c r="L59"/>
  <c r="R59"/>
  <c r="L53" i="15"/>
  <c r="K53"/>
  <c r="D59" i="51"/>
  <c r="E59"/>
  <c r="F59"/>
  <c r="G59" s="1"/>
  <c r="H59"/>
  <c r="I59" s="1"/>
  <c r="L59"/>
  <c r="N59"/>
  <c r="O59"/>
  <c r="P59"/>
  <c r="R59"/>
  <c r="C59"/>
  <c r="F53"/>
  <c r="F54"/>
  <c r="F55"/>
  <c r="F56"/>
  <c r="F57"/>
  <c r="L57" s="1"/>
  <c r="F58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L29" s="1"/>
  <c r="F10"/>
  <c r="L10" s="1"/>
  <c r="D1"/>
  <c r="R58"/>
  <c r="H58"/>
  <c r="L58"/>
  <c r="E58"/>
  <c r="O58" s="1"/>
  <c r="D58"/>
  <c r="C58"/>
  <c r="R57"/>
  <c r="H57"/>
  <c r="E57"/>
  <c r="O57" s="1"/>
  <c r="D57"/>
  <c r="C57"/>
  <c r="R56"/>
  <c r="H56"/>
  <c r="L56"/>
  <c r="E56"/>
  <c r="O56" s="1"/>
  <c r="D56"/>
  <c r="C56"/>
  <c r="R55"/>
  <c r="H55"/>
  <c r="L55"/>
  <c r="E55"/>
  <c r="O55" s="1"/>
  <c r="D55"/>
  <c r="C55"/>
  <c r="R54"/>
  <c r="H54"/>
  <c r="L54"/>
  <c r="E54"/>
  <c r="O54" s="1"/>
  <c r="D54"/>
  <c r="C54"/>
  <c r="R53"/>
  <c r="H53"/>
  <c r="L53"/>
  <c r="E53"/>
  <c r="O53" s="1"/>
  <c r="D53"/>
  <c r="C53"/>
  <c r="R52"/>
  <c r="R60" s="1"/>
  <c r="H52"/>
  <c r="E52"/>
  <c r="D52"/>
  <c r="C52"/>
  <c r="A46"/>
  <c r="A45"/>
  <c r="R29"/>
  <c r="H29"/>
  <c r="E29"/>
  <c r="O29" s="1"/>
  <c r="D29"/>
  <c r="C29"/>
  <c r="R28"/>
  <c r="H28"/>
  <c r="L28"/>
  <c r="E28"/>
  <c r="O28" s="1"/>
  <c r="D28"/>
  <c r="C28"/>
  <c r="R27"/>
  <c r="H27"/>
  <c r="L27"/>
  <c r="E27"/>
  <c r="O27" s="1"/>
  <c r="D27"/>
  <c r="C27"/>
  <c r="R26"/>
  <c r="H26"/>
  <c r="L26"/>
  <c r="E26"/>
  <c r="O26" s="1"/>
  <c r="D26"/>
  <c r="C26"/>
  <c r="R24"/>
  <c r="H24"/>
  <c r="L24"/>
  <c r="E24"/>
  <c r="O24" s="1"/>
  <c r="D24"/>
  <c r="C24"/>
  <c r="R23"/>
  <c r="H23"/>
  <c r="L23"/>
  <c r="E23"/>
  <c r="O23" s="1"/>
  <c r="D23"/>
  <c r="C23"/>
  <c r="R22"/>
  <c r="H22"/>
  <c r="L22"/>
  <c r="E22"/>
  <c r="O22" s="1"/>
  <c r="D22"/>
  <c r="C22"/>
  <c r="R21"/>
  <c r="H21"/>
  <c r="L21"/>
  <c r="E21"/>
  <c r="O21" s="1"/>
  <c r="D21"/>
  <c r="C21"/>
  <c r="R20"/>
  <c r="H20"/>
  <c r="L20"/>
  <c r="E20"/>
  <c r="O20" s="1"/>
  <c r="D20"/>
  <c r="C20"/>
  <c r="R19"/>
  <c r="P19"/>
  <c r="O19"/>
  <c r="N19"/>
  <c r="H19"/>
  <c r="L19"/>
  <c r="E19"/>
  <c r="I19" s="1"/>
  <c r="D19"/>
  <c r="C19"/>
  <c r="R18"/>
  <c r="H18"/>
  <c r="L18"/>
  <c r="E18"/>
  <c r="O18" s="1"/>
  <c r="D18"/>
  <c r="C18"/>
  <c r="R17"/>
  <c r="H17"/>
  <c r="L17"/>
  <c r="E17"/>
  <c r="O17" s="1"/>
  <c r="D17"/>
  <c r="C17"/>
  <c r="R16"/>
  <c r="H16"/>
  <c r="L16"/>
  <c r="E16"/>
  <c r="O16" s="1"/>
  <c r="D16"/>
  <c r="C16"/>
  <c r="R15"/>
  <c r="H15"/>
  <c r="L15"/>
  <c r="E15"/>
  <c r="O15" s="1"/>
  <c r="D15"/>
  <c r="C15"/>
  <c r="R14"/>
  <c r="H14"/>
  <c r="L14"/>
  <c r="E14"/>
  <c r="O14" s="1"/>
  <c r="D14"/>
  <c r="C14"/>
  <c r="R13"/>
  <c r="H13"/>
  <c r="L13"/>
  <c r="E13"/>
  <c r="O13" s="1"/>
  <c r="D13"/>
  <c r="C13"/>
  <c r="R11"/>
  <c r="H11"/>
  <c r="L11"/>
  <c r="E11"/>
  <c r="O11" s="1"/>
  <c r="D11"/>
  <c r="C11"/>
  <c r="R10"/>
  <c r="H10"/>
  <c r="E10"/>
  <c r="N10" s="1"/>
  <c r="D10"/>
  <c r="C10"/>
  <c r="S33"/>
  <c r="S62" s="1"/>
  <c r="A3"/>
  <c r="A2"/>
  <c r="AL95" i="50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L83"/>
  <c r="D83"/>
  <c r="C83"/>
  <c r="A83"/>
  <c r="AL81"/>
  <c r="D81"/>
  <c r="C81"/>
  <c r="E77"/>
  <c r="F78" s="1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L14"/>
  <c r="D14"/>
  <c r="C14"/>
  <c r="AL11"/>
  <c r="D11"/>
  <c r="C11"/>
  <c r="A11"/>
  <c r="AL9"/>
  <c r="D9"/>
  <c r="C9"/>
  <c r="G5"/>
  <c r="H5" s="1"/>
  <c r="F5"/>
  <c r="F6" s="1"/>
  <c r="A3"/>
  <c r="A76" s="1"/>
  <c r="A2"/>
  <c r="A75" s="1"/>
  <c r="S1"/>
  <c r="S74" s="1"/>
  <c r="AM93" i="17"/>
  <c r="AL93"/>
  <c r="AK93"/>
  <c r="AN93" s="1"/>
  <c r="D93"/>
  <c r="D102"/>
  <c r="C102"/>
  <c r="E60" i="51" l="1"/>
  <c r="G59" i="18"/>
  <c r="K59" s="1"/>
  <c r="M59" s="1"/>
  <c r="Q59" s="1"/>
  <c r="S59" s="1"/>
  <c r="J59"/>
  <c r="N15" i="51"/>
  <c r="R31"/>
  <c r="N13"/>
  <c r="N17"/>
  <c r="E31"/>
  <c r="E64" s="1"/>
  <c r="K59"/>
  <c r="M59" s="1"/>
  <c r="Q59" s="1"/>
  <c r="S59" s="1"/>
  <c r="J59"/>
  <c r="H60"/>
  <c r="L31"/>
  <c r="P10"/>
  <c r="P13"/>
  <c r="P15"/>
  <c r="P17"/>
  <c r="N21"/>
  <c r="N23"/>
  <c r="N26"/>
  <c r="N28"/>
  <c r="N52"/>
  <c r="N54"/>
  <c r="N56"/>
  <c r="N58"/>
  <c r="P21"/>
  <c r="P23"/>
  <c r="P26"/>
  <c r="P28"/>
  <c r="P52"/>
  <c r="P54"/>
  <c r="P56"/>
  <c r="P58"/>
  <c r="D44"/>
  <c r="G10"/>
  <c r="I10"/>
  <c r="O10"/>
  <c r="O31" s="1"/>
  <c r="J11"/>
  <c r="N11"/>
  <c r="P11"/>
  <c r="G13"/>
  <c r="I13"/>
  <c r="J14"/>
  <c r="N14"/>
  <c r="P14"/>
  <c r="G15"/>
  <c r="I15"/>
  <c r="J16"/>
  <c r="N16"/>
  <c r="P16"/>
  <c r="G17"/>
  <c r="I17"/>
  <c r="J18"/>
  <c r="N18"/>
  <c r="P18"/>
  <c r="G19"/>
  <c r="K19" s="1"/>
  <c r="M19" s="1"/>
  <c r="Q19" s="1"/>
  <c r="S19" s="1"/>
  <c r="J20"/>
  <c r="N20"/>
  <c r="P20"/>
  <c r="G21"/>
  <c r="I21"/>
  <c r="J22"/>
  <c r="N22"/>
  <c r="P22"/>
  <c r="G23"/>
  <c r="I23"/>
  <c r="J24"/>
  <c r="N24"/>
  <c r="P24"/>
  <c r="G26"/>
  <c r="I26"/>
  <c r="J27"/>
  <c r="N27"/>
  <c r="P27"/>
  <c r="G28"/>
  <c r="I28"/>
  <c r="J29"/>
  <c r="N29"/>
  <c r="P29"/>
  <c r="I52"/>
  <c r="O52"/>
  <c r="O60" s="1"/>
  <c r="J53"/>
  <c r="N53"/>
  <c r="P53"/>
  <c r="G54"/>
  <c r="I54"/>
  <c r="J55"/>
  <c r="N55"/>
  <c r="P55"/>
  <c r="G56"/>
  <c r="I56"/>
  <c r="J57"/>
  <c r="N57"/>
  <c r="P57"/>
  <c r="G58"/>
  <c r="K58" s="1"/>
  <c r="M58" s="1"/>
  <c r="Q58" s="1"/>
  <c r="S58" s="1"/>
  <c r="I58"/>
  <c r="J10"/>
  <c r="G11"/>
  <c r="I11"/>
  <c r="J13"/>
  <c r="G14"/>
  <c r="K14" s="1"/>
  <c r="M14" s="1"/>
  <c r="Q14" s="1"/>
  <c r="S14" s="1"/>
  <c r="I14"/>
  <c r="J15"/>
  <c r="G16"/>
  <c r="I16"/>
  <c r="J17"/>
  <c r="G18"/>
  <c r="K18" s="1"/>
  <c r="M18" s="1"/>
  <c r="Q18" s="1"/>
  <c r="S18" s="1"/>
  <c r="I18"/>
  <c r="J19"/>
  <c r="G20"/>
  <c r="I20"/>
  <c r="J21"/>
  <c r="G22"/>
  <c r="K22" s="1"/>
  <c r="M22" s="1"/>
  <c r="Q22" s="1"/>
  <c r="S22" s="1"/>
  <c r="I22"/>
  <c r="J23"/>
  <c r="G24"/>
  <c r="I24"/>
  <c r="J26"/>
  <c r="G27"/>
  <c r="K27" s="1"/>
  <c r="M27" s="1"/>
  <c r="Q27" s="1"/>
  <c r="S27" s="1"/>
  <c r="I27"/>
  <c r="J28"/>
  <c r="G29"/>
  <c r="I29"/>
  <c r="G53"/>
  <c r="I53"/>
  <c r="J54"/>
  <c r="G55"/>
  <c r="I55"/>
  <c r="J56"/>
  <c r="G57"/>
  <c r="I57"/>
  <c r="J58"/>
  <c r="G78" i="50"/>
  <c r="F79"/>
  <c r="H6"/>
  <c r="I5"/>
  <c r="G6"/>
  <c r="E53" i="18"/>
  <c r="E54"/>
  <c r="E55"/>
  <c r="E56"/>
  <c r="E57"/>
  <c r="E58"/>
  <c r="E52"/>
  <c r="E53" i="15"/>
  <c r="A52"/>
  <c r="K54" i="51" l="1"/>
  <c r="M54" s="1"/>
  <c r="Q54" s="1"/>
  <c r="S54" s="1"/>
  <c r="E60" i="18"/>
  <c r="E61" s="1"/>
  <c r="K57" i="51"/>
  <c r="M57" s="1"/>
  <c r="Q57" s="1"/>
  <c r="S57" s="1"/>
  <c r="K53"/>
  <c r="M53" s="1"/>
  <c r="Q53" s="1"/>
  <c r="S53" s="1"/>
  <c r="K26"/>
  <c r="M26" s="1"/>
  <c r="Q26" s="1"/>
  <c r="S26" s="1"/>
  <c r="K21"/>
  <c r="M21" s="1"/>
  <c r="Q21" s="1"/>
  <c r="S21" s="1"/>
  <c r="K15"/>
  <c r="M15" s="1"/>
  <c r="Q15" s="1"/>
  <c r="S15" s="1"/>
  <c r="N60"/>
  <c r="P31"/>
  <c r="P60"/>
  <c r="N31"/>
  <c r="I31"/>
  <c r="G31"/>
  <c r="K10"/>
  <c r="K55"/>
  <c r="M55" s="1"/>
  <c r="Q55" s="1"/>
  <c r="S55" s="1"/>
  <c r="K29"/>
  <c r="M29" s="1"/>
  <c r="Q29" s="1"/>
  <c r="S29" s="1"/>
  <c r="K24"/>
  <c r="M24" s="1"/>
  <c r="Q24" s="1"/>
  <c r="S24" s="1"/>
  <c r="K20"/>
  <c r="M20" s="1"/>
  <c r="Q20" s="1"/>
  <c r="S20" s="1"/>
  <c r="K16"/>
  <c r="M16" s="1"/>
  <c r="Q16" s="1"/>
  <c r="S16" s="1"/>
  <c r="K11"/>
  <c r="M11" s="1"/>
  <c r="Q11" s="1"/>
  <c r="S11" s="1"/>
  <c r="K56"/>
  <c r="M56" s="1"/>
  <c r="Q56" s="1"/>
  <c r="S56" s="1"/>
  <c r="I60"/>
  <c r="K28"/>
  <c r="M28" s="1"/>
  <c r="Q28" s="1"/>
  <c r="S28" s="1"/>
  <c r="K23"/>
  <c r="M23" s="1"/>
  <c r="Q23" s="1"/>
  <c r="S23" s="1"/>
  <c r="K17"/>
  <c r="M17" s="1"/>
  <c r="Q17" s="1"/>
  <c r="S17" s="1"/>
  <c r="K13"/>
  <c r="M13" s="1"/>
  <c r="Q13" s="1"/>
  <c r="S13" s="1"/>
  <c r="J5" i="50"/>
  <c r="I6"/>
  <c r="G79"/>
  <c r="H78"/>
  <c r="K31" i="51" l="1"/>
  <c r="M10"/>
  <c r="I78" i="50"/>
  <c r="H79"/>
  <c r="J6"/>
  <c r="K5"/>
  <c r="M31" i="51" l="1"/>
  <c r="Q10"/>
  <c r="I79" i="50"/>
  <c r="J78"/>
  <c r="L5"/>
  <c r="K6"/>
  <c r="Q31" i="51" l="1"/>
  <c r="S10"/>
  <c r="S31" s="1"/>
  <c r="K78" i="50"/>
  <c r="J79"/>
  <c r="L6"/>
  <c r="M5"/>
  <c r="N5" l="1"/>
  <c r="M6"/>
  <c r="K79"/>
  <c r="L78"/>
  <c r="M78" l="1"/>
  <c r="L79"/>
  <c r="N6"/>
  <c r="O5"/>
  <c r="P5" l="1"/>
  <c r="O6"/>
  <c r="M79"/>
  <c r="N78"/>
  <c r="P6" l="1"/>
  <c r="Q5"/>
  <c r="O78"/>
  <c r="N79"/>
  <c r="O79" l="1"/>
  <c r="P78"/>
  <c r="R5"/>
  <c r="Q6"/>
  <c r="R6" l="1"/>
  <c r="S5"/>
  <c r="Q78"/>
  <c r="P79"/>
  <c r="Q79" l="1"/>
  <c r="R78"/>
  <c r="T5"/>
  <c r="S6"/>
  <c r="T6" l="1"/>
  <c r="U5"/>
  <c r="S78"/>
  <c r="R79"/>
  <c r="S79" l="1"/>
  <c r="T78"/>
  <c r="V5"/>
  <c r="U6"/>
  <c r="V6" l="1"/>
  <c r="W5"/>
  <c r="U78"/>
  <c r="T79"/>
  <c r="U79" l="1"/>
  <c r="V78"/>
  <c r="X5"/>
  <c r="W6"/>
  <c r="X6" l="1"/>
  <c r="Y5"/>
  <c r="W78"/>
  <c r="V79"/>
  <c r="W79" l="1"/>
  <c r="X78"/>
  <c r="Z5"/>
  <c r="Y6"/>
  <c r="Z6" l="1"/>
  <c r="AA5"/>
  <c r="Y78"/>
  <c r="X79"/>
  <c r="Y79" l="1"/>
  <c r="Z78"/>
  <c r="AB5"/>
  <c r="AA6"/>
  <c r="AB6" l="1"/>
  <c r="AC5"/>
  <c r="AA78"/>
  <c r="Z79"/>
  <c r="AA79" l="1"/>
  <c r="AB78"/>
  <c r="AD5"/>
  <c r="AC6"/>
  <c r="AD6" l="1"/>
  <c r="AE5"/>
  <c r="AC78"/>
  <c r="AB79"/>
  <c r="AC79" l="1"/>
  <c r="AD78"/>
  <c r="AF5"/>
  <c r="AE6"/>
  <c r="AF6" l="1"/>
  <c r="AG5"/>
  <c r="AE78"/>
  <c r="AD79"/>
  <c r="AE79" l="1"/>
  <c r="AF78"/>
  <c r="AH5"/>
  <c r="AG6"/>
  <c r="AH6" l="1"/>
  <c r="AI5"/>
  <c r="AI6" s="1"/>
  <c r="AG78"/>
  <c r="AF79"/>
  <c r="AG79" l="1"/>
  <c r="AH78"/>
  <c r="AK95"/>
  <c r="AM45"/>
  <c r="AK22"/>
  <c r="AK32"/>
  <c r="AM81"/>
  <c r="AK26"/>
  <c r="AK37"/>
  <c r="AM34"/>
  <c r="AM87"/>
  <c r="AK16"/>
  <c r="AM39"/>
  <c r="AM91"/>
  <c r="AK20"/>
  <c r="AM11"/>
  <c r="AK18"/>
  <c r="AM28"/>
  <c r="AK81"/>
  <c r="AM22"/>
  <c r="AM32"/>
  <c r="AK85"/>
  <c r="AK14"/>
  <c r="AM9"/>
  <c r="AK39"/>
  <c r="AN39" s="1"/>
  <c r="AK91"/>
  <c r="AN91" s="1"/>
  <c r="AM16"/>
  <c r="AK41"/>
  <c r="AK93"/>
  <c r="AK28"/>
  <c r="AN28" s="1"/>
  <c r="AM95"/>
  <c r="AM43"/>
  <c r="AK24"/>
  <c r="AM93"/>
  <c r="AM41"/>
  <c r="AK87"/>
  <c r="AN87" s="1"/>
  <c r="AK34"/>
  <c r="AN34" s="1"/>
  <c r="AM89"/>
  <c r="AK83"/>
  <c r="AK30"/>
  <c r="AM85"/>
  <c r="AK11"/>
  <c r="AN11" s="1"/>
  <c r="AK45"/>
  <c r="AN45" s="1"/>
  <c r="AM24"/>
  <c r="AM14"/>
  <c r="AK43"/>
  <c r="AN43" s="1"/>
  <c r="AM20"/>
  <c r="AM18"/>
  <c r="AK9"/>
  <c r="AN9" s="1"/>
  <c r="AM83"/>
  <c r="AM30"/>
  <c r="AK89"/>
  <c r="AN89" s="1"/>
  <c r="AM37"/>
  <c r="AM26"/>
  <c r="AN81" l="1"/>
  <c r="F52" i="51"/>
  <c r="AN83" i="50"/>
  <c r="AN24"/>
  <c r="AN93"/>
  <c r="AN14"/>
  <c r="AN18"/>
  <c r="AN20"/>
  <c r="AN37"/>
  <c r="AN22"/>
  <c r="AN95"/>
  <c r="AI78"/>
  <c r="AI79" s="1"/>
  <c r="AH79"/>
  <c r="AN30"/>
  <c r="AN41"/>
  <c r="AN85"/>
  <c r="AN16"/>
  <c r="AN26"/>
  <c r="AN32"/>
  <c r="L52" i="51" l="1"/>
  <c r="L60" s="1"/>
  <c r="J52"/>
  <c r="J60" s="1"/>
  <c r="G52"/>
  <c r="G60" l="1"/>
  <c r="K52"/>
  <c r="M52" l="1"/>
  <c r="K60"/>
  <c r="Q52" l="1"/>
  <c r="M60"/>
  <c r="S52" l="1"/>
  <c r="S60" s="1"/>
  <c r="V60" s="1"/>
  <c r="Q60"/>
  <c r="H53" i="18" l="1"/>
  <c r="H54"/>
  <c r="H55"/>
  <c r="H56"/>
  <c r="H57"/>
  <c r="H58"/>
  <c r="F53"/>
  <c r="F54"/>
  <c r="F55"/>
  <c r="F56"/>
  <c r="F57"/>
  <c r="F58"/>
  <c r="AL95" i="17"/>
  <c r="D95"/>
  <c r="C95"/>
  <c r="AL91"/>
  <c r="D91"/>
  <c r="C91"/>
  <c r="AL89"/>
  <c r="D89"/>
  <c r="C89"/>
  <c r="AL87"/>
  <c r="D87"/>
  <c r="C87"/>
  <c r="AL85"/>
  <c r="D85"/>
  <c r="C85"/>
  <c r="AL83"/>
  <c r="D83"/>
  <c r="C83"/>
  <c r="A83"/>
  <c r="A85" s="1"/>
  <c r="A87" s="1"/>
  <c r="A89" s="1"/>
  <c r="A91" s="1"/>
  <c r="AL81"/>
  <c r="D81"/>
  <c r="C81"/>
  <c r="E77"/>
  <c r="F78" s="1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L14"/>
  <c r="D14"/>
  <c r="C14"/>
  <c r="AL11"/>
  <c r="D11"/>
  <c r="C11"/>
  <c r="A11"/>
  <c r="AL9"/>
  <c r="D9"/>
  <c r="C9"/>
  <c r="F5"/>
  <c r="G5" s="1"/>
  <c r="A3"/>
  <c r="A76" s="1"/>
  <c r="A2"/>
  <c r="A75" s="1"/>
  <c r="S1"/>
  <c r="S74" s="1"/>
  <c r="V53" i="15"/>
  <c r="H5" i="17" l="1"/>
  <c r="G6"/>
  <c r="G78"/>
  <c r="F79"/>
  <c r="F6"/>
  <c r="G79" l="1"/>
  <c r="H78"/>
  <c r="H6"/>
  <c r="I5"/>
  <c r="I6" l="1"/>
  <c r="J5"/>
  <c r="I78"/>
  <c r="H79"/>
  <c r="I79" l="1"/>
  <c r="J78"/>
  <c r="K5"/>
  <c r="J6"/>
  <c r="K78" l="1"/>
  <c r="J79"/>
  <c r="L5"/>
  <c r="K6"/>
  <c r="L6" l="1"/>
  <c r="M5"/>
  <c r="K79"/>
  <c r="L78"/>
  <c r="M78" l="1"/>
  <c r="L79"/>
  <c r="M6"/>
  <c r="N5"/>
  <c r="O5" l="1"/>
  <c r="N6"/>
  <c r="M79"/>
  <c r="N78"/>
  <c r="O78" l="1"/>
  <c r="N79"/>
  <c r="O6"/>
  <c r="P5"/>
  <c r="O79" l="1"/>
  <c r="P78"/>
  <c r="Q5"/>
  <c r="P6"/>
  <c r="R5" l="1"/>
  <c r="Q6"/>
  <c r="Q78"/>
  <c r="P79"/>
  <c r="Q79" l="1"/>
  <c r="R78"/>
  <c r="R6"/>
  <c r="S5"/>
  <c r="S6" l="1"/>
  <c r="T5"/>
  <c r="S78"/>
  <c r="R79"/>
  <c r="S79" l="1"/>
  <c r="T78"/>
  <c r="U5"/>
  <c r="T6"/>
  <c r="V5" l="1"/>
  <c r="U6"/>
  <c r="U78"/>
  <c r="T79"/>
  <c r="U79" l="1"/>
  <c r="V78"/>
  <c r="V6"/>
  <c r="W5"/>
  <c r="W6" l="1"/>
  <c r="X5"/>
  <c r="W78"/>
  <c r="V79"/>
  <c r="W79" l="1"/>
  <c r="X78"/>
  <c r="Y5"/>
  <c r="X6"/>
  <c r="Z5" l="1"/>
  <c r="Y6"/>
  <c r="Y78"/>
  <c r="X79"/>
  <c r="Y79" l="1"/>
  <c r="Z78"/>
  <c r="Z6"/>
  <c r="AA5"/>
  <c r="AA6" l="1"/>
  <c r="AB5"/>
  <c r="AA78"/>
  <c r="Z79"/>
  <c r="AA79" l="1"/>
  <c r="AB78"/>
  <c r="AB6"/>
  <c r="AC5"/>
  <c r="AD5" l="1"/>
  <c r="AC6"/>
  <c r="AC78"/>
  <c r="AB79"/>
  <c r="AC79" l="1"/>
  <c r="AD78"/>
  <c r="AD6"/>
  <c r="AE5"/>
  <c r="AE6" l="1"/>
  <c r="AF5"/>
  <c r="AE78"/>
  <c r="AD79"/>
  <c r="AE79" l="1"/>
  <c r="AF78"/>
  <c r="AF6"/>
  <c r="AG5"/>
  <c r="AH5" l="1"/>
  <c r="AG6"/>
  <c r="AG78"/>
  <c r="AF79"/>
  <c r="AG79" l="1"/>
  <c r="AH78"/>
  <c r="AH6"/>
  <c r="AI5"/>
  <c r="AI6" s="1"/>
  <c r="AM16" l="1"/>
  <c r="AK14"/>
  <c r="AK45"/>
  <c r="AK11"/>
  <c r="AK28"/>
  <c r="AK22"/>
  <c r="AM41"/>
  <c r="AK30"/>
  <c r="AM83"/>
  <c r="AK89"/>
  <c r="AM24"/>
  <c r="AM91"/>
  <c r="AM81"/>
  <c r="H52" i="18" s="1"/>
  <c r="AK32" i="17"/>
  <c r="AM20"/>
  <c r="AM87"/>
  <c r="AK24"/>
  <c r="AN24" s="1"/>
  <c r="AK16"/>
  <c r="AN16" s="1"/>
  <c r="AM22"/>
  <c r="AK18"/>
  <c r="AM32"/>
  <c r="AK43"/>
  <c r="AK85"/>
  <c r="AK20"/>
  <c r="AN20" s="1"/>
  <c r="AK95"/>
  <c r="AK26"/>
  <c r="AK39"/>
  <c r="AM18"/>
  <c r="AK41"/>
  <c r="AN41" s="1"/>
  <c r="AM39"/>
  <c r="AK34"/>
  <c r="AK81"/>
  <c r="F52" i="18" s="1"/>
  <c r="AM34" i="17"/>
  <c r="AK91"/>
  <c r="AM85"/>
  <c r="AK9"/>
  <c r="AM37"/>
  <c r="AM45"/>
  <c r="AK83"/>
  <c r="AN83" s="1"/>
  <c r="AM26"/>
  <c r="AK87"/>
  <c r="AN87" s="1"/>
  <c r="AM30"/>
  <c r="AM28"/>
  <c r="AK37"/>
  <c r="AN37" s="1"/>
  <c r="AM14"/>
  <c r="AM89"/>
  <c r="AM11"/>
  <c r="AM95"/>
  <c r="AM9"/>
  <c r="AM43"/>
  <c r="AI78"/>
  <c r="AI79" s="1"/>
  <c r="AH79"/>
  <c r="AN91" l="1"/>
  <c r="AN81"/>
  <c r="AN34"/>
  <c r="AN39"/>
  <c r="AN26"/>
  <c r="AN32"/>
  <c r="AN89"/>
  <c r="AN30"/>
  <c r="AN22"/>
  <c r="AN11"/>
  <c r="AN9"/>
  <c r="AN95"/>
  <c r="AN85"/>
  <c r="AN43"/>
  <c r="AN18"/>
  <c r="AN28"/>
  <c r="AN45"/>
  <c r="AN14"/>
  <c r="A20" i="15" l="1"/>
  <c r="G53" l="1"/>
  <c r="E10" i="18"/>
  <c r="R58"/>
  <c r="N58"/>
  <c r="D58"/>
  <c r="C58"/>
  <c r="R57"/>
  <c r="N57"/>
  <c r="D57"/>
  <c r="C57"/>
  <c r="R56"/>
  <c r="P56"/>
  <c r="D56"/>
  <c r="C56"/>
  <c r="R55"/>
  <c r="O55"/>
  <c r="D55"/>
  <c r="C55"/>
  <c r="R54"/>
  <c r="N54"/>
  <c r="D54"/>
  <c r="C54"/>
  <c r="R53"/>
  <c r="N53"/>
  <c r="D53"/>
  <c r="C53"/>
  <c r="R52"/>
  <c r="O52"/>
  <c r="D52"/>
  <c r="C52"/>
  <c r="A46"/>
  <c r="A45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N26" s="1"/>
  <c r="D26"/>
  <c r="C26"/>
  <c r="R24"/>
  <c r="E24"/>
  <c r="N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P19"/>
  <c r="D19"/>
  <c r="C19"/>
  <c r="R18"/>
  <c r="E18"/>
  <c r="O18" s="1"/>
  <c r="D18"/>
  <c r="C18"/>
  <c r="R17"/>
  <c r="E17"/>
  <c r="N17" s="1"/>
  <c r="D17"/>
  <c r="C17"/>
  <c r="R16"/>
  <c r="E16"/>
  <c r="P16" s="1"/>
  <c r="D16"/>
  <c r="C16"/>
  <c r="R15"/>
  <c r="E15"/>
  <c r="P15" s="1"/>
  <c r="D15"/>
  <c r="C15"/>
  <c r="R14"/>
  <c r="E14"/>
  <c r="O14" s="1"/>
  <c r="D14"/>
  <c r="C14"/>
  <c r="R13"/>
  <c r="E13"/>
  <c r="N13" s="1"/>
  <c r="D13"/>
  <c r="C13"/>
  <c r="R11"/>
  <c r="E11"/>
  <c r="P11" s="1"/>
  <c r="D11"/>
  <c r="C11"/>
  <c r="R10"/>
  <c r="D10"/>
  <c r="C10"/>
  <c r="E4"/>
  <c r="S33" s="1"/>
  <c r="S62" s="1"/>
  <c r="A3"/>
  <c r="A2"/>
  <c r="E31" l="1"/>
  <c r="E33" s="1"/>
  <c r="N10"/>
  <c r="P10"/>
  <c r="P54"/>
  <c r="N28"/>
  <c r="P26"/>
  <c r="N56"/>
  <c r="O24"/>
  <c r="P58"/>
  <c r="O53"/>
  <c r="O57"/>
  <c r="O10"/>
  <c r="N29"/>
  <c r="O28"/>
  <c r="N27"/>
  <c r="P24"/>
  <c r="O23"/>
  <c r="N22"/>
  <c r="P20"/>
  <c r="O19"/>
  <c r="N18"/>
  <c r="P17"/>
  <c r="O16"/>
  <c r="O15"/>
  <c r="N14"/>
  <c r="O11"/>
  <c r="P52"/>
  <c r="P57"/>
  <c r="O56"/>
  <c r="N55"/>
  <c r="P53"/>
  <c r="N23"/>
  <c r="P21"/>
  <c r="O20"/>
  <c r="N19"/>
  <c r="O17"/>
  <c r="N16"/>
  <c r="N15"/>
  <c r="P13"/>
  <c r="N11"/>
  <c r="P29"/>
  <c r="P27"/>
  <c r="O26"/>
  <c r="P22"/>
  <c r="O21"/>
  <c r="P18"/>
  <c r="P14"/>
  <c r="O13"/>
  <c r="N52"/>
  <c r="O58"/>
  <c r="P55"/>
  <c r="O54"/>
  <c r="R31"/>
  <c r="R60"/>
  <c r="D1"/>
  <c r="D44" s="1"/>
  <c r="O60" l="1"/>
  <c r="P60"/>
  <c r="O31"/>
  <c r="N31"/>
  <c r="N60"/>
  <c r="P31"/>
  <c r="N108" i="15" l="1"/>
  <c r="O136" s="1"/>
  <c r="N109"/>
  <c r="O138" s="1"/>
  <c r="N110"/>
  <c r="O140" s="1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80"/>
  <c r="K54" a="1"/>
  <c r="K54" s="1"/>
  <c r="A18"/>
  <c r="A19"/>
  <c r="O82" l="1"/>
  <c r="O84"/>
  <c r="O86"/>
  <c r="O88"/>
  <c r="O90"/>
  <c r="O92"/>
  <c r="O94"/>
  <c r="O96"/>
  <c r="O98"/>
  <c r="O100"/>
  <c r="O102"/>
  <c r="O104"/>
  <c r="O106"/>
  <c r="O108"/>
  <c r="O110"/>
  <c r="O112"/>
  <c r="O114"/>
  <c r="O116"/>
  <c r="O118"/>
  <c r="O120"/>
  <c r="O122"/>
  <c r="O124"/>
  <c r="O126"/>
  <c r="O128"/>
  <c r="O130"/>
  <c r="O132"/>
  <c r="O134"/>
  <c r="O80"/>
  <c r="A48"/>
  <c r="A49"/>
  <c r="A50"/>
  <c r="A51"/>
  <c r="A41"/>
  <c r="F53" l="1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L54" l="1" a="1"/>
  <c r="L54" s="1"/>
  <c r="M54" a="1"/>
  <c r="M54" s="1"/>
  <c r="N54" a="1"/>
  <c r="N54" s="1"/>
  <c r="O54" a="1"/>
  <c r="O54" s="1"/>
  <c r="P54" a="1"/>
  <c r="P54" s="1"/>
  <c r="Q54" a="1"/>
  <c r="Q54" s="1"/>
  <c r="R54" a="1"/>
  <c r="R54" s="1"/>
  <c r="S54" a="1"/>
  <c r="S54" s="1"/>
  <c r="T54" a="1"/>
  <c r="T54" s="1"/>
  <c r="U54" a="1"/>
  <c r="U54" s="1"/>
  <c r="V54" a="1"/>
  <c r="V54" s="1"/>
  <c r="M53"/>
  <c r="N53"/>
  <c r="O53"/>
  <c r="P53"/>
  <c r="Q53"/>
  <c r="R53"/>
  <c r="S53"/>
  <c r="T53"/>
  <c r="U53"/>
  <c r="H53"/>
  <c r="I53"/>
  <c r="A6"/>
  <c r="F28" i="18" l="1"/>
  <c r="H28"/>
  <c r="I28" s="1"/>
  <c r="F15"/>
  <c r="H15"/>
  <c r="I15" s="1"/>
  <c r="F22"/>
  <c r="H22"/>
  <c r="I22" s="1"/>
  <c r="F19"/>
  <c r="H19"/>
  <c r="I19" s="1"/>
  <c r="F13"/>
  <c r="H13"/>
  <c r="I13" s="1"/>
  <c r="F27"/>
  <c r="H27"/>
  <c r="I27" s="1"/>
  <c r="F26"/>
  <c r="H26"/>
  <c r="I26" s="1"/>
  <c r="F21"/>
  <c r="H21"/>
  <c r="I21" s="1"/>
  <c r="I58"/>
  <c r="F29"/>
  <c r="H29"/>
  <c r="I29" s="1"/>
  <c r="F10"/>
  <c r="H10"/>
  <c r="I10" s="1"/>
  <c r="F23"/>
  <c r="H23"/>
  <c r="I23" s="1"/>
  <c r="F16"/>
  <c r="H16"/>
  <c r="I16" s="1"/>
  <c r="I56"/>
  <c r="F11"/>
  <c r="H11"/>
  <c r="I11" s="1"/>
  <c r="I55"/>
  <c r="F24"/>
  <c r="H24"/>
  <c r="I24" s="1"/>
  <c r="F20"/>
  <c r="H20"/>
  <c r="I20" s="1"/>
  <c r="F17"/>
  <c r="H17"/>
  <c r="I17" s="1"/>
  <c r="I54"/>
  <c r="I53"/>
  <c r="F18"/>
  <c r="H18"/>
  <c r="I18" s="1"/>
  <c r="F14"/>
  <c r="H14"/>
  <c r="I14" s="1"/>
  <c r="I57"/>
  <c r="H60" l="1"/>
  <c r="I52"/>
  <c r="I60" s="1"/>
  <c r="I31"/>
  <c r="J17"/>
  <c r="L17"/>
  <c r="G17"/>
  <c r="K17" s="1"/>
  <c r="J24"/>
  <c r="L24"/>
  <c r="G24"/>
  <c r="K24" s="1"/>
  <c r="J11"/>
  <c r="L11"/>
  <c r="G11"/>
  <c r="K11" s="1"/>
  <c r="J21"/>
  <c r="L21"/>
  <c r="G21"/>
  <c r="K21" s="1"/>
  <c r="L13"/>
  <c r="G13"/>
  <c r="K13" s="1"/>
  <c r="J13"/>
  <c r="J19"/>
  <c r="L19"/>
  <c r="G19"/>
  <c r="K19" s="1"/>
  <c r="J15"/>
  <c r="L15"/>
  <c r="G15"/>
  <c r="K15" s="1"/>
  <c r="L18"/>
  <c r="G18"/>
  <c r="K18" s="1"/>
  <c r="J18"/>
  <c r="L52"/>
  <c r="G52"/>
  <c r="J52"/>
  <c r="J16"/>
  <c r="L16"/>
  <c r="G16"/>
  <c r="K16" s="1"/>
  <c r="L10"/>
  <c r="G10"/>
  <c r="J10"/>
  <c r="J26"/>
  <c r="L26"/>
  <c r="G26"/>
  <c r="K26" s="1"/>
  <c r="J57"/>
  <c r="L57"/>
  <c r="G57"/>
  <c r="K57" s="1"/>
  <c r="L14"/>
  <c r="G14"/>
  <c r="K14" s="1"/>
  <c r="J14"/>
  <c r="J53"/>
  <c r="L53"/>
  <c r="G53"/>
  <c r="K53" s="1"/>
  <c r="L55"/>
  <c r="G55"/>
  <c r="K55" s="1"/>
  <c r="J55"/>
  <c r="L29"/>
  <c r="G29"/>
  <c r="K29" s="1"/>
  <c r="J29"/>
  <c r="J58"/>
  <c r="L58"/>
  <c r="G58"/>
  <c r="K58" s="1"/>
  <c r="L27"/>
  <c r="G27"/>
  <c r="K27" s="1"/>
  <c r="J27"/>
  <c r="L22"/>
  <c r="G22"/>
  <c r="K22" s="1"/>
  <c r="J22"/>
  <c r="L28"/>
  <c r="J28"/>
  <c r="G28"/>
  <c r="K28" s="1"/>
  <c r="J54"/>
  <c r="L54"/>
  <c r="G54"/>
  <c r="K54" s="1"/>
  <c r="J20"/>
  <c r="L20"/>
  <c r="G20"/>
  <c r="K20" s="1"/>
  <c r="L56"/>
  <c r="G56"/>
  <c r="K56" s="1"/>
  <c r="J56"/>
  <c r="L23"/>
  <c r="J23"/>
  <c r="G23"/>
  <c r="K23" s="1"/>
  <c r="M54" l="1"/>
  <c r="Q54" s="1"/>
  <c r="S54" s="1"/>
  <c r="M23"/>
  <c r="Q23" s="1"/>
  <c r="S23" s="1"/>
  <c r="M16"/>
  <c r="Q16" s="1"/>
  <c r="S16" s="1"/>
  <c r="M17"/>
  <c r="Q17" s="1"/>
  <c r="S17" s="1"/>
  <c r="M28"/>
  <c r="Q28" s="1"/>
  <c r="S28" s="1"/>
  <c r="M22"/>
  <c r="Q22" s="1"/>
  <c r="S22" s="1"/>
  <c r="M26"/>
  <c r="Q26" s="1"/>
  <c r="S26" s="1"/>
  <c r="G31"/>
  <c r="K10"/>
  <c r="G60"/>
  <c r="K52"/>
  <c r="M19"/>
  <c r="Q19" s="1"/>
  <c r="S19" s="1"/>
  <c r="M11"/>
  <c r="Q11" s="1"/>
  <c r="S11" s="1"/>
  <c r="M56"/>
  <c r="Q56" s="1"/>
  <c r="S56" s="1"/>
  <c r="M27"/>
  <c r="Q27" s="1"/>
  <c r="S27" s="1"/>
  <c r="M55"/>
  <c r="Q55" s="1"/>
  <c r="S55" s="1"/>
  <c r="M57"/>
  <c r="Q57" s="1"/>
  <c r="S57" s="1"/>
  <c r="L31"/>
  <c r="L60"/>
  <c r="M15"/>
  <c r="Q15" s="1"/>
  <c r="S15" s="1"/>
  <c r="M20"/>
  <c r="Q20" s="1"/>
  <c r="S20" s="1"/>
  <c r="M58"/>
  <c r="Q58" s="1"/>
  <c r="S58" s="1"/>
  <c r="M29"/>
  <c r="Q29" s="1"/>
  <c r="S29" s="1"/>
  <c r="M53"/>
  <c r="Q53" s="1"/>
  <c r="S53" s="1"/>
  <c r="M14"/>
  <c r="Q14" s="1"/>
  <c r="S14" s="1"/>
  <c r="J60"/>
  <c r="M18"/>
  <c r="Q18" s="1"/>
  <c r="S18" s="1"/>
  <c r="M13"/>
  <c r="Q13" s="1"/>
  <c r="S13" s="1"/>
  <c r="M21"/>
  <c r="Q21" s="1"/>
  <c r="S21" s="1"/>
  <c r="M24"/>
  <c r="Q24" s="1"/>
  <c r="S24" s="1"/>
  <c r="K31" l="1"/>
  <c r="M10"/>
  <c r="K60"/>
  <c r="M52"/>
  <c r="M60" l="1"/>
  <c r="Q52"/>
  <c r="M31"/>
  <c r="Q10"/>
  <c r="Q31" l="1"/>
  <c r="S10"/>
  <c r="S31" s="1"/>
  <c r="S52"/>
  <c r="S60" s="1"/>
  <c r="Q60"/>
  <c r="K62" i="15" l="1"/>
</calcChain>
</file>

<file path=xl/sharedStrings.xml><?xml version="1.0" encoding="utf-8"?>
<sst xmlns="http://schemas.openxmlformats.org/spreadsheetml/2006/main" count="807" uniqueCount="201">
  <si>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</si>
  <si>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</si>
  <si>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</si>
  <si>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</si>
  <si>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</si>
  <si>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</si>
  <si>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</si>
  <si>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</si>
  <si>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</si>
  <si>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</si>
  <si>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</si>
  <si>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</si>
  <si>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</si>
  <si>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</si>
  <si>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</si>
  <si>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</si>
  <si>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</si>
  <si>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</si>
  <si>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</si>
  <si>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</si>
  <si>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</si>
  <si>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</si>
  <si>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</si>
  <si>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</si>
  <si>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</si>
  <si>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</si>
  <si>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</si>
  <si>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</si>
  <si>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</si>
  <si>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</si>
  <si>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</si>
  <si>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</si>
  <si>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</si>
  <si>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</si>
  <si>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</si>
  <si>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</si>
  <si>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</si>
  <si>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</si>
  <si>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</si>
  <si>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</si>
  <si>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</si>
  <si>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</si>
  <si>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</si>
  <si>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</si>
  <si>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</si>
  <si>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</si>
  <si>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</si>
  <si>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</si>
  <si>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</si>
  <si>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</si>
  <si>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</si>
  <si>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</si>
  <si>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</si>
  <si>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</si>
  <si>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</si>
  <si>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</si>
  <si>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</si>
  <si>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</si>
  <si>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</si>
  <si>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</si>
  <si>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</si>
  <si>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</si>
  <si>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</si>
  <si>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</si>
  <si>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</si>
  <si>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</si>
  <si>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</si>
  <si>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</si>
  <si>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</si>
  <si>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</si>
  <si>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</si>
  <si>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</si>
  <si>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</si>
  <si>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</si>
  <si>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</si>
  <si>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</si>
  <si>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</si>
  <si>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</si>
  <si>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</si>
  <si>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</si>
  <si>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</si>
  <si>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</si>
  <si>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</si>
  <si>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</si>
  <si>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</si>
  <si>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</si>
  <si>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</si>
  <si>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</si>
  <si>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</si>
  <si>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</si>
  <si>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</si>
  <si>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</si>
  <si>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</si>
  <si>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</si>
  <si>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</si>
  <si>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</si>
  <si>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</si>
  <si>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</si>
  <si>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</si>
  <si>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</si>
  <si>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</si>
  <si>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</si>
  <si>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</si>
  <si>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</si>
  <si>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</si>
  <si>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</si>
  <si>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</si>
  <si>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</si>
  <si>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</si>
  <si>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</si>
  <si>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</si>
  <si>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</si>
  <si>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</si>
  <si>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</si>
  <si>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</si>
  <si>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</si>
  <si>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</si>
  <si>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</si>
  <si>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</si>
  <si>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</si>
  <si>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</si>
  <si>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</si>
  <si>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</si>
  <si>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</si>
  <si>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</si>
  <si>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</si>
  <si>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</si>
  <si>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</si>
  <si>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</si>
  <si>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</si>
  <si>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</si>
  <si>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</si>
  <si>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</si>
  <si>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</si>
  <si>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</si>
  <si>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</si>
  <si>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</si>
  <si>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</si>
  <si>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</si>
  <si>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</si>
  <si>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</si>
  <si>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</si>
  <si>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</si>
  <si>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</si>
  <si>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</si>
  <si>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</si>
  <si>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</si>
  <si>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</si>
  <si>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</si>
  <si>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</si>
  <si>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</si>
  <si>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</si>
  <si>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</si>
  <si>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</si>
  <si>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</si>
  <si>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</si>
  <si>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</si>
  <si>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</si>
  <si>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</si>
  <si>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</si>
  <si>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</si>
  <si>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</si>
  <si>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</si>
  <si>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</si>
  <si>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</si>
  <si>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</si>
  <si>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</si>
  <si>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</si>
  <si>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</si>
  <si>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</si>
  <si>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</si>
  <si>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</si>
  <si>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</si>
  <si>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</si>
  <si>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</si>
  <si>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</si>
  <si>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</si>
  <si>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</si>
  <si>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</si>
  <si>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</si>
  <si>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</si>
  <si>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</si>
  <si>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</si>
  <si>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</si>
  <si>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</si>
  <si>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</si>
  <si>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</si>
  <si>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</si>
  <si>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</si>
  <si>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</si>
  <si>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</si>
  <si>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</si>
  <si>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</si>
  <si>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</si>
  <si>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</si>
  <si>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</si>
  <si>
    <t>2017</t>
  </si>
  <si>
    <t>TS</t>
  </si>
  <si>
    <t>nghĩ</t>
  </si>
  <si>
    <t>NGhĩ</t>
  </si>
  <si>
    <t>ts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</si>
</sst>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6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9"/>
      <color rgb="FFFF0000"/>
      <name val="Times New Roman"/>
      <family val="1"/>
    </font>
    <font>
      <sz val="8"/>
      <color rgb="FFFF000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60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0" fontId="122" fillId="0" borderId="2" xfId="0" applyFont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left" vertical="center"/>
    </xf>
    <xf numFmtId="169" fontId="122" fillId="0" borderId="2" xfId="337" applyNumberFormat="1" applyFont="1" applyBorder="1" applyAlignment="1">
      <alignment horizontal="center" vertical="center" wrapText="1"/>
    </xf>
    <xf numFmtId="169" fontId="123" fillId="0" borderId="0" xfId="337" applyNumberFormat="1" applyFont="1"/>
    <xf numFmtId="169" fontId="122" fillId="0" borderId="0" xfId="337" applyNumberFormat="1" applyFont="1"/>
    <xf numFmtId="0" fontId="122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1" fillId="0" borderId="0" xfId="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30" fillId="30" borderId="2" xfId="337" applyNumberFormat="1" applyFont="1" applyFill="1" applyBorder="1" applyAlignment="1">
      <alignment horizontal="center" vertical="center" wrapText="1"/>
    </xf>
    <xf numFmtId="169" fontId="122" fillId="30" borderId="2" xfId="337" applyNumberFormat="1" applyFont="1" applyFill="1" applyBorder="1" applyAlignment="1">
      <alignment horizontal="center" vertical="center" wrapText="1"/>
    </xf>
    <xf numFmtId="169" fontId="98" fillId="0" borderId="0" xfId="0" applyNumberFormat="1" applyFont="1" applyFill="1" applyAlignment="1">
      <alignment horizontal="center" vertical="center" wrapText="1"/>
    </xf>
    <xf numFmtId="14" fontId="110" fillId="29" borderId="26" xfId="0" applyNumberFormat="1" applyFont="1" applyFill="1" applyBorder="1" applyAlignme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14" fillId="0" borderId="26" xfId="337" applyNumberFormat="1" applyFont="1" applyBorder="1" applyAlignment="1">
      <alignment vertical="center"/>
    </xf>
    <xf numFmtId="169" fontId="77" fillId="26" borderId="12" xfId="337" quotePrefix="1" applyNumberFormat="1" applyFont="1" applyFill="1" applyBorder="1" applyAlignment="1">
      <alignment horizontal="center" vertical="center" wrapText="1"/>
    </xf>
    <xf numFmtId="169" fontId="30" fillId="27" borderId="14" xfId="337" applyNumberFormat="1" applyFont="1" applyFill="1" applyBorder="1" applyAlignment="1">
      <alignment horizontal="center" vertical="center" wrapText="1"/>
    </xf>
    <xf numFmtId="169" fontId="30" fillId="0" borderId="30" xfId="337" applyNumberFormat="1" applyFont="1" applyFill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vertical="center" wrapText="1"/>
    </xf>
    <xf numFmtId="169" fontId="116" fillId="31" borderId="2" xfId="337" applyNumberFormat="1" applyFont="1" applyFill="1" applyBorder="1" applyAlignment="1">
      <alignment horizontal="center" vertical="center" wrapText="1"/>
    </xf>
    <xf numFmtId="169" fontId="118" fillId="31" borderId="2" xfId="337" applyNumberFormat="1" applyFont="1" applyFill="1" applyBorder="1" applyAlignment="1">
      <alignment horizontal="center" vertical="center" wrapText="1"/>
    </xf>
    <xf numFmtId="169" fontId="116" fillId="0" borderId="30" xfId="337" applyNumberFormat="1" applyFont="1" applyBorder="1" applyAlignment="1">
      <alignment horizontal="center" vertical="center" wrapText="1"/>
    </xf>
    <xf numFmtId="169" fontId="30" fillId="0" borderId="23" xfId="341" applyNumberFormat="1" applyFont="1" applyBorder="1" applyAlignment="1">
      <alignment horizontal="center" vertical="center"/>
    </xf>
    <xf numFmtId="0" fontId="116" fillId="0" borderId="2" xfId="420" applyFont="1" applyFill="1" applyBorder="1" applyAlignment="1">
      <alignment vertical="center" wrapText="1"/>
    </xf>
    <xf numFmtId="0" fontId="116" fillId="0" borderId="2" xfId="420" applyFont="1" applyFill="1" applyBorder="1" applyAlignment="1">
      <alignment horizontal="left" vertical="center"/>
    </xf>
    <xf numFmtId="0" fontId="116" fillId="0" borderId="2" xfId="420" applyFont="1" applyFill="1" applyBorder="1" applyAlignment="1">
      <alignment horizontal="center" vertical="center"/>
    </xf>
    <xf numFmtId="169" fontId="116" fillId="0" borderId="2" xfId="341" applyNumberFormat="1" applyFont="1" applyFill="1" applyBorder="1" applyAlignment="1">
      <alignment horizontal="left" vertical="center"/>
    </xf>
    <xf numFmtId="168" fontId="116" fillId="0" borderId="2" xfId="337" applyNumberFormat="1" applyFont="1" applyFill="1" applyBorder="1" applyAlignment="1">
      <alignment horizontal="left" vertical="center"/>
    </xf>
    <xf numFmtId="169" fontId="116" fillId="0" borderId="2" xfId="341" applyNumberFormat="1" applyFont="1" applyFill="1" applyBorder="1" applyAlignment="1">
      <alignment horizontal="center" vertical="center" wrapText="1"/>
    </xf>
    <xf numFmtId="43" fontId="116" fillId="0" borderId="2" xfId="341" applyNumberFormat="1" applyFont="1" applyFill="1" applyBorder="1" applyAlignment="1">
      <alignment horizontal="left" vertical="center"/>
    </xf>
    <xf numFmtId="169" fontId="116" fillId="0" borderId="2" xfId="337" applyNumberFormat="1" applyFont="1" applyFill="1" applyBorder="1" applyAlignment="1">
      <alignment horizontal="center" vertical="center" wrapText="1"/>
    </xf>
    <xf numFmtId="169" fontId="116" fillId="0" borderId="2" xfId="337" applyNumberFormat="1" applyFont="1" applyFill="1" applyBorder="1" applyAlignment="1">
      <alignment horizontal="left" vertical="center"/>
    </xf>
    <xf numFmtId="169" fontId="116" fillId="0" borderId="2" xfId="341" quotePrefix="1" applyNumberFormat="1" applyFont="1" applyFill="1" applyBorder="1" applyAlignment="1">
      <alignment horizontal="center" vertical="center" wrapText="1"/>
    </xf>
    <xf numFmtId="169" fontId="116" fillId="0" borderId="2" xfId="337" quotePrefix="1" applyNumberFormat="1" applyFont="1" applyFill="1" applyBorder="1" applyAlignment="1">
      <alignment horizontal="center" vertical="center" wrapText="1"/>
    </xf>
    <xf numFmtId="169" fontId="116" fillId="26" borderId="2" xfId="341" applyNumberFormat="1" applyFont="1" applyFill="1" applyBorder="1" applyAlignment="1">
      <alignment horizontal="center" vertical="center" wrapText="1"/>
    </xf>
    <xf numFmtId="0" fontId="124" fillId="0" borderId="0" xfId="420" applyFont="1" applyFill="1" applyBorder="1" applyAlignment="1">
      <alignment horizontal="center" vertical="center"/>
    </xf>
    <xf numFmtId="169" fontId="116" fillId="0" borderId="0" xfId="341" applyNumberFormat="1" applyFont="1" applyFill="1" applyAlignment="1">
      <alignment vertical="center" wrapText="1"/>
    </xf>
    <xf numFmtId="169" fontId="124" fillId="0" borderId="0" xfId="341" applyNumberFormat="1" applyFont="1" applyFill="1" applyAlignment="1">
      <alignment horizontal="center" vertical="center" wrapText="1"/>
    </xf>
    <xf numFmtId="169" fontId="125" fillId="0" borderId="0" xfId="341" applyNumberFormat="1" applyFont="1" applyFill="1" applyAlignment="1">
      <alignment vertical="center"/>
    </xf>
    <xf numFmtId="0" fontId="125" fillId="0" borderId="0" xfId="420" applyFont="1" applyFill="1" applyAlignment="1">
      <alignment vertical="center"/>
    </xf>
    <xf numFmtId="0" fontId="116" fillId="0" borderId="0" xfId="420" applyFont="1" applyFill="1" applyAlignment="1">
      <alignment vertical="center" wrapText="1"/>
    </xf>
    <xf numFmtId="0" fontId="116" fillId="0" borderId="2" xfId="0" applyFont="1" applyFill="1" applyBorder="1" applyAlignment="1">
      <alignment vertical="center" wrapText="1"/>
    </xf>
    <xf numFmtId="0" fontId="116" fillId="0" borderId="2" xfId="0" applyFont="1" applyFill="1" applyBorder="1" applyAlignment="1">
      <alignment horizontal="center" vertical="center" wrapText="1"/>
    </xf>
    <xf numFmtId="0" fontId="116" fillId="0" borderId="2" xfId="0" applyFont="1" applyFill="1" applyBorder="1" applyAlignment="1">
      <alignment horizontal="left" vertical="center"/>
    </xf>
    <xf numFmtId="0" fontId="116" fillId="0" borderId="2" xfId="0" applyFont="1" applyFill="1" applyBorder="1" applyAlignment="1">
      <alignment horizontal="center" vertical="center"/>
    </xf>
    <xf numFmtId="169" fontId="116" fillId="26" borderId="2" xfId="337" applyNumberFormat="1" applyFont="1" applyFill="1" applyBorder="1" applyAlignment="1">
      <alignment horizontal="center" vertical="center" wrapText="1"/>
    </xf>
    <xf numFmtId="0" fontId="124" fillId="0" borderId="0" xfId="0" applyFont="1" applyFill="1" applyBorder="1" applyAlignment="1">
      <alignment horizontal="center" vertical="center"/>
    </xf>
    <xf numFmtId="169" fontId="116" fillId="0" borderId="0" xfId="337" applyNumberFormat="1" applyFont="1" applyFill="1" applyAlignment="1">
      <alignment vertical="center" wrapText="1"/>
    </xf>
    <xf numFmtId="169" fontId="124" fillId="0" borderId="0" xfId="337" applyNumberFormat="1" applyFont="1" applyFill="1" applyAlignment="1">
      <alignment horizontal="center" vertical="center" wrapText="1"/>
    </xf>
    <xf numFmtId="169" fontId="125" fillId="0" borderId="0" xfId="337" applyNumberFormat="1" applyFont="1" applyFill="1" applyAlignment="1">
      <alignment vertical="center"/>
    </xf>
    <xf numFmtId="0" fontId="125" fillId="0" borderId="0" xfId="0" applyFont="1" applyFill="1" applyAlignment="1">
      <alignment vertical="center"/>
    </xf>
    <xf numFmtId="0" fontId="116" fillId="0" borderId="0" xfId="0" applyFont="1" applyFill="1" applyAlignment="1">
      <alignment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169" fontId="106" fillId="0" borderId="0" xfId="337" applyNumberFormat="1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107" fillId="0" borderId="0" xfId="337" applyNumberFormat="1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102" fillId="0" borderId="32" xfId="420" applyFont="1" applyBorder="1" applyAlignment="1">
      <alignment horizontal="center"/>
    </xf>
    <xf numFmtId="0" fontId="102" fillId="0" borderId="35" xfId="420" applyFont="1" applyBorder="1" applyAlignment="1">
      <alignment horizontal="center"/>
    </xf>
    <xf numFmtId="0" fontId="30" fillId="0" borderId="14" xfId="420" applyFont="1" applyFill="1" applyBorder="1" applyAlignment="1">
      <alignment horizontal="center" vertical="center"/>
    </xf>
    <xf numFmtId="0" fontId="30" fillId="0" borderId="28" xfId="42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  <xf numFmtId="0" fontId="100" fillId="26" borderId="23" xfId="420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2" xfId="42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30" fillId="0" borderId="14" xfId="420" applyFont="1" applyFill="1" applyBorder="1" applyAlignment="1">
      <alignment horizontal="center" vertical="center" wrapText="1"/>
    </xf>
    <xf numFmtId="0" fontId="30" fillId="0" borderId="28" xfId="420" applyFont="1" applyFill="1" applyBorder="1" applyAlignment="1">
      <alignment horizontal="center" vertical="center" wrapText="1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46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filterMode="1" enableFormatConditionsCalculation="0">
    <tabColor indexed="33"/>
  </sheetPr>
  <dimension ref="A1:AA141"/>
  <sheetViews>
    <sheetView topLeftCell="A8" workbookViewId="0">
      <pane ySplit="3" topLeftCell="A68" activePane="bottomLeft" state="frozen"/>
      <selection activeCell="A8" sqref="A8"/>
      <selection pane="bottomLeft" activeCell="K28" sqref="K28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1.7109375" style="45" customWidth="1"/>
    <col min="6" max="6" width="10.85546875" style="45" customWidth="1"/>
    <col min="7" max="7" width="10.85546875" style="31" customWidth="1"/>
    <col min="8" max="9" width="9.7109375" style="31" customWidth="1"/>
    <col min="10" max="23" width="10.5703125" style="2" customWidth="1"/>
    <col min="24" max="24" width="10.85546875" style="45" customWidth="1"/>
    <col min="25" max="25" width="13.28515625" style="45" customWidth="1"/>
    <col min="26" max="27" width="11.85546875" style="45" customWidth="1"/>
    <col min="28" max="16384" width="9.140625" style="2"/>
  </cols>
  <sheetData>
    <row r="1" spans="1:27" ht="15">
      <c r="A1" s="1" t="s">
        <v>181</v>
      </c>
    </row>
    <row r="2" spans="1:27" ht="15">
      <c r="A2" s="1" t="s">
        <v>182</v>
      </c>
    </row>
    <row r="3" spans="1:27" ht="15">
      <c r="A3" s="1"/>
    </row>
    <row r="4" spans="1:27">
      <c r="A4" s="104"/>
      <c r="B4" s="104"/>
    </row>
    <row r="5" spans="1:27" ht="23.25" customHeight="1">
      <c r="A5" s="355" t="s">
        <v>35</v>
      </c>
      <c r="B5" s="355"/>
      <c r="C5" s="355"/>
      <c r="D5" s="355"/>
      <c r="E5" s="356"/>
      <c r="F5" s="355"/>
      <c r="G5" s="355"/>
      <c r="H5" s="355"/>
      <c r="I5" s="355"/>
      <c r="J5" s="355"/>
      <c r="K5" s="355"/>
      <c r="L5" s="355"/>
      <c r="M5" s="355"/>
      <c r="N5" s="355"/>
      <c r="O5" s="355"/>
      <c r="P5" s="355"/>
      <c r="Q5" s="355"/>
      <c r="R5" s="355"/>
      <c r="S5" s="355"/>
      <c r="T5" s="355"/>
      <c r="U5" s="355"/>
      <c r="V5" s="355"/>
      <c r="W5" s="355"/>
      <c r="X5" s="355"/>
      <c r="Y5" s="355"/>
    </row>
    <row r="6" spans="1:27" ht="23.25" customHeight="1">
      <c r="A6" s="357" t="e">
        <f>"Tháng "&amp;#REF!&amp;" năm 2011"</f>
        <v>#REF!</v>
      </c>
      <c r="B6" s="357"/>
      <c r="C6" s="357"/>
      <c r="D6" s="357"/>
      <c r="E6" s="358"/>
      <c r="F6" s="357"/>
      <c r="G6" s="357"/>
      <c r="H6" s="357"/>
      <c r="I6" s="357"/>
      <c r="J6" s="357"/>
      <c r="K6" s="357"/>
      <c r="L6" s="357"/>
      <c r="M6" s="357"/>
      <c r="N6" s="357"/>
      <c r="O6" s="357"/>
      <c r="P6" s="357"/>
      <c r="Q6" s="357"/>
      <c r="R6" s="357"/>
      <c r="S6" s="357"/>
      <c r="T6" s="357"/>
      <c r="U6" s="357"/>
      <c r="V6" s="357"/>
      <c r="W6" s="357"/>
      <c r="X6" s="357"/>
      <c r="Y6" s="357"/>
    </row>
    <row r="7" spans="1:27" s="120" customFormat="1" ht="19.5" customHeight="1">
      <c r="A7" s="118"/>
      <c r="B7" s="118"/>
      <c r="C7" s="118"/>
      <c r="D7" s="118"/>
      <c r="E7" s="310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9"/>
      <c r="AA7" s="119"/>
    </row>
    <row r="8" spans="1:27" s="1" customFormat="1" ht="20.25" customHeight="1">
      <c r="A8" s="359" t="s">
        <v>19</v>
      </c>
      <c r="B8" s="359" t="s">
        <v>3</v>
      </c>
      <c r="C8" s="359" t="s">
        <v>1</v>
      </c>
      <c r="D8" s="359" t="s">
        <v>2</v>
      </c>
      <c r="E8" s="363" t="s">
        <v>56</v>
      </c>
      <c r="F8" s="364"/>
      <c r="G8" s="365"/>
      <c r="H8" s="362" t="s">
        <v>36</v>
      </c>
      <c r="I8" s="362"/>
      <c r="J8" s="362" t="s">
        <v>24</v>
      </c>
      <c r="K8" s="362" t="s">
        <v>33</v>
      </c>
      <c r="L8" s="362"/>
      <c r="M8" s="362"/>
      <c r="N8" s="362"/>
      <c r="O8" s="362"/>
      <c r="P8" s="362"/>
      <c r="Q8" s="362"/>
      <c r="R8" s="362"/>
      <c r="S8" s="362"/>
      <c r="T8" s="362"/>
      <c r="U8" s="362"/>
      <c r="V8" s="362"/>
      <c r="W8" s="360" t="s">
        <v>39</v>
      </c>
      <c r="X8" s="360" t="s">
        <v>23</v>
      </c>
      <c r="Y8" s="360" t="s">
        <v>11</v>
      </c>
      <c r="Z8" s="102"/>
      <c r="AA8" s="102"/>
    </row>
    <row r="9" spans="1:27" s="1" customFormat="1" ht="20.25" customHeight="1">
      <c r="A9" s="359"/>
      <c r="B9" s="359"/>
      <c r="C9" s="359"/>
      <c r="D9" s="359"/>
      <c r="E9" s="311" t="s">
        <v>196</v>
      </c>
      <c r="F9" s="272" t="s">
        <v>190</v>
      </c>
      <c r="G9" s="272">
        <v>2015</v>
      </c>
      <c r="H9" s="271" t="s">
        <v>57</v>
      </c>
      <c r="I9" s="271" t="s">
        <v>38</v>
      </c>
      <c r="J9" s="362"/>
      <c r="K9" s="271" t="s">
        <v>129</v>
      </c>
      <c r="L9" s="271" t="s">
        <v>130</v>
      </c>
      <c r="M9" s="271" t="s">
        <v>131</v>
      </c>
      <c r="N9" s="271" t="s">
        <v>132</v>
      </c>
      <c r="O9" s="271" t="s">
        <v>133</v>
      </c>
      <c r="P9" s="271" t="s">
        <v>134</v>
      </c>
      <c r="Q9" s="271" t="s">
        <v>135</v>
      </c>
      <c r="R9" s="271" t="s">
        <v>136</v>
      </c>
      <c r="S9" s="271" t="s">
        <v>137</v>
      </c>
      <c r="T9" s="271" t="s">
        <v>138</v>
      </c>
      <c r="U9" s="271" t="s">
        <v>139</v>
      </c>
      <c r="V9" s="271" t="s">
        <v>140</v>
      </c>
      <c r="W9" s="361"/>
      <c r="X9" s="361"/>
      <c r="Y9" s="361"/>
      <c r="Z9" s="102"/>
      <c r="AA9" s="102"/>
    </row>
    <row r="10" spans="1:27" ht="14.25" customHeight="1">
      <c r="A10" s="121">
        <v>1</v>
      </c>
      <c r="B10" s="121">
        <v>1</v>
      </c>
      <c r="C10" s="121">
        <v>2</v>
      </c>
      <c r="D10" s="121">
        <v>3</v>
      </c>
      <c r="E10" s="312"/>
      <c r="F10" s="121">
        <v>4</v>
      </c>
      <c r="G10" s="121">
        <v>5</v>
      </c>
      <c r="H10" s="121">
        <v>6</v>
      </c>
      <c r="I10" s="121">
        <v>7</v>
      </c>
      <c r="J10" s="121">
        <v>8</v>
      </c>
      <c r="K10" s="121">
        <v>9</v>
      </c>
      <c r="L10" s="121">
        <v>10</v>
      </c>
      <c r="M10" s="121">
        <v>11</v>
      </c>
      <c r="N10" s="121">
        <v>12</v>
      </c>
      <c r="O10" s="121">
        <v>13</v>
      </c>
      <c r="P10" s="121">
        <v>14</v>
      </c>
      <c r="Q10" s="121">
        <v>15</v>
      </c>
      <c r="R10" s="121">
        <v>16</v>
      </c>
      <c r="S10" s="121">
        <v>17</v>
      </c>
      <c r="T10" s="121">
        <v>18</v>
      </c>
      <c r="U10" s="121">
        <v>19</v>
      </c>
      <c r="V10" s="121">
        <v>20</v>
      </c>
      <c r="W10" s="121">
        <v>21</v>
      </c>
      <c r="X10" s="121">
        <v>22</v>
      </c>
      <c r="Y10" s="121">
        <v>23</v>
      </c>
    </row>
    <row r="11" spans="1:27" s="255" customFormat="1" ht="21.75" customHeight="1">
      <c r="A11" s="251">
        <f>ROW()-10</f>
        <v>1</v>
      </c>
      <c r="B11" s="251" t="s">
        <v>61</v>
      </c>
      <c r="C11" s="256" t="s">
        <v>63</v>
      </c>
      <c r="D11" s="251" t="s">
        <v>64</v>
      </c>
      <c r="E11" s="246">
        <v>4336000</v>
      </c>
      <c r="F11" s="315">
        <v>4336000</v>
      </c>
      <c r="G11" s="246">
        <v>4336000</v>
      </c>
      <c r="H11" s="246">
        <v>390000</v>
      </c>
      <c r="I11" s="246"/>
      <c r="J11" s="246"/>
      <c r="K11" s="246" t="s">
        <v>67</v>
      </c>
      <c r="L11" s="246" t="s">
        <v>67</v>
      </c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53"/>
      <c r="AA11" s="254"/>
    </row>
    <row r="12" spans="1:27" s="255" customFormat="1" ht="21.75" customHeight="1">
      <c r="A12" s="251">
        <f t="shared" ref="A12:A52" si="0">ROW()-10</f>
        <v>2</v>
      </c>
      <c r="B12" s="251" t="s">
        <v>62</v>
      </c>
      <c r="C12" s="256" t="s">
        <v>65</v>
      </c>
      <c r="D12" s="251" t="s">
        <v>66</v>
      </c>
      <c r="E12" s="246">
        <v>4056000</v>
      </c>
      <c r="F12" s="315">
        <v>4056000</v>
      </c>
      <c r="G12" s="246">
        <v>4056000</v>
      </c>
      <c r="H12" s="246">
        <v>390000</v>
      </c>
      <c r="I12" s="246"/>
      <c r="J12" s="246"/>
      <c r="K12" s="246" t="s">
        <v>67</v>
      </c>
      <c r="L12" s="246" t="s">
        <v>67</v>
      </c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53"/>
      <c r="AA12" s="254"/>
    </row>
    <row r="13" spans="1:27" s="261" customFormat="1" ht="21.75" customHeight="1">
      <c r="A13" s="252">
        <f t="shared" si="0"/>
        <v>3</v>
      </c>
      <c r="B13" s="252" t="s">
        <v>68</v>
      </c>
      <c r="C13" s="257" t="s">
        <v>69</v>
      </c>
      <c r="D13" s="252" t="s">
        <v>22</v>
      </c>
      <c r="E13" s="246">
        <v>10851000</v>
      </c>
      <c r="F13" s="316">
        <v>10851000</v>
      </c>
      <c r="G13" s="258">
        <v>10851000</v>
      </c>
      <c r="H13" s="258">
        <v>390000</v>
      </c>
      <c r="I13" s="246"/>
      <c r="J13" s="258"/>
      <c r="K13" s="246" t="s">
        <v>67</v>
      </c>
      <c r="L13" s="246" t="s">
        <v>67</v>
      </c>
      <c r="M13" s="246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9"/>
      <c r="AA13" s="260"/>
    </row>
    <row r="14" spans="1:27" s="261" customFormat="1" ht="21.75" customHeight="1">
      <c r="A14" s="252">
        <f t="shared" si="0"/>
        <v>4</v>
      </c>
      <c r="B14" s="252" t="s">
        <v>70</v>
      </c>
      <c r="C14" s="257" t="s">
        <v>73</v>
      </c>
      <c r="D14" s="252" t="s">
        <v>74</v>
      </c>
      <c r="E14" s="246">
        <v>4895000</v>
      </c>
      <c r="F14" s="316">
        <v>4895000</v>
      </c>
      <c r="G14" s="258">
        <v>4895000</v>
      </c>
      <c r="H14" s="258">
        <v>390000</v>
      </c>
      <c r="I14" s="246"/>
      <c r="J14" s="258"/>
      <c r="K14" s="246" t="s">
        <v>67</v>
      </c>
      <c r="L14" s="246" t="s">
        <v>67</v>
      </c>
      <c r="M14" s="246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9"/>
      <c r="AA14" s="260"/>
    </row>
    <row r="15" spans="1:27" s="261" customFormat="1" ht="21.75" customHeight="1">
      <c r="A15" s="252">
        <f t="shared" si="0"/>
        <v>5</v>
      </c>
      <c r="B15" s="252" t="s">
        <v>72</v>
      </c>
      <c r="C15" s="257" t="s">
        <v>76</v>
      </c>
      <c r="D15" s="252" t="s">
        <v>191</v>
      </c>
      <c r="E15" s="246">
        <v>4895000</v>
      </c>
      <c r="F15" s="316">
        <v>4895000</v>
      </c>
      <c r="G15" s="258">
        <v>4895000</v>
      </c>
      <c r="H15" s="258">
        <v>390000</v>
      </c>
      <c r="I15" s="246"/>
      <c r="J15" s="258"/>
      <c r="K15" s="246" t="s">
        <v>67</v>
      </c>
      <c r="L15" s="246" t="s">
        <v>67</v>
      </c>
      <c r="M15" s="246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9"/>
      <c r="AA15" s="260"/>
    </row>
    <row r="16" spans="1:27" s="261" customFormat="1" ht="21.75" customHeight="1">
      <c r="A16" s="252">
        <f t="shared" si="0"/>
        <v>6</v>
      </c>
      <c r="B16" s="252" t="s">
        <v>75</v>
      </c>
      <c r="C16" s="257" t="s">
        <v>79</v>
      </c>
      <c r="D16" s="252" t="s">
        <v>80</v>
      </c>
      <c r="E16" s="246">
        <v>4336000</v>
      </c>
      <c r="F16" s="316">
        <v>4336000</v>
      </c>
      <c r="G16" s="258">
        <v>4336000</v>
      </c>
      <c r="H16" s="258">
        <v>390000</v>
      </c>
      <c r="I16" s="246"/>
      <c r="J16" s="258"/>
      <c r="K16" s="246" t="s">
        <v>67</v>
      </c>
      <c r="L16" s="246" t="s">
        <v>67</v>
      </c>
      <c r="M16" s="246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9"/>
      <c r="AA16" s="260"/>
    </row>
    <row r="17" spans="1:27" s="261" customFormat="1" ht="21.75" customHeight="1">
      <c r="A17" s="252">
        <f t="shared" si="0"/>
        <v>7</v>
      </c>
      <c r="B17" s="252" t="s">
        <v>77</v>
      </c>
      <c r="C17" s="257" t="s">
        <v>82</v>
      </c>
      <c r="D17" s="252" t="s">
        <v>71</v>
      </c>
      <c r="E17" s="246">
        <v>3776000</v>
      </c>
      <c r="F17" s="316">
        <v>3496000</v>
      </c>
      <c r="G17" s="258">
        <v>3496000</v>
      </c>
      <c r="H17" s="258">
        <v>390000</v>
      </c>
      <c r="I17" s="246"/>
      <c r="J17" s="258"/>
      <c r="K17" s="246" t="s">
        <v>67</v>
      </c>
      <c r="L17" s="246" t="s">
        <v>67</v>
      </c>
      <c r="M17" s="246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9"/>
      <c r="AA17" s="260"/>
    </row>
    <row r="18" spans="1:27" s="261" customFormat="1" ht="21.75" customHeight="1">
      <c r="A18" s="252">
        <f t="shared" si="0"/>
        <v>8</v>
      </c>
      <c r="B18" s="252" t="s">
        <v>78</v>
      </c>
      <c r="C18" s="257" t="s">
        <v>174</v>
      </c>
      <c r="D18" s="262" t="s">
        <v>83</v>
      </c>
      <c r="E18" s="317">
        <v>4056000</v>
      </c>
      <c r="F18" s="316">
        <v>4056000</v>
      </c>
      <c r="G18" s="258">
        <v>4056000</v>
      </c>
      <c r="H18" s="258">
        <v>390000</v>
      </c>
      <c r="I18" s="246"/>
      <c r="J18" s="258"/>
      <c r="K18" s="246" t="s">
        <v>67</v>
      </c>
      <c r="L18" s="246" t="s">
        <v>67</v>
      </c>
      <c r="M18" s="246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9"/>
      <c r="AA18" s="260"/>
    </row>
    <row r="19" spans="1:27" s="261" customFormat="1" ht="21.75" customHeight="1">
      <c r="A19" s="252">
        <f t="shared" si="0"/>
        <v>9</v>
      </c>
      <c r="B19" s="252" t="s">
        <v>81</v>
      </c>
      <c r="C19" s="257" t="s">
        <v>178</v>
      </c>
      <c r="D19" s="252" t="s">
        <v>80</v>
      </c>
      <c r="E19" s="246">
        <v>4840000</v>
      </c>
      <c r="F19" s="316">
        <v>4840000</v>
      </c>
      <c r="G19" s="258">
        <v>4840000</v>
      </c>
      <c r="H19" s="258">
        <v>390000</v>
      </c>
      <c r="I19" s="246"/>
      <c r="J19" s="258"/>
      <c r="K19" s="246" t="s">
        <v>67</v>
      </c>
      <c r="L19" s="246" t="s">
        <v>67</v>
      </c>
      <c r="M19" s="246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9"/>
      <c r="AA19" s="260"/>
    </row>
    <row r="20" spans="1:27" s="261" customFormat="1" ht="21.75" hidden="1" customHeight="1">
      <c r="A20" s="252">
        <f t="shared" si="0"/>
        <v>10</v>
      </c>
      <c r="B20" s="252" t="s">
        <v>192</v>
      </c>
      <c r="C20" s="257" t="s">
        <v>193</v>
      </c>
      <c r="D20" s="252" t="s">
        <v>64</v>
      </c>
      <c r="E20" s="316">
        <v>3568000</v>
      </c>
      <c r="F20" s="316">
        <v>3568000</v>
      </c>
      <c r="G20" s="258"/>
      <c r="H20" s="258">
        <v>390000</v>
      </c>
      <c r="I20" s="258"/>
      <c r="J20" s="258"/>
      <c r="K20" s="258" t="s">
        <v>67</v>
      </c>
      <c r="L20" s="258" t="s">
        <v>199</v>
      </c>
      <c r="M20" s="246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9"/>
      <c r="AA20" s="260"/>
    </row>
    <row r="21" spans="1:27" s="270" customFormat="1" ht="21.75" hidden="1" customHeight="1">
      <c r="A21" s="264">
        <f t="shared" si="0"/>
        <v>11</v>
      </c>
      <c r="B21" s="265" t="s">
        <v>84</v>
      </c>
      <c r="C21" s="266" t="s">
        <v>141</v>
      </c>
      <c r="D21" s="264" t="s">
        <v>111</v>
      </c>
      <c r="E21" s="264"/>
      <c r="F21" s="267">
        <v>3549000</v>
      </c>
      <c r="G21" s="267">
        <v>3237000</v>
      </c>
      <c r="H21" s="267">
        <v>390000</v>
      </c>
      <c r="I21" s="267"/>
      <c r="J21" s="267"/>
      <c r="K21" s="267"/>
      <c r="L21" s="267"/>
      <c r="M21" s="246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8"/>
      <c r="AA21" s="269"/>
    </row>
    <row r="22" spans="1:27" s="270" customFormat="1" ht="21.75" customHeight="1">
      <c r="A22" s="264">
        <f t="shared" si="0"/>
        <v>12</v>
      </c>
      <c r="B22" s="265" t="s">
        <v>85</v>
      </c>
      <c r="C22" s="266" t="s">
        <v>142</v>
      </c>
      <c r="D22" s="264" t="s">
        <v>111</v>
      </c>
      <c r="E22" s="246">
        <v>3552000</v>
      </c>
      <c r="F22" s="267">
        <v>3317000</v>
      </c>
      <c r="G22" s="267">
        <v>2943000</v>
      </c>
      <c r="H22" s="267">
        <v>390000</v>
      </c>
      <c r="I22" s="246"/>
      <c r="J22" s="267"/>
      <c r="K22" s="267" t="s">
        <v>67</v>
      </c>
      <c r="L22" s="267" t="s">
        <v>67</v>
      </c>
      <c r="M22" s="246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8"/>
      <c r="AA22" s="269"/>
    </row>
    <row r="23" spans="1:27" s="270" customFormat="1" ht="21.75" customHeight="1">
      <c r="A23" s="264">
        <f t="shared" si="0"/>
        <v>13</v>
      </c>
      <c r="B23" s="265" t="s">
        <v>86</v>
      </c>
      <c r="C23" s="266" t="s">
        <v>143</v>
      </c>
      <c r="D23" s="264" t="s">
        <v>111</v>
      </c>
      <c r="E23" s="267">
        <v>3552000</v>
      </c>
      <c r="F23" s="267">
        <v>3317000</v>
      </c>
      <c r="G23" s="267">
        <v>2943000</v>
      </c>
      <c r="H23" s="267">
        <v>390000</v>
      </c>
      <c r="I23" s="267"/>
      <c r="J23" s="267"/>
      <c r="K23" s="267" t="s">
        <v>67</v>
      </c>
      <c r="L23" s="267" t="s">
        <v>67</v>
      </c>
      <c r="M23" s="246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8"/>
      <c r="AA23" s="269"/>
    </row>
    <row r="24" spans="1:27" s="270" customFormat="1" ht="21.75" customHeight="1">
      <c r="A24" s="264">
        <f t="shared" si="0"/>
        <v>14</v>
      </c>
      <c r="B24" s="265" t="s">
        <v>87</v>
      </c>
      <c r="C24" s="266" t="s">
        <v>144</v>
      </c>
      <c r="D24" s="264" t="s">
        <v>111</v>
      </c>
      <c r="E24" s="267">
        <v>3552000</v>
      </c>
      <c r="F24" s="267">
        <v>3317000</v>
      </c>
      <c r="G24" s="267">
        <v>2943000</v>
      </c>
      <c r="H24" s="267">
        <v>390000</v>
      </c>
      <c r="I24" s="267"/>
      <c r="J24" s="267"/>
      <c r="K24" s="267" t="s">
        <v>67</v>
      </c>
      <c r="L24" s="267" t="s">
        <v>67</v>
      </c>
      <c r="M24" s="246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8"/>
      <c r="AA24" s="269"/>
    </row>
    <row r="25" spans="1:27" s="270" customFormat="1" ht="21.75" hidden="1" customHeight="1">
      <c r="A25" s="264">
        <f t="shared" si="0"/>
        <v>15</v>
      </c>
      <c r="B25" s="265" t="s">
        <v>88</v>
      </c>
      <c r="C25" s="266" t="s">
        <v>145</v>
      </c>
      <c r="D25" s="264" t="s">
        <v>111</v>
      </c>
      <c r="E25" s="264"/>
      <c r="F25" s="267">
        <v>3317000</v>
      </c>
      <c r="G25" s="267">
        <v>2943000</v>
      </c>
      <c r="H25" s="267">
        <v>390000</v>
      </c>
      <c r="I25" s="267"/>
      <c r="J25" s="267"/>
      <c r="K25" s="267"/>
      <c r="L25" s="267"/>
      <c r="M25" s="246"/>
      <c r="N25" s="267"/>
      <c r="O25" s="267"/>
      <c r="P25" s="298"/>
      <c r="Q25" s="267"/>
      <c r="R25" s="267"/>
      <c r="S25" s="267"/>
      <c r="T25" s="267"/>
      <c r="U25" s="267"/>
      <c r="V25" s="267"/>
      <c r="W25" s="267"/>
      <c r="X25" s="267"/>
      <c r="Y25" s="267"/>
      <c r="Z25" s="268"/>
      <c r="AA25" s="269"/>
    </row>
    <row r="26" spans="1:27" s="270" customFormat="1" ht="21.75" hidden="1" customHeight="1">
      <c r="A26" s="264">
        <f t="shared" si="0"/>
        <v>16</v>
      </c>
      <c r="B26" s="265" t="s">
        <v>89</v>
      </c>
      <c r="C26" s="266" t="s">
        <v>146</v>
      </c>
      <c r="D26" s="264" t="s">
        <v>111</v>
      </c>
      <c r="E26" s="264"/>
      <c r="F26" s="267">
        <v>3317000</v>
      </c>
      <c r="G26" s="267">
        <v>2943000</v>
      </c>
      <c r="H26" s="267">
        <v>390000</v>
      </c>
      <c r="I26" s="267"/>
      <c r="J26" s="267"/>
      <c r="K26" s="267"/>
      <c r="L26" s="267"/>
      <c r="M26" s="246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8"/>
      <c r="AA26" s="269"/>
    </row>
    <row r="27" spans="1:27" s="270" customFormat="1" ht="21.75" hidden="1" customHeight="1">
      <c r="A27" s="264">
        <f t="shared" si="0"/>
        <v>17</v>
      </c>
      <c r="B27" s="265" t="s">
        <v>90</v>
      </c>
      <c r="C27" s="266" t="s">
        <v>147</v>
      </c>
      <c r="D27" s="264" t="s">
        <v>111</v>
      </c>
      <c r="E27" s="264"/>
      <c r="F27" s="267">
        <v>3317000</v>
      </c>
      <c r="G27" s="267">
        <v>2943000</v>
      </c>
      <c r="H27" s="267">
        <v>390000</v>
      </c>
      <c r="I27" s="267"/>
      <c r="J27" s="267"/>
      <c r="K27" s="267"/>
      <c r="L27" s="267"/>
      <c r="M27" s="246"/>
      <c r="N27" s="267"/>
      <c r="O27" s="267"/>
      <c r="P27" s="298"/>
      <c r="Q27" s="267"/>
      <c r="R27" s="267"/>
      <c r="S27" s="267"/>
      <c r="T27" s="267"/>
      <c r="U27" s="267"/>
      <c r="V27" s="267"/>
      <c r="W27" s="267"/>
      <c r="X27" s="267"/>
      <c r="Y27" s="267"/>
      <c r="Z27" s="268"/>
      <c r="AA27" s="269"/>
    </row>
    <row r="28" spans="1:27" s="270" customFormat="1" ht="21.75" customHeight="1">
      <c r="A28" s="264">
        <f t="shared" si="0"/>
        <v>18</v>
      </c>
      <c r="B28" s="265" t="s">
        <v>91</v>
      </c>
      <c r="C28" s="266" t="s">
        <v>148</v>
      </c>
      <c r="D28" s="264" t="s">
        <v>111</v>
      </c>
      <c r="E28" s="267">
        <v>3552000</v>
      </c>
      <c r="F28" s="267">
        <v>3317000</v>
      </c>
      <c r="G28" s="267">
        <v>2943000</v>
      </c>
      <c r="H28" s="267">
        <v>390000</v>
      </c>
      <c r="I28" s="267"/>
      <c r="J28" s="267"/>
      <c r="K28" s="267" t="s">
        <v>67</v>
      </c>
      <c r="L28" s="267" t="s">
        <v>67</v>
      </c>
      <c r="M28" s="246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8"/>
      <c r="AA28" s="269"/>
    </row>
    <row r="29" spans="1:27" s="270" customFormat="1" ht="21.75" customHeight="1">
      <c r="A29" s="264">
        <f t="shared" si="0"/>
        <v>19</v>
      </c>
      <c r="B29" s="265" t="s">
        <v>92</v>
      </c>
      <c r="C29" s="266" t="s">
        <v>149</v>
      </c>
      <c r="D29" s="264" t="s">
        <v>111</v>
      </c>
      <c r="E29" s="267">
        <v>3552000</v>
      </c>
      <c r="F29" s="267">
        <v>3317000</v>
      </c>
      <c r="G29" s="267">
        <v>2943000</v>
      </c>
      <c r="H29" s="267">
        <v>390000</v>
      </c>
      <c r="I29" s="267"/>
      <c r="J29" s="267"/>
      <c r="K29" s="267" t="s">
        <v>67</v>
      </c>
      <c r="L29" s="267" t="s">
        <v>67</v>
      </c>
      <c r="M29" s="246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8"/>
      <c r="AA29" s="269"/>
    </row>
    <row r="30" spans="1:27" s="270" customFormat="1" ht="21.75" hidden="1" customHeight="1">
      <c r="A30" s="264">
        <f t="shared" si="0"/>
        <v>20</v>
      </c>
      <c r="B30" s="265" t="s">
        <v>93</v>
      </c>
      <c r="C30" s="266" t="s">
        <v>150</v>
      </c>
      <c r="D30" s="264" t="s">
        <v>111</v>
      </c>
      <c r="E30" s="264"/>
      <c r="F30" s="267">
        <v>3317000</v>
      </c>
      <c r="G30" s="267">
        <v>2943000</v>
      </c>
      <c r="H30" s="267">
        <v>390000</v>
      </c>
      <c r="I30" s="267"/>
      <c r="J30" s="267"/>
      <c r="K30" s="267"/>
      <c r="L30" s="267"/>
      <c r="M30" s="246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8"/>
      <c r="AA30" s="269"/>
    </row>
    <row r="31" spans="1:27" s="270" customFormat="1" ht="21.75" customHeight="1">
      <c r="A31" s="264">
        <f t="shared" si="0"/>
        <v>21</v>
      </c>
      <c r="B31" s="265" t="s">
        <v>94</v>
      </c>
      <c r="C31" s="266" t="s">
        <v>151</v>
      </c>
      <c r="D31" s="264" t="s">
        <v>111</v>
      </c>
      <c r="E31" s="267">
        <v>3552000</v>
      </c>
      <c r="F31" s="267">
        <v>3317000</v>
      </c>
      <c r="G31" s="267">
        <v>2943000</v>
      </c>
      <c r="H31" s="267">
        <v>390000</v>
      </c>
      <c r="I31" s="267"/>
      <c r="J31" s="267"/>
      <c r="K31" s="267" t="s">
        <v>67</v>
      </c>
      <c r="L31" s="267" t="s">
        <v>67</v>
      </c>
      <c r="M31" s="246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8"/>
      <c r="AA31" s="269"/>
    </row>
    <row r="32" spans="1:27" s="270" customFormat="1" ht="21.75" hidden="1" customHeight="1">
      <c r="A32" s="264">
        <f t="shared" si="0"/>
        <v>22</v>
      </c>
      <c r="B32" s="265" t="s">
        <v>95</v>
      </c>
      <c r="C32" s="266" t="s">
        <v>153</v>
      </c>
      <c r="D32" s="264" t="s">
        <v>111</v>
      </c>
      <c r="E32" s="267"/>
      <c r="F32" s="267">
        <v>3317000</v>
      </c>
      <c r="G32" s="267">
        <v>2943000</v>
      </c>
      <c r="H32" s="267">
        <v>390000</v>
      </c>
      <c r="I32" s="267"/>
      <c r="J32" s="267"/>
      <c r="K32" s="267" t="s">
        <v>200</v>
      </c>
      <c r="L32" s="267" t="s">
        <v>198</v>
      </c>
      <c r="M32" s="246"/>
      <c r="N32" s="267"/>
      <c r="O32" s="267"/>
      <c r="P32" s="298"/>
      <c r="Q32" s="267"/>
      <c r="R32" s="267"/>
      <c r="S32" s="267"/>
      <c r="T32" s="267"/>
      <c r="U32" s="267"/>
      <c r="V32" s="267"/>
      <c r="W32" s="267"/>
      <c r="X32" s="267"/>
      <c r="Y32" s="267"/>
      <c r="Z32" s="268"/>
      <c r="AA32" s="269"/>
    </row>
    <row r="33" spans="1:27" s="270" customFormat="1" ht="21.75" hidden="1" customHeight="1">
      <c r="A33" s="264">
        <f t="shared" si="0"/>
        <v>23</v>
      </c>
      <c r="B33" s="265" t="s">
        <v>96</v>
      </c>
      <c r="C33" s="266" t="s">
        <v>154</v>
      </c>
      <c r="D33" s="264" t="s">
        <v>111</v>
      </c>
      <c r="E33" s="264"/>
      <c r="F33" s="267">
        <v>3317000</v>
      </c>
      <c r="G33" s="267">
        <v>2943000</v>
      </c>
      <c r="H33" s="267">
        <v>390000</v>
      </c>
      <c r="I33" s="267"/>
      <c r="J33" s="267"/>
      <c r="K33" s="267"/>
      <c r="L33" s="267"/>
      <c r="M33" s="246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8"/>
      <c r="AA33" s="269"/>
    </row>
    <row r="34" spans="1:27" s="270" customFormat="1" ht="21.75" hidden="1" customHeight="1">
      <c r="A34" s="264">
        <f t="shared" si="0"/>
        <v>24</v>
      </c>
      <c r="B34" s="265" t="s">
        <v>97</v>
      </c>
      <c r="C34" s="266" t="s">
        <v>155</v>
      </c>
      <c r="D34" s="264" t="s">
        <v>111</v>
      </c>
      <c r="E34" s="264"/>
      <c r="F34" s="267">
        <v>3317000</v>
      </c>
      <c r="G34" s="267">
        <v>2943000</v>
      </c>
      <c r="H34" s="267">
        <v>390000</v>
      </c>
      <c r="I34" s="267"/>
      <c r="J34" s="267"/>
      <c r="K34" s="267"/>
      <c r="L34" s="267"/>
      <c r="M34" s="246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8"/>
      <c r="AA34" s="269"/>
    </row>
    <row r="35" spans="1:27" s="270" customFormat="1" ht="21.75" hidden="1" customHeight="1">
      <c r="A35" s="264">
        <f t="shared" si="0"/>
        <v>25</v>
      </c>
      <c r="B35" s="265" t="s">
        <v>98</v>
      </c>
      <c r="C35" s="266" t="s">
        <v>156</v>
      </c>
      <c r="D35" s="264" t="s">
        <v>111</v>
      </c>
      <c r="E35" s="264"/>
      <c r="F35" s="267">
        <v>3317000</v>
      </c>
      <c r="G35" s="267">
        <v>2943000</v>
      </c>
      <c r="H35" s="267">
        <v>390000</v>
      </c>
      <c r="I35" s="267"/>
      <c r="J35" s="267"/>
      <c r="K35" s="267"/>
      <c r="L35" s="267"/>
      <c r="M35" s="246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8"/>
      <c r="AA35" s="269"/>
    </row>
    <row r="36" spans="1:27" s="270" customFormat="1" ht="21.75" hidden="1" customHeight="1">
      <c r="A36" s="264">
        <f t="shared" si="0"/>
        <v>26</v>
      </c>
      <c r="B36" s="265" t="s">
        <v>99</v>
      </c>
      <c r="C36" s="266" t="s">
        <v>157</v>
      </c>
      <c r="D36" s="264" t="s">
        <v>111</v>
      </c>
      <c r="E36" s="264"/>
      <c r="F36" s="267">
        <v>3317000</v>
      </c>
      <c r="G36" s="267">
        <v>2943000</v>
      </c>
      <c r="H36" s="267">
        <v>390000</v>
      </c>
      <c r="I36" s="267"/>
      <c r="J36" s="267"/>
      <c r="K36" s="267"/>
      <c r="L36" s="267"/>
      <c r="M36" s="246"/>
      <c r="N36" s="267"/>
      <c r="O36" s="267"/>
      <c r="P36" s="298"/>
      <c r="Q36" s="267"/>
      <c r="R36" s="267"/>
      <c r="S36" s="267"/>
      <c r="T36" s="267"/>
      <c r="U36" s="267"/>
      <c r="V36" s="267"/>
      <c r="W36" s="267"/>
      <c r="X36" s="267"/>
      <c r="Y36" s="267"/>
      <c r="Z36" s="268"/>
      <c r="AA36" s="269"/>
    </row>
    <row r="37" spans="1:27" s="270" customFormat="1" ht="21.75" customHeight="1">
      <c r="A37" s="264">
        <f t="shared" si="0"/>
        <v>27</v>
      </c>
      <c r="B37" s="265" t="s">
        <v>100</v>
      </c>
      <c r="C37" s="266" t="s">
        <v>158</v>
      </c>
      <c r="D37" s="264" t="s">
        <v>111</v>
      </c>
      <c r="E37" s="267">
        <v>3552000</v>
      </c>
      <c r="F37" s="267">
        <v>3317000</v>
      </c>
      <c r="G37" s="267">
        <v>2943000</v>
      </c>
      <c r="H37" s="267">
        <v>390000</v>
      </c>
      <c r="I37" s="267"/>
      <c r="J37" s="267"/>
      <c r="K37" s="267" t="s">
        <v>67</v>
      </c>
      <c r="L37" s="267" t="s">
        <v>67</v>
      </c>
      <c r="M37" s="246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8"/>
      <c r="AA37" s="269"/>
    </row>
    <row r="38" spans="1:27" s="270" customFormat="1" ht="21.75" customHeight="1">
      <c r="A38" s="264">
        <f t="shared" si="0"/>
        <v>28</v>
      </c>
      <c r="B38" s="265" t="s">
        <v>101</v>
      </c>
      <c r="C38" s="266" t="s">
        <v>162</v>
      </c>
      <c r="D38" s="264" t="s">
        <v>111</v>
      </c>
      <c r="E38" s="267">
        <v>3552000</v>
      </c>
      <c r="F38" s="267">
        <v>3317000</v>
      </c>
      <c r="G38" s="267">
        <v>2943000</v>
      </c>
      <c r="H38" s="267">
        <v>390000</v>
      </c>
      <c r="I38" s="267"/>
      <c r="J38" s="267"/>
      <c r="K38" s="267" t="s">
        <v>67</v>
      </c>
      <c r="L38" s="267" t="s">
        <v>67</v>
      </c>
      <c r="M38" s="246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8"/>
      <c r="AA38" s="269"/>
    </row>
    <row r="39" spans="1:27" s="270" customFormat="1" ht="21.75" customHeight="1">
      <c r="A39" s="264">
        <f t="shared" si="0"/>
        <v>29</v>
      </c>
      <c r="B39" s="265" t="s">
        <v>102</v>
      </c>
      <c r="C39" s="266" t="s">
        <v>164</v>
      </c>
      <c r="D39" s="264" t="s">
        <v>111</v>
      </c>
      <c r="E39" s="267">
        <v>3552000</v>
      </c>
      <c r="F39" s="267">
        <v>3317000</v>
      </c>
      <c r="G39" s="267">
        <v>2943000</v>
      </c>
      <c r="H39" s="267">
        <v>390000</v>
      </c>
      <c r="I39" s="267"/>
      <c r="J39" s="267"/>
      <c r="K39" s="267" t="s">
        <v>67</v>
      </c>
      <c r="L39" s="267" t="s">
        <v>67</v>
      </c>
      <c r="M39" s="246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8"/>
      <c r="AA39" s="269"/>
    </row>
    <row r="40" spans="1:27" s="270" customFormat="1" ht="21.75" customHeight="1">
      <c r="A40" s="264">
        <f t="shared" si="0"/>
        <v>30</v>
      </c>
      <c r="B40" s="265" t="s">
        <v>103</v>
      </c>
      <c r="C40" s="266" t="s">
        <v>169</v>
      </c>
      <c r="D40" s="264" t="s">
        <v>111</v>
      </c>
      <c r="E40" s="267">
        <v>3552000</v>
      </c>
      <c r="F40" s="267">
        <v>3317000</v>
      </c>
      <c r="G40" s="267">
        <v>2943000</v>
      </c>
      <c r="H40" s="267">
        <v>390000</v>
      </c>
      <c r="I40" s="267"/>
      <c r="J40" s="267"/>
      <c r="K40" s="267" t="s">
        <v>67</v>
      </c>
      <c r="L40" s="267" t="s">
        <v>67</v>
      </c>
      <c r="M40" s="246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8"/>
      <c r="AA40" s="269"/>
    </row>
    <row r="41" spans="1:27" s="270" customFormat="1" ht="21.75" customHeight="1">
      <c r="A41" s="264">
        <f t="shared" si="0"/>
        <v>31</v>
      </c>
      <c r="B41" s="265" t="s">
        <v>104</v>
      </c>
      <c r="C41" s="266" t="s">
        <v>177</v>
      </c>
      <c r="D41" s="264" t="s">
        <v>111</v>
      </c>
      <c r="E41" s="267">
        <v>3552000</v>
      </c>
      <c r="F41" s="267">
        <v>3317000</v>
      </c>
      <c r="G41" s="267">
        <v>2943000</v>
      </c>
      <c r="H41" s="267">
        <v>390000</v>
      </c>
      <c r="I41" s="267"/>
      <c r="J41" s="267"/>
      <c r="K41" s="267" t="s">
        <v>67</v>
      </c>
      <c r="L41" s="267" t="s">
        <v>67</v>
      </c>
      <c r="M41" s="246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8"/>
      <c r="AA41" s="269"/>
    </row>
    <row r="42" spans="1:27" ht="21.75" customHeight="1">
      <c r="A42" s="17">
        <f t="shared" si="0"/>
        <v>32</v>
      </c>
      <c r="B42" s="17" t="s">
        <v>113</v>
      </c>
      <c r="C42" s="84" t="s">
        <v>124</v>
      </c>
      <c r="D42" s="133" t="s">
        <v>111</v>
      </c>
      <c r="E42" s="37">
        <v>3776000</v>
      </c>
      <c r="F42" s="18">
        <v>3549000</v>
      </c>
      <c r="G42" s="18">
        <v>3237000</v>
      </c>
      <c r="H42" s="18">
        <v>390000</v>
      </c>
      <c r="I42" s="18"/>
      <c r="J42" s="18"/>
      <c r="K42" s="18" t="s">
        <v>67</v>
      </c>
      <c r="L42" s="18" t="s">
        <v>67</v>
      </c>
      <c r="M42" s="246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02"/>
    </row>
    <row r="43" spans="1:27" ht="21.75" hidden="1" customHeight="1">
      <c r="A43" s="17">
        <f t="shared" si="0"/>
        <v>33</v>
      </c>
      <c r="B43" s="17" t="s">
        <v>114</v>
      </c>
      <c r="C43" s="84" t="s">
        <v>125</v>
      </c>
      <c r="D43" s="133" t="s">
        <v>111</v>
      </c>
      <c r="E43" s="133"/>
      <c r="F43" s="18">
        <v>3317000</v>
      </c>
      <c r="G43" s="18">
        <v>2943000</v>
      </c>
      <c r="H43" s="18">
        <v>390000</v>
      </c>
      <c r="I43" s="18"/>
      <c r="J43" s="18"/>
      <c r="K43" s="18"/>
      <c r="L43" s="18"/>
      <c r="M43" s="246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02"/>
    </row>
    <row r="44" spans="1:27" ht="21.75" hidden="1" customHeight="1">
      <c r="A44" s="17">
        <f t="shared" si="0"/>
        <v>34</v>
      </c>
      <c r="B44" s="17" t="s">
        <v>115</v>
      </c>
      <c r="C44" s="84" t="s">
        <v>126</v>
      </c>
      <c r="D44" s="133" t="s">
        <v>111</v>
      </c>
      <c r="E44" s="133"/>
      <c r="F44" s="18">
        <v>3317000</v>
      </c>
      <c r="G44" s="18">
        <v>2943000</v>
      </c>
      <c r="H44" s="18">
        <v>390000</v>
      </c>
      <c r="I44" s="18"/>
      <c r="J44" s="18"/>
      <c r="K44" s="18"/>
      <c r="L44" s="18"/>
      <c r="M44" s="246"/>
      <c r="N44" s="18"/>
      <c r="O44" s="18"/>
      <c r="P44" s="297"/>
      <c r="Q44" s="18"/>
      <c r="R44" s="18"/>
      <c r="S44" s="18"/>
      <c r="T44" s="18"/>
      <c r="U44" s="18"/>
      <c r="V44" s="18"/>
      <c r="W44" s="18"/>
      <c r="X44" s="18"/>
      <c r="Y44" s="18"/>
      <c r="Z44" s="102"/>
    </row>
    <row r="45" spans="1:27" ht="21.75" hidden="1" customHeight="1">
      <c r="A45" s="17">
        <f t="shared" si="0"/>
        <v>35</v>
      </c>
      <c r="B45" s="17" t="s">
        <v>116</v>
      </c>
      <c r="C45" s="84" t="s">
        <v>176</v>
      </c>
      <c r="D45" s="133" t="s">
        <v>111</v>
      </c>
      <c r="E45" s="133"/>
      <c r="F45" s="18">
        <v>3317000</v>
      </c>
      <c r="G45" s="18">
        <v>2943000</v>
      </c>
      <c r="H45" s="18">
        <v>390000</v>
      </c>
      <c r="I45" s="18"/>
      <c r="J45" s="18"/>
      <c r="K45" s="18"/>
      <c r="L45" s="18"/>
      <c r="M45" s="246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02"/>
    </row>
    <row r="46" spans="1:27" ht="21.75" hidden="1" customHeight="1">
      <c r="A46" s="17">
        <f t="shared" si="0"/>
        <v>36</v>
      </c>
      <c r="B46" s="17" t="s">
        <v>117</v>
      </c>
      <c r="C46" s="84" t="s">
        <v>128</v>
      </c>
      <c r="D46" s="133" t="s">
        <v>111</v>
      </c>
      <c r="E46" s="133"/>
      <c r="F46" s="18">
        <v>3317000</v>
      </c>
      <c r="G46" s="18">
        <v>2943000</v>
      </c>
      <c r="H46" s="18">
        <v>390000</v>
      </c>
      <c r="I46" s="18"/>
      <c r="J46" s="18"/>
      <c r="K46" s="18"/>
      <c r="L46" s="18"/>
      <c r="M46" s="246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02"/>
    </row>
    <row r="47" spans="1:27" ht="21.75" customHeight="1">
      <c r="A47" s="17">
        <f t="shared" si="0"/>
        <v>37</v>
      </c>
      <c r="B47" s="17" t="s">
        <v>118</v>
      </c>
      <c r="C47" s="84" t="s">
        <v>163</v>
      </c>
      <c r="D47" s="133" t="s">
        <v>111</v>
      </c>
      <c r="E47" s="37">
        <v>3552000</v>
      </c>
      <c r="F47" s="18">
        <v>3317000</v>
      </c>
      <c r="G47" s="18">
        <v>2943000</v>
      </c>
      <c r="H47" s="18">
        <v>390000</v>
      </c>
      <c r="I47" s="18"/>
      <c r="J47" s="18"/>
      <c r="K47" s="18" t="s">
        <v>67</v>
      </c>
      <c r="L47" s="18" t="s">
        <v>67</v>
      </c>
      <c r="M47" s="246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02"/>
    </row>
    <row r="48" spans="1:27" ht="21.75" customHeight="1">
      <c r="A48" s="17">
        <f t="shared" si="0"/>
        <v>38</v>
      </c>
      <c r="B48" s="17" t="s">
        <v>119</v>
      </c>
      <c r="C48" s="84" t="s">
        <v>170</v>
      </c>
      <c r="D48" s="133" t="s">
        <v>111</v>
      </c>
      <c r="E48" s="37">
        <v>3552000</v>
      </c>
      <c r="F48" s="18">
        <v>3317000</v>
      </c>
      <c r="G48" s="18">
        <v>2943000</v>
      </c>
      <c r="H48" s="18">
        <v>390000</v>
      </c>
      <c r="I48" s="18"/>
      <c r="J48" s="18"/>
      <c r="K48" s="18" t="s">
        <v>67</v>
      </c>
      <c r="L48" s="18" t="s">
        <v>67</v>
      </c>
      <c r="M48" s="246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02"/>
    </row>
    <row r="49" spans="1:26" ht="21.75" hidden="1" customHeight="1">
      <c r="A49" s="17">
        <f t="shared" si="0"/>
        <v>39</v>
      </c>
      <c r="B49" s="17" t="s">
        <v>120</v>
      </c>
      <c r="C49" s="84" t="s">
        <v>171</v>
      </c>
      <c r="D49" s="133" t="s">
        <v>111</v>
      </c>
      <c r="E49" s="133"/>
      <c r="F49" s="18">
        <v>3317000</v>
      </c>
      <c r="G49" s="18">
        <v>2943000</v>
      </c>
      <c r="H49" s="18">
        <v>390000</v>
      </c>
      <c r="I49" s="18"/>
      <c r="J49" s="18"/>
      <c r="K49" s="18"/>
      <c r="L49" s="18"/>
      <c r="M49" s="246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02"/>
    </row>
    <row r="50" spans="1:26" ht="21.75" hidden="1" customHeight="1">
      <c r="A50" s="17">
        <f t="shared" si="0"/>
        <v>40</v>
      </c>
      <c r="B50" s="17" t="s">
        <v>121</v>
      </c>
      <c r="C50" s="84" t="s">
        <v>172</v>
      </c>
      <c r="D50" s="133" t="s">
        <v>111</v>
      </c>
      <c r="E50" s="133"/>
      <c r="F50" s="18">
        <v>3317000</v>
      </c>
      <c r="G50" s="18">
        <v>2943000</v>
      </c>
      <c r="H50" s="18">
        <v>390000</v>
      </c>
      <c r="I50" s="18"/>
      <c r="J50" s="18"/>
      <c r="K50" s="18"/>
      <c r="L50" s="18"/>
      <c r="M50" s="246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02"/>
    </row>
    <row r="51" spans="1:26" ht="21.75" customHeight="1">
      <c r="A51" s="17">
        <f t="shared" si="0"/>
        <v>41</v>
      </c>
      <c r="B51" s="17" t="s">
        <v>122</v>
      </c>
      <c r="C51" s="84" t="s">
        <v>173</v>
      </c>
      <c r="D51" s="133" t="s">
        <v>111</v>
      </c>
      <c r="E51" s="37">
        <v>3552000</v>
      </c>
      <c r="F51" s="18">
        <v>3317000</v>
      </c>
      <c r="G51" s="18">
        <v>2943000</v>
      </c>
      <c r="H51" s="18">
        <v>390000</v>
      </c>
      <c r="I51" s="18"/>
      <c r="J51" s="18"/>
      <c r="K51" s="18" t="s">
        <v>67</v>
      </c>
      <c r="L51" s="18" t="s">
        <v>67</v>
      </c>
      <c r="M51" s="246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02"/>
    </row>
    <row r="52" spans="1:26" ht="21.75" hidden="1" customHeight="1">
      <c r="A52" s="17">
        <f t="shared" si="0"/>
        <v>42</v>
      </c>
      <c r="B52" s="134"/>
      <c r="C52" s="243"/>
      <c r="D52" s="242"/>
      <c r="E52" s="313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102"/>
    </row>
    <row r="53" spans="1:26" ht="21.75" hidden="1" customHeight="1">
      <c r="A53" s="349" t="s">
        <v>25</v>
      </c>
      <c r="B53" s="350"/>
      <c r="C53" s="350"/>
      <c r="D53" s="248" t="s">
        <v>159</v>
      </c>
      <c r="E53" s="314">
        <f>SUM(E11:E52)</f>
        <v>103113000</v>
      </c>
      <c r="F53" s="245">
        <f>SUM(F11:F52)</f>
        <v>152620000</v>
      </c>
      <c r="G53" s="245">
        <f>SUM(G11:G52)</f>
        <v>137582000</v>
      </c>
      <c r="H53" s="245">
        <f>SUM(H11:H52)</f>
        <v>15990000</v>
      </c>
      <c r="I53" s="245">
        <f>SUM(I11:I52)</f>
        <v>0</v>
      </c>
      <c r="J53" s="245"/>
      <c r="K53" s="245">
        <f>SUMIF(K$11:K$52,"x",$E$11:$E$52)</f>
        <v>103113000</v>
      </c>
      <c r="L53" s="245">
        <f>SUMIF(L$11:L$52,"x",$E$11:$E$52)</f>
        <v>99545000</v>
      </c>
      <c r="M53" s="245">
        <f t="shared" ref="M53:V53" si="1">SUMIF(M$11:M$52,"x",$F$11:$F$52)</f>
        <v>0</v>
      </c>
      <c r="N53" s="245">
        <f t="shared" si="1"/>
        <v>0</v>
      </c>
      <c r="O53" s="245">
        <f t="shared" si="1"/>
        <v>0</v>
      </c>
      <c r="P53" s="245">
        <f t="shared" si="1"/>
        <v>0</v>
      </c>
      <c r="Q53" s="245">
        <f t="shared" si="1"/>
        <v>0</v>
      </c>
      <c r="R53" s="245">
        <f t="shared" si="1"/>
        <v>0</v>
      </c>
      <c r="S53" s="245">
        <f t="shared" si="1"/>
        <v>0</v>
      </c>
      <c r="T53" s="245">
        <f t="shared" si="1"/>
        <v>0</v>
      </c>
      <c r="U53" s="245">
        <f t="shared" si="1"/>
        <v>0</v>
      </c>
      <c r="V53" s="245">
        <f t="shared" si="1"/>
        <v>0</v>
      </c>
      <c r="W53" s="245"/>
      <c r="X53" s="245"/>
      <c r="Y53" s="245"/>
      <c r="Z53" s="102"/>
    </row>
    <row r="54" spans="1:26" ht="21.75" hidden="1" customHeight="1">
      <c r="A54" s="351"/>
      <c r="B54" s="352"/>
      <c r="C54" s="352"/>
      <c r="D54" s="248" t="s">
        <v>160</v>
      </c>
      <c r="E54" s="314"/>
      <c r="F54" s="245"/>
      <c r="G54" s="245"/>
      <c r="H54" s="245"/>
      <c r="I54" s="245"/>
      <c r="J54" s="245"/>
      <c r="K54" s="245">
        <f t="array" ref="K54">SUM((K$11:K$52="x")*1)</f>
        <v>25</v>
      </c>
      <c r="L54" s="245">
        <f t="array" ref="L54">SUM((L$11:L$52="x")*1)</f>
        <v>24</v>
      </c>
      <c r="M54" s="245">
        <f t="array" ref="M54">SUM((M$11:M$52="x")*1)</f>
        <v>0</v>
      </c>
      <c r="N54" s="245">
        <f t="array" ref="N54">SUM((N$11:N$52="x")*1)</f>
        <v>0</v>
      </c>
      <c r="O54" s="245">
        <f t="array" ref="O54">SUM((O$11:O$52="x")*1)</f>
        <v>0</v>
      </c>
      <c r="P54" s="245">
        <f t="array" ref="P54">SUM((P$11:P$52="x")*1)</f>
        <v>0</v>
      </c>
      <c r="Q54" s="245">
        <f t="array" ref="Q54">SUM((Q$11:Q$52="x")*1)</f>
        <v>0</v>
      </c>
      <c r="R54" s="245">
        <f t="array" ref="R54">SUM((R$11:R$52="x")*1)</f>
        <v>0</v>
      </c>
      <c r="S54" s="245">
        <f t="array" ref="S54">SUM((S$11:S$52="x")*1)</f>
        <v>0</v>
      </c>
      <c r="T54" s="245">
        <f t="array" ref="T54">SUM((T$11:T$52="x")*1)</f>
        <v>0</v>
      </c>
      <c r="U54" s="245">
        <f t="array" ref="U54">SUM((U$11:U$52="x")*1)</f>
        <v>0</v>
      </c>
      <c r="V54" s="245">
        <f t="array" ref="V54">SUM((V$11:V$52="x")*1)</f>
        <v>0</v>
      </c>
      <c r="W54" s="245"/>
      <c r="X54" s="245"/>
      <c r="Y54" s="245"/>
      <c r="Z54" s="102"/>
    </row>
    <row r="55" spans="1:26" ht="21.75" hidden="1" customHeight="1">
      <c r="A55" s="353"/>
      <c r="B55" s="354"/>
      <c r="C55" s="354"/>
      <c r="D55" s="248" t="s">
        <v>161</v>
      </c>
      <c r="E55" s="314"/>
      <c r="F55" s="245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102"/>
    </row>
    <row r="56" spans="1:26" ht="11.25" customHeight="1">
      <c r="A56" s="19"/>
      <c r="B56" s="19"/>
      <c r="C56" s="73"/>
      <c r="D56" s="73"/>
      <c r="E56" s="126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</row>
    <row r="57" spans="1:26" ht="11.25" customHeight="1">
      <c r="A57" s="19"/>
      <c r="B57" s="19"/>
      <c r="C57" s="73"/>
      <c r="D57" s="73"/>
      <c r="E57" s="126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103" t="s">
        <v>55</v>
      </c>
      <c r="Y57" s="73"/>
    </row>
    <row r="58" spans="1:26" ht="16.5" customHeight="1">
      <c r="A58" s="19"/>
      <c r="B58" s="19"/>
      <c r="C58" s="20" t="s">
        <v>14</v>
      </c>
      <c r="D58" s="21"/>
      <c r="E58" s="22"/>
      <c r="F58" s="22"/>
      <c r="G58" s="30"/>
      <c r="H58" s="30"/>
      <c r="I58" s="30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46" t="s">
        <v>22</v>
      </c>
      <c r="Y58" s="46"/>
    </row>
    <row r="59" spans="1:26" ht="11.25" customHeight="1">
      <c r="A59" s="19"/>
      <c r="B59" s="19"/>
      <c r="C59" s="20"/>
      <c r="D59" s="21"/>
      <c r="E59" s="22"/>
      <c r="F59" s="22"/>
      <c r="G59" s="30"/>
      <c r="H59" s="30"/>
      <c r="I59" s="30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46"/>
      <c r="Y59" s="46"/>
    </row>
    <row r="60" spans="1:26" ht="11.25" customHeight="1">
      <c r="A60" s="19"/>
      <c r="B60" s="19"/>
      <c r="C60" s="20"/>
      <c r="D60" s="21"/>
      <c r="E60" s="22"/>
      <c r="F60" s="22"/>
      <c r="G60" s="30"/>
      <c r="H60" s="30"/>
      <c r="I60" s="30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46"/>
      <c r="Y60" s="46"/>
    </row>
    <row r="61" spans="1:26" ht="11.25" customHeight="1">
      <c r="A61" s="19"/>
      <c r="B61" s="19"/>
      <c r="C61" s="20"/>
      <c r="D61" s="21"/>
      <c r="E61" s="22"/>
      <c r="F61" s="22"/>
      <c r="G61" s="30"/>
      <c r="H61" s="30"/>
      <c r="I61" s="30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46"/>
      <c r="Y61" s="46"/>
    </row>
    <row r="62" spans="1:26" ht="11.25" customHeight="1">
      <c r="A62" s="19"/>
      <c r="B62" s="19"/>
      <c r="C62" s="20"/>
      <c r="D62" s="21"/>
      <c r="E62" s="22"/>
      <c r="F62" s="22"/>
      <c r="G62" s="30"/>
      <c r="H62" s="30"/>
      <c r="I62" s="30"/>
      <c r="J62" s="23"/>
      <c r="K62" s="23">
        <f>K53-'L - 01'!E64</f>
        <v>0</v>
      </c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46"/>
      <c r="Y62" s="46"/>
    </row>
    <row r="63" spans="1:26" ht="11.25" customHeight="1">
      <c r="A63" s="19"/>
      <c r="B63" s="19"/>
      <c r="C63" s="20"/>
      <c r="D63" s="21"/>
      <c r="E63" s="22"/>
      <c r="F63" s="22"/>
      <c r="G63" s="30"/>
      <c r="H63" s="30"/>
      <c r="I63" s="30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46"/>
      <c r="Y63" s="46"/>
    </row>
    <row r="64" spans="1:26">
      <c r="A64" s="24"/>
      <c r="B64" s="24"/>
      <c r="C64" s="29" t="s">
        <v>21</v>
      </c>
      <c r="D64" s="21"/>
      <c r="E64" s="22"/>
      <c r="F64" s="22"/>
      <c r="G64" s="30"/>
      <c r="H64" s="30"/>
      <c r="I64" s="30"/>
      <c r="J64" s="23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74"/>
      <c r="Y64" s="47"/>
    </row>
    <row r="65" spans="3:25" ht="9" customHeight="1">
      <c r="C65" s="44"/>
      <c r="D65" s="44"/>
      <c r="E65" s="49"/>
      <c r="F65" s="22"/>
      <c r="G65" s="48"/>
      <c r="H65" s="48"/>
      <c r="I65" s="48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9"/>
      <c r="Y65" s="49"/>
    </row>
    <row r="66" spans="3:25">
      <c r="F66" s="22"/>
    </row>
    <row r="67" spans="3:25">
      <c r="F67" s="22"/>
    </row>
    <row r="80" spans="3:25">
      <c r="C80" s="247"/>
      <c r="H80" s="266" t="s">
        <v>141</v>
      </c>
      <c r="K80" s="2" t="s">
        <v>84</v>
      </c>
      <c r="L80" s="2" t="s">
        <v>141</v>
      </c>
      <c r="N80" s="2" t="str">
        <f>VLOOKUP(L80,$H$80:$K$139,4,0)</f>
        <v>ALTP001</v>
      </c>
      <c r="O80" s="348" t="str">
        <f>N80</f>
        <v>ALTP001</v>
      </c>
    </row>
    <row r="81" spans="3:15">
      <c r="C81" s="247"/>
      <c r="H81" s="266" t="s">
        <v>142</v>
      </c>
      <c r="K81" s="2" t="s">
        <v>85</v>
      </c>
      <c r="L81" s="2" t="s">
        <v>142</v>
      </c>
      <c r="N81" s="2" t="str">
        <f t="shared" ref="N81:N110" si="2">VLOOKUP(L81,$H$80:$K$139,4,0)</f>
        <v>ALTP002</v>
      </c>
      <c r="O81" s="348"/>
    </row>
    <row r="82" spans="3:15">
      <c r="C82" s="247"/>
      <c r="H82" s="266" t="s">
        <v>143</v>
      </c>
      <c r="K82" s="2" t="s">
        <v>86</v>
      </c>
      <c r="L82" s="2" t="s">
        <v>143</v>
      </c>
      <c r="N82" s="2" t="str">
        <f t="shared" si="2"/>
        <v>ALTP003</v>
      </c>
      <c r="O82" s="348" t="str">
        <f>N81</f>
        <v>ALTP002</v>
      </c>
    </row>
    <row r="83" spans="3:15">
      <c r="C83" s="247"/>
      <c r="H83" s="266" t="s">
        <v>144</v>
      </c>
      <c r="K83" s="2" t="s">
        <v>87</v>
      </c>
      <c r="L83" s="2" t="s">
        <v>144</v>
      </c>
      <c r="N83" s="2" t="str">
        <f t="shared" si="2"/>
        <v>ALTP004</v>
      </c>
      <c r="O83" s="348"/>
    </row>
    <row r="84" spans="3:15">
      <c r="C84" s="247"/>
      <c r="H84" s="266" t="s">
        <v>145</v>
      </c>
      <c r="K84" s="2" t="s">
        <v>88</v>
      </c>
      <c r="L84" s="2" t="s">
        <v>145</v>
      </c>
      <c r="N84" s="2" t="str">
        <f t="shared" si="2"/>
        <v>ALTP005</v>
      </c>
      <c r="O84" s="348" t="str">
        <f>N82</f>
        <v>ALTP003</v>
      </c>
    </row>
    <row r="85" spans="3:15">
      <c r="C85" s="247"/>
      <c r="H85" s="266" t="s">
        <v>146</v>
      </c>
      <c r="K85" s="2" t="s">
        <v>89</v>
      </c>
      <c r="L85" s="2" t="s">
        <v>146</v>
      </c>
      <c r="N85" s="2" t="str">
        <f t="shared" si="2"/>
        <v>ALTP006</v>
      </c>
      <c r="O85" s="348"/>
    </row>
    <row r="86" spans="3:15">
      <c r="C86" s="247"/>
      <c r="H86" s="266" t="s">
        <v>147</v>
      </c>
      <c r="K86" s="2" t="s">
        <v>90</v>
      </c>
      <c r="L86" s="2" t="s">
        <v>147</v>
      </c>
      <c r="N86" s="2" t="str">
        <f t="shared" si="2"/>
        <v>ALTP007</v>
      </c>
      <c r="O86" s="348" t="str">
        <f>N83</f>
        <v>ALTP004</v>
      </c>
    </row>
    <row r="87" spans="3:15">
      <c r="C87" s="247"/>
      <c r="H87" s="266" t="s">
        <v>148</v>
      </c>
      <c r="K87" s="2" t="s">
        <v>91</v>
      </c>
      <c r="L87" s="2" t="s">
        <v>148</v>
      </c>
      <c r="N87" s="2" t="str">
        <f t="shared" si="2"/>
        <v>ALTP008</v>
      </c>
      <c r="O87" s="348"/>
    </row>
    <row r="88" spans="3:15">
      <c r="C88" s="247"/>
      <c r="H88" s="266" t="s">
        <v>149</v>
      </c>
      <c r="K88" s="2" t="s">
        <v>92</v>
      </c>
      <c r="L88" s="2" t="s">
        <v>149</v>
      </c>
      <c r="N88" s="2" t="str">
        <f t="shared" si="2"/>
        <v>ALTP009</v>
      </c>
      <c r="O88" s="348" t="str">
        <f>N84</f>
        <v>ALTP005</v>
      </c>
    </row>
    <row r="89" spans="3:15">
      <c r="C89" s="247"/>
      <c r="H89" s="266" t="s">
        <v>150</v>
      </c>
      <c r="K89" s="2" t="s">
        <v>93</v>
      </c>
      <c r="L89" s="2" t="s">
        <v>150</v>
      </c>
      <c r="N89" s="2" t="str">
        <f t="shared" si="2"/>
        <v>ALTP010</v>
      </c>
      <c r="O89" s="348"/>
    </row>
    <row r="90" spans="3:15">
      <c r="C90" s="247"/>
      <c r="H90" s="266" t="s">
        <v>151</v>
      </c>
      <c r="K90" s="2" t="s">
        <v>94</v>
      </c>
      <c r="L90" s="2" t="s">
        <v>151</v>
      </c>
      <c r="N90" s="2" t="str">
        <f t="shared" si="2"/>
        <v>ALTP011</v>
      </c>
      <c r="O90" s="348" t="str">
        <f>N85</f>
        <v>ALTP006</v>
      </c>
    </row>
    <row r="91" spans="3:15">
      <c r="C91" s="247"/>
      <c r="H91" s="266" t="s">
        <v>152</v>
      </c>
      <c r="K91" s="2" t="s">
        <v>95</v>
      </c>
      <c r="L91" s="2" t="s">
        <v>153</v>
      </c>
      <c r="N91" s="2" t="str">
        <f t="shared" si="2"/>
        <v>ALTP013</v>
      </c>
      <c r="O91" s="348"/>
    </row>
    <row r="92" spans="3:15">
      <c r="C92" s="247"/>
      <c r="H92" s="266" t="s">
        <v>153</v>
      </c>
      <c r="K92" s="2" t="s">
        <v>96</v>
      </c>
      <c r="L92" s="2" t="s">
        <v>154</v>
      </c>
      <c r="N92" s="2" t="str">
        <f t="shared" si="2"/>
        <v>ALTP014</v>
      </c>
      <c r="O92" s="348" t="str">
        <f>N86</f>
        <v>ALTP007</v>
      </c>
    </row>
    <row r="93" spans="3:15">
      <c r="C93" s="247"/>
      <c r="H93" s="266" t="s">
        <v>154</v>
      </c>
      <c r="K93" s="2" t="s">
        <v>97</v>
      </c>
      <c r="L93" s="2" t="s">
        <v>155</v>
      </c>
      <c r="N93" s="2" t="str">
        <f t="shared" si="2"/>
        <v>ALTP015</v>
      </c>
      <c r="O93" s="348"/>
    </row>
    <row r="94" spans="3:15">
      <c r="C94" s="247"/>
      <c r="H94" s="266" t="s">
        <v>155</v>
      </c>
      <c r="K94" s="2" t="s">
        <v>98</v>
      </c>
      <c r="L94" s="2" t="s">
        <v>156</v>
      </c>
      <c r="N94" s="2" t="str">
        <f t="shared" si="2"/>
        <v>ALTP016</v>
      </c>
      <c r="O94" s="348" t="str">
        <f>N87</f>
        <v>ALTP008</v>
      </c>
    </row>
    <row r="95" spans="3:15">
      <c r="C95" s="247"/>
      <c r="H95" s="266" t="s">
        <v>156</v>
      </c>
      <c r="K95" s="2" t="s">
        <v>99</v>
      </c>
      <c r="L95" s="2" t="s">
        <v>157</v>
      </c>
      <c r="N95" s="2" t="str">
        <f t="shared" si="2"/>
        <v>ALTP017</v>
      </c>
      <c r="O95" s="348"/>
    </row>
    <row r="96" spans="3:15">
      <c r="C96" s="247"/>
      <c r="H96" s="266" t="s">
        <v>157</v>
      </c>
      <c r="K96" s="2" t="s">
        <v>100</v>
      </c>
      <c r="L96" s="2" t="s">
        <v>158</v>
      </c>
      <c r="N96" s="2" t="str">
        <f t="shared" si="2"/>
        <v>ALTP018</v>
      </c>
      <c r="O96" s="348" t="str">
        <f>N88</f>
        <v>ALTP009</v>
      </c>
    </row>
    <row r="97" spans="3:15">
      <c r="C97" s="247"/>
      <c r="H97" s="266" t="s">
        <v>158</v>
      </c>
      <c r="K97" s="2" t="s">
        <v>101</v>
      </c>
      <c r="L97" s="2" t="s">
        <v>162</v>
      </c>
      <c r="N97" s="2" t="str">
        <f t="shared" si="2"/>
        <v>ALTP019</v>
      </c>
      <c r="O97" s="348"/>
    </row>
    <row r="98" spans="3:15">
      <c r="C98" s="247"/>
      <c r="H98" s="266" t="s">
        <v>162</v>
      </c>
      <c r="K98" s="2" t="s">
        <v>102</v>
      </c>
      <c r="L98" s="2" t="s">
        <v>164</v>
      </c>
      <c r="N98" s="2" t="str">
        <f t="shared" si="2"/>
        <v>ALTP020</v>
      </c>
      <c r="O98" s="348" t="str">
        <f>N89</f>
        <v>ALTP010</v>
      </c>
    </row>
    <row r="99" spans="3:15">
      <c r="C99" s="247"/>
      <c r="H99" s="266" t="s">
        <v>164</v>
      </c>
      <c r="K99" s="2" t="s">
        <v>103</v>
      </c>
      <c r="L99" s="2" t="s">
        <v>169</v>
      </c>
      <c r="N99" s="2" t="str">
        <f t="shared" si="2"/>
        <v>ALTP025</v>
      </c>
      <c r="O99" s="348"/>
    </row>
    <row r="100" spans="3:15">
      <c r="C100" s="247"/>
      <c r="H100" s="266" t="s">
        <v>165</v>
      </c>
      <c r="K100" s="2" t="s">
        <v>104</v>
      </c>
      <c r="L100" s="2" t="s">
        <v>177</v>
      </c>
      <c r="N100" s="2" t="str">
        <f t="shared" si="2"/>
        <v>ALTP027</v>
      </c>
      <c r="O100" s="348" t="str">
        <f>N90</f>
        <v>ALTP011</v>
      </c>
    </row>
    <row r="101" spans="3:15">
      <c r="C101" s="247"/>
      <c r="H101" s="266" t="s">
        <v>166</v>
      </c>
      <c r="K101" s="2" t="s">
        <v>105</v>
      </c>
      <c r="L101" s="2" t="s">
        <v>124</v>
      </c>
      <c r="N101" s="2" t="str">
        <f t="shared" si="2"/>
        <v>ALTN001</v>
      </c>
      <c r="O101" s="348"/>
    </row>
    <row r="102" spans="3:15">
      <c r="C102" s="247"/>
      <c r="H102" s="266" t="s">
        <v>177</v>
      </c>
      <c r="K102" s="2" t="s">
        <v>110</v>
      </c>
      <c r="L102" s="2" t="s">
        <v>125</v>
      </c>
      <c r="N102" s="2" t="str">
        <f t="shared" si="2"/>
        <v>ALTN002</v>
      </c>
      <c r="O102" s="348" t="str">
        <f>N91</f>
        <v>ALTP013</v>
      </c>
    </row>
    <row r="103" spans="3:15">
      <c r="C103" s="247"/>
      <c r="H103" s="2" t="s">
        <v>167</v>
      </c>
      <c r="K103" s="2" t="s">
        <v>106</v>
      </c>
      <c r="L103" s="2" t="s">
        <v>126</v>
      </c>
      <c r="N103" s="2" t="str">
        <f t="shared" si="2"/>
        <v>ALTN003</v>
      </c>
      <c r="O103" s="348"/>
    </row>
    <row r="104" spans="3:15">
      <c r="C104" s="247"/>
      <c r="H104" s="2" t="s">
        <v>168</v>
      </c>
      <c r="K104" s="2" t="s">
        <v>107</v>
      </c>
      <c r="L104" s="2" t="s">
        <v>176</v>
      </c>
      <c r="N104" s="2" t="str">
        <f t="shared" si="2"/>
        <v>ALTN004</v>
      </c>
      <c r="O104" s="348" t="str">
        <f>N92</f>
        <v>ALTP014</v>
      </c>
    </row>
    <row r="105" spans="3:15">
      <c r="C105" s="247"/>
      <c r="H105" s="2" t="s">
        <v>169</v>
      </c>
      <c r="K105" s="2" t="s">
        <v>108</v>
      </c>
      <c r="L105" s="2" t="s">
        <v>128</v>
      </c>
      <c r="N105" s="2" t="str">
        <f t="shared" si="2"/>
        <v>ALTN006</v>
      </c>
      <c r="O105" s="348"/>
    </row>
    <row r="106" spans="3:15">
      <c r="C106" s="247"/>
      <c r="H106" s="2" t="s">
        <v>175</v>
      </c>
      <c r="K106" s="2" t="s">
        <v>109</v>
      </c>
      <c r="L106" s="2" t="s">
        <v>163</v>
      </c>
      <c r="N106" s="2" t="str">
        <f t="shared" si="2"/>
        <v>ALTN007</v>
      </c>
      <c r="O106" s="348" t="str">
        <f>N93</f>
        <v>ALTP015</v>
      </c>
    </row>
    <row r="107" spans="3:15">
      <c r="C107" s="247"/>
      <c r="H107" s="2" t="s">
        <v>124</v>
      </c>
      <c r="K107" s="2" t="s">
        <v>113</v>
      </c>
      <c r="L107" s="2" t="s">
        <v>170</v>
      </c>
      <c r="N107" s="2" t="str">
        <f t="shared" si="2"/>
        <v>ALTN008</v>
      </c>
      <c r="O107" s="348"/>
    </row>
    <row r="108" spans="3:15">
      <c r="C108" s="247"/>
      <c r="H108" s="2" t="s">
        <v>125</v>
      </c>
      <c r="K108" s="2" t="s">
        <v>114</v>
      </c>
      <c r="L108" s="2" t="s">
        <v>171</v>
      </c>
      <c r="N108" s="2" t="str">
        <f t="shared" si="2"/>
        <v>ALTN009</v>
      </c>
      <c r="O108" s="348" t="str">
        <f>N94</f>
        <v>ALTP016</v>
      </c>
    </row>
    <row r="109" spans="3:15">
      <c r="C109" s="247"/>
      <c r="H109" s="2" t="s">
        <v>126</v>
      </c>
      <c r="K109" s="2" t="s">
        <v>115</v>
      </c>
      <c r="L109" s="2" t="s">
        <v>172</v>
      </c>
      <c r="N109" s="2" t="str">
        <f t="shared" si="2"/>
        <v>ALTN010</v>
      </c>
      <c r="O109" s="348"/>
    </row>
    <row r="110" spans="3:15">
      <c r="C110" s="247"/>
      <c r="H110" s="2" t="s">
        <v>176</v>
      </c>
      <c r="K110" s="2" t="s">
        <v>116</v>
      </c>
      <c r="L110" s="2" t="s">
        <v>173</v>
      </c>
      <c r="N110" s="2" t="str">
        <f t="shared" si="2"/>
        <v>ALTN011</v>
      </c>
      <c r="O110" s="348" t="str">
        <f>N95</f>
        <v>ALTP017</v>
      </c>
    </row>
    <row r="111" spans="3:15">
      <c r="C111" s="247"/>
      <c r="H111" s="2" t="s">
        <v>127</v>
      </c>
      <c r="K111" s="2" t="s">
        <v>117</v>
      </c>
      <c r="O111" s="348"/>
    </row>
    <row r="112" spans="3:15">
      <c r="C112" s="247"/>
      <c r="H112" s="31" t="s">
        <v>128</v>
      </c>
      <c r="K112" s="2" t="s">
        <v>118</v>
      </c>
      <c r="O112" s="348" t="str">
        <f>N96</f>
        <v>ALTP018</v>
      </c>
    </row>
    <row r="113" spans="3:15">
      <c r="C113" s="247"/>
      <c r="H113" s="31" t="s">
        <v>163</v>
      </c>
      <c r="K113" s="2" t="s">
        <v>119</v>
      </c>
      <c r="O113" s="348"/>
    </row>
    <row r="114" spans="3:15">
      <c r="C114" s="247"/>
      <c r="H114" s="31" t="s">
        <v>170</v>
      </c>
      <c r="K114" s="2" t="s">
        <v>120</v>
      </c>
      <c r="O114" s="348" t="str">
        <f>N97</f>
        <v>ALTP019</v>
      </c>
    </row>
    <row r="115" spans="3:15">
      <c r="C115" s="247"/>
      <c r="H115" s="31" t="s">
        <v>171</v>
      </c>
      <c r="K115" s="2" t="s">
        <v>121</v>
      </c>
      <c r="O115" s="348"/>
    </row>
    <row r="116" spans="3:15">
      <c r="C116" s="247"/>
      <c r="H116" s="31" t="s">
        <v>172</v>
      </c>
      <c r="K116" s="2" t="s">
        <v>122</v>
      </c>
      <c r="O116" s="348" t="str">
        <f>N98</f>
        <v>ALTP020</v>
      </c>
    </row>
    <row r="117" spans="3:15">
      <c r="C117" s="247"/>
      <c r="H117" s="31" t="s">
        <v>173</v>
      </c>
      <c r="K117" s="2" t="s">
        <v>123</v>
      </c>
      <c r="O117" s="348"/>
    </row>
    <row r="118" spans="3:15">
      <c r="C118" s="247"/>
      <c r="O118" s="348" t="str">
        <f>N99</f>
        <v>ALTP025</v>
      </c>
    </row>
    <row r="119" spans="3:15">
      <c r="C119" s="247"/>
      <c r="O119" s="348"/>
    </row>
    <row r="120" spans="3:15">
      <c r="C120" s="247"/>
      <c r="O120" s="348" t="str">
        <f>N100</f>
        <v>ALTP027</v>
      </c>
    </row>
    <row r="121" spans="3:15">
      <c r="C121" s="247"/>
      <c r="O121" s="348"/>
    </row>
    <row r="122" spans="3:15">
      <c r="C122" s="247"/>
      <c r="O122" s="348" t="str">
        <f>N101</f>
        <v>ALTN001</v>
      </c>
    </row>
    <row r="123" spans="3:15">
      <c r="C123" s="247"/>
      <c r="O123" s="348"/>
    </row>
    <row r="124" spans="3:15">
      <c r="C124" s="247"/>
      <c r="O124" s="348" t="str">
        <f>N102</f>
        <v>ALTN002</v>
      </c>
    </row>
    <row r="125" spans="3:15">
      <c r="C125" s="247"/>
      <c r="O125" s="348"/>
    </row>
    <row r="126" spans="3:15">
      <c r="C126" s="247"/>
      <c r="O126" s="348" t="str">
        <f>N103</f>
        <v>ALTN003</v>
      </c>
    </row>
    <row r="127" spans="3:15">
      <c r="C127" s="247"/>
      <c r="O127" s="348"/>
    </row>
    <row r="128" spans="3:15">
      <c r="C128" s="247"/>
      <c r="O128" s="348" t="str">
        <f>N104</f>
        <v>ALTN004</v>
      </c>
    </row>
    <row r="129" spans="3:15">
      <c r="C129" s="247"/>
      <c r="O129" s="348"/>
    </row>
    <row r="130" spans="3:15">
      <c r="C130" s="247"/>
      <c r="O130" s="348" t="str">
        <f>N105</f>
        <v>ALTN006</v>
      </c>
    </row>
    <row r="131" spans="3:15">
      <c r="C131" s="247"/>
      <c r="O131" s="348"/>
    </row>
    <row r="132" spans="3:15">
      <c r="C132" s="247"/>
      <c r="O132" s="348" t="str">
        <f>N106</f>
        <v>ALTN007</v>
      </c>
    </row>
    <row r="133" spans="3:15">
      <c r="C133" s="247"/>
      <c r="O133" s="348"/>
    </row>
    <row r="134" spans="3:15">
      <c r="C134" s="247"/>
      <c r="O134" s="348" t="str">
        <f>N107</f>
        <v>ALTN008</v>
      </c>
    </row>
    <row r="135" spans="3:15">
      <c r="C135" s="247"/>
      <c r="O135" s="348"/>
    </row>
    <row r="136" spans="3:15">
      <c r="C136" s="247"/>
      <c r="O136" s="348" t="str">
        <f>N108</f>
        <v>ALTN009</v>
      </c>
    </row>
    <row r="137" spans="3:15">
      <c r="C137" s="247"/>
      <c r="O137" s="348"/>
    </row>
    <row r="138" spans="3:15">
      <c r="C138" s="247"/>
      <c r="O138" s="348" t="str">
        <f>N109</f>
        <v>ALTN010</v>
      </c>
    </row>
    <row r="139" spans="3:15">
      <c r="C139" s="247"/>
      <c r="O139" s="348"/>
    </row>
    <row r="140" spans="3:15">
      <c r="C140" s="247"/>
      <c r="O140" s="348" t="str">
        <f>N110</f>
        <v>ALTN011</v>
      </c>
    </row>
    <row r="141" spans="3:15">
      <c r="C141" s="247"/>
      <c r="O141" s="348"/>
    </row>
  </sheetData>
  <protectedRanges>
    <protectedRange password="CC78" sqref="F68:F65369 W13:JH51 X8:X9 B56:B65369 C65:E65369 G65:JH79 G131:N131 Z8:JH12 G80 I80:K80 M80:JH80 M81:M107 G118:M130 O81:JH131 N81:N110 G132:JH65369 L108:M117 G81:K101 G103:K117 G102 I102:K102 G8:I8 D42:E51 B10:Y10 F11:I11 H13:I20 K53:JH55 L11:Y11 N12:Y12 C52:I55 B8:D9 E9 A8:A65369 M12:M51 L12:L19 F12:H12 I12:I19 F21:I51 K11:K19 K52 M52:JH52" name="Range1"/>
    <protectedRange password="CC78" sqref="C58:C63 F65:F67 X58:JH63 D58:I64" name="Range1_1_1"/>
    <protectedRange password="CC78" sqref="C64 X64:JH64" name="Range1_3_1"/>
    <protectedRange password="CC78" sqref="A5:JH7" name="Range1_2"/>
    <protectedRange password="CC78" sqref="J8:W9 J11:J55" name="Range1_3"/>
    <protectedRange password="CC78" sqref="B42:B55" name="Range1_1"/>
    <protectedRange password="CC78" sqref="E8 F9:G9" name="Range1_4"/>
    <protectedRange password="CC78" sqref="C13:E19 C20:D20" name="Range1_8"/>
    <protectedRange password="CC78" sqref="B13:B20" name="Range1_1_1_1"/>
    <protectedRange password="CC78" sqref="F13:G20 E20" name="Range1_9"/>
    <protectedRange password="CC78" sqref="B21:B41" name="Range1_6"/>
    <protectedRange password="CC78" sqref="D21:E41" name="Range1_7"/>
    <protectedRange password="CC78" sqref="K11:V50 M51:V51" name="Range1_11"/>
  </protectedRanges>
  <autoFilter ref="A10:AA55">
    <filterColumn colId="4"/>
    <filterColumn colId="11">
      <filters>
        <filter val="x"/>
      </filters>
    </filterColumn>
  </autoFilter>
  <mergeCells count="45">
    <mergeCell ref="O136:O137"/>
    <mergeCell ref="O138:O139"/>
    <mergeCell ref="O140:O141"/>
    <mergeCell ref="K8:V8"/>
    <mergeCell ref="W8:W9"/>
    <mergeCell ref="O108:O109"/>
    <mergeCell ref="O110:O111"/>
    <mergeCell ref="O112:O113"/>
    <mergeCell ref="O114:O115"/>
    <mergeCell ref="O116:O117"/>
    <mergeCell ref="O118:O119"/>
    <mergeCell ref="O132:O133"/>
    <mergeCell ref="O134:O135"/>
    <mergeCell ref="O130:O131"/>
    <mergeCell ref="O120:O121"/>
    <mergeCell ref="O122:O123"/>
    <mergeCell ref="O96:O97"/>
    <mergeCell ref="O98:O99"/>
    <mergeCell ref="A5:Y5"/>
    <mergeCell ref="A6:Y6"/>
    <mergeCell ref="B8:B9"/>
    <mergeCell ref="A8:A9"/>
    <mergeCell ref="C8:C9"/>
    <mergeCell ref="Y8:Y9"/>
    <mergeCell ref="X8:X9"/>
    <mergeCell ref="J8:J9"/>
    <mergeCell ref="D8:D9"/>
    <mergeCell ref="H8:I8"/>
    <mergeCell ref="E8:G8"/>
    <mergeCell ref="O124:O125"/>
    <mergeCell ref="O126:O127"/>
    <mergeCell ref="O128:O129"/>
    <mergeCell ref="A53:C55"/>
    <mergeCell ref="O100:O101"/>
    <mergeCell ref="O102:O103"/>
    <mergeCell ref="O104:O105"/>
    <mergeCell ref="O106:O107"/>
    <mergeCell ref="O80:O81"/>
    <mergeCell ref="O82:O83"/>
    <mergeCell ref="O84:O85"/>
    <mergeCell ref="O86:O87"/>
    <mergeCell ref="O88:O89"/>
    <mergeCell ref="O90:O91"/>
    <mergeCell ref="O92:O93"/>
    <mergeCell ref="O94:O9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9"/>
  <sheetViews>
    <sheetView zoomScaleNormal="115" workbookViewId="0">
      <pane xSplit="3" ySplit="6" topLeftCell="D8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H94" sqref="H94"/>
    </sheetView>
  </sheetViews>
  <sheetFormatPr defaultColWidth="3.7109375" defaultRowHeight="15" customHeight="1"/>
  <cols>
    <col min="1" max="1" width="2.5703125" style="2" customWidth="1"/>
    <col min="2" max="2" width="9.28515625" style="2" customWidth="1"/>
    <col min="3" max="3" width="17.28515625" style="2" customWidth="1"/>
    <col min="4" max="4" width="6.85546875" style="301" customWidth="1"/>
    <col min="5" max="5" width="11.28515625" style="2" bestFit="1" customWidth="1"/>
    <col min="6" max="33" width="3.42578125" style="116" customWidth="1"/>
    <col min="34" max="34" width="3.42578125" style="117" customWidth="1"/>
    <col min="35" max="35" width="3.5703125" style="117" bestFit="1" customWidth="1"/>
    <col min="36" max="36" width="3.42578125" style="117" customWidth="1"/>
    <col min="37" max="38" width="4.42578125" style="2" customWidth="1"/>
    <col min="39" max="39" width="5.5703125" style="95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1"/>
      <c r="B1" s="50"/>
      <c r="C1" s="50"/>
      <c r="D1" s="54"/>
      <c r="E1" s="50"/>
      <c r="F1" s="54"/>
      <c r="G1" s="54"/>
      <c r="H1" s="54"/>
      <c r="I1" s="54"/>
      <c r="J1" s="54"/>
      <c r="K1" s="112"/>
      <c r="L1" s="112"/>
      <c r="M1" s="112"/>
      <c r="N1" s="112"/>
      <c r="O1" s="112"/>
      <c r="P1" s="112"/>
      <c r="Q1" s="112"/>
      <c r="R1" s="112"/>
      <c r="S1" s="52" t="str">
        <f>CONCATENATE("BẢNG CHẤM CÔNG THÁNG ",TEXT($E$4,"mm")," NĂM ",TEXT($E$4,"yyyy"))</f>
        <v>BẢNG CHẤM CÔNG THÁNG 01 NĂM 2017</v>
      </c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51"/>
      <c r="AL1" s="51"/>
      <c r="AM1" s="407" t="s">
        <v>180</v>
      </c>
      <c r="AN1" s="408"/>
      <c r="AO1" s="408"/>
      <c r="AP1" s="408"/>
      <c r="AQ1" s="408"/>
      <c r="AR1" s="408"/>
      <c r="AS1" s="409"/>
      <c r="AT1" s="53"/>
    </row>
    <row r="2" spans="1:91" ht="20.25">
      <c r="A2" s="131" t="str">
        <f>TH!$A$1</f>
        <v>Công ty TNHH Hải sản An Lạc</v>
      </c>
      <c r="B2" s="54"/>
      <c r="C2" s="54"/>
      <c r="D2" s="54"/>
      <c r="E2" s="54"/>
      <c r="F2" s="54"/>
      <c r="G2" s="54"/>
      <c r="H2" s="54"/>
      <c r="I2" s="54"/>
      <c r="J2" s="54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51"/>
      <c r="AL2" s="51"/>
      <c r="AM2" s="91"/>
      <c r="AN2" s="55"/>
      <c r="AO2" s="55"/>
      <c r="AP2" s="55"/>
      <c r="AQ2" s="55"/>
      <c r="AR2" s="55"/>
      <c r="AS2" s="90"/>
      <c r="AT2" s="90"/>
    </row>
    <row r="3" spans="1:91" ht="21" customHeight="1">
      <c r="A3" s="131" t="str">
        <f>TH!$A$2</f>
        <v>Địa chỉ: Lô A14, đường 4A, KCN Hải Sơn, Đức Hòa, Long An</v>
      </c>
      <c r="B3" s="56"/>
      <c r="C3" s="56"/>
      <c r="D3" s="57"/>
      <c r="E3" s="57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51"/>
      <c r="AL3" s="51"/>
      <c r="AM3" s="91"/>
      <c r="AN3" s="53"/>
      <c r="AO3" s="53"/>
      <c r="AP3" s="53"/>
      <c r="AQ3" s="53"/>
      <c r="AR3" s="53"/>
      <c r="AS3" s="58"/>
      <c r="AT3" s="58"/>
    </row>
    <row r="4" spans="1:91" ht="14.25" customHeight="1">
      <c r="A4" s="59"/>
      <c r="B4" s="59"/>
      <c r="C4" s="250"/>
      <c r="D4" s="249"/>
      <c r="E4" s="300">
        <v>42736</v>
      </c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1"/>
      <c r="AI4" s="61"/>
      <c r="AJ4" s="61"/>
      <c r="AK4" s="59"/>
      <c r="AL4" s="59"/>
      <c r="AM4" s="92"/>
      <c r="AN4" s="59"/>
      <c r="AO4" s="59"/>
      <c r="AP4" s="59"/>
      <c r="AQ4" s="59"/>
      <c r="AR4" s="59"/>
      <c r="AS4" s="59"/>
      <c r="AT4" s="96"/>
    </row>
    <row r="5" spans="1:91" s="62" customFormat="1" ht="18.75" customHeight="1">
      <c r="A5" s="410" t="s">
        <v>28</v>
      </c>
      <c r="B5" s="410" t="s">
        <v>3</v>
      </c>
      <c r="C5" s="410" t="s">
        <v>1</v>
      </c>
      <c r="D5" s="412" t="s">
        <v>29</v>
      </c>
      <c r="E5" s="410" t="s">
        <v>30</v>
      </c>
      <c r="F5" s="111">
        <f>+E4</f>
        <v>42736</v>
      </c>
      <c r="G5" s="111">
        <f t="shared" ref="G5:AG5" si="0">F5+1</f>
        <v>42737</v>
      </c>
      <c r="H5" s="111">
        <f t="shared" si="0"/>
        <v>42738</v>
      </c>
      <c r="I5" s="111">
        <f t="shared" si="0"/>
        <v>42739</v>
      </c>
      <c r="J5" s="111">
        <f t="shared" si="0"/>
        <v>42740</v>
      </c>
      <c r="K5" s="111">
        <f t="shared" si="0"/>
        <v>42741</v>
      </c>
      <c r="L5" s="111">
        <f t="shared" si="0"/>
        <v>42742</v>
      </c>
      <c r="M5" s="111">
        <f t="shared" si="0"/>
        <v>42743</v>
      </c>
      <c r="N5" s="111">
        <f t="shared" si="0"/>
        <v>42744</v>
      </c>
      <c r="O5" s="111">
        <f t="shared" si="0"/>
        <v>42745</v>
      </c>
      <c r="P5" s="111">
        <f t="shared" si="0"/>
        <v>42746</v>
      </c>
      <c r="Q5" s="111">
        <f t="shared" si="0"/>
        <v>42747</v>
      </c>
      <c r="R5" s="111">
        <f t="shared" si="0"/>
        <v>42748</v>
      </c>
      <c r="S5" s="111">
        <f t="shared" si="0"/>
        <v>42749</v>
      </c>
      <c r="T5" s="111">
        <f t="shared" si="0"/>
        <v>42750</v>
      </c>
      <c r="U5" s="111">
        <f t="shared" si="0"/>
        <v>42751</v>
      </c>
      <c r="V5" s="111">
        <f t="shared" si="0"/>
        <v>42752</v>
      </c>
      <c r="W5" s="111">
        <f t="shared" si="0"/>
        <v>42753</v>
      </c>
      <c r="X5" s="111">
        <f t="shared" si="0"/>
        <v>42754</v>
      </c>
      <c r="Y5" s="111">
        <f t="shared" si="0"/>
        <v>42755</v>
      </c>
      <c r="Z5" s="111">
        <f t="shared" si="0"/>
        <v>42756</v>
      </c>
      <c r="AA5" s="111">
        <f t="shared" si="0"/>
        <v>42757</v>
      </c>
      <c r="AB5" s="111">
        <f t="shared" si="0"/>
        <v>42758</v>
      </c>
      <c r="AC5" s="111">
        <f t="shared" si="0"/>
        <v>42759</v>
      </c>
      <c r="AD5" s="111">
        <f t="shared" si="0"/>
        <v>42760</v>
      </c>
      <c r="AE5" s="111">
        <f t="shared" si="0"/>
        <v>42761</v>
      </c>
      <c r="AF5" s="111">
        <f t="shared" si="0"/>
        <v>42762</v>
      </c>
      <c r="AG5" s="111">
        <f t="shared" si="0"/>
        <v>42763</v>
      </c>
      <c r="AH5" s="111">
        <f>AG5+1</f>
        <v>42764</v>
      </c>
      <c r="AI5" s="111">
        <f>AH5+1</f>
        <v>42765</v>
      </c>
      <c r="AJ5" s="111">
        <v>31</v>
      </c>
      <c r="AK5" s="413" t="s">
        <v>15</v>
      </c>
      <c r="AL5" s="414"/>
      <c r="AM5" s="415"/>
      <c r="AN5" s="416" t="s">
        <v>45</v>
      </c>
      <c r="AO5" s="416" t="s">
        <v>41</v>
      </c>
      <c r="AP5" s="416" t="s">
        <v>42</v>
      </c>
      <c r="AQ5" s="416" t="s">
        <v>43</v>
      </c>
      <c r="AR5" s="416" t="s">
        <v>44</v>
      </c>
      <c r="AS5" s="412" t="s">
        <v>0</v>
      </c>
      <c r="AT5" s="40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2" customFormat="1" ht="39.75" customHeight="1">
      <c r="A6" s="411"/>
      <c r="B6" s="411"/>
      <c r="C6" s="411"/>
      <c r="D6" s="411"/>
      <c r="E6" s="411"/>
      <c r="F6" s="279" t="str">
        <f>CHOOSE(WEEKDAY(F5),"C.Nhật","T.Hai","T.Ba","T.Tư","T.Năm","T.Sáu","T.Bảy")</f>
        <v>C.Nhật</v>
      </c>
      <c r="G6" s="279" t="str">
        <f t="shared" ref="G6:AI6" si="1">CHOOSE(WEEKDAY(G5),"C.Nhật","T.Hai","T.Ba","T.Tư","T.Năm","T.Sáu","T.Bảy")</f>
        <v>T.Hai</v>
      </c>
      <c r="H6" s="279" t="str">
        <f t="shared" si="1"/>
        <v>T.Ba</v>
      </c>
      <c r="I6" s="279" t="str">
        <f t="shared" si="1"/>
        <v>T.Tư</v>
      </c>
      <c r="J6" s="279" t="str">
        <f t="shared" si="1"/>
        <v>T.Năm</v>
      </c>
      <c r="K6" s="279" t="str">
        <f t="shared" si="1"/>
        <v>T.Sáu</v>
      </c>
      <c r="L6" s="279" t="str">
        <f t="shared" si="1"/>
        <v>T.Bảy</v>
      </c>
      <c r="M6" s="279" t="str">
        <f t="shared" si="1"/>
        <v>C.Nhật</v>
      </c>
      <c r="N6" s="279" t="str">
        <f t="shared" si="1"/>
        <v>T.Hai</v>
      </c>
      <c r="O6" s="279" t="str">
        <f t="shared" si="1"/>
        <v>T.Ba</v>
      </c>
      <c r="P6" s="279" t="str">
        <f t="shared" si="1"/>
        <v>T.Tư</v>
      </c>
      <c r="Q6" s="279" t="str">
        <f t="shared" si="1"/>
        <v>T.Năm</v>
      </c>
      <c r="R6" s="279" t="str">
        <f t="shared" si="1"/>
        <v>T.Sáu</v>
      </c>
      <c r="S6" s="279" t="str">
        <f t="shared" si="1"/>
        <v>T.Bảy</v>
      </c>
      <c r="T6" s="279" t="str">
        <f t="shared" si="1"/>
        <v>C.Nhật</v>
      </c>
      <c r="U6" s="279" t="str">
        <f t="shared" si="1"/>
        <v>T.Hai</v>
      </c>
      <c r="V6" s="279" t="str">
        <f t="shared" si="1"/>
        <v>T.Ba</v>
      </c>
      <c r="W6" s="279" t="str">
        <f t="shared" si="1"/>
        <v>T.Tư</v>
      </c>
      <c r="X6" s="279" t="str">
        <f t="shared" si="1"/>
        <v>T.Năm</v>
      </c>
      <c r="Y6" s="279" t="str">
        <f t="shared" si="1"/>
        <v>T.Sáu</v>
      </c>
      <c r="Z6" s="279" t="str">
        <f t="shared" si="1"/>
        <v>T.Bảy</v>
      </c>
      <c r="AA6" s="279" t="str">
        <f t="shared" si="1"/>
        <v>C.Nhật</v>
      </c>
      <c r="AB6" s="279" t="str">
        <f t="shared" si="1"/>
        <v>T.Hai</v>
      </c>
      <c r="AC6" s="279" t="str">
        <f t="shared" si="1"/>
        <v>T.Ba</v>
      </c>
      <c r="AD6" s="279" t="str">
        <f t="shared" si="1"/>
        <v>T.Tư</v>
      </c>
      <c r="AE6" s="279" t="str">
        <f t="shared" si="1"/>
        <v>T.Năm</v>
      </c>
      <c r="AF6" s="279" t="str">
        <f t="shared" si="1"/>
        <v>T.Sáu</v>
      </c>
      <c r="AG6" s="279" t="str">
        <f t="shared" si="1"/>
        <v>T.Bảy</v>
      </c>
      <c r="AH6" s="279" t="str">
        <f t="shared" si="1"/>
        <v>C.Nhật</v>
      </c>
      <c r="AI6" s="279" t="str">
        <f t="shared" si="1"/>
        <v>T.Hai</v>
      </c>
      <c r="AJ6" s="279" t="s">
        <v>195</v>
      </c>
      <c r="AK6" s="280" t="s">
        <v>16</v>
      </c>
      <c r="AL6" s="280" t="s">
        <v>31</v>
      </c>
      <c r="AM6" s="281" t="s">
        <v>17</v>
      </c>
      <c r="AN6" s="417"/>
      <c r="AO6" s="417"/>
      <c r="AP6" s="417"/>
      <c r="AQ6" s="417"/>
      <c r="AR6" s="417"/>
      <c r="AS6" s="411"/>
      <c r="AT6" s="40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2" customFormat="1" ht="12.75" customHeight="1">
      <c r="A7" s="282">
        <v>1</v>
      </c>
      <c r="B7" s="282">
        <v>1</v>
      </c>
      <c r="C7" s="282">
        <v>2</v>
      </c>
      <c r="D7" s="282">
        <v>3</v>
      </c>
      <c r="E7" s="282">
        <v>4</v>
      </c>
      <c r="F7" s="282">
        <v>5</v>
      </c>
      <c r="G7" s="282">
        <v>6</v>
      </c>
      <c r="H7" s="282">
        <v>7</v>
      </c>
      <c r="I7" s="282">
        <v>8</v>
      </c>
      <c r="J7" s="282">
        <v>9</v>
      </c>
      <c r="K7" s="282">
        <v>10</v>
      </c>
      <c r="L7" s="282">
        <v>11</v>
      </c>
      <c r="M7" s="282">
        <v>12</v>
      </c>
      <c r="N7" s="282">
        <v>13</v>
      </c>
      <c r="O7" s="282">
        <v>14</v>
      </c>
      <c r="P7" s="282">
        <v>15</v>
      </c>
      <c r="Q7" s="282">
        <v>16</v>
      </c>
      <c r="R7" s="282">
        <v>17</v>
      </c>
      <c r="S7" s="282">
        <v>18</v>
      </c>
      <c r="T7" s="282">
        <v>19</v>
      </c>
      <c r="U7" s="282">
        <v>20</v>
      </c>
      <c r="V7" s="282">
        <v>21</v>
      </c>
      <c r="W7" s="282">
        <v>22</v>
      </c>
      <c r="X7" s="282">
        <v>23</v>
      </c>
      <c r="Y7" s="282">
        <v>24</v>
      </c>
      <c r="Z7" s="282">
        <v>25</v>
      </c>
      <c r="AA7" s="282">
        <v>26</v>
      </c>
      <c r="AB7" s="282">
        <v>27</v>
      </c>
      <c r="AC7" s="282">
        <v>28</v>
      </c>
      <c r="AD7" s="282">
        <v>29</v>
      </c>
      <c r="AE7" s="282">
        <v>30</v>
      </c>
      <c r="AF7" s="282">
        <v>31</v>
      </c>
      <c r="AG7" s="282">
        <v>32</v>
      </c>
      <c r="AH7" s="282">
        <v>33</v>
      </c>
      <c r="AI7" s="282">
        <v>34</v>
      </c>
      <c r="AJ7" s="282">
        <v>35</v>
      </c>
      <c r="AK7" s="282">
        <v>36</v>
      </c>
      <c r="AL7" s="282">
        <v>37</v>
      </c>
      <c r="AM7" s="282">
        <v>38</v>
      </c>
      <c r="AN7" s="282">
        <v>39</v>
      </c>
      <c r="AO7" s="282">
        <v>40</v>
      </c>
      <c r="AP7" s="282">
        <v>41</v>
      </c>
      <c r="AQ7" s="282">
        <v>42</v>
      </c>
      <c r="AR7" s="282">
        <v>43</v>
      </c>
      <c r="AS7" s="282">
        <v>44</v>
      </c>
      <c r="AT7" s="30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85" customFormat="1" ht="21" customHeight="1">
      <c r="A8" s="283" t="s">
        <v>183</v>
      </c>
      <c r="B8" s="286" t="s">
        <v>184</v>
      </c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  <c r="O8" s="287"/>
      <c r="P8" s="287"/>
      <c r="Q8" s="287"/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  <c r="AC8" s="287"/>
      <c r="AD8" s="287"/>
      <c r="AE8" s="287"/>
      <c r="AF8" s="287"/>
      <c r="AG8" s="287"/>
      <c r="AH8" s="287"/>
      <c r="AI8" s="287"/>
      <c r="AJ8" s="287"/>
      <c r="AK8" s="287"/>
      <c r="AL8" s="287"/>
      <c r="AM8" s="287"/>
      <c r="AN8" s="287"/>
      <c r="AO8" s="287"/>
      <c r="AP8" s="287"/>
      <c r="AQ8" s="287"/>
      <c r="AR8" s="287"/>
      <c r="AS8" s="288"/>
      <c r="AT8" s="284"/>
    </row>
    <row r="9" spans="1:91" s="62" customFormat="1" ht="18" customHeight="1">
      <c r="A9" s="402">
        <v>1</v>
      </c>
      <c r="B9" s="402" t="s">
        <v>61</v>
      </c>
      <c r="C9" s="374" t="str">
        <f>VLOOKUP(B9,DS,2,0)</f>
        <v>Mai Út Hiền</v>
      </c>
      <c r="D9" s="376" t="str">
        <f>VLOOKUP(B9,DS,3,0)</f>
        <v>Cơ Điện</v>
      </c>
      <c r="E9" s="63" t="s">
        <v>32</v>
      </c>
      <c r="F9" s="161"/>
      <c r="G9" s="161">
        <v>8</v>
      </c>
      <c r="H9" s="161">
        <v>8</v>
      </c>
      <c r="I9" s="161">
        <v>8</v>
      </c>
      <c r="J9" s="161">
        <v>8</v>
      </c>
      <c r="K9" s="161">
        <v>8</v>
      </c>
      <c r="L9" s="161">
        <v>8</v>
      </c>
      <c r="M9" s="161"/>
      <c r="N9" s="161">
        <v>8</v>
      </c>
      <c r="O9" s="161">
        <v>8</v>
      </c>
      <c r="P9" s="161">
        <v>8</v>
      </c>
      <c r="Q9" s="161">
        <v>8</v>
      </c>
      <c r="R9" s="161">
        <v>8</v>
      </c>
      <c r="S9" s="161">
        <v>8</v>
      </c>
      <c r="T9" s="161"/>
      <c r="U9" s="161">
        <v>8</v>
      </c>
      <c r="V9" s="161">
        <v>8</v>
      </c>
      <c r="W9" s="161">
        <v>8</v>
      </c>
      <c r="X9" s="161">
        <v>8</v>
      </c>
      <c r="Y9" s="161">
        <v>8</v>
      </c>
      <c r="Z9" s="161">
        <v>8</v>
      </c>
      <c r="AA9" s="161"/>
      <c r="AB9" s="161">
        <v>8</v>
      </c>
      <c r="AC9" s="161">
        <v>8</v>
      </c>
      <c r="AD9" s="161"/>
      <c r="AE9" s="161"/>
      <c r="AF9" s="161"/>
      <c r="AG9" s="161"/>
      <c r="AH9" s="161"/>
      <c r="AI9" s="161"/>
      <c r="AJ9" s="161"/>
      <c r="AK9" s="378">
        <f>((SUM(F9:AJ9))/8)-(SUMIF($F$6:$AJ$6,"C.Nhật",F9:AJ9)/8)</f>
        <v>20</v>
      </c>
      <c r="AL9" s="378">
        <f>SUM(F10:AI10)/8*1.5</f>
        <v>0</v>
      </c>
      <c r="AM9" s="386">
        <f>SUMIF($F$6:$AI$6,"C.Nhật",$F9:$AI10)/8*2</f>
        <v>0</v>
      </c>
      <c r="AN9" s="366">
        <f>SUM(AK9:AM10)</f>
        <v>20</v>
      </c>
      <c r="AO9" s="404">
        <v>0</v>
      </c>
      <c r="AP9" s="366"/>
      <c r="AQ9" s="366"/>
      <c r="AR9" s="366"/>
      <c r="AS9" s="394"/>
      <c r="AT9" s="30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2" customFormat="1" ht="18" customHeight="1">
      <c r="A10" s="403"/>
      <c r="B10" s="403"/>
      <c r="C10" s="375"/>
      <c r="D10" s="377"/>
      <c r="E10" s="64" t="s">
        <v>31</v>
      </c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379"/>
      <c r="AL10" s="379"/>
      <c r="AM10" s="387"/>
      <c r="AN10" s="367"/>
      <c r="AO10" s="405"/>
      <c r="AP10" s="367"/>
      <c r="AQ10" s="367"/>
      <c r="AR10" s="367"/>
      <c r="AS10" s="395"/>
      <c r="AT10" s="30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2" customFormat="1" ht="18" customHeight="1">
      <c r="A11" s="402">
        <f>A9+1</f>
        <v>2</v>
      </c>
      <c r="B11" s="402" t="s">
        <v>62</v>
      </c>
      <c r="C11" s="374" t="str">
        <f>VLOOKUP(B11,DS,2,0)</f>
        <v>Nguyễn Thị Xuân Thảo</v>
      </c>
      <c r="D11" s="376" t="str">
        <f>VLOOKUP(B11,DS,3,0)</f>
        <v>KCS</v>
      </c>
      <c r="E11" s="63" t="s">
        <v>32</v>
      </c>
      <c r="F11" s="161"/>
      <c r="G11" s="161">
        <v>8</v>
      </c>
      <c r="H11" s="161">
        <v>8</v>
      </c>
      <c r="I11" s="161">
        <v>8</v>
      </c>
      <c r="J11" s="161">
        <v>8</v>
      </c>
      <c r="K11" s="161">
        <v>8</v>
      </c>
      <c r="L11" s="161">
        <v>8</v>
      </c>
      <c r="M11" s="161"/>
      <c r="N11" s="161">
        <v>8</v>
      </c>
      <c r="O11" s="161">
        <v>8</v>
      </c>
      <c r="P11" s="161">
        <v>8</v>
      </c>
      <c r="Q11" s="161">
        <v>8</v>
      </c>
      <c r="R11" s="161">
        <v>8</v>
      </c>
      <c r="S11" s="161">
        <v>8</v>
      </c>
      <c r="T11" s="161"/>
      <c r="U11" s="161">
        <v>8</v>
      </c>
      <c r="V11" s="161">
        <v>8</v>
      </c>
      <c r="W11" s="161">
        <v>8</v>
      </c>
      <c r="X11" s="161">
        <v>8</v>
      </c>
      <c r="Y11" s="161">
        <v>8</v>
      </c>
      <c r="Z11" s="161">
        <v>8</v>
      </c>
      <c r="AA11" s="161"/>
      <c r="AB11" s="161">
        <v>8</v>
      </c>
      <c r="AC11" s="161">
        <v>8</v>
      </c>
      <c r="AD11" s="161"/>
      <c r="AE11" s="161"/>
      <c r="AF11" s="161"/>
      <c r="AG11" s="161"/>
      <c r="AH11" s="161"/>
      <c r="AI11" s="161"/>
      <c r="AJ11" s="161"/>
      <c r="AK11" s="378">
        <f>((SUM(F11:AJ11))/8)-(SUMIF($F$6:$AJ$6,"C.Nhật",F11:AJ11)/8)</f>
        <v>20</v>
      </c>
      <c r="AL11" s="378">
        <f>SUM(F12:AI12)/8*1.5</f>
        <v>0</v>
      </c>
      <c r="AM11" s="386">
        <f>SUMIF($F$6:$AI$6,"C.Nhật",$F11:$AI12)/8*2</f>
        <v>0</v>
      </c>
      <c r="AN11" s="366">
        <f>SUM(AK11:AM12)</f>
        <v>20</v>
      </c>
      <c r="AO11" s="404">
        <v>0</v>
      </c>
      <c r="AP11" s="366"/>
      <c r="AQ11" s="366"/>
      <c r="AR11" s="366"/>
      <c r="AS11" s="394"/>
      <c r="AT11" s="30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2" customFormat="1" ht="18" customHeight="1">
      <c r="A12" s="403"/>
      <c r="B12" s="403"/>
      <c r="C12" s="375"/>
      <c r="D12" s="377"/>
      <c r="E12" s="64" t="s">
        <v>31</v>
      </c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379"/>
      <c r="AL12" s="379"/>
      <c r="AM12" s="387"/>
      <c r="AN12" s="367"/>
      <c r="AO12" s="405"/>
      <c r="AP12" s="367"/>
      <c r="AQ12" s="367"/>
      <c r="AR12" s="367"/>
      <c r="AS12" s="395"/>
      <c r="AT12" s="30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85" customFormat="1" ht="21" customHeight="1">
      <c r="A13" s="283" t="s">
        <v>185</v>
      </c>
      <c r="B13" s="286" t="s">
        <v>186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8"/>
      <c r="AT13" s="284"/>
    </row>
    <row r="14" spans="1:91" s="62" customFormat="1" ht="18" customHeight="1">
      <c r="A14" s="402">
        <v>3</v>
      </c>
      <c r="B14" s="402" t="s">
        <v>85</v>
      </c>
      <c r="C14" s="374" t="str">
        <f>VLOOKUP(B14,DS,2,0)</f>
        <v>Huỳnh Thị Hường</v>
      </c>
      <c r="D14" s="376" t="str">
        <f>VLOOKUP(B14,DS,3,0)</f>
        <v>Công nhân</v>
      </c>
      <c r="E14" s="63" t="s">
        <v>32</v>
      </c>
      <c r="F14" s="161"/>
      <c r="G14" s="161">
        <v>8</v>
      </c>
      <c r="H14" s="161">
        <v>8</v>
      </c>
      <c r="I14" s="161">
        <v>8</v>
      </c>
      <c r="J14" s="161">
        <v>8</v>
      </c>
      <c r="K14" s="161">
        <v>8</v>
      </c>
      <c r="L14" s="161">
        <v>8</v>
      </c>
      <c r="M14" s="161"/>
      <c r="N14" s="161">
        <v>8</v>
      </c>
      <c r="O14" s="161">
        <v>8</v>
      </c>
      <c r="P14" s="161">
        <v>8</v>
      </c>
      <c r="Q14" s="161">
        <v>8</v>
      </c>
      <c r="R14" s="161">
        <v>8</v>
      </c>
      <c r="S14" s="161">
        <v>8</v>
      </c>
      <c r="T14" s="161"/>
      <c r="U14" s="161">
        <v>8</v>
      </c>
      <c r="V14" s="161">
        <v>8</v>
      </c>
      <c r="W14" s="161">
        <v>8</v>
      </c>
      <c r="X14" s="161">
        <v>8</v>
      </c>
      <c r="Y14" s="161">
        <v>8</v>
      </c>
      <c r="Z14" s="161">
        <v>8</v>
      </c>
      <c r="AA14" s="161"/>
      <c r="AB14" s="161">
        <v>8</v>
      </c>
      <c r="AC14" s="161">
        <v>8</v>
      </c>
      <c r="AD14" s="161"/>
      <c r="AE14" s="161"/>
      <c r="AF14" s="161"/>
      <c r="AG14" s="161"/>
      <c r="AH14" s="161"/>
      <c r="AI14" s="161"/>
      <c r="AJ14" s="161"/>
      <c r="AK14" s="378">
        <f>((SUM(F14:AJ14))/8)-(SUMIF($F$6:$AJ$6,"C.Nhật",F14:AJ14)/8)</f>
        <v>20</v>
      </c>
      <c r="AL14" s="378">
        <f>SUM(F15:AI15)/8*1.5</f>
        <v>0</v>
      </c>
      <c r="AM14" s="386">
        <f>SUMIF($F$6:$AI$6,"C.Nhật",$F14:$AI15)/8*2</f>
        <v>0</v>
      </c>
      <c r="AN14" s="366">
        <f>SUM(AK14:AM15)</f>
        <v>20</v>
      </c>
      <c r="AO14" s="404">
        <v>0</v>
      </c>
      <c r="AP14" s="366"/>
      <c r="AQ14" s="366"/>
      <c r="AR14" s="366"/>
      <c r="AS14" s="394"/>
      <c r="AT14" s="30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2" customFormat="1" ht="18" customHeight="1">
      <c r="A15" s="403"/>
      <c r="B15" s="403"/>
      <c r="C15" s="375"/>
      <c r="D15" s="377"/>
      <c r="E15" s="64" t="s">
        <v>31</v>
      </c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  <c r="AG15" s="162"/>
      <c r="AH15" s="162"/>
      <c r="AI15" s="162"/>
      <c r="AJ15" s="162"/>
      <c r="AK15" s="379"/>
      <c r="AL15" s="379"/>
      <c r="AM15" s="387"/>
      <c r="AN15" s="367"/>
      <c r="AO15" s="405"/>
      <c r="AP15" s="367"/>
      <c r="AQ15" s="367"/>
      <c r="AR15" s="367"/>
      <c r="AS15" s="395"/>
      <c r="AT15" s="30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2" customFormat="1" ht="18" customHeight="1">
      <c r="A16" s="402">
        <f>A14+1</f>
        <v>4</v>
      </c>
      <c r="B16" s="402" t="s">
        <v>86</v>
      </c>
      <c r="C16" s="374" t="str">
        <f>VLOOKUP(B16,DS,2,0)</f>
        <v>Nguyễn Thị Rong</v>
      </c>
      <c r="D16" s="376" t="str">
        <f>VLOOKUP(B16,DS,3,0)</f>
        <v>Công nhân</v>
      </c>
      <c r="E16" s="63" t="s">
        <v>32</v>
      </c>
      <c r="F16" s="161"/>
      <c r="G16" s="161">
        <v>8</v>
      </c>
      <c r="H16" s="161">
        <v>8</v>
      </c>
      <c r="I16" s="161">
        <v>8</v>
      </c>
      <c r="J16" s="161">
        <v>8</v>
      </c>
      <c r="K16" s="161">
        <v>8</v>
      </c>
      <c r="L16" s="161">
        <v>8</v>
      </c>
      <c r="M16" s="161"/>
      <c r="N16" s="161">
        <v>8</v>
      </c>
      <c r="O16" s="161">
        <v>8</v>
      </c>
      <c r="P16" s="161">
        <v>8</v>
      </c>
      <c r="Q16" s="161">
        <v>8</v>
      </c>
      <c r="R16" s="161">
        <v>8</v>
      </c>
      <c r="S16" s="161">
        <v>8</v>
      </c>
      <c r="T16" s="161"/>
      <c r="U16" s="161">
        <v>8</v>
      </c>
      <c r="V16" s="161">
        <v>8</v>
      </c>
      <c r="W16" s="161">
        <v>8</v>
      </c>
      <c r="X16" s="161">
        <v>8</v>
      </c>
      <c r="Y16" s="161">
        <v>8</v>
      </c>
      <c r="Z16" s="161">
        <v>8</v>
      </c>
      <c r="AA16" s="161"/>
      <c r="AB16" s="161">
        <v>8</v>
      </c>
      <c r="AC16" s="161">
        <v>8</v>
      </c>
      <c r="AD16" s="161"/>
      <c r="AE16" s="161"/>
      <c r="AF16" s="161"/>
      <c r="AG16" s="161"/>
      <c r="AH16" s="161"/>
      <c r="AI16" s="161"/>
      <c r="AJ16" s="161"/>
      <c r="AK16" s="378">
        <f>((SUM(F16:AJ16))/8)-(SUMIF($F$6:$AJ$6,"C.Nhật",F16:AJ16)/8)</f>
        <v>20</v>
      </c>
      <c r="AL16" s="378">
        <f>SUM(F17:AI17)/8*1.5</f>
        <v>0</v>
      </c>
      <c r="AM16" s="386">
        <f>SUMIF($F$6:$AI$6,"C.Nhật",$F16:$AI17)/8*2</f>
        <v>0</v>
      </c>
      <c r="AN16" s="366">
        <f>SUM(AK16:AM17)</f>
        <v>20</v>
      </c>
      <c r="AO16" s="404">
        <v>0</v>
      </c>
      <c r="AP16" s="366"/>
      <c r="AQ16" s="366"/>
      <c r="AR16" s="366"/>
      <c r="AS16" s="394"/>
      <c r="AT16" s="30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2" customFormat="1" ht="18" customHeight="1">
      <c r="A17" s="403"/>
      <c r="B17" s="403"/>
      <c r="C17" s="375"/>
      <c r="D17" s="377"/>
      <c r="E17" s="64" t="s">
        <v>31</v>
      </c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379"/>
      <c r="AL17" s="379"/>
      <c r="AM17" s="387"/>
      <c r="AN17" s="367"/>
      <c r="AO17" s="405"/>
      <c r="AP17" s="367"/>
      <c r="AQ17" s="367"/>
      <c r="AR17" s="367"/>
      <c r="AS17" s="395"/>
      <c r="AT17" s="30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2" customFormat="1" ht="18" customHeight="1">
      <c r="A18" s="402">
        <f t="shared" ref="A18:A22" si="2">A16+1</f>
        <v>5</v>
      </c>
      <c r="B18" s="402" t="s">
        <v>87</v>
      </c>
      <c r="C18" s="374" t="str">
        <f>VLOOKUP(B18,DS,2,0)</f>
        <v>Sơn Thị Nil</v>
      </c>
      <c r="D18" s="376" t="str">
        <f>VLOOKUP(B18,DS,3,0)</f>
        <v>Công nhân</v>
      </c>
      <c r="E18" s="63" t="s">
        <v>32</v>
      </c>
      <c r="F18" s="161"/>
      <c r="G18" s="161">
        <v>8</v>
      </c>
      <c r="H18" s="161">
        <v>8</v>
      </c>
      <c r="I18" s="161">
        <v>8</v>
      </c>
      <c r="J18" s="161">
        <v>8</v>
      </c>
      <c r="K18" s="161">
        <v>8</v>
      </c>
      <c r="L18" s="161">
        <v>8</v>
      </c>
      <c r="M18" s="161"/>
      <c r="N18" s="161">
        <v>8</v>
      </c>
      <c r="O18" s="161">
        <v>8</v>
      </c>
      <c r="P18" s="161">
        <v>8</v>
      </c>
      <c r="Q18" s="161">
        <v>8</v>
      </c>
      <c r="R18" s="161">
        <v>8</v>
      </c>
      <c r="S18" s="161">
        <v>8</v>
      </c>
      <c r="T18" s="161"/>
      <c r="U18" s="161">
        <v>8</v>
      </c>
      <c r="V18" s="161">
        <v>8</v>
      </c>
      <c r="W18" s="161">
        <v>8</v>
      </c>
      <c r="X18" s="161">
        <v>8</v>
      </c>
      <c r="Y18" s="161">
        <v>8</v>
      </c>
      <c r="Z18" s="161">
        <v>8</v>
      </c>
      <c r="AA18" s="161"/>
      <c r="AB18" s="161">
        <v>8</v>
      </c>
      <c r="AC18" s="161">
        <v>8</v>
      </c>
      <c r="AD18" s="161"/>
      <c r="AE18" s="161"/>
      <c r="AF18" s="161"/>
      <c r="AG18" s="161"/>
      <c r="AH18" s="161"/>
      <c r="AI18" s="161"/>
      <c r="AJ18" s="161"/>
      <c r="AK18" s="378">
        <f>((SUM(F18:AJ18))/8)-(SUMIF($F$6:$AJ$6,"C.Nhật",F18:AJ18)/8)</f>
        <v>20</v>
      </c>
      <c r="AL18" s="378">
        <f>SUM(F19:AI19)/8*1.5</f>
        <v>0</v>
      </c>
      <c r="AM18" s="386">
        <f>SUMIF($F$6:$AI$6,"C.Nhật",$F18:$AI19)/8*2</f>
        <v>0</v>
      </c>
      <c r="AN18" s="366">
        <f>SUM(AK18:AM19)</f>
        <v>20</v>
      </c>
      <c r="AO18" s="404">
        <v>0</v>
      </c>
      <c r="AP18" s="366"/>
      <c r="AQ18" s="366"/>
      <c r="AR18" s="366"/>
      <c r="AS18" s="394"/>
      <c r="AT18" s="30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2" customFormat="1" ht="18" customHeight="1">
      <c r="A19" s="403"/>
      <c r="B19" s="403"/>
      <c r="C19" s="375"/>
      <c r="D19" s="377"/>
      <c r="E19" s="64" t="s">
        <v>31</v>
      </c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379"/>
      <c r="AL19" s="379"/>
      <c r="AM19" s="387"/>
      <c r="AN19" s="367"/>
      <c r="AO19" s="405"/>
      <c r="AP19" s="367"/>
      <c r="AQ19" s="367"/>
      <c r="AR19" s="367"/>
      <c r="AS19" s="395"/>
      <c r="AT19" s="30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2" customFormat="1" ht="18" customHeight="1">
      <c r="A20" s="402">
        <f>A18+1</f>
        <v>6</v>
      </c>
      <c r="B20" s="402" t="s">
        <v>91</v>
      </c>
      <c r="C20" s="374" t="str">
        <f>VLOOKUP(B20,DS,2,0)</f>
        <v>Nguyễn Thị Lựu</v>
      </c>
      <c r="D20" s="376" t="str">
        <f>VLOOKUP(B20,DS,3,0)</f>
        <v>Công nhân</v>
      </c>
      <c r="E20" s="63" t="s">
        <v>32</v>
      </c>
      <c r="F20" s="161"/>
      <c r="G20" s="161">
        <v>8</v>
      </c>
      <c r="H20" s="161">
        <v>8</v>
      </c>
      <c r="I20" s="161">
        <v>8</v>
      </c>
      <c r="J20" s="161">
        <v>8</v>
      </c>
      <c r="K20" s="161">
        <v>8</v>
      </c>
      <c r="L20" s="161">
        <v>8</v>
      </c>
      <c r="M20" s="161"/>
      <c r="N20" s="161">
        <v>8</v>
      </c>
      <c r="O20" s="161">
        <v>8</v>
      </c>
      <c r="P20" s="161">
        <v>8</v>
      </c>
      <c r="Q20" s="161">
        <v>8</v>
      </c>
      <c r="R20" s="161">
        <v>8</v>
      </c>
      <c r="S20" s="161">
        <v>8</v>
      </c>
      <c r="T20" s="161"/>
      <c r="U20" s="161">
        <v>8</v>
      </c>
      <c r="V20" s="161">
        <v>8</v>
      </c>
      <c r="W20" s="161">
        <v>8</v>
      </c>
      <c r="X20" s="161">
        <v>8</v>
      </c>
      <c r="Y20" s="161">
        <v>8</v>
      </c>
      <c r="Z20" s="161">
        <v>8</v>
      </c>
      <c r="AA20" s="161"/>
      <c r="AB20" s="161">
        <v>8</v>
      </c>
      <c r="AC20" s="161">
        <v>8</v>
      </c>
      <c r="AD20" s="161"/>
      <c r="AE20" s="161"/>
      <c r="AF20" s="161"/>
      <c r="AG20" s="161"/>
      <c r="AH20" s="161"/>
      <c r="AI20" s="161"/>
      <c r="AJ20" s="161"/>
      <c r="AK20" s="378">
        <f>((SUM(F20:AJ20))/8)-(SUMIF($F$6:$AJ$6,"C.Nhật",F20:AJ20)/8)</f>
        <v>20</v>
      </c>
      <c r="AL20" s="378">
        <f>SUM(F21:AI21)/8*1.5</f>
        <v>0</v>
      </c>
      <c r="AM20" s="386">
        <f>SUMIF($F$6:$AI$6,"C.Nhật",$F20:$AI21)/8*2</f>
        <v>0</v>
      </c>
      <c r="AN20" s="366">
        <f>SUM(AK20:AM21)</f>
        <v>20</v>
      </c>
      <c r="AO20" s="404">
        <v>0</v>
      </c>
      <c r="AP20" s="366"/>
      <c r="AQ20" s="366"/>
      <c r="AR20" s="366"/>
      <c r="AS20" s="394"/>
      <c r="AT20" s="30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2" customFormat="1" ht="18" customHeight="1">
      <c r="A21" s="403"/>
      <c r="B21" s="403"/>
      <c r="C21" s="375"/>
      <c r="D21" s="377"/>
      <c r="E21" s="64" t="s">
        <v>31</v>
      </c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379"/>
      <c r="AL21" s="379"/>
      <c r="AM21" s="387"/>
      <c r="AN21" s="367"/>
      <c r="AO21" s="405"/>
      <c r="AP21" s="367"/>
      <c r="AQ21" s="367"/>
      <c r="AR21" s="367"/>
      <c r="AS21" s="395"/>
      <c r="AT21" s="30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2" customFormat="1" ht="18" customHeight="1">
      <c r="A22" s="402">
        <f t="shared" si="2"/>
        <v>7</v>
      </c>
      <c r="B22" s="402" t="s">
        <v>92</v>
      </c>
      <c r="C22" s="374" t="str">
        <f>VLOOKUP(B22,DS,2,0)</f>
        <v>Lý Thị Được</v>
      </c>
      <c r="D22" s="376" t="str">
        <f>VLOOKUP(B22,DS,3,0)</f>
        <v>Công nhân</v>
      </c>
      <c r="E22" s="63" t="s">
        <v>32</v>
      </c>
      <c r="F22" s="161"/>
      <c r="G22" s="161">
        <v>8</v>
      </c>
      <c r="H22" s="161">
        <v>8</v>
      </c>
      <c r="I22" s="161">
        <v>8</v>
      </c>
      <c r="J22" s="161">
        <v>8</v>
      </c>
      <c r="K22" s="161">
        <v>8</v>
      </c>
      <c r="L22" s="161">
        <v>8</v>
      </c>
      <c r="M22" s="161"/>
      <c r="N22" s="161">
        <v>8</v>
      </c>
      <c r="O22" s="161">
        <v>8</v>
      </c>
      <c r="P22" s="161">
        <v>8</v>
      </c>
      <c r="Q22" s="161">
        <v>8</v>
      </c>
      <c r="R22" s="161">
        <v>8</v>
      </c>
      <c r="S22" s="161">
        <v>8</v>
      </c>
      <c r="T22" s="161"/>
      <c r="U22" s="161">
        <v>8</v>
      </c>
      <c r="V22" s="161">
        <v>8</v>
      </c>
      <c r="W22" s="161">
        <v>8</v>
      </c>
      <c r="X22" s="161">
        <v>8</v>
      </c>
      <c r="Y22" s="161">
        <v>8</v>
      </c>
      <c r="Z22" s="161">
        <v>8</v>
      </c>
      <c r="AA22" s="161"/>
      <c r="AB22" s="161">
        <v>8</v>
      </c>
      <c r="AC22" s="161">
        <v>8</v>
      </c>
      <c r="AD22" s="161"/>
      <c r="AE22" s="161"/>
      <c r="AF22" s="161"/>
      <c r="AG22" s="161"/>
      <c r="AH22" s="161"/>
      <c r="AI22" s="161"/>
      <c r="AJ22" s="161"/>
      <c r="AK22" s="378">
        <f>((SUM(F22:AJ22))/8)-(SUMIF($F$6:$AJ$6,"C.Nhật",F22:AJ22)/8)</f>
        <v>20</v>
      </c>
      <c r="AL22" s="378">
        <f>SUM(F23:AI23)/8*1.5</f>
        <v>0</v>
      </c>
      <c r="AM22" s="386">
        <f>SUMIF($F$6:$AI$6,"C.Nhật",$F22:$AI23)/8*2</f>
        <v>0</v>
      </c>
      <c r="AN22" s="366">
        <f>SUM(AK22:AM23)</f>
        <v>20</v>
      </c>
      <c r="AO22" s="404">
        <v>0</v>
      </c>
      <c r="AP22" s="366"/>
      <c r="AQ22" s="366"/>
      <c r="AR22" s="366"/>
      <c r="AS22" s="394"/>
      <c r="AT22" s="30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2" customFormat="1" ht="18" customHeight="1">
      <c r="A23" s="403"/>
      <c r="B23" s="403"/>
      <c r="C23" s="375"/>
      <c r="D23" s="377"/>
      <c r="E23" s="64" t="s">
        <v>31</v>
      </c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379"/>
      <c r="AL23" s="379"/>
      <c r="AM23" s="387"/>
      <c r="AN23" s="367"/>
      <c r="AO23" s="405"/>
      <c r="AP23" s="367"/>
      <c r="AQ23" s="367"/>
      <c r="AR23" s="367"/>
      <c r="AS23" s="395"/>
      <c r="AT23" s="30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2" customFormat="1" ht="18" customHeight="1">
      <c r="A24" s="402">
        <f>A22+1</f>
        <v>8</v>
      </c>
      <c r="B24" s="402" t="s">
        <v>94</v>
      </c>
      <c r="C24" s="374" t="str">
        <f>VLOOKUP(B24,DS,2,0)</f>
        <v>Trà Thị Soi</v>
      </c>
      <c r="D24" s="376" t="str">
        <f>VLOOKUP(B24,DS,3,0)</f>
        <v>Công nhân</v>
      </c>
      <c r="E24" s="63" t="s">
        <v>32</v>
      </c>
      <c r="F24" s="161"/>
      <c r="G24" s="161">
        <v>8</v>
      </c>
      <c r="H24" s="161">
        <v>8</v>
      </c>
      <c r="I24" s="161">
        <v>8</v>
      </c>
      <c r="J24" s="161">
        <v>8</v>
      </c>
      <c r="K24" s="161">
        <v>8</v>
      </c>
      <c r="L24" s="161">
        <v>8</v>
      </c>
      <c r="M24" s="161"/>
      <c r="N24" s="161">
        <v>8</v>
      </c>
      <c r="O24" s="161">
        <v>8</v>
      </c>
      <c r="P24" s="161">
        <v>8</v>
      </c>
      <c r="Q24" s="161">
        <v>8</v>
      </c>
      <c r="R24" s="161">
        <v>8</v>
      </c>
      <c r="S24" s="161">
        <v>8</v>
      </c>
      <c r="T24" s="161"/>
      <c r="U24" s="161">
        <v>8</v>
      </c>
      <c r="V24" s="161">
        <v>8</v>
      </c>
      <c r="W24" s="161">
        <v>8</v>
      </c>
      <c r="X24" s="161">
        <v>8</v>
      </c>
      <c r="Y24" s="161">
        <v>8</v>
      </c>
      <c r="Z24" s="161">
        <v>8</v>
      </c>
      <c r="AA24" s="161"/>
      <c r="AB24" s="161">
        <v>8</v>
      </c>
      <c r="AC24" s="161">
        <v>8</v>
      </c>
      <c r="AD24" s="161"/>
      <c r="AE24" s="161"/>
      <c r="AF24" s="161"/>
      <c r="AG24" s="161"/>
      <c r="AH24" s="161"/>
      <c r="AI24" s="161"/>
      <c r="AJ24" s="161"/>
      <c r="AK24" s="378">
        <f>((SUM(F24:AJ24))/8)-(SUMIF($F$6:$AJ$6,"C.Nhật",F24:AJ24)/8)</f>
        <v>20</v>
      </c>
      <c r="AL24" s="378">
        <f>SUM(F25:AI25)/8*1.5</f>
        <v>0</v>
      </c>
      <c r="AM24" s="386">
        <f>SUMIF($F$6:$AI$6,"C.Nhật",$F24:$AI25)/8*2</f>
        <v>0</v>
      </c>
      <c r="AN24" s="366">
        <f>SUM(AK24:AM25)</f>
        <v>20</v>
      </c>
      <c r="AO24" s="404">
        <v>0</v>
      </c>
      <c r="AP24" s="366"/>
      <c r="AQ24" s="366"/>
      <c r="AR24" s="366"/>
      <c r="AS24" s="394"/>
      <c r="AT24" s="30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2" customFormat="1" ht="18" customHeight="1">
      <c r="A25" s="403"/>
      <c r="B25" s="403"/>
      <c r="C25" s="375"/>
      <c r="D25" s="377"/>
      <c r="E25" s="64" t="s">
        <v>31</v>
      </c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379"/>
      <c r="AL25" s="379"/>
      <c r="AM25" s="387"/>
      <c r="AN25" s="367"/>
      <c r="AO25" s="405"/>
      <c r="AP25" s="367"/>
      <c r="AQ25" s="367"/>
      <c r="AR25" s="367"/>
      <c r="AS25" s="395"/>
      <c r="AT25" s="30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2" customFormat="1" ht="18" customHeight="1">
      <c r="A26" s="402">
        <f>A24+1</f>
        <v>9</v>
      </c>
      <c r="B26" s="402" t="s">
        <v>100</v>
      </c>
      <c r="C26" s="374" t="str">
        <f>VLOOKUP(B26,DS,2,0)</f>
        <v>Sơn Thị Chành Đa</v>
      </c>
      <c r="D26" s="376" t="str">
        <f>VLOOKUP(B26,DS,3,0)</f>
        <v>Công nhân</v>
      </c>
      <c r="E26" s="63" t="s">
        <v>32</v>
      </c>
      <c r="F26" s="161"/>
      <c r="G26" s="161">
        <v>8</v>
      </c>
      <c r="H26" s="161">
        <v>8</v>
      </c>
      <c r="I26" s="161">
        <v>8</v>
      </c>
      <c r="J26" s="161">
        <v>8</v>
      </c>
      <c r="K26" s="161">
        <v>8</v>
      </c>
      <c r="L26" s="161">
        <v>8</v>
      </c>
      <c r="M26" s="161"/>
      <c r="N26" s="161">
        <v>8</v>
      </c>
      <c r="O26" s="161">
        <v>8</v>
      </c>
      <c r="P26" s="161">
        <v>8</v>
      </c>
      <c r="Q26" s="161">
        <v>8</v>
      </c>
      <c r="R26" s="161">
        <v>8</v>
      </c>
      <c r="S26" s="161">
        <v>8</v>
      </c>
      <c r="T26" s="161"/>
      <c r="U26" s="161">
        <v>8</v>
      </c>
      <c r="V26" s="161">
        <v>8</v>
      </c>
      <c r="W26" s="161">
        <v>8</v>
      </c>
      <c r="X26" s="161">
        <v>8</v>
      </c>
      <c r="Y26" s="161">
        <v>8</v>
      </c>
      <c r="Z26" s="161">
        <v>8</v>
      </c>
      <c r="AA26" s="161"/>
      <c r="AB26" s="161">
        <v>8</v>
      </c>
      <c r="AC26" s="161">
        <v>8</v>
      </c>
      <c r="AD26" s="161"/>
      <c r="AE26" s="161"/>
      <c r="AF26" s="161"/>
      <c r="AG26" s="161"/>
      <c r="AH26" s="161"/>
      <c r="AI26" s="161"/>
      <c r="AJ26" s="161"/>
      <c r="AK26" s="378">
        <f>((SUM(F26:AJ26))/8)-(SUMIF($F$6:$AJ$6,"C.Nhật",F26:AJ26)/8)</f>
        <v>20</v>
      </c>
      <c r="AL26" s="378">
        <f>SUM(F27:AI27)/8*1.5</f>
        <v>0</v>
      </c>
      <c r="AM26" s="386">
        <f>SUMIF($F$6:$AI$6,"C.Nhật",$F26:$AI27)/8*2</f>
        <v>0</v>
      </c>
      <c r="AN26" s="366">
        <f>SUM(AK26:AM27)</f>
        <v>20</v>
      </c>
      <c r="AO26" s="404">
        <v>0</v>
      </c>
      <c r="AP26" s="366"/>
      <c r="AQ26" s="366"/>
      <c r="AR26" s="366"/>
      <c r="AS26" s="394"/>
      <c r="AT26" s="30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2" customFormat="1" ht="18" customHeight="1">
      <c r="A27" s="403"/>
      <c r="B27" s="403"/>
      <c r="C27" s="375"/>
      <c r="D27" s="377"/>
      <c r="E27" s="64" t="s">
        <v>31</v>
      </c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379"/>
      <c r="AL27" s="379"/>
      <c r="AM27" s="387"/>
      <c r="AN27" s="367"/>
      <c r="AO27" s="405"/>
      <c r="AP27" s="367"/>
      <c r="AQ27" s="367"/>
      <c r="AR27" s="367"/>
      <c r="AS27" s="395"/>
      <c r="AT27" s="30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2" customFormat="1" ht="18" customHeight="1">
      <c r="A28" s="402">
        <f>A26+1</f>
        <v>10</v>
      </c>
      <c r="B28" s="402" t="s">
        <v>101</v>
      </c>
      <c r="C28" s="374" t="str">
        <f>VLOOKUP(B28,DS,2,0)</f>
        <v>Trần Thị Bích Phượng</v>
      </c>
      <c r="D28" s="376" t="str">
        <f>VLOOKUP(B28,DS,3,0)</f>
        <v>Công nhân</v>
      </c>
      <c r="E28" s="63" t="s">
        <v>32</v>
      </c>
      <c r="F28" s="161"/>
      <c r="G28" s="161">
        <v>8</v>
      </c>
      <c r="H28" s="161">
        <v>8</v>
      </c>
      <c r="I28" s="161">
        <v>8</v>
      </c>
      <c r="J28" s="161">
        <v>8</v>
      </c>
      <c r="K28" s="161">
        <v>8</v>
      </c>
      <c r="L28" s="161">
        <v>8</v>
      </c>
      <c r="M28" s="161"/>
      <c r="N28" s="161">
        <v>8</v>
      </c>
      <c r="O28" s="161">
        <v>8</v>
      </c>
      <c r="P28" s="161">
        <v>8</v>
      </c>
      <c r="Q28" s="161">
        <v>8</v>
      </c>
      <c r="R28" s="161">
        <v>8</v>
      </c>
      <c r="S28" s="161">
        <v>8</v>
      </c>
      <c r="T28" s="161"/>
      <c r="U28" s="161">
        <v>8</v>
      </c>
      <c r="V28" s="161">
        <v>8</v>
      </c>
      <c r="W28" s="161">
        <v>8</v>
      </c>
      <c r="X28" s="161">
        <v>8</v>
      </c>
      <c r="Y28" s="161">
        <v>8</v>
      </c>
      <c r="Z28" s="161">
        <v>8</v>
      </c>
      <c r="AA28" s="161"/>
      <c r="AB28" s="161">
        <v>8</v>
      </c>
      <c r="AC28" s="161">
        <v>8</v>
      </c>
      <c r="AD28" s="161"/>
      <c r="AE28" s="161"/>
      <c r="AF28" s="161"/>
      <c r="AG28" s="161"/>
      <c r="AH28" s="161"/>
      <c r="AI28" s="161"/>
      <c r="AJ28" s="161"/>
      <c r="AK28" s="378">
        <f>((SUM(F28:AJ28))/8)-(SUMIF($F$6:$AJ$6,"C.Nhật",F28:AJ28)/8)</f>
        <v>20</v>
      </c>
      <c r="AL28" s="378">
        <f>SUM(F29:AI29)/8*1.5</f>
        <v>0</v>
      </c>
      <c r="AM28" s="386">
        <f>SUMIF($F$6:$AI$6,"C.Nhật",$F28:$AI29)/8*2</f>
        <v>0</v>
      </c>
      <c r="AN28" s="366">
        <f>SUM(AK28:AM29)</f>
        <v>20</v>
      </c>
      <c r="AO28" s="404">
        <v>0</v>
      </c>
      <c r="AP28" s="366"/>
      <c r="AQ28" s="366"/>
      <c r="AR28" s="366"/>
      <c r="AS28" s="394"/>
      <c r="AT28" s="303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2" customFormat="1" ht="18" customHeight="1">
      <c r="A29" s="403"/>
      <c r="B29" s="403"/>
      <c r="C29" s="375"/>
      <c r="D29" s="377"/>
      <c r="E29" s="64" t="s">
        <v>31</v>
      </c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379"/>
      <c r="AL29" s="379"/>
      <c r="AM29" s="387"/>
      <c r="AN29" s="367"/>
      <c r="AO29" s="405"/>
      <c r="AP29" s="367"/>
      <c r="AQ29" s="367"/>
      <c r="AR29" s="367"/>
      <c r="AS29" s="395"/>
      <c r="AT29" s="303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2" customFormat="1" ht="18" customHeight="1">
      <c r="A30" s="402">
        <f>A28+1</f>
        <v>11</v>
      </c>
      <c r="B30" s="402" t="s">
        <v>102</v>
      </c>
      <c r="C30" s="374" t="str">
        <f>VLOOKUP(B30,DS,2,0)</f>
        <v>Sơn Thị Trường Sa</v>
      </c>
      <c r="D30" s="376" t="str">
        <f>VLOOKUP(B30,DS,3,0)</f>
        <v>Công nhân</v>
      </c>
      <c r="E30" s="63" t="s">
        <v>32</v>
      </c>
      <c r="F30" s="161"/>
      <c r="G30" s="161">
        <v>8</v>
      </c>
      <c r="H30" s="161">
        <v>8</v>
      </c>
      <c r="I30" s="161">
        <v>8</v>
      </c>
      <c r="J30" s="161">
        <v>8</v>
      </c>
      <c r="K30" s="161">
        <v>8</v>
      </c>
      <c r="L30" s="161">
        <v>8</v>
      </c>
      <c r="M30" s="161"/>
      <c r="N30" s="161">
        <v>8</v>
      </c>
      <c r="O30" s="161">
        <v>8</v>
      </c>
      <c r="P30" s="161">
        <v>8</v>
      </c>
      <c r="Q30" s="161">
        <v>8</v>
      </c>
      <c r="R30" s="161">
        <v>8</v>
      </c>
      <c r="S30" s="161">
        <v>8</v>
      </c>
      <c r="T30" s="161"/>
      <c r="U30" s="161">
        <v>8</v>
      </c>
      <c r="V30" s="161">
        <v>8</v>
      </c>
      <c r="W30" s="161">
        <v>8</v>
      </c>
      <c r="X30" s="161">
        <v>8</v>
      </c>
      <c r="Y30" s="161">
        <v>8</v>
      </c>
      <c r="Z30" s="161">
        <v>8</v>
      </c>
      <c r="AA30" s="161"/>
      <c r="AB30" s="161">
        <v>8</v>
      </c>
      <c r="AC30" s="161">
        <v>8</v>
      </c>
      <c r="AD30" s="161"/>
      <c r="AE30" s="161"/>
      <c r="AF30" s="161"/>
      <c r="AG30" s="161"/>
      <c r="AH30" s="161"/>
      <c r="AI30" s="161"/>
      <c r="AJ30" s="161"/>
      <c r="AK30" s="378">
        <f>((SUM(F30:AJ30))/8)-(SUMIF($F$6:$AJ$6,"C.Nhật",F30:AJ30)/8)</f>
        <v>20</v>
      </c>
      <c r="AL30" s="378">
        <f>SUM(F31:AI31)/8*1.5</f>
        <v>0</v>
      </c>
      <c r="AM30" s="386">
        <f>SUMIF($F$6:$AI$6,"C.Nhật",$F30:$AI31)/8*2</f>
        <v>0</v>
      </c>
      <c r="AN30" s="366">
        <f>SUM(AK30:AM31)</f>
        <v>20</v>
      </c>
      <c r="AO30" s="404">
        <v>0</v>
      </c>
      <c r="AP30" s="366"/>
      <c r="AQ30" s="366"/>
      <c r="AR30" s="366"/>
      <c r="AS30" s="394"/>
      <c r="AT30" s="30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2" customFormat="1" ht="18" customHeight="1">
      <c r="A31" s="403"/>
      <c r="B31" s="403"/>
      <c r="C31" s="375"/>
      <c r="D31" s="377"/>
      <c r="E31" s="64" t="s">
        <v>31</v>
      </c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379"/>
      <c r="AL31" s="379"/>
      <c r="AM31" s="387"/>
      <c r="AN31" s="367"/>
      <c r="AO31" s="405"/>
      <c r="AP31" s="367"/>
      <c r="AQ31" s="367"/>
      <c r="AR31" s="367"/>
      <c r="AS31" s="395"/>
      <c r="AT31" s="30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2" customFormat="1" ht="18" customHeight="1">
      <c r="A32" s="402">
        <f>A30+1</f>
        <v>12</v>
      </c>
      <c r="B32" s="402" t="s">
        <v>103</v>
      </c>
      <c r="C32" s="374" t="str">
        <f>VLOOKUP(B32,DS,2,0)</f>
        <v>Lý Thị Sà Kha</v>
      </c>
      <c r="D32" s="376" t="str">
        <f>VLOOKUP(B32,DS,3,0)</f>
        <v>Công nhân</v>
      </c>
      <c r="E32" s="63" t="s">
        <v>32</v>
      </c>
      <c r="F32" s="161"/>
      <c r="G32" s="161">
        <v>8</v>
      </c>
      <c r="H32" s="161">
        <v>8</v>
      </c>
      <c r="I32" s="161">
        <v>8</v>
      </c>
      <c r="J32" s="161">
        <v>8</v>
      </c>
      <c r="K32" s="161">
        <v>8</v>
      </c>
      <c r="L32" s="161">
        <v>8</v>
      </c>
      <c r="M32" s="161"/>
      <c r="N32" s="161">
        <v>8</v>
      </c>
      <c r="O32" s="161">
        <v>8</v>
      </c>
      <c r="P32" s="161">
        <v>8</v>
      </c>
      <c r="Q32" s="161">
        <v>8</v>
      </c>
      <c r="R32" s="161">
        <v>8</v>
      </c>
      <c r="S32" s="161">
        <v>8</v>
      </c>
      <c r="T32" s="161"/>
      <c r="U32" s="161">
        <v>8</v>
      </c>
      <c r="V32" s="161">
        <v>8</v>
      </c>
      <c r="W32" s="161">
        <v>8</v>
      </c>
      <c r="X32" s="161">
        <v>8</v>
      </c>
      <c r="Y32" s="161">
        <v>8</v>
      </c>
      <c r="Z32" s="161">
        <v>8</v>
      </c>
      <c r="AA32" s="161"/>
      <c r="AB32" s="161">
        <v>8</v>
      </c>
      <c r="AC32" s="161">
        <v>8</v>
      </c>
      <c r="AD32" s="161"/>
      <c r="AE32" s="161"/>
      <c r="AF32" s="161"/>
      <c r="AG32" s="161"/>
      <c r="AH32" s="161"/>
      <c r="AI32" s="161"/>
      <c r="AJ32" s="161"/>
      <c r="AK32" s="378">
        <f>((SUM(F32:AJ32))/8)-(SUMIF($F$6:$AJ$6,"C.Nhật",F32:AJ32)/8)</f>
        <v>20</v>
      </c>
      <c r="AL32" s="378">
        <f>SUM(F33:AI33)/8*1.5</f>
        <v>0</v>
      </c>
      <c r="AM32" s="386">
        <f>SUMIF($F$6:$AI$6,"C.Nhật",$F32:$AI33)/8*2</f>
        <v>0</v>
      </c>
      <c r="AN32" s="366">
        <f>SUM(AK32:AM33)</f>
        <v>20</v>
      </c>
      <c r="AO32" s="404">
        <v>0</v>
      </c>
      <c r="AP32" s="366"/>
      <c r="AQ32" s="366"/>
      <c r="AR32" s="366"/>
      <c r="AS32" s="394"/>
      <c r="AT32" s="30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2" customFormat="1" ht="18" customHeight="1">
      <c r="A33" s="403"/>
      <c r="B33" s="403"/>
      <c r="C33" s="375"/>
      <c r="D33" s="377"/>
      <c r="E33" s="64" t="s">
        <v>31</v>
      </c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379"/>
      <c r="AL33" s="379"/>
      <c r="AM33" s="387"/>
      <c r="AN33" s="367"/>
      <c r="AO33" s="405"/>
      <c r="AP33" s="367"/>
      <c r="AQ33" s="367"/>
      <c r="AR33" s="367"/>
      <c r="AS33" s="395"/>
      <c r="AT33" s="303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2" customFormat="1" ht="18" customHeight="1">
      <c r="A34" s="402">
        <f>A32+1</f>
        <v>13</v>
      </c>
      <c r="B34" s="402" t="s">
        <v>104</v>
      </c>
      <c r="C34" s="374" t="str">
        <f>VLOOKUP(B34,DS,2,0)</f>
        <v xml:space="preserve"> Lâm Thị Mộng Thường</v>
      </c>
      <c r="D34" s="376" t="str">
        <f>VLOOKUP(B34,DS,3,0)</f>
        <v>Công nhân</v>
      </c>
      <c r="E34" s="63" t="s">
        <v>32</v>
      </c>
      <c r="F34" s="161"/>
      <c r="G34" s="161">
        <v>8</v>
      </c>
      <c r="H34" s="161">
        <v>8</v>
      </c>
      <c r="I34" s="161">
        <v>8</v>
      </c>
      <c r="J34" s="161">
        <v>8</v>
      </c>
      <c r="K34" s="161">
        <v>8</v>
      </c>
      <c r="L34" s="161">
        <v>8</v>
      </c>
      <c r="M34" s="161"/>
      <c r="N34" s="161">
        <v>8</v>
      </c>
      <c r="O34" s="161">
        <v>8</v>
      </c>
      <c r="P34" s="161">
        <v>8</v>
      </c>
      <c r="Q34" s="161">
        <v>8</v>
      </c>
      <c r="R34" s="161">
        <v>8</v>
      </c>
      <c r="S34" s="161">
        <v>8</v>
      </c>
      <c r="T34" s="161"/>
      <c r="U34" s="161">
        <v>8</v>
      </c>
      <c r="V34" s="161">
        <v>8</v>
      </c>
      <c r="W34" s="161">
        <v>8</v>
      </c>
      <c r="X34" s="161">
        <v>8</v>
      </c>
      <c r="Y34" s="161">
        <v>8</v>
      </c>
      <c r="Z34" s="161">
        <v>8</v>
      </c>
      <c r="AA34" s="161"/>
      <c r="AB34" s="161">
        <v>8</v>
      </c>
      <c r="AC34" s="161">
        <v>8</v>
      </c>
      <c r="AD34" s="161"/>
      <c r="AE34" s="161"/>
      <c r="AF34" s="161"/>
      <c r="AG34" s="161"/>
      <c r="AH34" s="161"/>
      <c r="AI34" s="161"/>
      <c r="AJ34" s="161"/>
      <c r="AK34" s="378">
        <f>((SUM(F34:AJ34))/8)-(SUMIF($F$6:$AJ$6,"C.Nhật",F34:AJ34)/8)</f>
        <v>20</v>
      </c>
      <c r="AL34" s="378">
        <f>SUM(F35:AI35)/8*1.5</f>
        <v>0</v>
      </c>
      <c r="AM34" s="386">
        <f>SUMIF($F$6:$AI$6,"C.Nhật",$F34:$AI35)/8*2</f>
        <v>0</v>
      </c>
      <c r="AN34" s="366">
        <f>SUM(AK34:AM35)</f>
        <v>20</v>
      </c>
      <c r="AO34" s="404">
        <v>0</v>
      </c>
      <c r="AP34" s="366"/>
      <c r="AQ34" s="366"/>
      <c r="AR34" s="366"/>
      <c r="AS34" s="394"/>
      <c r="AT34" s="303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2" customFormat="1" ht="18" customHeight="1">
      <c r="A35" s="403"/>
      <c r="B35" s="403"/>
      <c r="C35" s="375"/>
      <c r="D35" s="377"/>
      <c r="E35" s="64" t="s">
        <v>31</v>
      </c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379"/>
      <c r="AL35" s="379"/>
      <c r="AM35" s="387"/>
      <c r="AN35" s="367"/>
      <c r="AO35" s="405"/>
      <c r="AP35" s="367"/>
      <c r="AQ35" s="367"/>
      <c r="AR35" s="367"/>
      <c r="AS35" s="395"/>
      <c r="AT35" s="30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285" customFormat="1" ht="18" customHeight="1">
      <c r="A36" s="283" t="s">
        <v>187</v>
      </c>
      <c r="B36" s="286" t="s">
        <v>188</v>
      </c>
      <c r="C36" s="287"/>
      <c r="D36" s="287"/>
      <c r="E36" s="287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287"/>
      <c r="AF36" s="287"/>
      <c r="AG36" s="287"/>
      <c r="AH36" s="287"/>
      <c r="AI36" s="287"/>
      <c r="AJ36" s="287"/>
      <c r="AK36" s="287"/>
      <c r="AL36" s="287"/>
      <c r="AM36" s="287"/>
      <c r="AN36" s="287"/>
      <c r="AO36" s="287"/>
      <c r="AP36" s="287"/>
      <c r="AQ36" s="287"/>
      <c r="AR36" s="287"/>
      <c r="AS36" s="288"/>
      <c r="AT36" s="284"/>
    </row>
    <row r="37" spans="1:90" s="62" customFormat="1" ht="18" customHeight="1">
      <c r="A37" s="402">
        <f>A34+1</f>
        <v>14</v>
      </c>
      <c r="B37" s="402" t="s">
        <v>113</v>
      </c>
      <c r="C37" s="374" t="str">
        <f>VLOOKUP(B37,DS,2,0)</f>
        <v>Nguyễn Văn Bé Hai</v>
      </c>
      <c r="D37" s="376" t="str">
        <f>VLOOKUP(B37,DS,3,0)</f>
        <v>Công nhân</v>
      </c>
      <c r="E37" s="63" t="s">
        <v>32</v>
      </c>
      <c r="F37" s="161"/>
      <c r="G37" s="161">
        <v>8</v>
      </c>
      <c r="H37" s="161">
        <v>8</v>
      </c>
      <c r="I37" s="161">
        <v>8</v>
      </c>
      <c r="J37" s="161">
        <v>8</v>
      </c>
      <c r="K37" s="161">
        <v>8</v>
      </c>
      <c r="L37" s="161">
        <v>8</v>
      </c>
      <c r="M37" s="161"/>
      <c r="N37" s="161">
        <v>8</v>
      </c>
      <c r="O37" s="161">
        <v>8</v>
      </c>
      <c r="P37" s="161">
        <v>8</v>
      </c>
      <c r="Q37" s="161">
        <v>8</v>
      </c>
      <c r="R37" s="161">
        <v>8</v>
      </c>
      <c r="S37" s="161">
        <v>8</v>
      </c>
      <c r="T37" s="161"/>
      <c r="U37" s="161">
        <v>8</v>
      </c>
      <c r="V37" s="161">
        <v>8</v>
      </c>
      <c r="W37" s="161">
        <v>8</v>
      </c>
      <c r="X37" s="161">
        <v>8</v>
      </c>
      <c r="Y37" s="161">
        <v>8</v>
      </c>
      <c r="Z37" s="161">
        <v>8</v>
      </c>
      <c r="AA37" s="161"/>
      <c r="AB37" s="161">
        <v>8</v>
      </c>
      <c r="AC37" s="161">
        <v>8</v>
      </c>
      <c r="AD37" s="161"/>
      <c r="AE37" s="161"/>
      <c r="AF37" s="161"/>
      <c r="AG37" s="161"/>
      <c r="AH37" s="161"/>
      <c r="AI37" s="161"/>
      <c r="AJ37" s="161"/>
      <c r="AK37" s="378">
        <f>((SUM(F37:AJ37))/8)-(SUMIF($F$6:$AJ$6,"C.Nhật",F37:AJ37)/8)</f>
        <v>20</v>
      </c>
      <c r="AL37" s="378">
        <f>SUM(F38:AI38)/8*1.5</f>
        <v>0</v>
      </c>
      <c r="AM37" s="386">
        <f>SUMIF($F$6:$AI$6,"C.Nhật",$F37:$AI38)/8*2</f>
        <v>0</v>
      </c>
      <c r="AN37" s="366">
        <f>SUM(AK37:AM38)</f>
        <v>20</v>
      </c>
      <c r="AO37" s="404">
        <v>0</v>
      </c>
      <c r="AP37" s="366"/>
      <c r="AQ37" s="366"/>
      <c r="AR37" s="366"/>
      <c r="AS37" s="394"/>
      <c r="AT37" s="303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2" customFormat="1" ht="18" customHeight="1">
      <c r="A38" s="403"/>
      <c r="B38" s="403"/>
      <c r="C38" s="375"/>
      <c r="D38" s="377"/>
      <c r="E38" s="64" t="s">
        <v>31</v>
      </c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379"/>
      <c r="AL38" s="379"/>
      <c r="AM38" s="387"/>
      <c r="AN38" s="367"/>
      <c r="AO38" s="405"/>
      <c r="AP38" s="367"/>
      <c r="AQ38" s="367"/>
      <c r="AR38" s="367"/>
      <c r="AS38" s="395"/>
      <c r="AT38" s="30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2" customFormat="1" ht="18" customHeight="1">
      <c r="A39" s="402">
        <f>A37+1</f>
        <v>15</v>
      </c>
      <c r="B39" s="402" t="s">
        <v>95</v>
      </c>
      <c r="C39" s="374" t="str">
        <f>VLOOKUP(B39,DS,2,0)</f>
        <v>Sơn Thị Muỗi Tron</v>
      </c>
      <c r="D39" s="376" t="str">
        <f>VLOOKUP(B39,DS,3,0)</f>
        <v>Công nhân</v>
      </c>
      <c r="E39" s="63" t="s">
        <v>32</v>
      </c>
      <c r="F39" s="161"/>
      <c r="G39" s="161" t="s">
        <v>197</v>
      </c>
      <c r="H39" s="161" t="s">
        <v>197</v>
      </c>
      <c r="I39" s="161" t="s">
        <v>197</v>
      </c>
      <c r="J39" s="161" t="s">
        <v>197</v>
      </c>
      <c r="K39" s="161" t="s">
        <v>197</v>
      </c>
      <c r="L39" s="161" t="s">
        <v>197</v>
      </c>
      <c r="M39" s="161"/>
      <c r="N39" s="161" t="s">
        <v>197</v>
      </c>
      <c r="O39" s="161" t="s">
        <v>197</v>
      </c>
      <c r="P39" s="161" t="s">
        <v>197</v>
      </c>
      <c r="Q39" s="161" t="s">
        <v>197</v>
      </c>
      <c r="R39" s="161" t="s">
        <v>197</v>
      </c>
      <c r="S39" s="161" t="s">
        <v>197</v>
      </c>
      <c r="T39" s="161"/>
      <c r="U39" s="161" t="s">
        <v>197</v>
      </c>
      <c r="V39" s="161" t="s">
        <v>197</v>
      </c>
      <c r="W39" s="161" t="s">
        <v>197</v>
      </c>
      <c r="X39" s="161" t="s">
        <v>197</v>
      </c>
      <c r="Y39" s="161" t="s">
        <v>197</v>
      </c>
      <c r="Z39" s="161" t="s">
        <v>197</v>
      </c>
      <c r="AA39" s="161"/>
      <c r="AB39" s="161" t="s">
        <v>197</v>
      </c>
      <c r="AC39" s="161" t="s">
        <v>197</v>
      </c>
      <c r="AD39" s="161" t="s">
        <v>197</v>
      </c>
      <c r="AE39" s="161" t="s">
        <v>197</v>
      </c>
      <c r="AF39" s="161" t="s">
        <v>197</v>
      </c>
      <c r="AG39" s="161" t="s">
        <v>197</v>
      </c>
      <c r="AH39" s="161"/>
      <c r="AI39" s="161" t="s">
        <v>197</v>
      </c>
      <c r="AJ39" s="161" t="s">
        <v>197</v>
      </c>
      <c r="AK39" s="378">
        <f>((SUM(F39:AJ39))/8)-(SUMIF($F$6:$AJ$6,"C.Nhật",F39:AJ39)/8)</f>
        <v>0</v>
      </c>
      <c r="AL39" s="378">
        <f>SUM(F40:AI40)/8*1.5</f>
        <v>0</v>
      </c>
      <c r="AM39" s="386">
        <f>SUMIF($F$6:$AI$6,"C.Nhật",$F39:$AI40)/8*2</f>
        <v>0</v>
      </c>
      <c r="AN39" s="366">
        <f>SUM(AK39:AM40)</f>
        <v>0</v>
      </c>
      <c r="AO39" s="404">
        <v>0</v>
      </c>
      <c r="AP39" s="366"/>
      <c r="AQ39" s="366"/>
      <c r="AR39" s="366"/>
      <c r="AS39" s="394"/>
      <c r="AT39" s="30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2" customFormat="1" ht="18" customHeight="1">
      <c r="A40" s="403"/>
      <c r="B40" s="403"/>
      <c r="C40" s="375"/>
      <c r="D40" s="377"/>
      <c r="E40" s="64" t="s">
        <v>31</v>
      </c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2"/>
      <c r="AF40" s="162"/>
      <c r="AG40" s="162"/>
      <c r="AH40" s="162"/>
      <c r="AI40" s="162"/>
      <c r="AJ40" s="162"/>
      <c r="AK40" s="379"/>
      <c r="AL40" s="379"/>
      <c r="AM40" s="387"/>
      <c r="AN40" s="367"/>
      <c r="AO40" s="405"/>
      <c r="AP40" s="367"/>
      <c r="AQ40" s="367"/>
      <c r="AR40" s="367"/>
      <c r="AS40" s="395"/>
      <c r="AT40" s="303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2" customFormat="1" ht="18" customHeight="1">
      <c r="A41" s="402">
        <v>16</v>
      </c>
      <c r="B41" s="402" t="s">
        <v>118</v>
      </c>
      <c r="C41" s="374" t="str">
        <f>VLOOKUP(B41,DS,2,0)</f>
        <v>Trần Nhiên</v>
      </c>
      <c r="D41" s="376" t="str">
        <f>VLOOKUP(B41,DS,3,0)</f>
        <v>Công nhân</v>
      </c>
      <c r="E41" s="63" t="s">
        <v>32</v>
      </c>
      <c r="F41" s="161"/>
      <c r="G41" s="161">
        <v>8</v>
      </c>
      <c r="H41" s="161">
        <v>8</v>
      </c>
      <c r="I41" s="161">
        <v>8</v>
      </c>
      <c r="J41" s="161">
        <v>8</v>
      </c>
      <c r="K41" s="161">
        <v>8</v>
      </c>
      <c r="L41" s="161">
        <v>8</v>
      </c>
      <c r="M41" s="161"/>
      <c r="N41" s="161">
        <v>8</v>
      </c>
      <c r="O41" s="161">
        <v>8</v>
      </c>
      <c r="P41" s="161">
        <v>8</v>
      </c>
      <c r="Q41" s="161">
        <v>8</v>
      </c>
      <c r="R41" s="161">
        <v>8</v>
      </c>
      <c r="S41" s="161">
        <v>8</v>
      </c>
      <c r="T41" s="161"/>
      <c r="U41" s="161">
        <v>8</v>
      </c>
      <c r="V41" s="161">
        <v>8</v>
      </c>
      <c r="W41" s="161">
        <v>8</v>
      </c>
      <c r="X41" s="161">
        <v>8</v>
      </c>
      <c r="Y41" s="161">
        <v>8</v>
      </c>
      <c r="Z41" s="161">
        <v>8</v>
      </c>
      <c r="AA41" s="161"/>
      <c r="AB41" s="161">
        <v>8</v>
      </c>
      <c r="AC41" s="161">
        <v>8</v>
      </c>
      <c r="AD41" s="161"/>
      <c r="AE41" s="161"/>
      <c r="AF41" s="161"/>
      <c r="AG41" s="161"/>
      <c r="AH41" s="161"/>
      <c r="AI41" s="161"/>
      <c r="AJ41" s="161"/>
      <c r="AK41" s="378">
        <f>((SUM(F41:AJ41))/8)-(SUMIF($F$6:$AJ$6,"C.Nhật",F41:AJ41)/8)</f>
        <v>20</v>
      </c>
      <c r="AL41" s="378">
        <f>SUM(F42:AI42)/8*1.5</f>
        <v>0</v>
      </c>
      <c r="AM41" s="386">
        <f>SUMIF($F$6:$AI$6,"C.Nhật",$F41:$AI42)/8*2</f>
        <v>0</v>
      </c>
      <c r="AN41" s="366">
        <f>SUM(AK41:AM42)</f>
        <v>20</v>
      </c>
      <c r="AO41" s="404">
        <v>0</v>
      </c>
      <c r="AP41" s="366"/>
      <c r="AQ41" s="366"/>
      <c r="AR41" s="366"/>
      <c r="AS41" s="394"/>
      <c r="AT41" s="303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2" customFormat="1" ht="18" customHeight="1">
      <c r="A42" s="403"/>
      <c r="B42" s="403"/>
      <c r="C42" s="375"/>
      <c r="D42" s="377"/>
      <c r="E42" s="64" t="s">
        <v>31</v>
      </c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379"/>
      <c r="AL42" s="379"/>
      <c r="AM42" s="387"/>
      <c r="AN42" s="367"/>
      <c r="AO42" s="405"/>
      <c r="AP42" s="367"/>
      <c r="AQ42" s="367"/>
      <c r="AR42" s="367"/>
      <c r="AS42" s="395"/>
      <c r="AT42" s="303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2" customFormat="1" ht="18" customHeight="1">
      <c r="A43" s="402">
        <v>17</v>
      </c>
      <c r="B43" s="402" t="s">
        <v>119</v>
      </c>
      <c r="C43" s="374" t="str">
        <f>VLOOKUP(B43,DS,2,0)</f>
        <v>Thạch Giang</v>
      </c>
      <c r="D43" s="376" t="str">
        <f>VLOOKUP(B43,DS,3,0)</f>
        <v>Công nhân</v>
      </c>
      <c r="E43" s="63" t="s">
        <v>32</v>
      </c>
      <c r="F43" s="161"/>
      <c r="G43" s="161">
        <v>8</v>
      </c>
      <c r="H43" s="161">
        <v>8</v>
      </c>
      <c r="I43" s="161">
        <v>8</v>
      </c>
      <c r="J43" s="161">
        <v>8</v>
      </c>
      <c r="K43" s="161">
        <v>8</v>
      </c>
      <c r="L43" s="161">
        <v>8</v>
      </c>
      <c r="M43" s="161"/>
      <c r="N43" s="161">
        <v>8</v>
      </c>
      <c r="O43" s="161">
        <v>8</v>
      </c>
      <c r="P43" s="161">
        <v>8</v>
      </c>
      <c r="Q43" s="161">
        <v>8</v>
      </c>
      <c r="R43" s="161">
        <v>8</v>
      </c>
      <c r="S43" s="161">
        <v>8</v>
      </c>
      <c r="T43" s="161"/>
      <c r="U43" s="161">
        <v>8</v>
      </c>
      <c r="V43" s="161">
        <v>8</v>
      </c>
      <c r="W43" s="161">
        <v>8</v>
      </c>
      <c r="X43" s="161">
        <v>8</v>
      </c>
      <c r="Y43" s="161">
        <v>8</v>
      </c>
      <c r="Z43" s="161">
        <v>8</v>
      </c>
      <c r="AA43" s="161"/>
      <c r="AB43" s="161">
        <v>8</v>
      </c>
      <c r="AC43" s="161">
        <v>8</v>
      </c>
      <c r="AD43" s="161"/>
      <c r="AE43" s="161"/>
      <c r="AF43" s="161"/>
      <c r="AG43" s="161"/>
      <c r="AH43" s="161"/>
      <c r="AI43" s="161"/>
      <c r="AJ43" s="161"/>
      <c r="AK43" s="378">
        <f>((SUM(F43:AJ43))/8)-(SUMIF($F$6:$AJ$6,"C.Nhật",F43:AJ43)/8)</f>
        <v>20</v>
      </c>
      <c r="AL43" s="378">
        <f>SUM(F44:AI44)/8*1.5</f>
        <v>0</v>
      </c>
      <c r="AM43" s="386">
        <f>SUMIF($F$6:$AI$6,"C.Nhật",$F43:$AI44)/8*2</f>
        <v>0</v>
      </c>
      <c r="AN43" s="366">
        <f>SUM(AK43:AM44)</f>
        <v>20</v>
      </c>
      <c r="AO43" s="404">
        <v>0</v>
      </c>
      <c r="AP43" s="366"/>
      <c r="AQ43" s="366"/>
      <c r="AR43" s="366"/>
      <c r="AS43" s="394"/>
      <c r="AT43" s="303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2" customFormat="1" ht="18" customHeight="1">
      <c r="A44" s="403"/>
      <c r="B44" s="403"/>
      <c r="C44" s="375"/>
      <c r="D44" s="377"/>
      <c r="E44" s="64" t="s">
        <v>31</v>
      </c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379"/>
      <c r="AL44" s="379"/>
      <c r="AM44" s="387"/>
      <c r="AN44" s="367"/>
      <c r="AO44" s="405"/>
      <c r="AP44" s="367"/>
      <c r="AQ44" s="367"/>
      <c r="AR44" s="367"/>
      <c r="AS44" s="395"/>
      <c r="AT44" s="303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2" customFormat="1" ht="18" customHeight="1">
      <c r="A45" s="402">
        <v>18</v>
      </c>
      <c r="B45" s="402" t="s">
        <v>122</v>
      </c>
      <c r="C45" s="374" t="str">
        <f>VLOOKUP(B45,DS,2,0)</f>
        <v>Lâm Chanh Đa Ra</v>
      </c>
      <c r="D45" s="376" t="str">
        <f>VLOOKUP(B45,DS,3,0)</f>
        <v>Công nhân</v>
      </c>
      <c r="E45" s="63" t="s">
        <v>32</v>
      </c>
      <c r="F45" s="161"/>
      <c r="G45" s="161">
        <v>8</v>
      </c>
      <c r="H45" s="161">
        <v>8</v>
      </c>
      <c r="I45" s="161">
        <v>8</v>
      </c>
      <c r="J45" s="161">
        <v>8</v>
      </c>
      <c r="K45" s="161">
        <v>8</v>
      </c>
      <c r="L45" s="161">
        <v>8</v>
      </c>
      <c r="M45" s="161"/>
      <c r="N45" s="161">
        <v>8</v>
      </c>
      <c r="O45" s="161">
        <v>8</v>
      </c>
      <c r="P45" s="161">
        <v>8</v>
      </c>
      <c r="Q45" s="161">
        <v>8</v>
      </c>
      <c r="R45" s="161">
        <v>8</v>
      </c>
      <c r="S45" s="161">
        <v>8</v>
      </c>
      <c r="T45" s="161"/>
      <c r="U45" s="161">
        <v>8</v>
      </c>
      <c r="V45" s="161">
        <v>8</v>
      </c>
      <c r="W45" s="161">
        <v>8</v>
      </c>
      <c r="X45" s="161">
        <v>8</v>
      </c>
      <c r="Y45" s="161">
        <v>8</v>
      </c>
      <c r="Z45" s="161">
        <v>8</v>
      </c>
      <c r="AA45" s="161"/>
      <c r="AB45" s="161">
        <v>8</v>
      </c>
      <c r="AC45" s="161">
        <v>8</v>
      </c>
      <c r="AD45" s="161"/>
      <c r="AE45" s="161"/>
      <c r="AF45" s="161"/>
      <c r="AG45" s="161"/>
      <c r="AH45" s="161"/>
      <c r="AI45" s="161"/>
      <c r="AJ45" s="161"/>
      <c r="AK45" s="378">
        <f>((SUM(F45:AJ45))/8)-(SUMIF($F$6:$AJ$6,"C.Nhật",F45:AJ45)/8)</f>
        <v>20</v>
      </c>
      <c r="AL45" s="378">
        <f>SUM(F46:AI46)/8*1.5</f>
        <v>0</v>
      </c>
      <c r="AM45" s="386">
        <f>SUMIF($F$6:$AI$6,"C.Nhật",$F45:$AI46)/8*2</f>
        <v>0</v>
      </c>
      <c r="AN45" s="366">
        <f>SUM(AK45:AM46)</f>
        <v>20</v>
      </c>
      <c r="AO45" s="404">
        <v>0</v>
      </c>
      <c r="AP45" s="366"/>
      <c r="AQ45" s="366"/>
      <c r="AR45" s="366"/>
      <c r="AS45" s="394"/>
      <c r="AT45" s="303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2" customFormat="1" ht="18" customHeight="1">
      <c r="A46" s="403"/>
      <c r="B46" s="403"/>
      <c r="C46" s="375"/>
      <c r="D46" s="377"/>
      <c r="E46" s="64" t="s">
        <v>31</v>
      </c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379"/>
      <c r="AL46" s="379"/>
      <c r="AM46" s="387"/>
      <c r="AN46" s="367"/>
      <c r="AO46" s="405"/>
      <c r="AP46" s="367"/>
      <c r="AQ46" s="367"/>
      <c r="AR46" s="367"/>
      <c r="AS46" s="395"/>
      <c r="AT46" s="303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5" customFormat="1" ht="18" customHeight="1">
      <c r="A47" s="14"/>
      <c r="B47" s="66"/>
      <c r="C47" s="4"/>
      <c r="D47" s="107"/>
      <c r="E47" s="4"/>
      <c r="F47" s="70"/>
      <c r="G47" s="70"/>
      <c r="H47" s="67"/>
      <c r="I47" s="67"/>
      <c r="J47" s="113"/>
      <c r="K47" s="70"/>
      <c r="L47" s="70"/>
      <c r="M47" s="70"/>
      <c r="N47" s="70"/>
      <c r="O47" s="70"/>
      <c r="P47" s="70"/>
      <c r="Q47" s="67"/>
      <c r="R47" s="70"/>
      <c r="S47" s="70"/>
      <c r="T47" s="113"/>
      <c r="U47" s="70"/>
      <c r="V47" s="70"/>
      <c r="W47" s="70"/>
      <c r="X47" s="66"/>
      <c r="Y47" s="70"/>
      <c r="Z47" s="70"/>
      <c r="AA47" s="70"/>
      <c r="AB47" s="70"/>
      <c r="AC47" s="70"/>
      <c r="AD47" s="67"/>
      <c r="AE47" s="70"/>
      <c r="AF47" s="70"/>
      <c r="AG47" s="70"/>
      <c r="AH47" s="70"/>
      <c r="AI47" s="70"/>
      <c r="AJ47" s="70"/>
      <c r="AK47" s="4"/>
      <c r="AL47" s="4"/>
      <c r="AM47" s="93"/>
      <c r="AN47" s="69"/>
      <c r="AO47" s="69"/>
      <c r="AP47" s="69"/>
      <c r="AQ47" s="69"/>
      <c r="AR47" s="69"/>
      <c r="AS47" s="4"/>
      <c r="AT47" s="99"/>
    </row>
    <row r="48" spans="1:90" s="65" customFormat="1" ht="18" customHeight="1">
      <c r="A48" s="14"/>
      <c r="B48" s="66"/>
      <c r="C48" s="14" t="s">
        <v>14</v>
      </c>
      <c r="D48" s="107"/>
      <c r="E48" s="4"/>
      <c r="F48" s="70"/>
      <c r="G48" s="70"/>
      <c r="H48" s="67"/>
      <c r="I48" s="67"/>
      <c r="J48" s="113"/>
      <c r="K48" s="70"/>
      <c r="L48" s="67"/>
      <c r="M48" s="70"/>
      <c r="N48" s="70"/>
      <c r="O48" s="70"/>
      <c r="P48" s="70"/>
      <c r="Q48" s="67"/>
      <c r="R48" s="70"/>
      <c r="S48" s="70"/>
      <c r="T48" s="113"/>
      <c r="U48" s="70"/>
      <c r="V48" s="70"/>
      <c r="W48" s="70"/>
      <c r="X48" s="66"/>
      <c r="Y48" s="70"/>
      <c r="Z48" s="70"/>
      <c r="AA48" s="70"/>
      <c r="AB48" s="70"/>
      <c r="AC48" s="70"/>
      <c r="AD48" s="67"/>
      <c r="AE48" s="70"/>
      <c r="AF48" s="70"/>
      <c r="AG48" s="70"/>
      <c r="AH48" s="70"/>
      <c r="AI48" s="70"/>
      <c r="AJ48" s="70"/>
      <c r="AK48" s="4"/>
      <c r="AL48" s="4"/>
      <c r="AM48" s="93"/>
      <c r="AN48" s="69"/>
      <c r="AO48" s="69"/>
      <c r="AP48" s="69"/>
      <c r="AQ48" s="69"/>
      <c r="AR48" s="69"/>
      <c r="AS48" s="4"/>
      <c r="AT48" s="99"/>
    </row>
    <row r="49" spans="1:46" s="65" customFormat="1" ht="18" customHeight="1">
      <c r="A49" s="12"/>
      <c r="B49" s="12"/>
      <c r="C49" s="4"/>
      <c r="D49" s="107"/>
      <c r="E49" s="4"/>
      <c r="F49" s="70"/>
      <c r="G49" s="70"/>
      <c r="H49" s="114"/>
      <c r="I49" s="114"/>
      <c r="J49" s="114"/>
      <c r="K49" s="70"/>
      <c r="L49" s="114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114"/>
      <c r="AE49" s="70"/>
      <c r="AF49" s="70"/>
      <c r="AG49" s="70"/>
      <c r="AH49" s="70"/>
      <c r="AI49" s="70"/>
      <c r="AJ49" s="70"/>
      <c r="AK49" s="4"/>
      <c r="AL49" s="4"/>
      <c r="AM49" s="93"/>
      <c r="AN49" s="71"/>
      <c r="AO49" s="71"/>
      <c r="AP49" s="71"/>
      <c r="AQ49" s="71"/>
      <c r="AR49" s="71"/>
      <c r="AS49" s="4"/>
      <c r="AT49" s="99"/>
    </row>
    <row r="50" spans="1:46" s="68" customFormat="1" ht="18" customHeight="1">
      <c r="A50" s="12"/>
      <c r="B50" s="12"/>
      <c r="C50" s="4"/>
      <c r="D50" s="107"/>
      <c r="E50" s="4"/>
      <c r="F50" s="70"/>
      <c r="G50" s="70"/>
      <c r="H50" s="114"/>
      <c r="I50" s="114"/>
      <c r="J50" s="114"/>
      <c r="K50" s="70"/>
      <c r="L50" s="114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114"/>
      <c r="AE50" s="70"/>
      <c r="AF50" s="70"/>
      <c r="AG50" s="70"/>
      <c r="AH50" s="70"/>
      <c r="AI50" s="70"/>
      <c r="AJ50" s="70"/>
      <c r="AK50" s="4"/>
      <c r="AL50" s="4"/>
      <c r="AM50" s="93"/>
      <c r="AN50" s="71"/>
      <c r="AO50" s="71"/>
      <c r="AP50" s="71"/>
      <c r="AQ50" s="71"/>
      <c r="AR50" s="71"/>
      <c r="AS50" s="4"/>
      <c r="AT50" s="4"/>
    </row>
    <row r="51" spans="1:46" s="68" customFormat="1" ht="18" customHeight="1">
      <c r="A51" s="12"/>
      <c r="B51" s="12"/>
      <c r="C51" s="4"/>
      <c r="D51" s="107"/>
      <c r="E51" s="4"/>
      <c r="F51" s="70"/>
      <c r="G51" s="70"/>
      <c r="H51" s="114"/>
      <c r="I51" s="114"/>
      <c r="J51" s="114"/>
      <c r="K51" s="70"/>
      <c r="L51" s="114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114"/>
      <c r="AE51" s="70"/>
      <c r="AF51" s="70"/>
      <c r="AG51" s="70"/>
      <c r="AH51" s="70"/>
      <c r="AI51" s="70"/>
      <c r="AJ51" s="70"/>
      <c r="AK51" s="4"/>
      <c r="AL51" s="4"/>
      <c r="AM51" s="93"/>
      <c r="AN51" s="71"/>
      <c r="AO51" s="71"/>
      <c r="AP51" s="71"/>
      <c r="AQ51" s="71"/>
      <c r="AR51" s="71"/>
      <c r="AS51" s="4"/>
      <c r="AT51" s="4"/>
    </row>
    <row r="52" spans="1:46" s="68" customFormat="1" ht="21" customHeight="1">
      <c r="A52" s="12"/>
      <c r="B52" s="12"/>
      <c r="C52" s="4"/>
      <c r="D52" s="107"/>
      <c r="E52" s="4"/>
      <c r="F52" s="70"/>
      <c r="G52" s="70"/>
      <c r="H52" s="114"/>
      <c r="I52" s="114"/>
      <c r="J52" s="114"/>
      <c r="K52" s="70"/>
      <c r="L52" s="114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114"/>
      <c r="AE52" s="70"/>
      <c r="AF52" s="70"/>
      <c r="AG52" s="70"/>
      <c r="AH52" s="70"/>
      <c r="AI52" s="70"/>
      <c r="AJ52" s="70"/>
      <c r="AK52" s="4"/>
      <c r="AL52" s="4"/>
      <c r="AM52" s="93"/>
      <c r="AN52" s="71"/>
      <c r="AO52" s="71"/>
      <c r="AP52" s="71"/>
      <c r="AQ52" s="71"/>
      <c r="AR52" s="71"/>
      <c r="AS52" s="4"/>
      <c r="AT52" s="4"/>
    </row>
    <row r="53" spans="1:46" s="68" customFormat="1" ht="18" customHeight="1">
      <c r="A53" s="10"/>
      <c r="B53" s="10"/>
      <c r="C53" s="14"/>
      <c r="D53" s="108"/>
      <c r="E53" s="72"/>
      <c r="F53" s="113"/>
      <c r="G53" s="115"/>
      <c r="H53" s="67"/>
      <c r="I53" s="67"/>
      <c r="J53" s="67"/>
      <c r="K53" s="115"/>
      <c r="L53" s="67"/>
      <c r="M53" s="115"/>
      <c r="N53" s="115"/>
      <c r="O53" s="115"/>
      <c r="P53" s="115"/>
      <c r="Q53" s="67"/>
      <c r="R53" s="113"/>
      <c r="S53" s="115"/>
      <c r="T53" s="115"/>
      <c r="U53" s="67"/>
      <c r="V53" s="115"/>
      <c r="W53" s="115"/>
      <c r="X53" s="67"/>
      <c r="Y53" s="115"/>
      <c r="Z53" s="115"/>
      <c r="AA53" s="115"/>
      <c r="AB53" s="115"/>
      <c r="AC53" s="115"/>
      <c r="AD53" s="67"/>
      <c r="AE53" s="115"/>
      <c r="AF53" s="115"/>
      <c r="AG53" s="115"/>
      <c r="AH53" s="115"/>
      <c r="AI53" s="115"/>
      <c r="AJ53" s="115"/>
      <c r="AK53" s="72"/>
      <c r="AM53" s="94"/>
      <c r="AN53" s="10"/>
      <c r="AO53" s="10"/>
      <c r="AP53" s="10"/>
      <c r="AQ53" s="10"/>
      <c r="AR53" s="10"/>
      <c r="AS53" s="14"/>
      <c r="AT53" s="4"/>
    </row>
    <row r="54" spans="1:46" s="68" customFormat="1" ht="18" customHeight="1">
      <c r="A54" s="2"/>
      <c r="B54" s="2" t="s">
        <v>0</v>
      </c>
      <c r="C54" s="2"/>
      <c r="D54" s="301"/>
      <c r="E54" s="2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7"/>
      <c r="AI54" s="117"/>
      <c r="AJ54" s="117"/>
      <c r="AK54" s="2"/>
      <c r="AL54" s="2"/>
      <c r="AM54" s="95"/>
      <c r="AN54" s="2"/>
      <c r="AO54" s="2"/>
      <c r="AP54" s="2"/>
      <c r="AQ54" s="2"/>
      <c r="AR54" s="2"/>
      <c r="AS54" s="2"/>
      <c r="AT54" s="4"/>
    </row>
    <row r="55" spans="1:46" s="68" customFormat="1" ht="18" customHeight="1">
      <c r="A55" s="2"/>
      <c r="B55" s="2"/>
      <c r="C55" s="2" t="s">
        <v>46</v>
      </c>
      <c r="D55" s="301"/>
      <c r="E55" s="2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7"/>
      <c r="AI55" s="117"/>
      <c r="AJ55" s="117"/>
      <c r="AK55" s="2"/>
      <c r="AL55" s="2"/>
      <c r="AM55" s="95"/>
      <c r="AN55" s="2"/>
      <c r="AO55" s="2"/>
      <c r="AP55" s="2"/>
      <c r="AQ55" s="2"/>
      <c r="AR55" s="2"/>
      <c r="AS55" s="2"/>
      <c r="AT55" s="14"/>
    </row>
    <row r="56" spans="1:46" ht="18" customHeight="1">
      <c r="C56" s="2" t="s">
        <v>47</v>
      </c>
    </row>
    <row r="57" spans="1:46" ht="18" customHeight="1">
      <c r="C57" s="2" t="s">
        <v>48</v>
      </c>
    </row>
    <row r="58" spans="1:46" ht="18" customHeight="1">
      <c r="C58" s="2" t="s">
        <v>49</v>
      </c>
    </row>
    <row r="59" spans="1:46" ht="18" customHeight="1">
      <c r="C59" s="2" t="s">
        <v>50</v>
      </c>
    </row>
    <row r="60" spans="1:46" ht="18" customHeight="1">
      <c r="C60" s="2" t="s">
        <v>51</v>
      </c>
    </row>
    <row r="61" spans="1:46" ht="18" customHeight="1">
      <c r="C61" s="2" t="s">
        <v>52</v>
      </c>
    </row>
    <row r="62" spans="1:46" ht="18" customHeight="1">
      <c r="C62" s="2" t="s">
        <v>53</v>
      </c>
    </row>
    <row r="63" spans="1:46" ht="15" customHeight="1">
      <c r="C63" s="2" t="s">
        <v>54</v>
      </c>
    </row>
    <row r="74" spans="1:91" s="141" customFormat="1" ht="20.25">
      <c r="A74" s="131"/>
      <c r="B74" s="135"/>
      <c r="C74" s="135"/>
      <c r="D74" s="136"/>
      <c r="E74" s="135"/>
      <c r="F74" s="136"/>
      <c r="G74" s="136"/>
      <c r="H74" s="136"/>
      <c r="I74" s="136"/>
      <c r="J74" s="136"/>
      <c r="K74" s="137"/>
      <c r="L74" s="137"/>
      <c r="M74" s="137"/>
      <c r="N74" s="137"/>
      <c r="O74" s="137"/>
      <c r="P74" s="137"/>
      <c r="Q74" s="137"/>
      <c r="R74" s="137"/>
      <c r="S74" s="138" t="str">
        <f>S1</f>
        <v>BẢNG CHẤM CÔNG THÁNG 01 NĂM 2017</v>
      </c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9"/>
      <c r="AL74" s="139"/>
      <c r="AM74" s="396" t="s">
        <v>112</v>
      </c>
      <c r="AN74" s="397"/>
      <c r="AO74" s="397"/>
      <c r="AP74" s="397"/>
      <c r="AQ74" s="397"/>
      <c r="AR74" s="397"/>
      <c r="AS74" s="398"/>
      <c r="AT74" s="140"/>
    </row>
    <row r="75" spans="1:91" s="141" customFormat="1" ht="20.25">
      <c r="A75" s="131" t="str">
        <f>$A$2</f>
        <v>Công ty TNHH Hải sản An Lạc</v>
      </c>
      <c r="B75" s="136"/>
      <c r="C75" s="136"/>
      <c r="D75" s="136"/>
      <c r="E75" s="136"/>
      <c r="F75" s="136"/>
      <c r="G75" s="136"/>
      <c r="H75" s="136"/>
      <c r="I75" s="136"/>
      <c r="J75" s="136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9"/>
      <c r="AL75" s="139"/>
      <c r="AM75" s="142"/>
      <c r="AN75" s="143"/>
      <c r="AO75" s="143"/>
      <c r="AP75" s="143"/>
      <c r="AQ75" s="143"/>
      <c r="AR75" s="143"/>
      <c r="AS75" s="144"/>
      <c r="AT75" s="144"/>
    </row>
    <row r="76" spans="1:91" s="141" customFormat="1" ht="21" customHeight="1">
      <c r="A76" s="131" t="str">
        <f>$A$3</f>
        <v>Địa chỉ: Lô A14, đường 4A, KCN Hải Sơn, Đức Hòa, Long An</v>
      </c>
      <c r="B76" s="145"/>
      <c r="C76" s="145"/>
      <c r="D76" s="146"/>
      <c r="E76" s="146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9"/>
      <c r="AL76" s="139"/>
      <c r="AM76" s="142"/>
      <c r="AN76" s="140"/>
      <c r="AO76" s="140"/>
      <c r="AP76" s="140"/>
      <c r="AQ76" s="140"/>
      <c r="AR76" s="140"/>
      <c r="AS76" s="147"/>
      <c r="AT76" s="147"/>
    </row>
    <row r="77" spans="1:91" s="141" customFormat="1" ht="14.25" customHeight="1">
      <c r="A77" s="148"/>
      <c r="B77" s="148"/>
      <c r="C77" s="149"/>
      <c r="D77" s="150"/>
      <c r="E77" s="151">
        <f>$E$4</f>
        <v>42736</v>
      </c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3"/>
      <c r="AI77" s="153"/>
      <c r="AJ77" s="153"/>
      <c r="AK77" s="148"/>
      <c r="AL77" s="148"/>
      <c r="AM77" s="154"/>
      <c r="AN77" s="148"/>
      <c r="AO77" s="148"/>
      <c r="AP77" s="148"/>
      <c r="AQ77" s="148"/>
      <c r="AR77" s="148"/>
      <c r="AS77" s="148"/>
      <c r="AT77" s="155"/>
    </row>
    <row r="78" spans="1:91" s="157" customFormat="1" ht="18.75" customHeight="1">
      <c r="A78" s="399" t="s">
        <v>28</v>
      </c>
      <c r="B78" s="399" t="s">
        <v>3</v>
      </c>
      <c r="C78" s="399" t="s">
        <v>1</v>
      </c>
      <c r="D78" s="401" t="s">
        <v>29</v>
      </c>
      <c r="E78" s="399" t="s">
        <v>30</v>
      </c>
      <c r="F78" s="156">
        <f>+E77</f>
        <v>42736</v>
      </c>
      <c r="G78" s="156">
        <f t="shared" ref="G78:AG78" si="3">F78+1</f>
        <v>42737</v>
      </c>
      <c r="H78" s="156">
        <f t="shared" si="3"/>
        <v>42738</v>
      </c>
      <c r="I78" s="156">
        <f t="shared" si="3"/>
        <v>42739</v>
      </c>
      <c r="J78" s="156">
        <f t="shared" si="3"/>
        <v>42740</v>
      </c>
      <c r="K78" s="156">
        <f t="shared" si="3"/>
        <v>42741</v>
      </c>
      <c r="L78" s="156">
        <f t="shared" si="3"/>
        <v>42742</v>
      </c>
      <c r="M78" s="156">
        <f t="shared" si="3"/>
        <v>42743</v>
      </c>
      <c r="N78" s="156">
        <f t="shared" si="3"/>
        <v>42744</v>
      </c>
      <c r="O78" s="156">
        <f t="shared" si="3"/>
        <v>42745</v>
      </c>
      <c r="P78" s="156">
        <f t="shared" si="3"/>
        <v>42746</v>
      </c>
      <c r="Q78" s="156">
        <f t="shared" si="3"/>
        <v>42747</v>
      </c>
      <c r="R78" s="156">
        <f t="shared" si="3"/>
        <v>42748</v>
      </c>
      <c r="S78" s="156">
        <f t="shared" si="3"/>
        <v>42749</v>
      </c>
      <c r="T78" s="156">
        <f t="shared" si="3"/>
        <v>42750</v>
      </c>
      <c r="U78" s="156">
        <f t="shared" si="3"/>
        <v>42751</v>
      </c>
      <c r="V78" s="156">
        <f t="shared" si="3"/>
        <v>42752</v>
      </c>
      <c r="W78" s="156">
        <f t="shared" si="3"/>
        <v>42753</v>
      </c>
      <c r="X78" s="156">
        <f t="shared" si="3"/>
        <v>42754</v>
      </c>
      <c r="Y78" s="156">
        <f t="shared" si="3"/>
        <v>42755</v>
      </c>
      <c r="Z78" s="156">
        <f t="shared" si="3"/>
        <v>42756</v>
      </c>
      <c r="AA78" s="156">
        <f t="shared" si="3"/>
        <v>42757</v>
      </c>
      <c r="AB78" s="156">
        <f t="shared" si="3"/>
        <v>42758</v>
      </c>
      <c r="AC78" s="156">
        <f t="shared" si="3"/>
        <v>42759</v>
      </c>
      <c r="AD78" s="156">
        <f t="shared" si="3"/>
        <v>42760</v>
      </c>
      <c r="AE78" s="156">
        <f t="shared" si="3"/>
        <v>42761</v>
      </c>
      <c r="AF78" s="156">
        <f t="shared" si="3"/>
        <v>42762</v>
      </c>
      <c r="AG78" s="156">
        <f t="shared" si="3"/>
        <v>42763</v>
      </c>
      <c r="AH78" s="156">
        <f>AG78+1</f>
        <v>42764</v>
      </c>
      <c r="AI78" s="156">
        <f>AH78+1</f>
        <v>42765</v>
      </c>
      <c r="AJ78" s="156"/>
      <c r="AK78" s="389" t="s">
        <v>15</v>
      </c>
      <c r="AL78" s="390"/>
      <c r="AM78" s="391"/>
      <c r="AN78" s="392" t="s">
        <v>45</v>
      </c>
      <c r="AO78" s="392" t="s">
        <v>41</v>
      </c>
      <c r="AP78" s="392" t="s">
        <v>42</v>
      </c>
      <c r="AQ78" s="392" t="s">
        <v>43</v>
      </c>
      <c r="AR78" s="392" t="s">
        <v>44</v>
      </c>
      <c r="AS78" s="401" t="s">
        <v>0</v>
      </c>
      <c r="AT78" s="388"/>
      <c r="AV78" s="141"/>
      <c r="AW78" s="141"/>
      <c r="AX78" s="141"/>
      <c r="AY78" s="141"/>
      <c r="AZ78" s="141"/>
      <c r="BA78" s="141"/>
      <c r="BB78" s="141"/>
      <c r="BC78" s="141"/>
      <c r="BD78" s="141"/>
      <c r="BE78" s="141"/>
      <c r="BF78" s="141"/>
      <c r="BG78" s="141"/>
      <c r="BH78" s="141"/>
      <c r="BI78" s="141"/>
      <c r="BJ78" s="141"/>
      <c r="BK78" s="141"/>
      <c r="BL78" s="141"/>
      <c r="BM78" s="141"/>
      <c r="BN78" s="141"/>
      <c r="BO78" s="141"/>
      <c r="BP78" s="141"/>
      <c r="BQ78" s="141"/>
      <c r="BR78" s="141"/>
      <c r="BS78" s="141"/>
      <c r="BT78" s="141"/>
      <c r="BU78" s="141"/>
      <c r="BV78" s="141"/>
      <c r="BW78" s="141"/>
      <c r="BX78" s="141"/>
      <c r="BY78" s="141"/>
      <c r="BZ78" s="141"/>
      <c r="CA78" s="141"/>
      <c r="CB78" s="141"/>
      <c r="CC78" s="141"/>
      <c r="CD78" s="141"/>
      <c r="CE78" s="141"/>
      <c r="CF78" s="141"/>
      <c r="CG78" s="141"/>
      <c r="CH78" s="141"/>
      <c r="CI78" s="141"/>
      <c r="CJ78" s="141"/>
      <c r="CK78" s="141"/>
      <c r="CL78" s="141"/>
      <c r="CM78" s="141"/>
    </row>
    <row r="79" spans="1:91" s="157" customFormat="1" ht="43.5" customHeight="1">
      <c r="A79" s="400"/>
      <c r="B79" s="400"/>
      <c r="C79" s="400"/>
      <c r="D79" s="400"/>
      <c r="E79" s="400"/>
      <c r="F79" s="295" t="str">
        <f>CHOOSE(WEEKDAY(F78),"C.Nhật","T.Hai","T.Ba","T.Tư","T.Năm","T.Sáu","T.Bảy")</f>
        <v>C.Nhật</v>
      </c>
      <c r="G79" s="295" t="str">
        <f t="shared" ref="G79:AI79" si="4">CHOOSE(WEEKDAY(G78),"C.Nhật","T.Hai","T.Ba","T.Tư","T.Năm","T.Sáu","T.Bảy")</f>
        <v>T.Hai</v>
      </c>
      <c r="H79" s="295" t="str">
        <f t="shared" si="4"/>
        <v>T.Ba</v>
      </c>
      <c r="I79" s="295" t="str">
        <f t="shared" si="4"/>
        <v>T.Tư</v>
      </c>
      <c r="J79" s="295" t="str">
        <f t="shared" si="4"/>
        <v>T.Năm</v>
      </c>
      <c r="K79" s="158" t="str">
        <f t="shared" si="4"/>
        <v>T.Sáu</v>
      </c>
      <c r="L79" s="158" t="str">
        <f t="shared" si="4"/>
        <v>T.Bảy</v>
      </c>
      <c r="M79" s="158" t="str">
        <f t="shared" si="4"/>
        <v>C.Nhật</v>
      </c>
      <c r="N79" s="158" t="str">
        <f t="shared" si="4"/>
        <v>T.Hai</v>
      </c>
      <c r="O79" s="158" t="str">
        <f t="shared" si="4"/>
        <v>T.Ba</v>
      </c>
      <c r="P79" s="158" t="str">
        <f t="shared" si="4"/>
        <v>T.Tư</v>
      </c>
      <c r="Q79" s="158" t="str">
        <f t="shared" si="4"/>
        <v>T.Năm</v>
      </c>
      <c r="R79" s="158" t="str">
        <f t="shared" si="4"/>
        <v>T.Sáu</v>
      </c>
      <c r="S79" s="158" t="str">
        <f t="shared" si="4"/>
        <v>T.Bảy</v>
      </c>
      <c r="T79" s="158" t="str">
        <f t="shared" si="4"/>
        <v>C.Nhật</v>
      </c>
      <c r="U79" s="158" t="str">
        <f t="shared" si="4"/>
        <v>T.Hai</v>
      </c>
      <c r="V79" s="158" t="str">
        <f t="shared" si="4"/>
        <v>T.Ba</v>
      </c>
      <c r="W79" s="158" t="str">
        <f t="shared" si="4"/>
        <v>T.Tư</v>
      </c>
      <c r="X79" s="158" t="str">
        <f t="shared" si="4"/>
        <v>T.Năm</v>
      </c>
      <c r="Y79" s="158" t="str">
        <f t="shared" si="4"/>
        <v>T.Sáu</v>
      </c>
      <c r="Z79" s="158" t="str">
        <f t="shared" si="4"/>
        <v>T.Bảy</v>
      </c>
      <c r="AA79" s="158" t="str">
        <f t="shared" si="4"/>
        <v>C.Nhật</v>
      </c>
      <c r="AB79" s="158" t="str">
        <f t="shared" si="4"/>
        <v>T.Hai</v>
      </c>
      <c r="AC79" s="158" t="str">
        <f t="shared" si="4"/>
        <v>T.Ba</v>
      </c>
      <c r="AD79" s="158" t="str">
        <f t="shared" si="4"/>
        <v>T.Tư</v>
      </c>
      <c r="AE79" s="158" t="str">
        <f t="shared" si="4"/>
        <v>T.Năm</v>
      </c>
      <c r="AF79" s="158" t="str">
        <f t="shared" si="4"/>
        <v>T.Sáu</v>
      </c>
      <c r="AG79" s="158" t="str">
        <f t="shared" si="4"/>
        <v>T.Bảy</v>
      </c>
      <c r="AH79" s="158" t="str">
        <f t="shared" si="4"/>
        <v>C.Nhật</v>
      </c>
      <c r="AI79" s="158" t="str">
        <f t="shared" si="4"/>
        <v>T.Hai</v>
      </c>
      <c r="AJ79" s="158"/>
      <c r="AK79" s="159" t="s">
        <v>16</v>
      </c>
      <c r="AL79" s="159" t="s">
        <v>31</v>
      </c>
      <c r="AM79" s="160" t="s">
        <v>17</v>
      </c>
      <c r="AN79" s="393"/>
      <c r="AO79" s="393"/>
      <c r="AP79" s="393"/>
      <c r="AQ79" s="393"/>
      <c r="AR79" s="393"/>
      <c r="AS79" s="400"/>
      <c r="AT79" s="388"/>
      <c r="AV79" s="141"/>
      <c r="AW79" s="141"/>
      <c r="AX79" s="141"/>
      <c r="AY79" s="141"/>
      <c r="AZ79" s="141"/>
      <c r="BA79" s="141"/>
      <c r="BB79" s="141"/>
      <c r="BC79" s="141"/>
      <c r="BD79" s="141"/>
      <c r="BE79" s="141"/>
      <c r="BF79" s="141"/>
      <c r="BG79" s="141"/>
      <c r="BH79" s="141"/>
      <c r="BI79" s="141"/>
      <c r="BJ79" s="141"/>
      <c r="BK79" s="141"/>
      <c r="BL79" s="141"/>
      <c r="BM79" s="141"/>
      <c r="BN79" s="141"/>
      <c r="BO79" s="141"/>
      <c r="BP79" s="141"/>
      <c r="BQ79" s="141"/>
      <c r="BR79" s="141"/>
      <c r="BS79" s="141"/>
      <c r="BT79" s="141"/>
      <c r="BU79" s="141"/>
      <c r="BV79" s="141"/>
      <c r="BW79" s="141"/>
      <c r="BX79" s="141"/>
      <c r="BY79" s="141"/>
      <c r="BZ79" s="141"/>
      <c r="CA79" s="141"/>
      <c r="CB79" s="141"/>
      <c r="CC79" s="141"/>
      <c r="CD79" s="141"/>
      <c r="CE79" s="141"/>
      <c r="CF79" s="141"/>
      <c r="CG79" s="141"/>
      <c r="CH79" s="141"/>
      <c r="CI79" s="141"/>
      <c r="CJ79" s="141"/>
      <c r="CK79" s="141"/>
      <c r="CL79" s="141"/>
      <c r="CM79" s="141"/>
    </row>
    <row r="80" spans="1:91" s="157" customFormat="1" ht="12.75" customHeight="1">
      <c r="A80" s="296">
        <v>1</v>
      </c>
      <c r="B80" s="296">
        <v>2</v>
      </c>
      <c r="C80" s="296">
        <v>3</v>
      </c>
      <c r="D80" s="296">
        <v>4</v>
      </c>
      <c r="E80" s="296">
        <v>5</v>
      </c>
      <c r="F80" s="296">
        <v>6</v>
      </c>
      <c r="G80" s="296">
        <v>7</v>
      </c>
      <c r="H80" s="296">
        <v>8</v>
      </c>
      <c r="I80" s="296">
        <v>9</v>
      </c>
      <c r="J80" s="296">
        <v>10</v>
      </c>
      <c r="K80" s="296">
        <v>11</v>
      </c>
      <c r="L80" s="296">
        <v>12</v>
      </c>
      <c r="M80" s="296">
        <v>13</v>
      </c>
      <c r="N80" s="296">
        <v>14</v>
      </c>
      <c r="O80" s="296">
        <v>15</v>
      </c>
      <c r="P80" s="296">
        <v>16</v>
      </c>
      <c r="Q80" s="296">
        <v>17</v>
      </c>
      <c r="R80" s="296">
        <v>18</v>
      </c>
      <c r="S80" s="296">
        <v>19</v>
      </c>
      <c r="T80" s="296">
        <v>20</v>
      </c>
      <c r="U80" s="296">
        <v>21</v>
      </c>
      <c r="V80" s="296">
        <v>22</v>
      </c>
      <c r="W80" s="296">
        <v>23</v>
      </c>
      <c r="X80" s="296">
        <v>24</v>
      </c>
      <c r="Y80" s="296">
        <v>25</v>
      </c>
      <c r="Z80" s="296">
        <v>26</v>
      </c>
      <c r="AA80" s="296">
        <v>27</v>
      </c>
      <c r="AB80" s="296">
        <v>28</v>
      </c>
      <c r="AC80" s="296">
        <v>29</v>
      </c>
      <c r="AD80" s="296">
        <v>30</v>
      </c>
      <c r="AE80" s="296">
        <v>31</v>
      </c>
      <c r="AF80" s="296">
        <v>32</v>
      </c>
      <c r="AG80" s="296">
        <v>33</v>
      </c>
      <c r="AH80" s="296">
        <v>34</v>
      </c>
      <c r="AI80" s="296">
        <v>35</v>
      </c>
      <c r="AJ80" s="296">
        <v>36</v>
      </c>
      <c r="AK80" s="296">
        <v>37</v>
      </c>
      <c r="AL80" s="296">
        <v>38</v>
      </c>
      <c r="AM80" s="296">
        <v>39</v>
      </c>
      <c r="AN80" s="296">
        <v>40</v>
      </c>
      <c r="AO80" s="296">
        <v>41</v>
      </c>
      <c r="AP80" s="296">
        <v>42</v>
      </c>
      <c r="AQ80" s="296">
        <v>43</v>
      </c>
      <c r="AR80" s="296">
        <v>44</v>
      </c>
      <c r="AS80" s="296">
        <v>45</v>
      </c>
      <c r="AT80" s="304"/>
      <c r="AV80" s="141"/>
      <c r="AW80" s="141"/>
      <c r="AX80" s="141"/>
      <c r="AY80" s="141"/>
      <c r="AZ80" s="141"/>
      <c r="BA80" s="141"/>
      <c r="BB80" s="141"/>
      <c r="BC80" s="141"/>
      <c r="BD80" s="141"/>
      <c r="BE80" s="141"/>
      <c r="BF80" s="141"/>
      <c r="BG80" s="141"/>
      <c r="BH80" s="141"/>
      <c r="BI80" s="141"/>
      <c r="BJ80" s="141"/>
      <c r="BK80" s="141"/>
      <c r="BL80" s="141"/>
      <c r="BM80" s="141"/>
      <c r="BN80" s="141"/>
      <c r="BO80" s="141"/>
      <c r="BP80" s="141"/>
      <c r="BQ80" s="141"/>
      <c r="BR80" s="141"/>
      <c r="BS80" s="141"/>
      <c r="BT80" s="141"/>
      <c r="BU80" s="141"/>
      <c r="BV80" s="141"/>
      <c r="BW80" s="141"/>
      <c r="BX80" s="141"/>
      <c r="BY80" s="141"/>
      <c r="BZ80" s="141"/>
      <c r="CA80" s="141"/>
      <c r="CB80" s="141"/>
      <c r="CC80" s="141"/>
      <c r="CD80" s="141"/>
      <c r="CE80" s="141"/>
      <c r="CF80" s="141"/>
      <c r="CG80" s="141"/>
      <c r="CH80" s="141"/>
      <c r="CI80" s="141"/>
      <c r="CJ80" s="141"/>
      <c r="CK80" s="141"/>
      <c r="CL80" s="141"/>
      <c r="CM80" s="141"/>
    </row>
    <row r="81" spans="1:91" s="157" customFormat="1" ht="18" customHeight="1">
      <c r="A81" s="372">
        <v>1</v>
      </c>
      <c r="B81" s="372" t="s">
        <v>68</v>
      </c>
      <c r="C81" s="374" t="str">
        <f>VLOOKUP(B81,DS,2,0)</f>
        <v>Nguyễn Thiện Duy</v>
      </c>
      <c r="D81" s="376" t="str">
        <f>VLOOKUP(B81,DS,3,0)</f>
        <v>Giám đốc</v>
      </c>
      <c r="E81" s="63" t="s">
        <v>32</v>
      </c>
      <c r="F81" s="161"/>
      <c r="G81" s="161">
        <v>8</v>
      </c>
      <c r="H81" s="161">
        <v>8</v>
      </c>
      <c r="I81" s="161">
        <v>8</v>
      </c>
      <c r="J81" s="161">
        <v>8</v>
      </c>
      <c r="K81" s="161">
        <v>8</v>
      </c>
      <c r="L81" s="161">
        <v>8</v>
      </c>
      <c r="M81" s="161"/>
      <c r="N81" s="161">
        <v>8</v>
      </c>
      <c r="O81" s="161">
        <v>8</v>
      </c>
      <c r="P81" s="161">
        <v>8</v>
      </c>
      <c r="Q81" s="161">
        <v>8</v>
      </c>
      <c r="R81" s="161">
        <v>8</v>
      </c>
      <c r="S81" s="161">
        <v>8</v>
      </c>
      <c r="T81" s="161"/>
      <c r="U81" s="161">
        <v>8</v>
      </c>
      <c r="V81" s="161">
        <v>8</v>
      </c>
      <c r="W81" s="161">
        <v>8</v>
      </c>
      <c r="X81" s="161">
        <v>8</v>
      </c>
      <c r="Y81" s="161">
        <v>8</v>
      </c>
      <c r="Z81" s="161">
        <v>8</v>
      </c>
      <c r="AA81" s="161"/>
      <c r="AB81" s="161">
        <v>8</v>
      </c>
      <c r="AC81" s="161">
        <v>8</v>
      </c>
      <c r="AD81" s="161"/>
      <c r="AE81" s="161"/>
      <c r="AF81" s="161"/>
      <c r="AG81" s="161"/>
      <c r="AH81" s="161"/>
      <c r="AI81" s="161"/>
      <c r="AJ81" s="161"/>
      <c r="AK81" s="378">
        <f>((SUM(F81:AJ81))/8)-(SUMIF($F$6:$AJ$6,"C.Nhật",F81:AJ81)/8)</f>
        <v>20</v>
      </c>
      <c r="AL81" s="378">
        <f>SUM(F82:AI82)/8*1.5</f>
        <v>0</v>
      </c>
      <c r="AM81" s="386">
        <f>SUMIF($F$6:$AI$6,"C.Nhật",$F81:$AI82)/8*2</f>
        <v>0</v>
      </c>
      <c r="AN81" s="366">
        <f>SUM(AK81:AM82)</f>
        <v>20</v>
      </c>
      <c r="AO81" s="368">
        <v>0</v>
      </c>
      <c r="AP81" s="370"/>
      <c r="AQ81" s="370"/>
      <c r="AR81" s="370"/>
      <c r="AS81" s="380"/>
      <c r="AT81" s="304"/>
      <c r="AV81" s="141"/>
      <c r="AW81" s="141"/>
      <c r="AX81" s="141"/>
      <c r="AY81" s="141"/>
      <c r="AZ81" s="141"/>
      <c r="BA81" s="141"/>
      <c r="BB81" s="141"/>
      <c r="BC81" s="141"/>
      <c r="BD81" s="141"/>
      <c r="BE81" s="141"/>
      <c r="BF81" s="141"/>
      <c r="BG81" s="141"/>
      <c r="BH81" s="141"/>
      <c r="BI81" s="141"/>
      <c r="BJ81" s="141"/>
      <c r="BK81" s="141"/>
      <c r="BL81" s="141"/>
      <c r="BM81" s="141"/>
      <c r="BN81" s="141"/>
      <c r="BO81" s="141"/>
      <c r="BP81" s="141"/>
      <c r="BQ81" s="141"/>
      <c r="BR81" s="141"/>
      <c r="BS81" s="141"/>
      <c r="BT81" s="141"/>
      <c r="BU81" s="141"/>
      <c r="BV81" s="141"/>
      <c r="BW81" s="141"/>
      <c r="BX81" s="141"/>
      <c r="BY81" s="141"/>
      <c r="BZ81" s="141"/>
      <c r="CA81" s="141"/>
      <c r="CB81" s="141"/>
      <c r="CC81" s="141"/>
      <c r="CD81" s="141"/>
      <c r="CE81" s="141"/>
      <c r="CF81" s="141"/>
      <c r="CG81" s="141"/>
      <c r="CH81" s="141"/>
      <c r="CI81" s="141"/>
      <c r="CJ81" s="141"/>
      <c r="CK81" s="141"/>
      <c r="CL81" s="141"/>
      <c r="CM81" s="141"/>
    </row>
    <row r="82" spans="1:91" s="157" customFormat="1" ht="18" customHeight="1">
      <c r="A82" s="373"/>
      <c r="B82" s="373"/>
      <c r="C82" s="375"/>
      <c r="D82" s="377"/>
      <c r="E82" s="64" t="s">
        <v>31</v>
      </c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379"/>
      <c r="AL82" s="379"/>
      <c r="AM82" s="387"/>
      <c r="AN82" s="367"/>
      <c r="AO82" s="369"/>
      <c r="AP82" s="371"/>
      <c r="AQ82" s="371"/>
      <c r="AR82" s="371"/>
      <c r="AS82" s="381"/>
      <c r="AT82" s="304"/>
      <c r="AV82" s="141"/>
      <c r="AW82" s="141"/>
      <c r="AX82" s="141"/>
      <c r="AY82" s="141"/>
      <c r="AZ82" s="141"/>
      <c r="BA82" s="141"/>
      <c r="BB82" s="141"/>
      <c r="BC82" s="141"/>
      <c r="BD82" s="141"/>
      <c r="BE82" s="141"/>
      <c r="BF82" s="141"/>
      <c r="BG82" s="141"/>
      <c r="BH82" s="141"/>
      <c r="BI82" s="141"/>
      <c r="BJ82" s="141"/>
      <c r="BK82" s="141"/>
      <c r="BL82" s="141"/>
      <c r="BM82" s="141"/>
      <c r="BN82" s="141"/>
      <c r="BO82" s="141"/>
      <c r="BP82" s="141"/>
      <c r="BQ82" s="141"/>
      <c r="BR82" s="141"/>
      <c r="BS82" s="141"/>
      <c r="BT82" s="141"/>
      <c r="BU82" s="141"/>
      <c r="BV82" s="141"/>
      <c r="BW82" s="141"/>
      <c r="BX82" s="141"/>
      <c r="BY82" s="141"/>
      <c r="BZ82" s="141"/>
      <c r="CA82" s="141"/>
      <c r="CB82" s="141"/>
      <c r="CC82" s="141"/>
      <c r="CD82" s="141"/>
      <c r="CE82" s="141"/>
      <c r="CF82" s="141"/>
      <c r="CG82" s="141"/>
      <c r="CH82" s="141"/>
      <c r="CI82" s="141"/>
      <c r="CJ82" s="141"/>
      <c r="CK82" s="141"/>
      <c r="CL82" s="141"/>
      <c r="CM82" s="141"/>
    </row>
    <row r="83" spans="1:91" s="157" customFormat="1" ht="18" customHeight="1">
      <c r="A83" s="372">
        <f>A81+1</f>
        <v>2</v>
      </c>
      <c r="B83" s="372" t="s">
        <v>70</v>
      </c>
      <c r="C83" s="374" t="str">
        <f>VLOOKUP(B83,DS,2,0)</f>
        <v>Nguyễn Văn Sẽ</v>
      </c>
      <c r="D83" s="376" t="str">
        <f>VLOOKUP(B83,DS,3,0)</f>
        <v>Kỹ Thuật</v>
      </c>
      <c r="E83" s="63" t="s">
        <v>32</v>
      </c>
      <c r="F83" s="161"/>
      <c r="G83" s="161"/>
      <c r="H83" s="161"/>
      <c r="I83" s="161"/>
      <c r="J83" s="161"/>
      <c r="K83" s="161">
        <v>8</v>
      </c>
      <c r="L83" s="161">
        <v>8</v>
      </c>
      <c r="M83" s="161"/>
      <c r="N83" s="161">
        <v>8</v>
      </c>
      <c r="O83" s="161">
        <v>8</v>
      </c>
      <c r="P83" s="161">
        <v>8</v>
      </c>
      <c r="Q83" s="161"/>
      <c r="R83" s="161">
        <v>8</v>
      </c>
      <c r="S83" s="161">
        <v>8</v>
      </c>
      <c r="T83" s="161">
        <v>8</v>
      </c>
      <c r="U83" s="161">
        <v>8</v>
      </c>
      <c r="V83" s="161">
        <v>8</v>
      </c>
      <c r="W83" s="161">
        <v>8</v>
      </c>
      <c r="X83" s="161"/>
      <c r="Y83" s="161">
        <v>8</v>
      </c>
      <c r="Z83" s="161">
        <v>8</v>
      </c>
      <c r="AA83" s="161">
        <v>8</v>
      </c>
      <c r="AB83" s="161">
        <v>8</v>
      </c>
      <c r="AC83" s="161">
        <v>8</v>
      </c>
      <c r="AD83" s="161"/>
      <c r="AE83" s="161"/>
      <c r="AF83" s="161"/>
      <c r="AG83" s="161"/>
      <c r="AH83" s="161"/>
      <c r="AI83" s="161"/>
      <c r="AJ83" s="161"/>
      <c r="AK83" s="378">
        <f>((SUM(F83:AJ83))/8)-(SUMIF($F$6:$AJ$6,"C.Nhật",F83:AJ83)/8)</f>
        <v>14</v>
      </c>
      <c r="AL83" s="378">
        <f>SUM(F84:AI84)/8*1.5</f>
        <v>0</v>
      </c>
      <c r="AM83" s="386">
        <f>SUMIF($F$6:$AI$6,"C.Nhật",$F83:$AI84)/8*2</f>
        <v>4</v>
      </c>
      <c r="AN83" s="366">
        <f>SUM(AK83:AM84)</f>
        <v>18</v>
      </c>
      <c r="AO83" s="368">
        <v>0</v>
      </c>
      <c r="AP83" s="370"/>
      <c r="AQ83" s="370"/>
      <c r="AR83" s="370"/>
      <c r="AS83" s="380"/>
      <c r="AT83" s="304"/>
      <c r="AV83" s="141"/>
      <c r="AW83" s="141"/>
      <c r="AX83" s="141"/>
      <c r="AY83" s="141"/>
      <c r="AZ83" s="141"/>
      <c r="BA83" s="141"/>
      <c r="BB83" s="141"/>
      <c r="BC83" s="141"/>
      <c r="BD83" s="141"/>
      <c r="BE83" s="141"/>
      <c r="BF83" s="141"/>
      <c r="BG83" s="141"/>
      <c r="BH83" s="141"/>
      <c r="BI83" s="141"/>
      <c r="BJ83" s="141"/>
      <c r="BK83" s="141"/>
      <c r="BL83" s="141"/>
      <c r="BM83" s="141"/>
      <c r="BN83" s="141"/>
      <c r="BO83" s="141"/>
      <c r="BP83" s="141"/>
      <c r="BQ83" s="141"/>
      <c r="BR83" s="141"/>
      <c r="BS83" s="141"/>
      <c r="BT83" s="141"/>
      <c r="BU83" s="141"/>
      <c r="BV83" s="141"/>
      <c r="BW83" s="141"/>
      <c r="BX83" s="141"/>
      <c r="BY83" s="141"/>
      <c r="BZ83" s="141"/>
      <c r="CA83" s="141"/>
      <c r="CB83" s="141"/>
      <c r="CC83" s="141"/>
      <c r="CD83" s="141"/>
      <c r="CE83" s="141"/>
      <c r="CF83" s="141"/>
      <c r="CG83" s="141"/>
      <c r="CH83" s="141"/>
      <c r="CI83" s="141"/>
      <c r="CJ83" s="141"/>
      <c r="CK83" s="141"/>
      <c r="CL83" s="141"/>
      <c r="CM83" s="141"/>
    </row>
    <row r="84" spans="1:91" s="157" customFormat="1" ht="18" customHeight="1">
      <c r="A84" s="373"/>
      <c r="B84" s="373"/>
      <c r="C84" s="375"/>
      <c r="D84" s="377"/>
      <c r="E84" s="64" t="s">
        <v>31</v>
      </c>
      <c r="F84" s="162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379"/>
      <c r="AL84" s="379"/>
      <c r="AM84" s="387"/>
      <c r="AN84" s="367"/>
      <c r="AO84" s="369"/>
      <c r="AP84" s="371"/>
      <c r="AQ84" s="371"/>
      <c r="AR84" s="371"/>
      <c r="AS84" s="381"/>
      <c r="AT84" s="304"/>
      <c r="AV84" s="141"/>
      <c r="AW84" s="141"/>
      <c r="AX84" s="141"/>
      <c r="AY84" s="141"/>
      <c r="AZ84" s="141"/>
      <c r="BA84" s="141"/>
      <c r="BB84" s="141"/>
      <c r="BC84" s="141"/>
      <c r="BD84" s="141"/>
      <c r="BE84" s="141"/>
      <c r="BF84" s="141"/>
      <c r="BG84" s="141"/>
      <c r="BH84" s="141"/>
      <c r="BI84" s="141"/>
      <c r="BJ84" s="141"/>
      <c r="BK84" s="141"/>
      <c r="BL84" s="141"/>
      <c r="BM84" s="141"/>
      <c r="BN84" s="141"/>
      <c r="BO84" s="141"/>
      <c r="BP84" s="141"/>
      <c r="BQ84" s="141"/>
      <c r="BR84" s="141"/>
      <c r="BS84" s="141"/>
      <c r="BT84" s="141"/>
      <c r="BU84" s="141"/>
      <c r="BV84" s="141"/>
      <c r="BW84" s="141"/>
      <c r="BX84" s="141"/>
      <c r="BY84" s="141"/>
      <c r="BZ84" s="141"/>
      <c r="CA84" s="141"/>
      <c r="CB84" s="141"/>
      <c r="CC84" s="141"/>
      <c r="CD84" s="141"/>
      <c r="CE84" s="141"/>
      <c r="CF84" s="141"/>
      <c r="CG84" s="141"/>
      <c r="CH84" s="141"/>
      <c r="CI84" s="141"/>
      <c r="CJ84" s="141"/>
      <c r="CK84" s="141"/>
      <c r="CL84" s="141"/>
      <c r="CM84" s="141"/>
    </row>
    <row r="85" spans="1:91" s="157" customFormat="1" ht="18" customHeight="1">
      <c r="A85" s="372">
        <f>A83+1</f>
        <v>3</v>
      </c>
      <c r="B85" s="372" t="s">
        <v>72</v>
      </c>
      <c r="C85" s="374" t="str">
        <f>VLOOKUP(B85,DS,2,0)</f>
        <v>Võ Uyên Phương</v>
      </c>
      <c r="D85" s="376" t="str">
        <f>VLOOKUP(B85,DS,3,0)</f>
        <v>Kế toán</v>
      </c>
      <c r="E85" s="63" t="s">
        <v>32</v>
      </c>
      <c r="F85" s="161"/>
      <c r="G85" s="161">
        <v>8</v>
      </c>
      <c r="H85" s="161">
        <v>8</v>
      </c>
      <c r="I85" s="161">
        <v>8</v>
      </c>
      <c r="J85" s="161">
        <v>8</v>
      </c>
      <c r="K85" s="161">
        <v>8</v>
      </c>
      <c r="L85" s="161">
        <v>8</v>
      </c>
      <c r="M85" s="161"/>
      <c r="N85" s="161">
        <v>8</v>
      </c>
      <c r="O85" s="161">
        <v>8</v>
      </c>
      <c r="P85" s="161">
        <v>8</v>
      </c>
      <c r="Q85" s="161">
        <v>8</v>
      </c>
      <c r="R85" s="161">
        <v>8</v>
      </c>
      <c r="S85" s="161">
        <v>8</v>
      </c>
      <c r="T85" s="161"/>
      <c r="U85" s="161">
        <v>8</v>
      </c>
      <c r="V85" s="161">
        <v>8</v>
      </c>
      <c r="W85" s="161">
        <v>8</v>
      </c>
      <c r="X85" s="161">
        <v>8</v>
      </c>
      <c r="Y85" s="161">
        <v>8</v>
      </c>
      <c r="Z85" s="161">
        <v>8</v>
      </c>
      <c r="AA85" s="161"/>
      <c r="AB85" s="161">
        <v>8</v>
      </c>
      <c r="AC85" s="161">
        <v>8</v>
      </c>
      <c r="AD85" s="161"/>
      <c r="AE85" s="161"/>
      <c r="AF85" s="161"/>
      <c r="AG85" s="161"/>
      <c r="AH85" s="161"/>
      <c r="AI85" s="161"/>
      <c r="AJ85" s="161"/>
      <c r="AK85" s="378">
        <f>((SUM(F85:AJ85))/8)-(SUMIF($F$6:$AJ$6,"C.Nhật",F85:AJ85)/8)</f>
        <v>20</v>
      </c>
      <c r="AL85" s="378">
        <f>SUM(F86:AI86)/8*1.5</f>
        <v>0</v>
      </c>
      <c r="AM85" s="386">
        <f>SUMIF($F$6:$AI$6,"C.Nhật",$F85:$AI86)/8*2</f>
        <v>0</v>
      </c>
      <c r="AN85" s="366">
        <f>SUM(AK85:AM86)</f>
        <v>20</v>
      </c>
      <c r="AO85" s="368">
        <v>0</v>
      </c>
      <c r="AP85" s="370"/>
      <c r="AQ85" s="370"/>
      <c r="AR85" s="370"/>
      <c r="AS85" s="380"/>
      <c r="AT85" s="304"/>
      <c r="AV85" s="141"/>
      <c r="AW85" s="141"/>
      <c r="AX85" s="141"/>
      <c r="AY85" s="141"/>
      <c r="AZ85" s="141"/>
      <c r="BA85" s="141"/>
      <c r="BB85" s="141"/>
      <c r="BC85" s="141"/>
      <c r="BD85" s="141"/>
      <c r="BE85" s="141"/>
      <c r="BF85" s="141"/>
      <c r="BG85" s="141"/>
      <c r="BH85" s="141"/>
      <c r="BI85" s="141"/>
      <c r="BJ85" s="141"/>
      <c r="BK85" s="141"/>
      <c r="BL85" s="141"/>
      <c r="BM85" s="141"/>
      <c r="BN85" s="141"/>
      <c r="BO85" s="141"/>
      <c r="BP85" s="141"/>
      <c r="BQ85" s="141"/>
      <c r="BR85" s="141"/>
      <c r="BS85" s="141"/>
      <c r="BT85" s="141"/>
      <c r="BU85" s="141"/>
      <c r="BV85" s="141"/>
      <c r="BW85" s="141"/>
      <c r="BX85" s="141"/>
      <c r="BY85" s="141"/>
      <c r="BZ85" s="141"/>
      <c r="CA85" s="141"/>
      <c r="CB85" s="141"/>
      <c r="CC85" s="141"/>
      <c r="CD85" s="141"/>
      <c r="CE85" s="141"/>
      <c r="CF85" s="141"/>
      <c r="CG85" s="141"/>
      <c r="CH85" s="141"/>
      <c r="CI85" s="141"/>
      <c r="CJ85" s="141"/>
      <c r="CK85" s="141"/>
      <c r="CL85" s="141"/>
      <c r="CM85" s="141"/>
    </row>
    <row r="86" spans="1:91" s="157" customFormat="1" ht="18" customHeight="1">
      <c r="A86" s="373"/>
      <c r="B86" s="373"/>
      <c r="C86" s="375"/>
      <c r="D86" s="377"/>
      <c r="E86" s="64" t="s">
        <v>31</v>
      </c>
      <c r="F86" s="162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379"/>
      <c r="AL86" s="379"/>
      <c r="AM86" s="387"/>
      <c r="AN86" s="367"/>
      <c r="AO86" s="369"/>
      <c r="AP86" s="371"/>
      <c r="AQ86" s="371"/>
      <c r="AR86" s="371"/>
      <c r="AS86" s="381"/>
      <c r="AT86" s="304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</row>
    <row r="87" spans="1:91" s="157" customFormat="1" ht="18" customHeight="1">
      <c r="A87" s="372">
        <f>A85+1</f>
        <v>4</v>
      </c>
      <c r="B87" s="372" t="s">
        <v>75</v>
      </c>
      <c r="C87" s="374" t="str">
        <f>VLOOKUP(B87,DS,2,0)</f>
        <v>Lê Nguyễn Huy Cường</v>
      </c>
      <c r="D87" s="376" t="str">
        <f>VLOOKUP(B87,DS,3,0)</f>
        <v>XNK</v>
      </c>
      <c r="E87" s="63" t="s">
        <v>32</v>
      </c>
      <c r="F87" s="161"/>
      <c r="G87" s="161">
        <v>8</v>
      </c>
      <c r="H87" s="161">
        <v>8</v>
      </c>
      <c r="I87" s="161">
        <v>8</v>
      </c>
      <c r="J87" s="161">
        <v>8</v>
      </c>
      <c r="K87" s="161">
        <v>8</v>
      </c>
      <c r="L87" s="161">
        <v>8</v>
      </c>
      <c r="M87" s="161"/>
      <c r="N87" s="161">
        <v>8</v>
      </c>
      <c r="O87" s="161">
        <v>8</v>
      </c>
      <c r="P87" s="161">
        <v>8</v>
      </c>
      <c r="Q87" s="161">
        <v>8</v>
      </c>
      <c r="R87" s="161">
        <v>8</v>
      </c>
      <c r="S87" s="161">
        <v>8</v>
      </c>
      <c r="T87" s="161"/>
      <c r="U87" s="161">
        <v>8</v>
      </c>
      <c r="V87" s="161">
        <v>8</v>
      </c>
      <c r="W87" s="161">
        <v>8</v>
      </c>
      <c r="X87" s="161">
        <v>8</v>
      </c>
      <c r="Y87" s="161">
        <v>8</v>
      </c>
      <c r="Z87" s="161">
        <v>8</v>
      </c>
      <c r="AA87" s="161"/>
      <c r="AB87" s="161">
        <v>8</v>
      </c>
      <c r="AC87" s="161">
        <v>8</v>
      </c>
      <c r="AD87" s="161"/>
      <c r="AE87" s="161"/>
      <c r="AF87" s="161"/>
      <c r="AG87" s="161"/>
      <c r="AH87" s="161"/>
      <c r="AI87" s="161"/>
      <c r="AJ87" s="161"/>
      <c r="AK87" s="378">
        <f>((SUM(F87:AJ87))/8)-(SUMIF($F$6:$AJ$6,"C.Nhật",F87:AJ87)/8)</f>
        <v>20</v>
      </c>
      <c r="AL87" s="378">
        <f>SUM(F88:AI88)/8*1.5</f>
        <v>0</v>
      </c>
      <c r="AM87" s="386">
        <f>SUMIF($F$6:$AI$6,"C.Nhật",$F87:$AI88)/8*2</f>
        <v>0</v>
      </c>
      <c r="AN87" s="366">
        <f>SUM(AK87:AM88)</f>
        <v>20</v>
      </c>
      <c r="AO87" s="368">
        <v>0</v>
      </c>
      <c r="AP87" s="370"/>
      <c r="AQ87" s="370"/>
      <c r="AR87" s="370"/>
      <c r="AS87" s="380"/>
      <c r="AT87" s="304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</row>
    <row r="88" spans="1:91" s="157" customFormat="1" ht="18" customHeight="1">
      <c r="A88" s="373"/>
      <c r="B88" s="373"/>
      <c r="C88" s="375"/>
      <c r="D88" s="377"/>
      <c r="E88" s="64" t="s">
        <v>31</v>
      </c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379"/>
      <c r="AL88" s="379"/>
      <c r="AM88" s="387"/>
      <c r="AN88" s="367"/>
      <c r="AO88" s="369"/>
      <c r="AP88" s="371"/>
      <c r="AQ88" s="371"/>
      <c r="AR88" s="371"/>
      <c r="AS88" s="381"/>
      <c r="AT88" s="304"/>
      <c r="AV88" s="141"/>
      <c r="AW88" s="141"/>
      <c r="AX88" s="141"/>
      <c r="AY88" s="141"/>
      <c r="AZ88" s="141"/>
      <c r="BA88" s="141"/>
      <c r="BB88" s="141"/>
      <c r="BC88" s="141"/>
      <c r="BD88" s="141"/>
      <c r="BE88" s="141"/>
      <c r="BF88" s="141"/>
      <c r="BG88" s="141"/>
      <c r="BH88" s="141"/>
      <c r="BI88" s="141"/>
      <c r="BJ88" s="141"/>
      <c r="BK88" s="141"/>
      <c r="BL88" s="141"/>
      <c r="BM88" s="141"/>
      <c r="BN88" s="141"/>
      <c r="BO88" s="141"/>
      <c r="BP88" s="141"/>
      <c r="BQ88" s="141"/>
      <c r="BR88" s="141"/>
      <c r="BS88" s="141"/>
      <c r="BT88" s="141"/>
      <c r="BU88" s="141"/>
      <c r="BV88" s="141"/>
      <c r="BW88" s="141"/>
      <c r="BX88" s="141"/>
      <c r="BY88" s="141"/>
      <c r="BZ88" s="141"/>
      <c r="CA88" s="141"/>
      <c r="CB88" s="141"/>
      <c r="CC88" s="141"/>
      <c r="CD88" s="141"/>
      <c r="CE88" s="141"/>
      <c r="CF88" s="141"/>
      <c r="CG88" s="141"/>
      <c r="CH88" s="141"/>
      <c r="CI88" s="141"/>
      <c r="CJ88" s="141"/>
      <c r="CK88" s="141"/>
      <c r="CL88" s="141"/>
      <c r="CM88" s="141"/>
    </row>
    <row r="89" spans="1:91" s="157" customFormat="1" ht="18" customHeight="1">
      <c r="A89" s="372">
        <f>A87+1</f>
        <v>5</v>
      </c>
      <c r="B89" s="372" t="s">
        <v>77</v>
      </c>
      <c r="C89" s="374" t="str">
        <f>VLOOKUP(B89,DS,2,0)</f>
        <v>Nguyễn Văn Bé Tư</v>
      </c>
      <c r="D89" s="376" t="str">
        <f>VLOOKUP(B89,DS,3,0)</f>
        <v>Tài xế</v>
      </c>
      <c r="E89" s="63" t="s">
        <v>32</v>
      </c>
      <c r="F89" s="161"/>
      <c r="G89" s="161">
        <v>8</v>
      </c>
      <c r="H89" s="161">
        <v>8</v>
      </c>
      <c r="I89" s="161">
        <v>8</v>
      </c>
      <c r="J89" s="161">
        <v>8</v>
      </c>
      <c r="K89" s="161">
        <v>8</v>
      </c>
      <c r="L89" s="161">
        <v>8</v>
      </c>
      <c r="M89" s="161"/>
      <c r="N89" s="161">
        <v>8</v>
      </c>
      <c r="O89" s="161">
        <v>8</v>
      </c>
      <c r="P89" s="161">
        <v>8</v>
      </c>
      <c r="Q89" s="161">
        <v>8</v>
      </c>
      <c r="R89" s="161">
        <v>8</v>
      </c>
      <c r="S89" s="161">
        <v>8</v>
      </c>
      <c r="T89" s="161"/>
      <c r="U89" s="161">
        <v>8</v>
      </c>
      <c r="V89" s="161">
        <v>8</v>
      </c>
      <c r="W89" s="161">
        <v>8</v>
      </c>
      <c r="X89" s="161">
        <v>8</v>
      </c>
      <c r="Y89" s="161">
        <v>8</v>
      </c>
      <c r="Z89" s="161">
        <v>8</v>
      </c>
      <c r="AA89" s="161"/>
      <c r="AB89" s="161">
        <v>8</v>
      </c>
      <c r="AC89" s="161">
        <v>8</v>
      </c>
      <c r="AD89" s="161"/>
      <c r="AE89" s="161"/>
      <c r="AF89" s="161"/>
      <c r="AG89" s="161"/>
      <c r="AH89" s="161"/>
      <c r="AI89" s="161"/>
      <c r="AJ89" s="161"/>
      <c r="AK89" s="378">
        <f>((SUM(F89:AJ89))/8)-(SUMIF($F$6:$AJ$6,"C.Nhật",F89:AJ89)/8)</f>
        <v>20</v>
      </c>
      <c r="AL89" s="378">
        <f>SUM(F90:AI90)/8*1.5</f>
        <v>0</v>
      </c>
      <c r="AM89" s="386">
        <f>SUMIF($F$6:$AI$6,"C.Nhật",$F89:$AI90)/8*2</f>
        <v>0</v>
      </c>
      <c r="AN89" s="366">
        <f>SUM(AK89:AM90)</f>
        <v>20</v>
      </c>
      <c r="AO89" s="368">
        <v>0</v>
      </c>
      <c r="AP89" s="370"/>
      <c r="AQ89" s="370"/>
      <c r="AR89" s="370"/>
      <c r="AS89" s="380"/>
      <c r="AT89" s="304"/>
      <c r="AV89" s="141"/>
      <c r="AW89" s="141"/>
      <c r="AX89" s="141"/>
      <c r="AY89" s="141"/>
      <c r="AZ89" s="141"/>
      <c r="BA89" s="141"/>
      <c r="BB89" s="141"/>
      <c r="BC89" s="141"/>
      <c r="BD89" s="141"/>
      <c r="BE89" s="141"/>
      <c r="BF89" s="141"/>
      <c r="BG89" s="141"/>
      <c r="BH89" s="141"/>
      <c r="BI89" s="141"/>
      <c r="BJ89" s="141"/>
      <c r="BK89" s="141"/>
      <c r="BL89" s="141"/>
      <c r="BM89" s="141"/>
      <c r="BN89" s="141"/>
      <c r="BO89" s="141"/>
      <c r="BP89" s="141"/>
      <c r="BQ89" s="141"/>
      <c r="BR89" s="141"/>
      <c r="BS89" s="141"/>
      <c r="BT89" s="141"/>
      <c r="BU89" s="141"/>
      <c r="BV89" s="141"/>
      <c r="BW89" s="141"/>
      <c r="BX89" s="141"/>
      <c r="BY89" s="141"/>
      <c r="BZ89" s="141"/>
      <c r="CA89" s="141"/>
      <c r="CB89" s="141"/>
      <c r="CC89" s="141"/>
      <c r="CD89" s="141"/>
      <c r="CE89" s="141"/>
      <c r="CF89" s="141"/>
      <c r="CG89" s="141"/>
      <c r="CH89" s="141"/>
      <c r="CI89" s="141"/>
      <c r="CJ89" s="141"/>
      <c r="CK89" s="141"/>
      <c r="CL89" s="141"/>
      <c r="CM89" s="141"/>
    </row>
    <row r="90" spans="1:91" s="157" customFormat="1" ht="18" customHeight="1">
      <c r="A90" s="373"/>
      <c r="B90" s="373"/>
      <c r="C90" s="375"/>
      <c r="D90" s="377"/>
      <c r="E90" s="64" t="s">
        <v>31</v>
      </c>
      <c r="F90" s="162"/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  <c r="AD90" s="162"/>
      <c r="AE90" s="162"/>
      <c r="AF90" s="162"/>
      <c r="AG90" s="162"/>
      <c r="AH90" s="162"/>
      <c r="AI90" s="162"/>
      <c r="AJ90" s="162"/>
      <c r="AK90" s="379"/>
      <c r="AL90" s="379"/>
      <c r="AM90" s="387"/>
      <c r="AN90" s="367"/>
      <c r="AO90" s="369"/>
      <c r="AP90" s="371"/>
      <c r="AQ90" s="371"/>
      <c r="AR90" s="371"/>
      <c r="AS90" s="381"/>
      <c r="AT90" s="304"/>
      <c r="AV90" s="141"/>
      <c r="AW90" s="141"/>
      <c r="AX90" s="141"/>
      <c r="AY90" s="141"/>
      <c r="AZ90" s="141"/>
      <c r="BA90" s="141"/>
      <c r="BB90" s="141"/>
      <c r="BC90" s="141"/>
      <c r="BD90" s="141"/>
      <c r="BE90" s="141"/>
      <c r="BF90" s="141"/>
      <c r="BG90" s="141"/>
      <c r="BH90" s="141"/>
      <c r="BI90" s="141"/>
      <c r="BJ90" s="141"/>
      <c r="BK90" s="141"/>
      <c r="BL90" s="141"/>
      <c r="BM90" s="141"/>
      <c r="BN90" s="141"/>
      <c r="BO90" s="141"/>
      <c r="BP90" s="141"/>
      <c r="BQ90" s="141"/>
      <c r="BR90" s="141"/>
      <c r="BS90" s="141"/>
      <c r="BT90" s="141"/>
      <c r="BU90" s="141"/>
      <c r="BV90" s="141"/>
      <c r="BW90" s="141"/>
      <c r="BX90" s="141"/>
      <c r="BY90" s="141"/>
      <c r="BZ90" s="141"/>
      <c r="CA90" s="141"/>
      <c r="CB90" s="141"/>
      <c r="CC90" s="141"/>
      <c r="CD90" s="141"/>
      <c r="CE90" s="141"/>
      <c r="CF90" s="141"/>
      <c r="CG90" s="141"/>
      <c r="CH90" s="141"/>
      <c r="CI90" s="141"/>
      <c r="CJ90" s="141"/>
      <c r="CK90" s="141"/>
      <c r="CL90" s="141"/>
      <c r="CM90" s="141"/>
    </row>
    <row r="91" spans="1:91" s="157" customFormat="1" ht="18" customHeight="1">
      <c r="A91" s="372">
        <f>A89+1</f>
        <v>6</v>
      </c>
      <c r="B91" s="372" t="s">
        <v>78</v>
      </c>
      <c r="C91" s="374" t="str">
        <f>VLOOKUP(B91,DS,2,0)</f>
        <v>Dương Thanh Tuấn</v>
      </c>
      <c r="D91" s="376" t="str">
        <f>VLOOKUP(B91,DS,3,0)</f>
        <v>Nhân sự</v>
      </c>
      <c r="E91" s="63" t="s">
        <v>32</v>
      </c>
      <c r="F91" s="161"/>
      <c r="G91" s="161">
        <v>8</v>
      </c>
      <c r="H91" s="161">
        <v>8</v>
      </c>
      <c r="I91" s="161">
        <v>8</v>
      </c>
      <c r="J91" s="161">
        <v>8</v>
      </c>
      <c r="K91" s="161">
        <v>8</v>
      </c>
      <c r="L91" s="161">
        <v>8</v>
      </c>
      <c r="M91" s="161"/>
      <c r="N91" s="161">
        <v>8</v>
      </c>
      <c r="O91" s="161">
        <v>8</v>
      </c>
      <c r="P91" s="161">
        <v>8</v>
      </c>
      <c r="Q91" s="161">
        <v>8</v>
      </c>
      <c r="R91" s="161">
        <v>8</v>
      </c>
      <c r="S91" s="161">
        <v>8</v>
      </c>
      <c r="T91" s="161"/>
      <c r="U91" s="161">
        <v>8</v>
      </c>
      <c r="V91" s="161">
        <v>8</v>
      </c>
      <c r="W91" s="161">
        <v>8</v>
      </c>
      <c r="X91" s="161"/>
      <c r="Y91" s="161">
        <v>8</v>
      </c>
      <c r="Z91" s="161">
        <v>8</v>
      </c>
      <c r="AA91" s="161"/>
      <c r="AB91" s="161">
        <v>8</v>
      </c>
      <c r="AC91" s="161">
        <v>8</v>
      </c>
      <c r="AD91" s="161"/>
      <c r="AE91" s="161"/>
      <c r="AF91" s="161"/>
      <c r="AG91" s="161"/>
      <c r="AH91" s="161"/>
      <c r="AI91" s="161"/>
      <c r="AJ91" s="161"/>
      <c r="AK91" s="378">
        <f>((SUM(F91:AJ91))/8)-(SUMIF($F$6:$AJ$6,"C.Nhật",F91:AJ91)/8)</f>
        <v>19</v>
      </c>
      <c r="AL91" s="378">
        <f>SUM(F92:AI92)/8*1.5</f>
        <v>0</v>
      </c>
      <c r="AM91" s="386">
        <f>SUMIF($F$6:$AI$6,"C.Nhật",$F91:$AI92)/8*2</f>
        <v>0</v>
      </c>
      <c r="AN91" s="366">
        <f>SUM(AK91:AM92)</f>
        <v>19</v>
      </c>
      <c r="AO91" s="368">
        <v>0</v>
      </c>
      <c r="AP91" s="370"/>
      <c r="AQ91" s="370"/>
      <c r="AR91" s="370"/>
      <c r="AS91" s="380"/>
      <c r="AT91" s="304"/>
      <c r="AV91" s="141"/>
      <c r="AW91" s="141"/>
      <c r="AX91" s="141"/>
      <c r="AY91" s="141"/>
      <c r="AZ91" s="141"/>
      <c r="BA91" s="141"/>
      <c r="BB91" s="141"/>
      <c r="BC91" s="141"/>
      <c r="BD91" s="141"/>
      <c r="BE91" s="141"/>
      <c r="BF91" s="141"/>
      <c r="BG91" s="141"/>
      <c r="BH91" s="141"/>
      <c r="BI91" s="141"/>
      <c r="BJ91" s="141"/>
      <c r="BK91" s="141"/>
      <c r="BL91" s="141"/>
      <c r="BM91" s="141"/>
      <c r="BN91" s="141"/>
      <c r="BO91" s="141"/>
      <c r="BP91" s="141"/>
      <c r="BQ91" s="141"/>
      <c r="BR91" s="141"/>
      <c r="BS91" s="141"/>
      <c r="BT91" s="141"/>
      <c r="BU91" s="141"/>
      <c r="BV91" s="141"/>
      <c r="BW91" s="141"/>
      <c r="BX91" s="141"/>
      <c r="BY91" s="141"/>
      <c r="BZ91" s="141"/>
      <c r="CA91" s="141"/>
      <c r="CB91" s="141"/>
      <c r="CC91" s="141"/>
      <c r="CD91" s="141"/>
      <c r="CE91" s="141"/>
      <c r="CF91" s="141"/>
      <c r="CG91" s="141"/>
      <c r="CH91" s="141"/>
      <c r="CI91" s="141"/>
      <c r="CJ91" s="141"/>
      <c r="CK91" s="141"/>
      <c r="CL91" s="141"/>
      <c r="CM91" s="141"/>
    </row>
    <row r="92" spans="1:91" s="157" customFormat="1" ht="18" customHeight="1">
      <c r="A92" s="373"/>
      <c r="B92" s="373"/>
      <c r="C92" s="375"/>
      <c r="D92" s="377"/>
      <c r="E92" s="64" t="s">
        <v>31</v>
      </c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2"/>
      <c r="AJ92" s="162"/>
      <c r="AK92" s="379"/>
      <c r="AL92" s="379"/>
      <c r="AM92" s="387"/>
      <c r="AN92" s="367"/>
      <c r="AO92" s="369"/>
      <c r="AP92" s="371"/>
      <c r="AQ92" s="371"/>
      <c r="AR92" s="371"/>
      <c r="AS92" s="381"/>
      <c r="AT92" s="304"/>
      <c r="AV92" s="141"/>
      <c r="AW92" s="141"/>
      <c r="AX92" s="141"/>
      <c r="AY92" s="141"/>
      <c r="AZ92" s="141"/>
      <c r="BA92" s="141"/>
      <c r="BB92" s="141"/>
      <c r="BC92" s="141"/>
      <c r="BD92" s="141"/>
      <c r="BE92" s="141"/>
      <c r="BF92" s="141"/>
      <c r="BG92" s="141"/>
      <c r="BH92" s="141"/>
      <c r="BI92" s="141"/>
      <c r="BJ92" s="141"/>
      <c r="BK92" s="141"/>
      <c r="BL92" s="141"/>
      <c r="BM92" s="141"/>
      <c r="BN92" s="141"/>
      <c r="BO92" s="141"/>
      <c r="BP92" s="141"/>
      <c r="BQ92" s="141"/>
      <c r="BR92" s="141"/>
      <c r="BS92" s="141"/>
      <c r="BT92" s="141"/>
      <c r="BU92" s="141"/>
      <c r="BV92" s="141"/>
      <c r="BW92" s="141"/>
      <c r="BX92" s="141"/>
      <c r="BY92" s="141"/>
      <c r="BZ92" s="141"/>
      <c r="CA92" s="141"/>
      <c r="CB92" s="141"/>
      <c r="CC92" s="141"/>
      <c r="CD92" s="141"/>
      <c r="CE92" s="141"/>
      <c r="CF92" s="141"/>
      <c r="CG92" s="141"/>
      <c r="CH92" s="141"/>
      <c r="CI92" s="141"/>
      <c r="CJ92" s="141"/>
      <c r="CK92" s="141"/>
      <c r="CL92" s="141"/>
      <c r="CM92" s="141"/>
    </row>
    <row r="93" spans="1:91" s="157" customFormat="1" ht="18" customHeight="1">
      <c r="A93" s="382">
        <v>7</v>
      </c>
      <c r="B93" s="372" t="s">
        <v>192</v>
      </c>
      <c r="C93" s="384" t="str">
        <f t="shared" ref="C93" si="5">VLOOKUP(B93,DS,2,0)</f>
        <v>Trần Đình Thái</v>
      </c>
      <c r="D93" s="384" t="str">
        <f t="shared" ref="D93" si="6">VLOOKUP(B93,DS,3,0)</f>
        <v>Cơ Điện</v>
      </c>
      <c r="E93" s="63" t="s">
        <v>32</v>
      </c>
      <c r="F93" s="161"/>
      <c r="G93" s="161">
        <v>8</v>
      </c>
      <c r="H93" s="161">
        <v>8</v>
      </c>
      <c r="I93" s="161">
        <v>8</v>
      </c>
      <c r="J93" s="161">
        <v>8</v>
      </c>
      <c r="K93" s="161">
        <v>8</v>
      </c>
      <c r="L93" s="161">
        <v>8</v>
      </c>
      <c r="M93" s="161"/>
      <c r="N93" s="161">
        <v>8</v>
      </c>
      <c r="O93" s="161">
        <v>8</v>
      </c>
      <c r="P93" s="161">
        <v>8</v>
      </c>
      <c r="Q93" s="161">
        <v>8</v>
      </c>
      <c r="R93" s="161">
        <v>8</v>
      </c>
      <c r="S93" s="161">
        <v>8</v>
      </c>
      <c r="T93" s="161"/>
      <c r="U93" s="161">
        <v>8</v>
      </c>
      <c r="V93" s="161">
        <v>8</v>
      </c>
      <c r="W93" s="161">
        <v>8</v>
      </c>
      <c r="X93" s="161">
        <v>8</v>
      </c>
      <c r="Y93" s="161">
        <v>8</v>
      </c>
      <c r="Z93" s="161">
        <v>8</v>
      </c>
      <c r="AA93" s="161"/>
      <c r="AB93" s="161">
        <v>8</v>
      </c>
      <c r="AC93" s="161">
        <v>8</v>
      </c>
      <c r="AD93" s="161"/>
      <c r="AE93" s="161"/>
      <c r="AF93" s="161"/>
      <c r="AG93" s="161"/>
      <c r="AH93" s="161"/>
      <c r="AI93" s="161"/>
      <c r="AJ93" s="161"/>
      <c r="AK93" s="378">
        <f>((SUM(F93:AJ93))/8)-(SUMIF($F$6:$AJ$6,"C.Nhật",F93:AJ93)/8)</f>
        <v>20</v>
      </c>
      <c r="AL93" s="378">
        <f>SUM(F94:AI94)/8*1.5</f>
        <v>0</v>
      </c>
      <c r="AM93" s="386">
        <f>SUMIF($F$6:$AI$6,"C.Nhật",$F93:$AI94)/8*2</f>
        <v>0</v>
      </c>
      <c r="AN93" s="366">
        <f>SUM(AK93:AM94)</f>
        <v>20</v>
      </c>
      <c r="AO93" s="368">
        <v>0</v>
      </c>
      <c r="AP93" s="370"/>
      <c r="AQ93" s="370"/>
      <c r="AR93" s="370"/>
      <c r="AS93" s="318"/>
      <c r="AT93" s="304"/>
      <c r="AV93" s="141"/>
      <c r="AW93" s="141"/>
      <c r="AX93" s="141"/>
      <c r="AY93" s="141"/>
      <c r="AZ93" s="141"/>
      <c r="BA93" s="141"/>
      <c r="BB93" s="141"/>
      <c r="BC93" s="141"/>
      <c r="BD93" s="141"/>
      <c r="BE93" s="141"/>
      <c r="BF93" s="141"/>
      <c r="BG93" s="141"/>
      <c r="BH93" s="141"/>
      <c r="BI93" s="141"/>
      <c r="BJ93" s="141"/>
      <c r="BK93" s="141"/>
      <c r="BL93" s="141"/>
      <c r="BM93" s="141"/>
      <c r="BN93" s="141"/>
      <c r="BO93" s="141"/>
      <c r="BP93" s="141"/>
      <c r="BQ93" s="141"/>
      <c r="BR93" s="141"/>
      <c r="BS93" s="141"/>
      <c r="BT93" s="141"/>
      <c r="BU93" s="141"/>
      <c r="BV93" s="141"/>
      <c r="BW93" s="141"/>
      <c r="BX93" s="141"/>
      <c r="BY93" s="141"/>
      <c r="BZ93" s="141"/>
      <c r="CA93" s="141"/>
      <c r="CB93" s="141"/>
      <c r="CC93" s="141"/>
      <c r="CD93" s="141"/>
      <c r="CE93" s="141"/>
      <c r="CF93" s="141"/>
      <c r="CG93" s="141"/>
      <c r="CH93" s="141"/>
      <c r="CI93" s="141"/>
      <c r="CJ93" s="141"/>
      <c r="CK93" s="141"/>
      <c r="CL93" s="141"/>
      <c r="CM93" s="141"/>
    </row>
    <row r="94" spans="1:91" s="157" customFormat="1" ht="18" customHeight="1">
      <c r="A94" s="383"/>
      <c r="B94" s="373"/>
      <c r="C94" s="385"/>
      <c r="D94" s="385"/>
      <c r="E94" s="64" t="s">
        <v>31</v>
      </c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379"/>
      <c r="AL94" s="379"/>
      <c r="AM94" s="387"/>
      <c r="AN94" s="367"/>
      <c r="AO94" s="369"/>
      <c r="AP94" s="371"/>
      <c r="AQ94" s="371"/>
      <c r="AR94" s="371"/>
      <c r="AS94" s="318"/>
      <c r="AT94" s="304"/>
      <c r="AV94" s="141"/>
      <c r="AW94" s="141"/>
      <c r="AX94" s="141"/>
      <c r="AY94" s="141"/>
      <c r="AZ94" s="141"/>
      <c r="BA94" s="141"/>
      <c r="BB94" s="141"/>
      <c r="BC94" s="141"/>
      <c r="BD94" s="141"/>
      <c r="BE94" s="141"/>
      <c r="BF94" s="141"/>
      <c r="BG94" s="141"/>
      <c r="BH94" s="141"/>
      <c r="BI94" s="141"/>
      <c r="BJ94" s="141"/>
      <c r="BK94" s="141"/>
      <c r="BL94" s="141"/>
      <c r="BM94" s="141"/>
      <c r="BN94" s="141"/>
      <c r="BO94" s="141"/>
      <c r="BP94" s="141"/>
      <c r="BQ94" s="141"/>
      <c r="BR94" s="141"/>
      <c r="BS94" s="141"/>
      <c r="BT94" s="141"/>
      <c r="BU94" s="141"/>
      <c r="BV94" s="141"/>
      <c r="BW94" s="141"/>
      <c r="BX94" s="141"/>
      <c r="BY94" s="141"/>
      <c r="BZ94" s="141"/>
      <c r="CA94" s="141"/>
      <c r="CB94" s="141"/>
      <c r="CC94" s="141"/>
      <c r="CD94" s="141"/>
      <c r="CE94" s="141"/>
      <c r="CF94" s="141"/>
      <c r="CG94" s="141"/>
      <c r="CH94" s="141"/>
      <c r="CI94" s="141"/>
      <c r="CJ94" s="141"/>
      <c r="CK94" s="141"/>
      <c r="CL94" s="141"/>
      <c r="CM94" s="141"/>
    </row>
    <row r="95" spans="1:91" s="157" customFormat="1" ht="18" customHeight="1">
      <c r="A95" s="372">
        <v>8</v>
      </c>
      <c r="B95" s="372" t="s">
        <v>81</v>
      </c>
      <c r="C95" s="374" t="str">
        <f>VLOOKUP(B95,DS,2,0)</f>
        <v>Nguyễn Thiện Duyệt</v>
      </c>
      <c r="D95" s="376" t="str">
        <f>VLOOKUP(B95,DS,3,0)</f>
        <v>XNK</v>
      </c>
      <c r="E95" s="63" t="s">
        <v>32</v>
      </c>
      <c r="F95" s="161"/>
      <c r="G95" s="161">
        <v>8</v>
      </c>
      <c r="H95" s="161">
        <v>8</v>
      </c>
      <c r="I95" s="161">
        <v>8</v>
      </c>
      <c r="J95" s="161">
        <v>8</v>
      </c>
      <c r="K95" s="161">
        <v>8</v>
      </c>
      <c r="L95" s="161">
        <v>8</v>
      </c>
      <c r="M95" s="161"/>
      <c r="N95" s="161">
        <v>8</v>
      </c>
      <c r="O95" s="161">
        <v>8</v>
      </c>
      <c r="P95" s="161">
        <v>8</v>
      </c>
      <c r="Q95" s="161">
        <v>8</v>
      </c>
      <c r="R95" s="161">
        <v>8</v>
      </c>
      <c r="S95" s="161">
        <v>8</v>
      </c>
      <c r="T95" s="161"/>
      <c r="U95" s="161">
        <v>8</v>
      </c>
      <c r="V95" s="161">
        <v>8</v>
      </c>
      <c r="W95" s="161">
        <v>8</v>
      </c>
      <c r="X95" s="161">
        <v>8</v>
      </c>
      <c r="Y95" s="161">
        <v>8</v>
      </c>
      <c r="Z95" s="161">
        <v>8</v>
      </c>
      <c r="AA95" s="161"/>
      <c r="AB95" s="161">
        <v>8</v>
      </c>
      <c r="AC95" s="161">
        <v>8</v>
      </c>
      <c r="AD95" s="161"/>
      <c r="AE95" s="161"/>
      <c r="AF95" s="161"/>
      <c r="AG95" s="161"/>
      <c r="AH95" s="161"/>
      <c r="AI95" s="161"/>
      <c r="AJ95" s="161"/>
      <c r="AK95" s="378">
        <f>((SUM(F95:AJ95))/8)-(SUMIF($F$6:$AJ$6,"C.Nhật",F95:AJ95)/8)</f>
        <v>20</v>
      </c>
      <c r="AL95" s="378">
        <f>SUM(F96:AI96)/8*1.5</f>
        <v>0</v>
      </c>
      <c r="AM95" s="386">
        <f>SUMIF($F$6:$AI$6,"C.Nhật",$F95:$AI96)/8*2</f>
        <v>0</v>
      </c>
      <c r="AN95" s="366">
        <f>SUM(AK95:AM96)</f>
        <v>20</v>
      </c>
      <c r="AO95" s="368">
        <v>0</v>
      </c>
      <c r="AP95" s="370"/>
      <c r="AQ95" s="370"/>
      <c r="AR95" s="370"/>
      <c r="AS95" s="380"/>
      <c r="AT95" s="304"/>
      <c r="AV95" s="141"/>
      <c r="AW95" s="141"/>
      <c r="AX95" s="141"/>
      <c r="AY95" s="141"/>
      <c r="AZ95" s="141"/>
      <c r="BA95" s="141"/>
      <c r="BB95" s="141"/>
      <c r="BC95" s="141"/>
      <c r="BD95" s="141"/>
      <c r="BE95" s="141"/>
      <c r="BF95" s="141"/>
      <c r="BG95" s="141"/>
      <c r="BH95" s="141"/>
      <c r="BI95" s="141"/>
      <c r="BJ95" s="141"/>
      <c r="BK95" s="141"/>
      <c r="BL95" s="141"/>
      <c r="BM95" s="141"/>
      <c r="BN95" s="141"/>
      <c r="BO95" s="141"/>
      <c r="BP95" s="141"/>
      <c r="BQ95" s="141"/>
      <c r="BR95" s="141"/>
      <c r="BS95" s="141"/>
      <c r="BT95" s="141"/>
      <c r="BU95" s="141"/>
      <c r="BV95" s="141"/>
      <c r="BW95" s="141"/>
      <c r="BX95" s="141"/>
      <c r="BY95" s="141"/>
      <c r="BZ95" s="141"/>
      <c r="CA95" s="141"/>
      <c r="CB95" s="141"/>
      <c r="CC95" s="141"/>
      <c r="CD95" s="141"/>
      <c r="CE95" s="141"/>
      <c r="CF95" s="141"/>
      <c r="CG95" s="141"/>
      <c r="CH95" s="141"/>
      <c r="CI95" s="141"/>
      <c r="CJ95" s="141"/>
      <c r="CK95" s="141"/>
      <c r="CL95" s="141"/>
      <c r="CM95" s="141"/>
    </row>
    <row r="96" spans="1:91" s="157" customFormat="1" ht="18" customHeight="1">
      <c r="A96" s="373"/>
      <c r="B96" s="373"/>
      <c r="C96" s="375"/>
      <c r="D96" s="377"/>
      <c r="E96" s="64" t="s">
        <v>31</v>
      </c>
      <c r="F96" s="162"/>
      <c r="G96" s="162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379"/>
      <c r="AL96" s="379"/>
      <c r="AM96" s="387"/>
      <c r="AN96" s="367"/>
      <c r="AO96" s="369"/>
      <c r="AP96" s="371"/>
      <c r="AQ96" s="371"/>
      <c r="AR96" s="371"/>
      <c r="AS96" s="381"/>
      <c r="AT96" s="304"/>
      <c r="AV96" s="141"/>
      <c r="AW96" s="141"/>
      <c r="AX96" s="141"/>
      <c r="AY96" s="141"/>
      <c r="AZ96" s="141"/>
      <c r="BA96" s="141"/>
      <c r="BB96" s="141"/>
      <c r="BC96" s="141"/>
      <c r="BD96" s="141"/>
      <c r="BE96" s="141"/>
      <c r="BF96" s="141"/>
      <c r="BG96" s="141"/>
      <c r="BH96" s="141"/>
      <c r="BI96" s="141"/>
      <c r="BJ96" s="141"/>
      <c r="BK96" s="141"/>
      <c r="BL96" s="141"/>
      <c r="BM96" s="141"/>
      <c r="BN96" s="141"/>
      <c r="BO96" s="141"/>
      <c r="BP96" s="141"/>
      <c r="BQ96" s="141"/>
      <c r="BR96" s="141"/>
      <c r="BS96" s="141"/>
      <c r="BT96" s="141"/>
      <c r="BU96" s="141"/>
      <c r="BV96" s="141"/>
      <c r="BW96" s="141"/>
      <c r="BX96" s="141"/>
      <c r="BY96" s="141"/>
      <c r="BZ96" s="141"/>
      <c r="CA96" s="141"/>
      <c r="CB96" s="141"/>
      <c r="CC96" s="141"/>
      <c r="CD96" s="141"/>
      <c r="CE96" s="141"/>
      <c r="CF96" s="141"/>
      <c r="CG96" s="141"/>
      <c r="CH96" s="141"/>
      <c r="CI96" s="141"/>
      <c r="CJ96" s="141"/>
      <c r="CK96" s="141"/>
      <c r="CL96" s="141"/>
      <c r="CM96" s="141"/>
    </row>
    <row r="97" spans="1:46" s="173" customFormat="1" ht="12.75">
      <c r="A97" s="163"/>
      <c r="B97" s="164"/>
      <c r="C97" s="165"/>
      <c r="D97" s="166"/>
      <c r="E97" s="165"/>
      <c r="F97" s="167"/>
      <c r="G97" s="167"/>
      <c r="H97" s="168"/>
      <c r="I97" s="168"/>
      <c r="J97" s="169"/>
      <c r="K97" s="167"/>
      <c r="L97" s="168"/>
      <c r="M97" s="167"/>
      <c r="N97" s="167"/>
      <c r="O97" s="167"/>
      <c r="P97" s="167"/>
      <c r="Q97" s="168"/>
      <c r="R97" s="167"/>
      <c r="S97" s="167"/>
      <c r="T97" s="169"/>
      <c r="U97" s="167"/>
      <c r="V97" s="167"/>
      <c r="W97" s="167"/>
      <c r="X97" s="164"/>
      <c r="Y97" s="167"/>
      <c r="Z97" s="167"/>
      <c r="AA97" s="167"/>
      <c r="AB97" s="167"/>
      <c r="AC97" s="167"/>
      <c r="AD97" s="168"/>
      <c r="AE97" s="167"/>
      <c r="AF97" s="167"/>
      <c r="AG97" s="167"/>
      <c r="AH97" s="167"/>
      <c r="AI97" s="167"/>
      <c r="AJ97" s="167"/>
      <c r="AK97" s="165"/>
      <c r="AL97" s="165"/>
      <c r="AM97" s="170"/>
      <c r="AN97" s="171"/>
      <c r="AO97" s="171"/>
      <c r="AP97" s="171"/>
      <c r="AQ97" s="171"/>
      <c r="AR97" s="171"/>
      <c r="AS97" s="165"/>
      <c r="AT97" s="172"/>
    </row>
    <row r="98" spans="1:46" s="173" customFormat="1" ht="12.75">
      <c r="A98" s="163"/>
      <c r="B98" s="164"/>
      <c r="C98" s="174" t="s">
        <v>14</v>
      </c>
      <c r="D98" s="166"/>
      <c r="E98" s="165"/>
      <c r="F98" s="167"/>
      <c r="G98" s="167"/>
      <c r="H98" s="168"/>
      <c r="I98" s="168"/>
      <c r="J98" s="169"/>
      <c r="K98" s="167"/>
      <c r="L98" s="168"/>
      <c r="M98" s="167"/>
      <c r="N98" s="167"/>
      <c r="O98" s="167"/>
      <c r="P98" s="167"/>
      <c r="Q98" s="168"/>
      <c r="R98" s="167"/>
      <c r="S98" s="167"/>
      <c r="T98" s="169"/>
      <c r="U98" s="167"/>
      <c r="V98" s="167"/>
      <c r="W98" s="167"/>
      <c r="X98" s="164"/>
      <c r="Y98" s="167"/>
      <c r="Z98" s="167"/>
      <c r="AA98" s="167"/>
      <c r="AB98" s="167"/>
      <c r="AC98" s="167"/>
      <c r="AD98" s="168"/>
      <c r="AE98" s="167"/>
      <c r="AF98" s="167"/>
      <c r="AG98" s="167"/>
      <c r="AH98" s="167"/>
      <c r="AI98" s="167"/>
      <c r="AJ98" s="167"/>
      <c r="AK98" s="165"/>
      <c r="AL98" s="165"/>
      <c r="AM98" s="170"/>
      <c r="AN98" s="171"/>
      <c r="AO98" s="171"/>
      <c r="AP98" s="171"/>
      <c r="AQ98" s="171"/>
      <c r="AR98" s="171"/>
      <c r="AS98" s="165"/>
      <c r="AT98" s="172"/>
    </row>
    <row r="99" spans="1:46" s="173" customFormat="1" ht="12.75">
      <c r="A99" s="175"/>
      <c r="B99" s="175"/>
      <c r="C99" s="165"/>
      <c r="D99" s="166"/>
      <c r="E99" s="165"/>
      <c r="F99" s="167"/>
      <c r="G99" s="167"/>
      <c r="H99" s="176"/>
      <c r="I99" s="176"/>
      <c r="J99" s="176"/>
      <c r="K99" s="167"/>
      <c r="L99" s="176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76"/>
      <c r="AE99" s="167"/>
      <c r="AF99" s="167"/>
      <c r="AG99" s="167"/>
      <c r="AH99" s="167"/>
      <c r="AI99" s="167"/>
      <c r="AJ99" s="167"/>
      <c r="AK99" s="165"/>
      <c r="AL99" s="165"/>
      <c r="AM99" s="170"/>
      <c r="AN99" s="177"/>
      <c r="AO99" s="177"/>
      <c r="AP99" s="177"/>
      <c r="AQ99" s="177"/>
      <c r="AR99" s="177"/>
      <c r="AS99" s="165"/>
      <c r="AT99" s="172"/>
    </row>
    <row r="100" spans="1:46" s="178" customFormat="1" ht="15" customHeight="1">
      <c r="A100" s="175"/>
      <c r="B100" s="175"/>
      <c r="C100" s="165"/>
      <c r="D100" s="166"/>
      <c r="E100" s="165"/>
      <c r="F100" s="167"/>
      <c r="G100" s="167"/>
      <c r="H100" s="176"/>
      <c r="I100" s="176"/>
      <c r="J100" s="176"/>
      <c r="K100" s="167"/>
      <c r="L100" s="176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76"/>
      <c r="AE100" s="167"/>
      <c r="AF100" s="167"/>
      <c r="AG100" s="167"/>
      <c r="AH100" s="167"/>
      <c r="AI100" s="167"/>
      <c r="AJ100" s="167"/>
      <c r="AK100" s="165"/>
      <c r="AL100" s="165"/>
      <c r="AM100" s="170"/>
      <c r="AN100" s="177"/>
      <c r="AO100" s="177"/>
      <c r="AP100" s="177"/>
      <c r="AQ100" s="177"/>
      <c r="AR100" s="177"/>
      <c r="AS100" s="165"/>
      <c r="AT100" s="165"/>
    </row>
    <row r="101" spans="1:46" s="178" customFormat="1" ht="11.25">
      <c r="A101" s="175"/>
      <c r="B101" s="175"/>
      <c r="C101" s="165"/>
      <c r="D101" s="166"/>
      <c r="E101" s="165"/>
      <c r="F101" s="167"/>
      <c r="G101" s="167"/>
      <c r="H101" s="176"/>
      <c r="I101" s="176"/>
      <c r="J101" s="176"/>
      <c r="K101" s="167"/>
      <c r="L101" s="176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76"/>
      <c r="AE101" s="167"/>
      <c r="AF101" s="167"/>
      <c r="AG101" s="167"/>
      <c r="AH101" s="167"/>
      <c r="AI101" s="167"/>
      <c r="AJ101" s="167"/>
      <c r="AK101" s="165"/>
      <c r="AL101" s="165"/>
      <c r="AM101" s="170"/>
      <c r="AN101" s="177"/>
      <c r="AO101" s="177"/>
      <c r="AP101" s="177"/>
      <c r="AQ101" s="177"/>
      <c r="AR101" s="177"/>
      <c r="AS101" s="165"/>
      <c r="AT101" s="165"/>
    </row>
    <row r="102" spans="1:46" s="178" customFormat="1" ht="12.75">
      <c r="A102" s="175"/>
      <c r="B102" s="202"/>
      <c r="C102" s="203"/>
      <c r="D102" s="204"/>
      <c r="E102" s="165"/>
      <c r="F102" s="167"/>
      <c r="G102" s="167"/>
      <c r="H102" s="176"/>
      <c r="I102" s="176"/>
      <c r="J102" s="176"/>
      <c r="K102" s="167"/>
      <c r="L102" s="176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76"/>
      <c r="AE102" s="167"/>
      <c r="AF102" s="167"/>
      <c r="AG102" s="167"/>
      <c r="AH102" s="167"/>
      <c r="AI102" s="167"/>
      <c r="AJ102" s="167"/>
      <c r="AK102" s="165"/>
      <c r="AL102" s="165"/>
      <c r="AM102" s="170"/>
      <c r="AN102" s="177"/>
      <c r="AO102" s="177"/>
      <c r="AP102" s="177"/>
      <c r="AQ102" s="177"/>
      <c r="AR102" s="177"/>
      <c r="AS102" s="165"/>
      <c r="AT102" s="165"/>
    </row>
    <row r="103" spans="1:46" s="178" customFormat="1" ht="11.25">
      <c r="A103" s="174"/>
      <c r="B103" s="174"/>
      <c r="C103" s="163"/>
      <c r="D103" s="179"/>
      <c r="E103" s="180"/>
      <c r="F103" s="169"/>
      <c r="G103" s="181"/>
      <c r="H103" s="168"/>
      <c r="I103" s="168"/>
      <c r="J103" s="168"/>
      <c r="K103" s="181"/>
      <c r="L103" s="168"/>
      <c r="M103" s="181"/>
      <c r="N103" s="181"/>
      <c r="O103" s="181"/>
      <c r="P103" s="181"/>
      <c r="Q103" s="168"/>
      <c r="R103" s="169"/>
      <c r="S103" s="181"/>
      <c r="T103" s="181"/>
      <c r="U103" s="168"/>
      <c r="V103" s="181"/>
      <c r="W103" s="181"/>
      <c r="X103" s="168"/>
      <c r="Y103" s="181"/>
      <c r="Z103" s="181"/>
      <c r="AA103" s="181"/>
      <c r="AB103" s="181"/>
      <c r="AC103" s="181"/>
      <c r="AD103" s="168"/>
      <c r="AE103" s="181"/>
      <c r="AF103" s="181"/>
      <c r="AG103" s="181"/>
      <c r="AH103" s="181"/>
      <c r="AI103" s="181"/>
      <c r="AJ103" s="181"/>
      <c r="AK103" s="180"/>
      <c r="AM103" s="182"/>
      <c r="AN103" s="174"/>
      <c r="AO103" s="174"/>
      <c r="AP103" s="174"/>
      <c r="AQ103" s="174"/>
      <c r="AR103" s="174"/>
      <c r="AS103" s="163"/>
      <c r="AT103" s="165"/>
    </row>
    <row r="104" spans="1:46" s="178" customFormat="1" ht="12.75">
      <c r="A104" s="141"/>
      <c r="B104" s="141" t="s">
        <v>0</v>
      </c>
      <c r="C104" s="141"/>
      <c r="D104" s="183"/>
      <c r="E104" s="141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  <c r="AD104" s="184"/>
      <c r="AE104" s="184"/>
      <c r="AF104" s="184"/>
      <c r="AG104" s="184"/>
      <c r="AH104" s="185"/>
      <c r="AI104" s="185"/>
      <c r="AJ104" s="185"/>
      <c r="AK104" s="141"/>
      <c r="AL104" s="141"/>
      <c r="AM104" s="186"/>
      <c r="AN104" s="141"/>
      <c r="AO104" s="141"/>
      <c r="AP104" s="141"/>
      <c r="AQ104" s="141"/>
      <c r="AR104" s="141"/>
      <c r="AS104" s="141"/>
      <c r="AT104" s="165"/>
    </row>
    <row r="105" spans="1:46" s="178" customFormat="1" ht="12.75">
      <c r="A105" s="141"/>
      <c r="B105" s="141"/>
      <c r="C105" s="141" t="s">
        <v>46</v>
      </c>
      <c r="D105" s="183"/>
      <c r="E105" s="141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  <c r="AD105" s="184"/>
      <c r="AE105" s="184"/>
      <c r="AF105" s="184"/>
      <c r="AG105" s="184"/>
      <c r="AH105" s="185"/>
      <c r="AI105" s="185"/>
      <c r="AJ105" s="185"/>
      <c r="AK105" s="141"/>
      <c r="AL105" s="141"/>
      <c r="AM105" s="186"/>
      <c r="AN105" s="141"/>
      <c r="AO105" s="141"/>
      <c r="AP105" s="141"/>
      <c r="AQ105" s="141"/>
      <c r="AR105" s="141"/>
      <c r="AS105" s="141"/>
      <c r="AT105" s="163"/>
    </row>
    <row r="106" spans="1:46" s="141" customFormat="1" ht="15" customHeight="1">
      <c r="C106" s="141" t="s">
        <v>47</v>
      </c>
      <c r="D106" s="183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  <c r="AC106" s="184"/>
      <c r="AD106" s="184"/>
      <c r="AE106" s="184"/>
      <c r="AF106" s="184"/>
      <c r="AG106" s="184"/>
      <c r="AH106" s="185"/>
      <c r="AI106" s="185"/>
      <c r="AJ106" s="185"/>
      <c r="AM106" s="186"/>
    </row>
    <row r="107" spans="1:46" s="141" customFormat="1" ht="15" customHeight="1">
      <c r="C107" s="141" t="s">
        <v>48</v>
      </c>
      <c r="D107" s="183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  <c r="AA107" s="184"/>
      <c r="AB107" s="184"/>
      <c r="AC107" s="184"/>
      <c r="AD107" s="184"/>
      <c r="AE107" s="184"/>
      <c r="AF107" s="184"/>
      <c r="AG107" s="184"/>
      <c r="AH107" s="185"/>
      <c r="AI107" s="185"/>
      <c r="AJ107" s="185"/>
      <c r="AM107" s="186"/>
    </row>
    <row r="108" spans="1:46" s="141" customFormat="1" ht="15" customHeight="1">
      <c r="C108" s="141" t="s">
        <v>49</v>
      </c>
      <c r="D108" s="183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184"/>
      <c r="AC108" s="184"/>
      <c r="AD108" s="184"/>
      <c r="AE108" s="184"/>
      <c r="AF108" s="184"/>
      <c r="AG108" s="184"/>
      <c r="AH108" s="185"/>
      <c r="AI108" s="185"/>
      <c r="AJ108" s="185"/>
      <c r="AM108" s="186"/>
    </row>
    <row r="109" spans="1:46" s="141" customFormat="1" ht="15" customHeight="1">
      <c r="C109" s="141" t="s">
        <v>50</v>
      </c>
      <c r="D109" s="183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84"/>
      <c r="AD109" s="184"/>
      <c r="AE109" s="184"/>
      <c r="AF109" s="184"/>
      <c r="AG109" s="184"/>
      <c r="AH109" s="185"/>
      <c r="AI109" s="185"/>
      <c r="AJ109" s="185"/>
      <c r="AM109" s="186"/>
    </row>
    <row r="110" spans="1:46" s="141" customFormat="1" ht="15" customHeight="1">
      <c r="C110" s="141" t="s">
        <v>51</v>
      </c>
      <c r="D110" s="183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84"/>
      <c r="AD110" s="184"/>
      <c r="AE110" s="184"/>
      <c r="AF110" s="184"/>
      <c r="AG110" s="184"/>
      <c r="AH110" s="185"/>
      <c r="AI110" s="185"/>
      <c r="AJ110" s="185"/>
      <c r="AM110" s="186"/>
    </row>
    <row r="111" spans="1:46" s="141" customFormat="1" ht="15" customHeight="1">
      <c r="C111" s="141" t="s">
        <v>52</v>
      </c>
      <c r="D111" s="183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  <c r="AD111" s="184"/>
      <c r="AE111" s="184"/>
      <c r="AF111" s="184"/>
      <c r="AG111" s="184"/>
      <c r="AH111" s="185"/>
      <c r="AI111" s="185"/>
      <c r="AJ111" s="185"/>
      <c r="AM111" s="186"/>
    </row>
    <row r="112" spans="1:46" s="141" customFormat="1" ht="15" customHeight="1">
      <c r="C112" s="141" t="s">
        <v>53</v>
      </c>
      <c r="D112" s="183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  <c r="AA112" s="184"/>
      <c r="AB112" s="184"/>
      <c r="AC112" s="184"/>
      <c r="AD112" s="184"/>
      <c r="AE112" s="184"/>
      <c r="AF112" s="184"/>
      <c r="AG112" s="184"/>
      <c r="AH112" s="185"/>
      <c r="AI112" s="185"/>
      <c r="AJ112" s="185"/>
      <c r="AM112" s="186"/>
    </row>
    <row r="113" spans="3:39" s="141" customFormat="1" ht="15" customHeight="1">
      <c r="C113" s="141" t="s">
        <v>54</v>
      </c>
      <c r="D113" s="183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  <c r="AD113" s="184"/>
      <c r="AE113" s="184"/>
      <c r="AF113" s="184"/>
      <c r="AG113" s="184"/>
      <c r="AH113" s="185"/>
      <c r="AI113" s="185"/>
      <c r="AJ113" s="185"/>
      <c r="AM113" s="186"/>
    </row>
    <row r="127" spans="3:39" ht="12.75"/>
    <row r="128" spans="3:39" ht="12.75"/>
    <row r="129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:J52 Q47:Q48" name="Range1_1_1_1_2"/>
    <protectedRange password="CC78" sqref="J53" name="Range1_3_1_1_2"/>
    <protectedRange password="CC78" sqref="A74:A76" name="Range1_2_1_1_1"/>
    <protectedRange password="CC78" sqref="A81:A92 B94 A95:A96" name="Range1_1_1_2"/>
    <protectedRange password="CC78" sqref="A81:A92 B94 D93:D94 C81:D92 C95:D96 A95:A96 E81:E96" name="Range1_6_1_1"/>
    <protectedRange password="CC78" sqref="B81:B92 C94 B95:B96" name="Range1_4_1_1"/>
    <protectedRange password="CC78" sqref="J99:J102 Q97:Q98" name="Range1_1_1_1_1_1"/>
    <protectedRange password="CC78" sqref="J103" name="Range1_3_1_1_1_1"/>
    <protectedRange password="CC78" sqref="A14:A35 A37:A46" name="Range1_1_2_1"/>
    <protectedRange password="CC78" sqref="A14:A35 C14:E35 C37:E46 A37:A46" name="Range1_6_2_1"/>
    <protectedRange password="CC78" sqref="B14:B35 B37:B38 B41:B46" name="Range1_4_2_1"/>
    <protectedRange password="CC78" sqref="B39:B40" name="Range1_4_2_2"/>
    <protectedRange password="CC78" sqref="B102 B93" name="Range1"/>
    <protectedRange password="CC78" sqref="B102 B93" name="Range1_3"/>
  </protectedRanges>
  <mergeCells count="36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L37:AL38"/>
    <mergeCell ref="AM37:AM38"/>
    <mergeCell ref="AN37:AN38"/>
    <mergeCell ref="AO37:AO38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D37:D38"/>
    <mergeCell ref="AK37:AK38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L41:AL42"/>
    <mergeCell ref="AM41:AM42"/>
    <mergeCell ref="AP45:AP46"/>
    <mergeCell ref="AQ45:AQ46"/>
    <mergeCell ref="AR45:AR46"/>
    <mergeCell ref="AS45:AS46"/>
    <mergeCell ref="AM74:AS74"/>
    <mergeCell ref="A78:A79"/>
    <mergeCell ref="B78:B79"/>
    <mergeCell ref="C78:C79"/>
    <mergeCell ref="D78:D79"/>
    <mergeCell ref="E78:E79"/>
    <mergeCell ref="AS78:AS79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T78:AT79"/>
    <mergeCell ref="A81:A82"/>
    <mergeCell ref="B81:B82"/>
    <mergeCell ref="C81:C82"/>
    <mergeCell ref="D81:D82"/>
    <mergeCell ref="AK81:AK82"/>
    <mergeCell ref="AL81:AL82"/>
    <mergeCell ref="AM81:AM82"/>
    <mergeCell ref="AN81:AN82"/>
    <mergeCell ref="AK78:AM78"/>
    <mergeCell ref="AN78:AN79"/>
    <mergeCell ref="AO78:AO79"/>
    <mergeCell ref="AP78:AP79"/>
    <mergeCell ref="AQ78:AQ79"/>
    <mergeCell ref="AR78:AR79"/>
    <mergeCell ref="AO81:AO82"/>
    <mergeCell ref="AP81:AP82"/>
    <mergeCell ref="AQ81:AQ82"/>
    <mergeCell ref="AR81:AR82"/>
    <mergeCell ref="AS81:AS82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Q85:AQ86"/>
    <mergeCell ref="AL87:AL88"/>
    <mergeCell ref="AM87:AM88"/>
    <mergeCell ref="AN87:AN88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95:A96"/>
    <mergeCell ref="B95:B96"/>
    <mergeCell ref="C95:C96"/>
    <mergeCell ref="D95:D96"/>
    <mergeCell ref="AK95:AK96"/>
    <mergeCell ref="AL95:AL96"/>
    <mergeCell ref="AR91:AR92"/>
    <mergeCell ref="AS91:AS92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91:AO92"/>
    <mergeCell ref="AP91:AP92"/>
    <mergeCell ref="AQ91:AQ92"/>
    <mergeCell ref="AS95:AS96"/>
    <mergeCell ref="AM95:AM96"/>
    <mergeCell ref="AN95:AN96"/>
    <mergeCell ref="AO95:AO96"/>
    <mergeCell ref="AP95:AP96"/>
    <mergeCell ref="AQ95:AQ96"/>
    <mergeCell ref="AR95:AR96"/>
    <mergeCell ref="AO93:AO94"/>
    <mergeCell ref="AP93:AP94"/>
    <mergeCell ref="AQ93:AQ94"/>
    <mergeCell ref="AR93:AR94"/>
  </mergeCells>
  <conditionalFormatting sqref="F104:AJ105 F5:AJ6 F53:AJ72 F107:AJ120 F9:AJ12 F14:AJ51">
    <cfRule type="expression" dxfId="45" priority="29" stopIfTrue="1">
      <formula>IF(WEEKDAY(F$5)=1,TRUE,FALSE)</formula>
    </cfRule>
  </conditionalFormatting>
  <conditionalFormatting sqref="F5:AJ6 F78:AJ79 F9:AJ12 F14:AJ35 F81:AJ96">
    <cfRule type="expression" dxfId="44" priority="28" stopIfTrue="1">
      <formula>IF(WEEKDAY(F$5)=1,TRUE,FALSE)</formula>
    </cfRule>
  </conditionalFormatting>
  <conditionalFormatting sqref="K37:P37">
    <cfRule type="expression" dxfId="43" priority="27" stopIfTrue="1">
      <formula>IF(WEEKDAY(K$5)=1,TRUE,FALSE)</formula>
    </cfRule>
  </conditionalFormatting>
  <conditionalFormatting sqref="K39:P39">
    <cfRule type="expression" dxfId="42" priority="26" stopIfTrue="1">
      <formula>IF(WEEKDAY(K$5)=1,TRUE,FALSE)</formula>
    </cfRule>
  </conditionalFormatting>
  <conditionalFormatting sqref="K41:P41">
    <cfRule type="expression" dxfId="41" priority="25" stopIfTrue="1">
      <formula>IF(WEEKDAY(K$5)=1,TRUE,FALSE)</formula>
    </cfRule>
  </conditionalFormatting>
  <conditionalFormatting sqref="K43:P43">
    <cfRule type="expression" dxfId="40" priority="24" stopIfTrue="1">
      <formula>IF(WEEKDAY(K$5)=1,TRUE,FALSE)</formula>
    </cfRule>
  </conditionalFormatting>
  <conditionalFormatting sqref="K45:P45">
    <cfRule type="expression" dxfId="39" priority="23" stopIfTrue="1">
      <formula>IF(WEEKDAY(K$5)=1,TRUE,FALSE)</formula>
    </cfRule>
  </conditionalFormatting>
  <conditionalFormatting sqref="R45:W45">
    <cfRule type="expression" dxfId="38" priority="22" stopIfTrue="1">
      <formula>IF(WEEKDAY(R$5)=1,TRUE,FALSE)</formula>
    </cfRule>
  </conditionalFormatting>
  <conditionalFormatting sqref="R43:W43">
    <cfRule type="expression" dxfId="37" priority="21" stopIfTrue="1">
      <formula>IF(WEEKDAY(R$5)=1,TRUE,FALSE)</formula>
    </cfRule>
  </conditionalFormatting>
  <conditionalFormatting sqref="R41:W41">
    <cfRule type="expression" dxfId="36" priority="20" stopIfTrue="1">
      <formula>IF(WEEKDAY(R$5)=1,TRUE,FALSE)</formula>
    </cfRule>
  </conditionalFormatting>
  <conditionalFormatting sqref="R39:W39">
    <cfRule type="expression" dxfId="35" priority="19" stopIfTrue="1">
      <formula>IF(WEEKDAY(R$5)=1,TRUE,FALSE)</formula>
    </cfRule>
  </conditionalFormatting>
  <conditionalFormatting sqref="R37:W37">
    <cfRule type="expression" dxfId="34" priority="18" stopIfTrue="1">
      <formula>IF(WEEKDAY(R$5)=1,TRUE,FALSE)</formula>
    </cfRule>
  </conditionalFormatting>
  <conditionalFormatting sqref="Y37:AD37">
    <cfRule type="expression" dxfId="33" priority="17" stopIfTrue="1">
      <formula>IF(WEEKDAY(Y$5)=1,TRUE,FALSE)</formula>
    </cfRule>
  </conditionalFormatting>
  <conditionalFormatting sqref="Y39:AD39">
    <cfRule type="expression" dxfId="32" priority="16" stopIfTrue="1">
      <formula>IF(WEEKDAY(Y$5)=1,TRUE,FALSE)</formula>
    </cfRule>
  </conditionalFormatting>
  <conditionalFormatting sqref="Y41:AD41">
    <cfRule type="expression" dxfId="31" priority="15" stopIfTrue="1">
      <formula>IF(WEEKDAY(Y$5)=1,TRUE,FALSE)</formula>
    </cfRule>
  </conditionalFormatting>
  <conditionalFormatting sqref="Y43:AD43">
    <cfRule type="expression" dxfId="30" priority="14" stopIfTrue="1">
      <formula>IF(WEEKDAY(Y$5)=1,TRUE,FALSE)</formula>
    </cfRule>
  </conditionalFormatting>
  <conditionalFormatting sqref="Y45:AD45">
    <cfRule type="expression" dxfId="29" priority="13" stopIfTrue="1">
      <formula>IF(WEEKDAY(Y$5)=1,TRUE,FALSE)</formula>
    </cfRule>
  </conditionalFormatting>
  <conditionalFormatting sqref="G37:L37">
    <cfRule type="expression" dxfId="28" priority="12" stopIfTrue="1">
      <formula>IF(WEEKDAY(G$5)=1,TRUE,FALSE)</formula>
    </cfRule>
  </conditionalFormatting>
  <conditionalFormatting sqref="N37:S37">
    <cfRule type="expression" dxfId="27" priority="11" stopIfTrue="1">
      <formula>IF(WEEKDAY(N$5)=1,TRUE,FALSE)</formula>
    </cfRule>
  </conditionalFormatting>
  <conditionalFormatting sqref="U37:Z37">
    <cfRule type="expression" dxfId="26" priority="10" stopIfTrue="1">
      <formula>IF(WEEKDAY(U$5)=1,TRUE,FALSE)</formula>
    </cfRule>
  </conditionalFormatting>
  <conditionalFormatting sqref="G41:L41">
    <cfRule type="expression" dxfId="25" priority="9" stopIfTrue="1">
      <formula>IF(WEEKDAY(G$5)=1,TRUE,FALSE)</formula>
    </cfRule>
  </conditionalFormatting>
  <conditionalFormatting sqref="N41:S41">
    <cfRule type="expression" dxfId="24" priority="8" stopIfTrue="1">
      <formula>IF(WEEKDAY(N$5)=1,TRUE,FALSE)</formula>
    </cfRule>
  </conditionalFormatting>
  <conditionalFormatting sqref="U41:Z41">
    <cfRule type="expression" dxfId="23" priority="7" stopIfTrue="1">
      <formula>IF(WEEKDAY(U$5)=1,TRUE,FALSE)</formula>
    </cfRule>
  </conditionalFormatting>
  <conditionalFormatting sqref="G43:L43">
    <cfRule type="expression" dxfId="22" priority="6" stopIfTrue="1">
      <formula>IF(WEEKDAY(G$5)=1,TRUE,FALSE)</formula>
    </cfRule>
  </conditionalFormatting>
  <conditionalFormatting sqref="G45:L45">
    <cfRule type="expression" dxfId="21" priority="5" stopIfTrue="1">
      <formula>IF(WEEKDAY(G$5)=1,TRUE,FALSE)</formula>
    </cfRule>
  </conditionalFormatting>
  <conditionalFormatting sqref="N43:S43">
    <cfRule type="expression" dxfId="20" priority="4" stopIfTrue="1">
      <formula>IF(WEEKDAY(N$5)=1,TRUE,FALSE)</formula>
    </cfRule>
  </conditionalFormatting>
  <conditionalFormatting sqref="N45:S45">
    <cfRule type="expression" dxfId="19" priority="3" stopIfTrue="1">
      <formula>IF(WEEKDAY(N$5)=1,TRUE,FALSE)</formula>
    </cfRule>
  </conditionalFormatting>
  <conditionalFormatting sqref="U43:Z43">
    <cfRule type="expression" dxfId="18" priority="2" stopIfTrue="1">
      <formula>IF(WEEKDAY(U$5)=1,TRUE,FALSE)</formula>
    </cfRule>
  </conditionalFormatting>
  <conditionalFormatting sqref="U45:Z45">
    <cfRule type="expression" dxfId="17" priority="1" stopIfTrue="1">
      <formula>IF(WEEKDAY(U$5)=1,TRUE,FALSE)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D56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64" sqref="E6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5.42578125" style="16" bestFit="1" customWidth="1"/>
    <col min="6" max="6" width="6.425781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6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1"/>
      <c r="B1" s="305"/>
      <c r="C1" s="305"/>
      <c r="D1" s="449" t="str">
        <f>"BẢNG THANH TOÁN LƯƠNG THÁNG"&amp;" "&amp;TEXT($E$4,"mm")&amp;" / "&amp;TEXT($E$4,"yyyy")</f>
        <v>BẢNG THANH TOÁN LƯƠNG THÁNG 01 / 2017</v>
      </c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50"/>
      <c r="R1" s="451" t="s">
        <v>179</v>
      </c>
      <c r="S1" s="452"/>
      <c r="T1" s="453"/>
      <c r="U1" s="122" t="s">
        <v>58</v>
      </c>
      <c r="V1" s="105" t="s">
        <v>37</v>
      </c>
      <c r="W1" s="78"/>
      <c r="X1" s="78"/>
      <c r="Y1" s="5"/>
      <c r="Z1" s="5"/>
    </row>
    <row r="2" spans="1:31" s="4" customFormat="1" ht="15" customHeight="1">
      <c r="A2" s="131" t="str">
        <f>TH!$A$1</f>
        <v>Công ty TNHH Hải sản An Lạc</v>
      </c>
      <c r="B2" s="305"/>
      <c r="C2" s="305"/>
      <c r="D2" s="305"/>
      <c r="E2" s="76"/>
      <c r="F2" s="305"/>
      <c r="G2" s="305"/>
      <c r="H2" s="305"/>
      <c r="I2" s="305"/>
      <c r="J2" s="77"/>
      <c r="K2" s="305"/>
      <c r="L2" s="305"/>
      <c r="M2" s="305"/>
      <c r="N2" s="305"/>
      <c r="O2" s="305"/>
      <c r="P2" s="305"/>
      <c r="Q2" s="305"/>
      <c r="R2" s="305"/>
      <c r="S2" s="305"/>
      <c r="T2" s="55"/>
      <c r="U2" s="75">
        <v>21</v>
      </c>
      <c r="V2" s="106">
        <v>29</v>
      </c>
      <c r="W2" s="78"/>
      <c r="X2" s="78"/>
      <c r="Y2" s="5"/>
      <c r="Z2" s="5"/>
    </row>
    <row r="3" spans="1:31" s="4" customFormat="1" ht="15" customHeight="1">
      <c r="A3" s="131" t="str">
        <f>TH!$A$2</f>
        <v>Địa chỉ: Lô A14, đường 4A, KCN Hải Sơn, Đức Hòa, Long An</v>
      </c>
      <c r="B3" s="305"/>
      <c r="C3" s="305"/>
      <c r="D3" s="305"/>
      <c r="E3" s="76"/>
      <c r="F3" s="305"/>
      <c r="G3" s="305"/>
      <c r="H3" s="305"/>
      <c r="I3" s="305"/>
      <c r="J3" s="77"/>
      <c r="K3" s="305"/>
      <c r="L3" s="305"/>
      <c r="M3" s="305"/>
      <c r="N3" s="305"/>
      <c r="O3" s="305"/>
      <c r="P3" s="305"/>
      <c r="Q3" s="305"/>
      <c r="R3" s="305"/>
      <c r="S3" s="305"/>
      <c r="T3" s="55"/>
      <c r="U3" s="123"/>
      <c r="V3" s="124"/>
      <c r="W3" s="78"/>
      <c r="X3" s="78"/>
      <c r="Y3" s="5"/>
      <c r="Z3" s="5"/>
    </row>
    <row r="4" spans="1:31" s="100" customFormat="1" ht="14.25" customHeight="1">
      <c r="A4" s="98"/>
      <c r="B4" s="99"/>
      <c r="C4" s="99"/>
      <c r="D4" s="99"/>
      <c r="E4" s="294">
        <v>42736</v>
      </c>
      <c r="F4" s="99"/>
      <c r="G4" s="99"/>
      <c r="H4" s="99"/>
      <c r="I4" s="99"/>
      <c r="J4" s="99"/>
      <c r="K4" s="99"/>
      <c r="L4" s="99"/>
      <c r="M4" s="99"/>
      <c r="N4" s="263">
        <v>0.08</v>
      </c>
      <c r="O4" s="263">
        <v>1.4999999999999999E-2</v>
      </c>
      <c r="P4" s="263">
        <v>0.01</v>
      </c>
      <c r="Q4" s="99"/>
      <c r="R4" s="99"/>
      <c r="S4" s="99"/>
      <c r="T4" s="99"/>
      <c r="U4" s="99"/>
      <c r="V4" s="101"/>
      <c r="W4" s="101"/>
      <c r="X4" s="101"/>
      <c r="Y4" s="101"/>
      <c r="Z4" s="101"/>
    </row>
    <row r="5" spans="1:31" s="27" customFormat="1" ht="24" customHeight="1">
      <c r="A5" s="454" t="s">
        <v>19</v>
      </c>
      <c r="B5" s="454" t="s">
        <v>20</v>
      </c>
      <c r="C5" s="359" t="s">
        <v>1</v>
      </c>
      <c r="D5" s="359" t="s">
        <v>2</v>
      </c>
      <c r="E5" s="362" t="s">
        <v>56</v>
      </c>
      <c r="F5" s="426" t="s">
        <v>26</v>
      </c>
      <c r="G5" s="427"/>
      <c r="H5" s="427"/>
      <c r="I5" s="427"/>
      <c r="J5" s="427"/>
      <c r="K5" s="443"/>
      <c r="L5" s="433" t="s">
        <v>57</v>
      </c>
      <c r="M5" s="433" t="s">
        <v>5</v>
      </c>
      <c r="N5" s="359" t="s">
        <v>6</v>
      </c>
      <c r="O5" s="359"/>
      <c r="P5" s="359"/>
      <c r="Q5" s="433" t="s">
        <v>7</v>
      </c>
      <c r="R5" s="433" t="s">
        <v>8</v>
      </c>
      <c r="S5" s="433" t="s">
        <v>9</v>
      </c>
      <c r="T5" s="360" t="s">
        <v>10</v>
      </c>
      <c r="U5" s="99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55"/>
      <c r="B6" s="455"/>
      <c r="C6" s="359"/>
      <c r="D6" s="359"/>
      <c r="E6" s="362"/>
      <c r="F6" s="426" t="s">
        <v>59</v>
      </c>
      <c r="G6" s="443"/>
      <c r="H6" s="426" t="s">
        <v>189</v>
      </c>
      <c r="I6" s="427"/>
      <c r="J6" s="444" t="s">
        <v>27</v>
      </c>
      <c r="K6" s="433" t="s">
        <v>4</v>
      </c>
      <c r="L6" s="434"/>
      <c r="M6" s="434"/>
      <c r="N6" s="456" t="s">
        <v>12</v>
      </c>
      <c r="O6" s="433" t="s">
        <v>13</v>
      </c>
      <c r="P6" s="433" t="s">
        <v>34</v>
      </c>
      <c r="Q6" s="434"/>
      <c r="R6" s="434"/>
      <c r="S6" s="434"/>
      <c r="T6" s="361"/>
      <c r="U6" s="99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55"/>
      <c r="B7" s="455"/>
      <c r="C7" s="433"/>
      <c r="D7" s="433"/>
      <c r="E7" s="362"/>
      <c r="F7" s="306" t="s">
        <v>40</v>
      </c>
      <c r="G7" s="302" t="s">
        <v>18</v>
      </c>
      <c r="H7" s="306" t="s">
        <v>40</v>
      </c>
      <c r="I7" s="309" t="s">
        <v>18</v>
      </c>
      <c r="J7" s="445"/>
      <c r="K7" s="434"/>
      <c r="L7" s="435"/>
      <c r="M7" s="435"/>
      <c r="N7" s="457"/>
      <c r="O7" s="434"/>
      <c r="P7" s="434"/>
      <c r="Q7" s="434"/>
      <c r="R7" s="434"/>
      <c r="S7" s="434"/>
      <c r="T7" s="361"/>
      <c r="U7" s="99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0" customFormat="1" ht="12.75" customHeight="1">
      <c r="A8" s="79">
        <v>1</v>
      </c>
      <c r="B8" s="79">
        <v>2</v>
      </c>
      <c r="C8" s="79">
        <v>3</v>
      </c>
      <c r="D8" s="79">
        <v>4</v>
      </c>
      <c r="E8" s="79">
        <v>5</v>
      </c>
      <c r="F8" s="79">
        <v>7</v>
      </c>
      <c r="G8" s="79">
        <v>8</v>
      </c>
      <c r="H8" s="79">
        <v>9</v>
      </c>
      <c r="I8" s="79">
        <v>10</v>
      </c>
      <c r="J8" s="79">
        <v>13</v>
      </c>
      <c r="K8" s="79">
        <v>14</v>
      </c>
      <c r="L8" s="79">
        <v>16</v>
      </c>
      <c r="M8" s="79">
        <v>17</v>
      </c>
      <c r="N8" s="79">
        <v>18</v>
      </c>
      <c r="O8" s="79">
        <v>19</v>
      </c>
      <c r="P8" s="79">
        <v>20</v>
      </c>
      <c r="Q8" s="79">
        <v>21</v>
      </c>
      <c r="R8" s="79">
        <v>22</v>
      </c>
      <c r="S8" s="79">
        <v>23</v>
      </c>
      <c r="T8" s="79">
        <v>24</v>
      </c>
      <c r="U8" s="99"/>
      <c r="V8" s="81"/>
      <c r="W8" s="81"/>
      <c r="X8" s="82"/>
      <c r="Y8" s="82"/>
      <c r="Z8" s="82"/>
      <c r="AA8" s="83"/>
      <c r="AB8" s="83"/>
      <c r="AC8" s="83"/>
      <c r="AD8" s="83"/>
      <c r="AE8" s="83"/>
    </row>
    <row r="9" spans="1:31" s="80" customFormat="1" ht="24" customHeight="1">
      <c r="A9" s="293" t="s">
        <v>183</v>
      </c>
      <c r="B9" s="292" t="s">
        <v>184</v>
      </c>
      <c r="C9" s="291"/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99"/>
      <c r="V9" s="81"/>
      <c r="W9" s="81"/>
      <c r="X9" s="82"/>
      <c r="Y9" s="82"/>
      <c r="Z9" s="82"/>
      <c r="AA9" s="83"/>
      <c r="AB9" s="83"/>
      <c r="AC9" s="83"/>
      <c r="AD9" s="83"/>
      <c r="AE9" s="83"/>
    </row>
    <row r="10" spans="1:31" s="34" customFormat="1" ht="24" customHeight="1">
      <c r="A10" s="36">
        <v>1</v>
      </c>
      <c r="B10" s="133" t="s">
        <v>61</v>
      </c>
      <c r="C10" s="84" t="str">
        <f>VLOOKUP(B10,DS,2,0)</f>
        <v>Mai Út Hiền</v>
      </c>
      <c r="D10" s="109" t="str">
        <f>VLOOKUP(B10,DS,3,0)</f>
        <v>Cơ Điện</v>
      </c>
      <c r="E10" s="85">
        <f>VLOOKUP(B10,DS,4,0)</f>
        <v>4336000</v>
      </c>
      <c r="F10" s="87">
        <f>VLOOKUP(B10,'CC - 01'!$B$8:$AS$72,36,0)</f>
        <v>20</v>
      </c>
      <c r="G10" s="206">
        <f>ROUND(E10/$U$2*F10,0)</f>
        <v>4129524</v>
      </c>
      <c r="H10" s="87">
        <f>(VLOOKUP(B10,'CC - 02'!$B$8:$AS$72,37,0)+VLOOKUP(B10,'CC - 02'!$B$8:$AS$72,38,0))</f>
        <v>0</v>
      </c>
      <c r="I10" s="206">
        <f>ROUND(E10/$U$2*H10,0)</f>
        <v>0</v>
      </c>
      <c r="J10" s="88">
        <f>F10+H10</f>
        <v>20</v>
      </c>
      <c r="K10" s="37">
        <f>G10+I10</f>
        <v>4129524</v>
      </c>
      <c r="L10" s="85">
        <f>+F10*15000</f>
        <v>300000</v>
      </c>
      <c r="M10" s="38">
        <f>K10+L10</f>
        <v>4429524</v>
      </c>
      <c r="N10" s="38">
        <f>IF(VLOOKUP(B10,DS,10,0)="x",E10*$N$4,0)</f>
        <v>346880</v>
      </c>
      <c r="O10" s="38">
        <f>IF(VLOOKUP(B10,DS,10,0)="x",E10*$O$4,0)</f>
        <v>65040</v>
      </c>
      <c r="P10" s="38">
        <f>IF(VLOOKUP(B10,DS,10,0)="x",E10*$P$4,0)</f>
        <v>43360</v>
      </c>
      <c r="Q10" s="37">
        <f>M10-SUM(N10:P10)</f>
        <v>3974244</v>
      </c>
      <c r="R10" s="37">
        <f>VLOOKUP(B10,DS,23,0)</f>
        <v>0</v>
      </c>
      <c r="S10" s="43">
        <f>Q10-R10</f>
        <v>3974244</v>
      </c>
      <c r="T10" s="37"/>
      <c r="U10" s="99"/>
      <c r="V10" s="35"/>
      <c r="W10" s="28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3" t="s">
        <v>62</v>
      </c>
      <c r="C11" s="84" t="str">
        <f>VLOOKUP(B11,DS,2,0)</f>
        <v>Nguyễn Thị Xuân Thảo</v>
      </c>
      <c r="D11" s="109" t="str">
        <f>VLOOKUP(B11,DS,3,0)</f>
        <v>KCS</v>
      </c>
      <c r="E11" s="85">
        <f>VLOOKUP(B11,DS,4,0)</f>
        <v>4056000</v>
      </c>
      <c r="F11" s="87">
        <f>VLOOKUP(B11,'CC - 01'!$B$8:$AS$72,36,0)</f>
        <v>20</v>
      </c>
      <c r="G11" s="206">
        <f>ROUND(E11/$U$2*F11,0)</f>
        <v>3862857</v>
      </c>
      <c r="H11" s="87">
        <f>(VLOOKUP(B11,'CC - 02'!$B$8:$AS$72,37,0)+VLOOKUP(B11,'CC - 02'!$B$8:$AS$72,38,0))</f>
        <v>0</v>
      </c>
      <c r="I11" s="206">
        <f>ROUND(E11/$U$2*H11,0)</f>
        <v>0</v>
      </c>
      <c r="J11" s="88">
        <f>F11+H11</f>
        <v>20</v>
      </c>
      <c r="K11" s="37">
        <f>G11+I11</f>
        <v>3862857</v>
      </c>
      <c r="L11" s="85">
        <f>+F11*15000</f>
        <v>300000</v>
      </c>
      <c r="M11" s="38">
        <f>K11+L11</f>
        <v>4162857</v>
      </c>
      <c r="N11" s="38">
        <f>IF(VLOOKUP(B11,DS,10,0)="x",E11*$N$4,0)</f>
        <v>324480</v>
      </c>
      <c r="O11" s="38">
        <f>IF(VLOOKUP(B11,DS,10,0)="x",E11*$O$4,0)</f>
        <v>60840</v>
      </c>
      <c r="P11" s="38">
        <f>IF(VLOOKUP(B11,DS,10,0)="x",E11*$P$4,0)</f>
        <v>40560</v>
      </c>
      <c r="Q11" s="37">
        <f>M11-SUM(N11:P11)</f>
        <v>3736977</v>
      </c>
      <c r="R11" s="37">
        <f>VLOOKUP(B11,DS,23,0)</f>
        <v>0</v>
      </c>
      <c r="S11" s="43">
        <f>Q11-R11</f>
        <v>3736977</v>
      </c>
      <c r="T11" s="37"/>
      <c r="U11" s="99"/>
      <c r="V11" s="35"/>
      <c r="W11" s="28"/>
      <c r="X11" s="5"/>
      <c r="Y11" s="5"/>
      <c r="Z11" s="5"/>
      <c r="AA11" s="4"/>
      <c r="AB11" s="4"/>
      <c r="AC11" s="4"/>
      <c r="AD11" s="4"/>
      <c r="AE11" s="4"/>
    </row>
    <row r="12" spans="1:31" s="80" customFormat="1" ht="24" customHeight="1">
      <c r="A12" s="293" t="s">
        <v>185</v>
      </c>
      <c r="B12" s="292" t="s">
        <v>186</v>
      </c>
      <c r="C12" s="291"/>
      <c r="D12" s="291"/>
      <c r="E12" s="291" t="s">
        <v>194</v>
      </c>
      <c r="F12" s="87">
        <f>VLOOKUP(B12,'CC - 01'!$B$8:$AS$72,36,0)</f>
        <v>0</v>
      </c>
      <c r="G12" s="291"/>
      <c r="H12" s="291"/>
      <c r="I12" s="291"/>
      <c r="J12" s="291"/>
      <c r="K12" s="291" t="s">
        <v>194</v>
      </c>
      <c r="L12" s="291"/>
      <c r="M12" s="291"/>
      <c r="N12" s="38"/>
      <c r="O12" s="38"/>
      <c r="P12" s="38"/>
      <c r="Q12" s="291"/>
      <c r="R12" s="291"/>
      <c r="S12" s="291"/>
      <c r="T12" s="291"/>
      <c r="U12" s="99"/>
      <c r="V12" s="81"/>
      <c r="W12" s="81"/>
      <c r="X12" s="82"/>
      <c r="Y12" s="82"/>
      <c r="Z12" s="82"/>
      <c r="AA12" s="83"/>
      <c r="AB12" s="83"/>
      <c r="AC12" s="83"/>
      <c r="AD12" s="83"/>
      <c r="AE12" s="83"/>
    </row>
    <row r="13" spans="1:31" s="34" customFormat="1" ht="24" customHeight="1">
      <c r="A13" s="36">
        <v>3</v>
      </c>
      <c r="B13" s="133" t="s">
        <v>85</v>
      </c>
      <c r="C13" s="84" t="str">
        <f t="shared" ref="C13:C29" si="0">VLOOKUP(B13,DS,2,0)</f>
        <v>Huỳnh Thị Hường</v>
      </c>
      <c r="D13" s="109" t="str">
        <f t="shared" ref="D13:D29" si="1">VLOOKUP(B13,DS,3,0)</f>
        <v>Công nhân</v>
      </c>
      <c r="E13" s="85">
        <f t="shared" ref="E13:E29" si="2">VLOOKUP(B13,DS,4,0)</f>
        <v>3552000</v>
      </c>
      <c r="F13" s="87">
        <f>VLOOKUP(B13,'CC - 01'!$B$8:$AS$72,36,0)</f>
        <v>20</v>
      </c>
      <c r="G13" s="206">
        <f t="shared" ref="G13:G29" si="3">ROUND(E13/$U$2*F13,0)</f>
        <v>3382857</v>
      </c>
      <c r="H13" s="87">
        <f>(VLOOKUP(B13,'CC - 02'!$B$8:$AS$72,37,0)+VLOOKUP(B13,'CC - 02'!$B$8:$AS$72,38,0))</f>
        <v>0</v>
      </c>
      <c r="I13" s="206">
        <f t="shared" ref="I13:I29" si="4">ROUND(E13/$U$2*H13,0)</f>
        <v>0</v>
      </c>
      <c r="J13" s="207">
        <f t="shared" ref="J13:K28" si="5">F13+H13</f>
        <v>20</v>
      </c>
      <c r="K13" s="37">
        <f t="shared" si="5"/>
        <v>3382857</v>
      </c>
      <c r="L13" s="85">
        <f t="shared" ref="L13:L29" si="6">+F13*15000</f>
        <v>300000</v>
      </c>
      <c r="M13" s="38">
        <f t="shared" ref="M13:M29" si="7">K13+L13</f>
        <v>3682857</v>
      </c>
      <c r="N13" s="38">
        <f t="shared" ref="N13:N24" si="8">IF(VLOOKUP(B13,DS,10,0)="x",E13*$N$4,0)</f>
        <v>284160</v>
      </c>
      <c r="O13" s="38">
        <f t="shared" ref="O13:O24" si="9">IF(VLOOKUP(B13,DS,10,0)="x",E13*$O$4,0)</f>
        <v>53280</v>
      </c>
      <c r="P13" s="38">
        <f t="shared" ref="P13:P24" si="10">IF(VLOOKUP(B13,DS,10,0)="x",E13*$P$4,0)</f>
        <v>35520</v>
      </c>
      <c r="Q13" s="37">
        <f t="shared" ref="Q13:Q29" si="11">M13-SUM(N13:P13)</f>
        <v>3309897</v>
      </c>
      <c r="R13" s="37">
        <f t="shared" ref="R13:R29" si="12">VLOOKUP(B13,DS,23,0)</f>
        <v>0</v>
      </c>
      <c r="S13" s="43">
        <f t="shared" ref="S13:S29" si="13">Q13-R13</f>
        <v>3309897</v>
      </c>
      <c r="T13" s="37"/>
      <c r="U13" s="99"/>
      <c r="V13" s="35"/>
      <c r="W13" s="28"/>
      <c r="X13" s="5"/>
      <c r="Y13" s="5"/>
      <c r="Z13" s="5"/>
      <c r="AA13" s="4"/>
      <c r="AB13" s="4"/>
      <c r="AC13" s="4"/>
      <c r="AD13" s="4"/>
      <c r="AE13" s="4"/>
    </row>
    <row r="14" spans="1:31" s="34" customFormat="1" ht="24" customHeight="1">
      <c r="A14" s="36">
        <v>4</v>
      </c>
      <c r="B14" s="133" t="s">
        <v>86</v>
      </c>
      <c r="C14" s="84" t="str">
        <f t="shared" si="0"/>
        <v>Nguyễn Thị Rong</v>
      </c>
      <c r="D14" s="109" t="str">
        <f t="shared" si="1"/>
        <v>Công nhân</v>
      </c>
      <c r="E14" s="85">
        <f t="shared" si="2"/>
        <v>3552000</v>
      </c>
      <c r="F14" s="87">
        <f>VLOOKUP(B14,'CC - 01'!$B$8:$AS$72,36,0)</f>
        <v>20</v>
      </c>
      <c r="G14" s="206">
        <f t="shared" si="3"/>
        <v>3382857</v>
      </c>
      <c r="H14" s="87">
        <f>(VLOOKUP(B14,'CC - 02'!$B$8:$AS$72,37,0)+VLOOKUP(B14,'CC - 02'!$B$8:$AS$72,38,0))</f>
        <v>0</v>
      </c>
      <c r="I14" s="206">
        <f t="shared" si="4"/>
        <v>0</v>
      </c>
      <c r="J14" s="207">
        <f t="shared" si="5"/>
        <v>20</v>
      </c>
      <c r="K14" s="37">
        <f t="shared" si="5"/>
        <v>3382857</v>
      </c>
      <c r="L14" s="85">
        <f t="shared" si="6"/>
        <v>300000</v>
      </c>
      <c r="M14" s="38">
        <f t="shared" si="7"/>
        <v>3682857</v>
      </c>
      <c r="N14" s="38">
        <f t="shared" si="8"/>
        <v>284160</v>
      </c>
      <c r="O14" s="38">
        <f t="shared" si="9"/>
        <v>53280</v>
      </c>
      <c r="P14" s="38">
        <f t="shared" si="10"/>
        <v>35520</v>
      </c>
      <c r="Q14" s="37">
        <f t="shared" si="11"/>
        <v>3309897</v>
      </c>
      <c r="R14" s="37">
        <f t="shared" si="12"/>
        <v>0</v>
      </c>
      <c r="S14" s="43">
        <f t="shared" si="13"/>
        <v>3309897</v>
      </c>
      <c r="T14" s="37"/>
      <c r="U14" s="99"/>
      <c r="V14" s="35"/>
      <c r="W14" s="28"/>
      <c r="X14" s="5"/>
      <c r="Y14" s="5"/>
      <c r="Z14" s="5"/>
      <c r="AA14" s="4"/>
      <c r="AB14" s="4"/>
      <c r="AC14" s="4"/>
      <c r="AD14" s="4"/>
      <c r="AE14" s="4"/>
    </row>
    <row r="15" spans="1:31" s="34" customFormat="1" ht="24" customHeight="1">
      <c r="A15" s="36">
        <v>5</v>
      </c>
      <c r="B15" s="133" t="s">
        <v>87</v>
      </c>
      <c r="C15" s="84" t="str">
        <f t="shared" si="0"/>
        <v>Sơn Thị Nil</v>
      </c>
      <c r="D15" s="109" t="str">
        <f t="shared" si="1"/>
        <v>Công nhân</v>
      </c>
      <c r="E15" s="85">
        <f t="shared" si="2"/>
        <v>3552000</v>
      </c>
      <c r="F15" s="87">
        <f>VLOOKUP(B15,'CC - 01'!$B$8:$AS$72,36,0)</f>
        <v>20</v>
      </c>
      <c r="G15" s="206">
        <f t="shared" si="3"/>
        <v>3382857</v>
      </c>
      <c r="H15" s="87">
        <f>(VLOOKUP(B15,'CC - 02'!$B$8:$AS$72,37,0)+VLOOKUP(B15,'CC - 02'!$B$8:$AS$72,38,0))</f>
        <v>0</v>
      </c>
      <c r="I15" s="206">
        <f t="shared" si="4"/>
        <v>0</v>
      </c>
      <c r="J15" s="207">
        <f t="shared" si="5"/>
        <v>20</v>
      </c>
      <c r="K15" s="37">
        <f t="shared" si="5"/>
        <v>3382857</v>
      </c>
      <c r="L15" s="85">
        <f t="shared" si="6"/>
        <v>300000</v>
      </c>
      <c r="M15" s="38">
        <f t="shared" si="7"/>
        <v>3682857</v>
      </c>
      <c r="N15" s="38">
        <f t="shared" si="8"/>
        <v>284160</v>
      </c>
      <c r="O15" s="38">
        <f t="shared" si="9"/>
        <v>53280</v>
      </c>
      <c r="P15" s="38">
        <f t="shared" si="10"/>
        <v>35520</v>
      </c>
      <c r="Q15" s="37">
        <f t="shared" si="11"/>
        <v>3309897</v>
      </c>
      <c r="R15" s="37">
        <f t="shared" si="12"/>
        <v>0</v>
      </c>
      <c r="S15" s="43">
        <f t="shared" si="13"/>
        <v>3309897</v>
      </c>
      <c r="T15" s="37"/>
      <c r="U15" s="99"/>
      <c r="V15" s="35"/>
      <c r="W15" s="28"/>
      <c r="X15" s="5"/>
      <c r="Y15" s="5"/>
      <c r="Z15" s="5"/>
      <c r="AA15" s="4"/>
      <c r="AB15" s="4"/>
      <c r="AC15" s="4"/>
      <c r="AD15" s="4"/>
      <c r="AE15" s="4"/>
    </row>
    <row r="16" spans="1:31" s="34" customFormat="1" ht="23.25" customHeight="1">
      <c r="A16" s="36">
        <v>6</v>
      </c>
      <c r="B16" s="133" t="s">
        <v>91</v>
      </c>
      <c r="C16" s="84" t="str">
        <f t="shared" si="0"/>
        <v>Nguyễn Thị Lựu</v>
      </c>
      <c r="D16" s="109" t="str">
        <f t="shared" si="1"/>
        <v>Công nhân</v>
      </c>
      <c r="E16" s="85">
        <f t="shared" si="2"/>
        <v>3552000</v>
      </c>
      <c r="F16" s="87">
        <f>VLOOKUP(B16,'CC - 01'!$B$8:$AS$72,36,0)</f>
        <v>20</v>
      </c>
      <c r="G16" s="206">
        <f t="shared" si="3"/>
        <v>3382857</v>
      </c>
      <c r="H16" s="87">
        <f>(VLOOKUP(B16,'CC - 02'!$B$8:$AS$72,37,0)+VLOOKUP(B16,'CC - 02'!$B$8:$AS$72,38,0))</f>
        <v>0</v>
      </c>
      <c r="I16" s="206">
        <f t="shared" si="4"/>
        <v>0</v>
      </c>
      <c r="J16" s="207">
        <f t="shared" si="5"/>
        <v>20</v>
      </c>
      <c r="K16" s="37">
        <f t="shared" si="5"/>
        <v>3382857</v>
      </c>
      <c r="L16" s="85">
        <f t="shared" si="6"/>
        <v>300000</v>
      </c>
      <c r="M16" s="38">
        <f t="shared" si="7"/>
        <v>3682857</v>
      </c>
      <c r="N16" s="38">
        <f t="shared" si="8"/>
        <v>284160</v>
      </c>
      <c r="O16" s="38">
        <f t="shared" si="9"/>
        <v>53280</v>
      </c>
      <c r="P16" s="38">
        <f t="shared" si="10"/>
        <v>35520</v>
      </c>
      <c r="Q16" s="37">
        <f t="shared" si="11"/>
        <v>3309897</v>
      </c>
      <c r="R16" s="37">
        <f t="shared" si="12"/>
        <v>0</v>
      </c>
      <c r="S16" s="43">
        <f t="shared" si="13"/>
        <v>3309897</v>
      </c>
      <c r="T16" s="37"/>
      <c r="U16" s="99"/>
      <c r="V16" s="35"/>
      <c r="W16" s="28"/>
      <c r="X16" s="5"/>
      <c r="Y16" s="5"/>
      <c r="Z16" s="5"/>
      <c r="AA16" s="4"/>
      <c r="AB16" s="4"/>
      <c r="AC16" s="4"/>
      <c r="AD16" s="4"/>
      <c r="AE16" s="4"/>
    </row>
    <row r="17" spans="1:31" s="34" customFormat="1" ht="23.25" customHeight="1">
      <c r="A17" s="36">
        <v>7</v>
      </c>
      <c r="B17" s="133" t="s">
        <v>92</v>
      </c>
      <c r="C17" s="84" t="str">
        <f t="shared" si="0"/>
        <v>Lý Thị Được</v>
      </c>
      <c r="D17" s="109" t="str">
        <f t="shared" si="1"/>
        <v>Công nhân</v>
      </c>
      <c r="E17" s="85">
        <f t="shared" si="2"/>
        <v>3552000</v>
      </c>
      <c r="F17" s="87">
        <f>VLOOKUP(B17,'CC - 01'!$B$8:$AS$72,36,0)</f>
        <v>20</v>
      </c>
      <c r="G17" s="206">
        <f t="shared" si="3"/>
        <v>3382857</v>
      </c>
      <c r="H17" s="87">
        <f>(VLOOKUP(B17,'CC - 02'!$B$8:$AS$72,37,0)+VLOOKUP(B17,'CC - 02'!$B$8:$AS$72,38,0))</f>
        <v>0</v>
      </c>
      <c r="I17" s="206">
        <f t="shared" si="4"/>
        <v>0</v>
      </c>
      <c r="J17" s="207">
        <f t="shared" si="5"/>
        <v>20</v>
      </c>
      <c r="K17" s="37">
        <f t="shared" si="5"/>
        <v>3382857</v>
      </c>
      <c r="L17" s="85">
        <f t="shared" si="6"/>
        <v>300000</v>
      </c>
      <c r="M17" s="38">
        <f t="shared" si="7"/>
        <v>3682857</v>
      </c>
      <c r="N17" s="38">
        <f t="shared" si="8"/>
        <v>284160</v>
      </c>
      <c r="O17" s="38">
        <f t="shared" si="9"/>
        <v>53280</v>
      </c>
      <c r="P17" s="38">
        <f t="shared" si="10"/>
        <v>35520</v>
      </c>
      <c r="Q17" s="37">
        <f t="shared" si="11"/>
        <v>3309897</v>
      </c>
      <c r="R17" s="37">
        <f t="shared" si="12"/>
        <v>0</v>
      </c>
      <c r="S17" s="43">
        <f t="shared" si="13"/>
        <v>3309897</v>
      </c>
      <c r="T17" s="37"/>
      <c r="U17" s="99"/>
      <c r="V17" s="35"/>
      <c r="W17" s="28"/>
      <c r="X17" s="5"/>
      <c r="Y17" s="5"/>
      <c r="Z17" s="5"/>
      <c r="AA17" s="4"/>
      <c r="AB17" s="4"/>
      <c r="AC17" s="4"/>
      <c r="AD17" s="4"/>
      <c r="AE17" s="4"/>
    </row>
    <row r="18" spans="1:31" s="34" customFormat="1" ht="23.25" customHeight="1">
      <c r="A18" s="36">
        <v>8</v>
      </c>
      <c r="B18" s="133" t="s">
        <v>94</v>
      </c>
      <c r="C18" s="84" t="str">
        <f t="shared" si="0"/>
        <v>Trà Thị Soi</v>
      </c>
      <c r="D18" s="109" t="str">
        <f t="shared" si="1"/>
        <v>Công nhân</v>
      </c>
      <c r="E18" s="85">
        <f t="shared" si="2"/>
        <v>3552000</v>
      </c>
      <c r="F18" s="87">
        <f>VLOOKUP(B18,'CC - 01'!$B$8:$AS$72,36,0)</f>
        <v>20</v>
      </c>
      <c r="G18" s="206">
        <f t="shared" si="3"/>
        <v>3382857</v>
      </c>
      <c r="H18" s="87">
        <f>(VLOOKUP(B18,'CC - 02'!$B$8:$AS$72,37,0)+VLOOKUP(B18,'CC - 02'!$B$8:$AS$72,38,0))</f>
        <v>0</v>
      </c>
      <c r="I18" s="206">
        <f t="shared" si="4"/>
        <v>0</v>
      </c>
      <c r="J18" s="207">
        <f t="shared" si="5"/>
        <v>20</v>
      </c>
      <c r="K18" s="37">
        <f t="shared" si="5"/>
        <v>3382857</v>
      </c>
      <c r="L18" s="85">
        <f t="shared" si="6"/>
        <v>300000</v>
      </c>
      <c r="M18" s="38">
        <f t="shared" si="7"/>
        <v>3682857</v>
      </c>
      <c r="N18" s="38">
        <f t="shared" si="8"/>
        <v>284160</v>
      </c>
      <c r="O18" s="38">
        <f t="shared" si="9"/>
        <v>53280</v>
      </c>
      <c r="P18" s="38">
        <f t="shared" si="10"/>
        <v>35520</v>
      </c>
      <c r="Q18" s="37">
        <f t="shared" si="11"/>
        <v>3309897</v>
      </c>
      <c r="R18" s="37">
        <f t="shared" si="12"/>
        <v>0</v>
      </c>
      <c r="S18" s="43">
        <f t="shared" si="13"/>
        <v>3309897</v>
      </c>
      <c r="T18" s="37"/>
      <c r="U18" s="99"/>
      <c r="V18" s="35"/>
      <c r="W18" s="28"/>
      <c r="X18" s="5"/>
      <c r="Y18" s="5"/>
      <c r="Z18" s="5"/>
      <c r="AA18" s="4"/>
      <c r="AB18" s="4"/>
      <c r="AC18" s="4"/>
      <c r="AD18" s="4"/>
      <c r="AE18" s="4"/>
    </row>
    <row r="19" spans="1:31" s="34" customFormat="1" ht="23.25" customHeight="1">
      <c r="A19" s="36">
        <v>9</v>
      </c>
      <c r="B19" s="133" t="s">
        <v>95</v>
      </c>
      <c r="C19" s="84" t="str">
        <f t="shared" si="0"/>
        <v>Sơn Thị Muỗi Tron</v>
      </c>
      <c r="D19" s="109" t="str">
        <f t="shared" si="1"/>
        <v>Công nhân</v>
      </c>
      <c r="E19" s="85">
        <f t="shared" si="2"/>
        <v>0</v>
      </c>
      <c r="F19" s="87">
        <f>VLOOKUP(B19,'CC - 01'!$B$8:$AS$72,36,0)</f>
        <v>0</v>
      </c>
      <c r="G19" s="206">
        <f t="shared" si="3"/>
        <v>0</v>
      </c>
      <c r="H19" s="87">
        <f>(VLOOKUP(B19,'CC - 02'!$B$8:$AS$72,37,0)+VLOOKUP(B19,'CC - 02'!$B$8:$AS$72,38,0))</f>
        <v>0</v>
      </c>
      <c r="I19" s="206">
        <f t="shared" si="4"/>
        <v>0</v>
      </c>
      <c r="J19" s="207">
        <f t="shared" si="5"/>
        <v>0</v>
      </c>
      <c r="K19" s="37">
        <f t="shared" si="5"/>
        <v>0</v>
      </c>
      <c r="L19" s="85">
        <f t="shared" si="6"/>
        <v>0</v>
      </c>
      <c r="M19" s="38">
        <f t="shared" si="7"/>
        <v>0</v>
      </c>
      <c r="N19" s="38">
        <f t="shared" si="8"/>
        <v>0</v>
      </c>
      <c r="O19" s="38">
        <f t="shared" si="9"/>
        <v>0</v>
      </c>
      <c r="P19" s="38">
        <f t="shared" si="10"/>
        <v>0</v>
      </c>
      <c r="Q19" s="37">
        <f t="shared" si="11"/>
        <v>0</v>
      </c>
      <c r="R19" s="37">
        <f t="shared" si="12"/>
        <v>0</v>
      </c>
      <c r="S19" s="43">
        <f t="shared" si="13"/>
        <v>0</v>
      </c>
      <c r="T19" s="37"/>
      <c r="U19" s="99"/>
      <c r="V19" s="35"/>
      <c r="W19" s="28"/>
      <c r="X19" s="5"/>
      <c r="Y19" s="5"/>
      <c r="Z19" s="5"/>
      <c r="AA19" s="4"/>
      <c r="AB19" s="4"/>
      <c r="AC19" s="4"/>
      <c r="AD19" s="4"/>
      <c r="AE19" s="4"/>
    </row>
    <row r="20" spans="1:31" s="34" customFormat="1" ht="23.25" customHeight="1">
      <c r="A20" s="36">
        <v>10</v>
      </c>
      <c r="B20" s="133" t="s">
        <v>100</v>
      </c>
      <c r="C20" s="84" t="str">
        <f t="shared" si="0"/>
        <v>Sơn Thị Chành Đa</v>
      </c>
      <c r="D20" s="109" t="str">
        <f t="shared" si="1"/>
        <v>Công nhân</v>
      </c>
      <c r="E20" s="85">
        <f t="shared" si="2"/>
        <v>3552000</v>
      </c>
      <c r="F20" s="87">
        <f>VLOOKUP(B20,'CC - 01'!$B$8:$AS$72,36,0)</f>
        <v>20</v>
      </c>
      <c r="G20" s="206">
        <f t="shared" si="3"/>
        <v>3382857</v>
      </c>
      <c r="H20" s="87">
        <f>(VLOOKUP(B20,'CC - 02'!$B$8:$AS$72,37,0)+VLOOKUP(B20,'CC - 02'!$B$8:$AS$72,38,0))</f>
        <v>0</v>
      </c>
      <c r="I20" s="206">
        <f t="shared" si="4"/>
        <v>0</v>
      </c>
      <c r="J20" s="207">
        <f t="shared" si="5"/>
        <v>20</v>
      </c>
      <c r="K20" s="37">
        <f t="shared" si="5"/>
        <v>3382857</v>
      </c>
      <c r="L20" s="85">
        <f t="shared" si="6"/>
        <v>300000</v>
      </c>
      <c r="M20" s="38">
        <f t="shared" si="7"/>
        <v>3682857</v>
      </c>
      <c r="N20" s="38">
        <f t="shared" si="8"/>
        <v>284160</v>
      </c>
      <c r="O20" s="38">
        <f t="shared" si="9"/>
        <v>53280</v>
      </c>
      <c r="P20" s="38">
        <f t="shared" si="10"/>
        <v>35520</v>
      </c>
      <c r="Q20" s="37">
        <f t="shared" si="11"/>
        <v>3309897</v>
      </c>
      <c r="R20" s="37">
        <f t="shared" si="12"/>
        <v>0</v>
      </c>
      <c r="S20" s="43">
        <f t="shared" si="13"/>
        <v>3309897</v>
      </c>
      <c r="T20" s="37"/>
      <c r="U20" s="99"/>
      <c r="V20" s="35"/>
      <c r="W20" s="28"/>
      <c r="X20" s="5"/>
      <c r="Y20" s="5"/>
      <c r="Z20" s="5"/>
      <c r="AA20" s="4"/>
      <c r="AB20" s="4"/>
      <c r="AC20" s="4"/>
      <c r="AD20" s="4"/>
      <c r="AE20" s="4"/>
    </row>
    <row r="21" spans="1:31" s="34" customFormat="1" ht="23.25" customHeight="1">
      <c r="A21" s="36">
        <v>11</v>
      </c>
      <c r="B21" s="133" t="s">
        <v>101</v>
      </c>
      <c r="C21" s="84" t="str">
        <f t="shared" si="0"/>
        <v>Trần Thị Bích Phượng</v>
      </c>
      <c r="D21" s="109" t="str">
        <f t="shared" si="1"/>
        <v>Công nhân</v>
      </c>
      <c r="E21" s="85">
        <f t="shared" si="2"/>
        <v>3552000</v>
      </c>
      <c r="F21" s="87">
        <f>VLOOKUP(B21,'CC - 01'!$B$8:$AS$72,36,0)</f>
        <v>20</v>
      </c>
      <c r="G21" s="206">
        <f t="shared" si="3"/>
        <v>3382857</v>
      </c>
      <c r="H21" s="87">
        <f>(VLOOKUP(B21,'CC - 02'!$B$8:$AS$72,37,0)+VLOOKUP(B21,'CC - 02'!$B$8:$AS$72,38,0))</f>
        <v>0</v>
      </c>
      <c r="I21" s="206">
        <f t="shared" si="4"/>
        <v>0</v>
      </c>
      <c r="J21" s="207">
        <f t="shared" si="5"/>
        <v>20</v>
      </c>
      <c r="K21" s="37">
        <f t="shared" si="5"/>
        <v>3382857</v>
      </c>
      <c r="L21" s="85">
        <f t="shared" si="6"/>
        <v>300000</v>
      </c>
      <c r="M21" s="38">
        <f t="shared" si="7"/>
        <v>3682857</v>
      </c>
      <c r="N21" s="38">
        <f t="shared" si="8"/>
        <v>284160</v>
      </c>
      <c r="O21" s="38">
        <f t="shared" si="9"/>
        <v>53280</v>
      </c>
      <c r="P21" s="38">
        <f t="shared" si="10"/>
        <v>35520</v>
      </c>
      <c r="Q21" s="37">
        <f t="shared" si="11"/>
        <v>3309897</v>
      </c>
      <c r="R21" s="37">
        <f t="shared" si="12"/>
        <v>0</v>
      </c>
      <c r="S21" s="43">
        <f t="shared" si="13"/>
        <v>3309897</v>
      </c>
      <c r="T21" s="37"/>
      <c r="U21" s="99"/>
      <c r="V21" s="35"/>
      <c r="W21" s="28"/>
      <c r="X21" s="5"/>
      <c r="Y21" s="5"/>
      <c r="Z21" s="5"/>
      <c r="AA21" s="4"/>
      <c r="AB21" s="4"/>
      <c r="AC21" s="4"/>
      <c r="AD21" s="4"/>
      <c r="AE21" s="4"/>
    </row>
    <row r="22" spans="1:31" s="34" customFormat="1" ht="23.25" customHeight="1">
      <c r="A22" s="36">
        <v>12</v>
      </c>
      <c r="B22" s="133" t="s">
        <v>102</v>
      </c>
      <c r="C22" s="84" t="str">
        <f t="shared" si="0"/>
        <v>Sơn Thị Trường Sa</v>
      </c>
      <c r="D22" s="109" t="str">
        <f t="shared" si="1"/>
        <v>Công nhân</v>
      </c>
      <c r="E22" s="85">
        <f t="shared" si="2"/>
        <v>3552000</v>
      </c>
      <c r="F22" s="87">
        <f>VLOOKUP(B22,'CC - 01'!$B$8:$AS$72,36,0)</f>
        <v>20</v>
      </c>
      <c r="G22" s="206">
        <f t="shared" si="3"/>
        <v>3382857</v>
      </c>
      <c r="H22" s="87">
        <f>(VLOOKUP(B22,'CC - 02'!$B$8:$AS$72,37,0)+VLOOKUP(B22,'CC - 02'!$B$8:$AS$72,38,0))</f>
        <v>0</v>
      </c>
      <c r="I22" s="206">
        <f t="shared" si="4"/>
        <v>0</v>
      </c>
      <c r="J22" s="207">
        <f t="shared" si="5"/>
        <v>20</v>
      </c>
      <c r="K22" s="37">
        <f t="shared" si="5"/>
        <v>3382857</v>
      </c>
      <c r="L22" s="85">
        <f t="shared" si="6"/>
        <v>300000</v>
      </c>
      <c r="M22" s="38">
        <f t="shared" si="7"/>
        <v>3682857</v>
      </c>
      <c r="N22" s="38">
        <f t="shared" si="8"/>
        <v>284160</v>
      </c>
      <c r="O22" s="38">
        <f t="shared" si="9"/>
        <v>53280</v>
      </c>
      <c r="P22" s="38">
        <f t="shared" si="10"/>
        <v>35520</v>
      </c>
      <c r="Q22" s="37">
        <f t="shared" si="11"/>
        <v>3309897</v>
      </c>
      <c r="R22" s="37">
        <f t="shared" si="12"/>
        <v>0</v>
      </c>
      <c r="S22" s="43">
        <f t="shared" si="13"/>
        <v>3309897</v>
      </c>
      <c r="T22" s="37"/>
      <c r="U22" s="99"/>
      <c r="V22" s="35"/>
      <c r="W22" s="28"/>
      <c r="X22" s="5"/>
      <c r="Y22" s="5"/>
      <c r="Z22" s="5"/>
      <c r="AA22" s="4"/>
      <c r="AB22" s="4"/>
      <c r="AC22" s="4"/>
      <c r="AD22" s="4"/>
      <c r="AE22" s="4"/>
    </row>
    <row r="23" spans="1:31" s="34" customFormat="1" ht="23.25" customHeight="1">
      <c r="A23" s="36">
        <v>13</v>
      </c>
      <c r="B23" s="133" t="s">
        <v>103</v>
      </c>
      <c r="C23" s="84" t="str">
        <f t="shared" si="0"/>
        <v>Lý Thị Sà Kha</v>
      </c>
      <c r="D23" s="109" t="str">
        <f t="shared" si="1"/>
        <v>Công nhân</v>
      </c>
      <c r="E23" s="85">
        <f t="shared" si="2"/>
        <v>3552000</v>
      </c>
      <c r="F23" s="87">
        <f>VLOOKUP(B23,'CC - 01'!$B$8:$AS$72,36,0)</f>
        <v>20</v>
      </c>
      <c r="G23" s="206">
        <f t="shared" si="3"/>
        <v>3382857</v>
      </c>
      <c r="H23" s="87">
        <f>(VLOOKUP(B23,'CC - 02'!$B$8:$AS$72,37,0)+VLOOKUP(B23,'CC - 02'!$B$8:$AS$72,38,0))</f>
        <v>0</v>
      </c>
      <c r="I23" s="206">
        <f t="shared" si="4"/>
        <v>0</v>
      </c>
      <c r="J23" s="207">
        <f t="shared" si="5"/>
        <v>20</v>
      </c>
      <c r="K23" s="37">
        <f t="shared" si="5"/>
        <v>3382857</v>
      </c>
      <c r="L23" s="85">
        <f t="shared" si="6"/>
        <v>300000</v>
      </c>
      <c r="M23" s="38">
        <f t="shared" si="7"/>
        <v>3682857</v>
      </c>
      <c r="N23" s="38">
        <f t="shared" si="8"/>
        <v>284160</v>
      </c>
      <c r="O23" s="38">
        <f t="shared" si="9"/>
        <v>53280</v>
      </c>
      <c r="P23" s="38">
        <f t="shared" si="10"/>
        <v>35520</v>
      </c>
      <c r="Q23" s="37">
        <f t="shared" si="11"/>
        <v>3309897</v>
      </c>
      <c r="R23" s="37">
        <f t="shared" si="12"/>
        <v>0</v>
      </c>
      <c r="S23" s="43">
        <f t="shared" si="13"/>
        <v>3309897</v>
      </c>
      <c r="T23" s="37"/>
      <c r="U23" s="99"/>
      <c r="V23" s="35"/>
      <c r="W23" s="28"/>
      <c r="X23" s="5"/>
      <c r="Y23" s="5"/>
      <c r="Z23" s="5"/>
      <c r="AA23" s="4"/>
      <c r="AB23" s="4"/>
      <c r="AC23" s="4"/>
      <c r="AD23" s="4"/>
      <c r="AE23" s="4"/>
    </row>
    <row r="24" spans="1:31" s="34" customFormat="1" ht="23.25" customHeight="1">
      <c r="A24" s="36">
        <v>14</v>
      </c>
      <c r="B24" s="133" t="s">
        <v>104</v>
      </c>
      <c r="C24" s="84" t="str">
        <f t="shared" si="0"/>
        <v xml:space="preserve"> Lâm Thị Mộng Thường</v>
      </c>
      <c r="D24" s="109" t="str">
        <f t="shared" si="1"/>
        <v>Công nhân</v>
      </c>
      <c r="E24" s="85">
        <f t="shared" si="2"/>
        <v>3552000</v>
      </c>
      <c r="F24" s="87">
        <f>VLOOKUP(B24,'CC - 01'!$B$8:$AS$72,36,0)</f>
        <v>20</v>
      </c>
      <c r="G24" s="206">
        <f t="shared" si="3"/>
        <v>3382857</v>
      </c>
      <c r="H24" s="87">
        <f>(VLOOKUP(B24,'CC - 02'!$B$8:$AS$72,37,0)+VLOOKUP(B24,'CC - 02'!$B$8:$AS$72,38,0))</f>
        <v>0</v>
      </c>
      <c r="I24" s="206">
        <f t="shared" si="4"/>
        <v>0</v>
      </c>
      <c r="J24" s="207">
        <f t="shared" si="5"/>
        <v>20</v>
      </c>
      <c r="K24" s="37">
        <f t="shared" si="5"/>
        <v>3382857</v>
      </c>
      <c r="L24" s="85">
        <f t="shared" si="6"/>
        <v>300000</v>
      </c>
      <c r="M24" s="38">
        <f t="shared" si="7"/>
        <v>3682857</v>
      </c>
      <c r="N24" s="38">
        <f t="shared" si="8"/>
        <v>284160</v>
      </c>
      <c r="O24" s="38">
        <f t="shared" si="9"/>
        <v>53280</v>
      </c>
      <c r="P24" s="38">
        <f t="shared" si="10"/>
        <v>35520</v>
      </c>
      <c r="Q24" s="37">
        <f t="shared" si="11"/>
        <v>3309897</v>
      </c>
      <c r="R24" s="37">
        <f t="shared" si="12"/>
        <v>0</v>
      </c>
      <c r="S24" s="43">
        <f t="shared" si="13"/>
        <v>3309897</v>
      </c>
      <c r="T24" s="37"/>
      <c r="U24" s="99"/>
      <c r="V24" s="35"/>
      <c r="W24" s="28"/>
      <c r="X24" s="5"/>
      <c r="Y24" s="5"/>
      <c r="Z24" s="5"/>
      <c r="AA24" s="4"/>
      <c r="AB24" s="4"/>
      <c r="AC24" s="4"/>
      <c r="AD24" s="4"/>
      <c r="AE24" s="4"/>
    </row>
    <row r="25" spans="1:31" s="80" customFormat="1" ht="24" customHeight="1">
      <c r="A25" s="36"/>
      <c r="B25" s="292" t="s">
        <v>188</v>
      </c>
      <c r="C25" s="291"/>
      <c r="D25" s="291"/>
      <c r="E25" s="291"/>
      <c r="F25" s="87">
        <f>VLOOKUP(B25,'CC - 01'!$B$8:$AS$72,36,0)</f>
        <v>0</v>
      </c>
      <c r="G25" s="291"/>
      <c r="H25" s="291"/>
      <c r="I25" s="291"/>
      <c r="J25" s="291"/>
      <c r="K25" s="291"/>
      <c r="L25" s="291"/>
      <c r="M25" s="291"/>
      <c r="N25" s="38"/>
      <c r="O25" s="38"/>
      <c r="P25" s="38"/>
      <c r="Q25" s="291"/>
      <c r="R25" s="291"/>
      <c r="S25" s="291"/>
      <c r="T25" s="291"/>
      <c r="U25" s="99"/>
      <c r="V25" s="81"/>
      <c r="W25" s="81"/>
      <c r="X25" s="82"/>
      <c r="Y25" s="82"/>
      <c r="Z25" s="82"/>
      <c r="AA25" s="83"/>
      <c r="AB25" s="83"/>
      <c r="AC25" s="83"/>
      <c r="AD25" s="83"/>
      <c r="AE25" s="83"/>
    </row>
    <row r="26" spans="1:31" s="34" customFormat="1" ht="23.25" customHeight="1">
      <c r="A26" s="36">
        <v>15</v>
      </c>
      <c r="B26" s="242" t="s">
        <v>113</v>
      </c>
      <c r="C26" s="84" t="str">
        <f t="shared" si="0"/>
        <v>Nguyễn Văn Bé Hai</v>
      </c>
      <c r="D26" s="109" t="str">
        <f t="shared" si="1"/>
        <v>Công nhân</v>
      </c>
      <c r="E26" s="85">
        <f t="shared" si="2"/>
        <v>3776000</v>
      </c>
      <c r="F26" s="87">
        <f>VLOOKUP(B26,'CC - 01'!$B$8:$AS$72,36,0)</f>
        <v>20</v>
      </c>
      <c r="G26" s="206">
        <f t="shared" si="3"/>
        <v>3596190</v>
      </c>
      <c r="H26" s="87">
        <f>(VLOOKUP(B26,'CC - 02'!$B$8:$AS$72,37,0)+VLOOKUP(B26,'CC - 02'!$B$8:$AS$72,38,0))</f>
        <v>0</v>
      </c>
      <c r="I26" s="206">
        <f t="shared" si="4"/>
        <v>0</v>
      </c>
      <c r="J26" s="207">
        <f t="shared" si="5"/>
        <v>20</v>
      </c>
      <c r="K26" s="37">
        <f t="shared" si="5"/>
        <v>3596190</v>
      </c>
      <c r="L26" s="85">
        <f t="shared" si="6"/>
        <v>300000</v>
      </c>
      <c r="M26" s="38">
        <f t="shared" si="7"/>
        <v>3896190</v>
      </c>
      <c r="N26" s="38">
        <f t="shared" ref="N26:N29" si="14">IF(VLOOKUP(B26,DS,10,0)="x",E26*$N$4,0)</f>
        <v>302080</v>
      </c>
      <c r="O26" s="38">
        <f t="shared" ref="O26:O29" si="15">IF(VLOOKUP(B26,DS,10,0)="x",E26*$O$4,0)</f>
        <v>56640</v>
      </c>
      <c r="P26" s="38">
        <f t="shared" ref="P26:P29" si="16">IF(VLOOKUP(B26,DS,10,0)="x",E26*$P$4,0)</f>
        <v>37760</v>
      </c>
      <c r="Q26" s="37">
        <f t="shared" si="11"/>
        <v>3499710</v>
      </c>
      <c r="R26" s="37">
        <f t="shared" si="12"/>
        <v>0</v>
      </c>
      <c r="S26" s="43">
        <f t="shared" si="13"/>
        <v>3499710</v>
      </c>
      <c r="T26" s="37"/>
      <c r="U26" s="99"/>
      <c r="V26" s="35"/>
      <c r="W26" s="28"/>
      <c r="X26" s="5"/>
      <c r="Y26" s="5"/>
      <c r="Z26" s="5"/>
      <c r="AA26" s="4"/>
      <c r="AB26" s="4"/>
      <c r="AC26" s="4"/>
      <c r="AD26" s="4"/>
      <c r="AE26" s="4"/>
    </row>
    <row r="27" spans="1:31" s="34" customFormat="1" ht="23.25" customHeight="1">
      <c r="A27" s="36">
        <v>16</v>
      </c>
      <c r="B27" s="242" t="s">
        <v>118</v>
      </c>
      <c r="C27" s="84" t="str">
        <f t="shared" si="0"/>
        <v>Trần Nhiên</v>
      </c>
      <c r="D27" s="109" t="str">
        <f t="shared" si="1"/>
        <v>Công nhân</v>
      </c>
      <c r="E27" s="85">
        <f t="shared" si="2"/>
        <v>3552000</v>
      </c>
      <c r="F27" s="87">
        <f>VLOOKUP(B27,'CC - 01'!$B$8:$AS$72,36,0)</f>
        <v>20</v>
      </c>
      <c r="G27" s="206">
        <f t="shared" si="3"/>
        <v>3382857</v>
      </c>
      <c r="H27" s="87">
        <f>(VLOOKUP(B27,'CC - 02'!$B$8:$AS$72,37,0)+VLOOKUP(B27,'CC - 02'!$B$8:$AS$72,38,0))</f>
        <v>0</v>
      </c>
      <c r="I27" s="206">
        <f t="shared" si="4"/>
        <v>0</v>
      </c>
      <c r="J27" s="207">
        <f t="shared" si="5"/>
        <v>20</v>
      </c>
      <c r="K27" s="37">
        <f t="shared" si="5"/>
        <v>3382857</v>
      </c>
      <c r="L27" s="85">
        <f t="shared" si="6"/>
        <v>300000</v>
      </c>
      <c r="M27" s="38">
        <f t="shared" si="7"/>
        <v>3682857</v>
      </c>
      <c r="N27" s="38">
        <f t="shared" si="14"/>
        <v>284160</v>
      </c>
      <c r="O27" s="38">
        <f t="shared" si="15"/>
        <v>53280</v>
      </c>
      <c r="P27" s="38">
        <f t="shared" si="16"/>
        <v>35520</v>
      </c>
      <c r="Q27" s="37">
        <f t="shared" si="11"/>
        <v>3309897</v>
      </c>
      <c r="R27" s="37">
        <f t="shared" si="12"/>
        <v>0</v>
      </c>
      <c r="S27" s="43">
        <f t="shared" si="13"/>
        <v>3309897</v>
      </c>
      <c r="T27" s="37"/>
      <c r="U27" s="99"/>
      <c r="V27" s="35"/>
      <c r="W27" s="28"/>
      <c r="X27" s="5"/>
      <c r="Y27" s="5"/>
      <c r="Z27" s="5"/>
      <c r="AA27" s="4"/>
      <c r="AB27" s="4"/>
      <c r="AC27" s="4"/>
      <c r="AD27" s="4"/>
      <c r="AE27" s="4"/>
    </row>
    <row r="28" spans="1:31" s="34" customFormat="1" ht="23.25" customHeight="1">
      <c r="A28" s="36">
        <v>17</v>
      </c>
      <c r="B28" s="242" t="s">
        <v>119</v>
      </c>
      <c r="C28" s="84" t="str">
        <f t="shared" si="0"/>
        <v>Thạch Giang</v>
      </c>
      <c r="D28" s="109" t="str">
        <f t="shared" si="1"/>
        <v>Công nhân</v>
      </c>
      <c r="E28" s="85">
        <f t="shared" si="2"/>
        <v>3552000</v>
      </c>
      <c r="F28" s="87">
        <f>VLOOKUP(B28,'CC - 01'!$B$8:$AS$72,36,0)</f>
        <v>20</v>
      </c>
      <c r="G28" s="206">
        <f t="shared" si="3"/>
        <v>3382857</v>
      </c>
      <c r="H28" s="87">
        <f>(VLOOKUP(B28,'CC - 02'!$B$8:$AS$72,37,0)+VLOOKUP(B28,'CC - 02'!$B$8:$AS$72,38,0))</f>
        <v>0</v>
      </c>
      <c r="I28" s="206">
        <f t="shared" si="4"/>
        <v>0</v>
      </c>
      <c r="J28" s="207">
        <f t="shared" si="5"/>
        <v>20</v>
      </c>
      <c r="K28" s="37">
        <f t="shared" si="5"/>
        <v>3382857</v>
      </c>
      <c r="L28" s="85">
        <f t="shared" si="6"/>
        <v>300000</v>
      </c>
      <c r="M28" s="38">
        <f t="shared" si="7"/>
        <v>3682857</v>
      </c>
      <c r="N28" s="38">
        <f t="shared" si="14"/>
        <v>284160</v>
      </c>
      <c r="O28" s="38">
        <f t="shared" si="15"/>
        <v>53280</v>
      </c>
      <c r="P28" s="38">
        <f t="shared" si="16"/>
        <v>35520</v>
      </c>
      <c r="Q28" s="37">
        <f t="shared" si="11"/>
        <v>3309897</v>
      </c>
      <c r="R28" s="37">
        <f t="shared" si="12"/>
        <v>0</v>
      </c>
      <c r="S28" s="43">
        <f t="shared" si="13"/>
        <v>3309897</v>
      </c>
      <c r="T28" s="37"/>
      <c r="U28" s="99"/>
      <c r="V28" s="35"/>
      <c r="W28" s="28"/>
      <c r="X28" s="5"/>
      <c r="Y28" s="5"/>
      <c r="Z28" s="5"/>
      <c r="AA28" s="4"/>
      <c r="AB28" s="4"/>
      <c r="AC28" s="4"/>
      <c r="AD28" s="4"/>
      <c r="AE28" s="4"/>
    </row>
    <row r="29" spans="1:31" s="34" customFormat="1" ht="23.25" customHeight="1">
      <c r="A29" s="36">
        <v>18</v>
      </c>
      <c r="B29" s="242" t="s">
        <v>122</v>
      </c>
      <c r="C29" s="84" t="str">
        <f t="shared" si="0"/>
        <v>Lâm Chanh Đa Ra</v>
      </c>
      <c r="D29" s="109" t="str">
        <f t="shared" si="1"/>
        <v>Công nhân</v>
      </c>
      <c r="E29" s="85">
        <f t="shared" si="2"/>
        <v>3552000</v>
      </c>
      <c r="F29" s="87">
        <f>VLOOKUP(B29,'CC - 01'!$B$8:$AS$72,36,0)</f>
        <v>20</v>
      </c>
      <c r="G29" s="206">
        <f t="shared" si="3"/>
        <v>3382857</v>
      </c>
      <c r="H29" s="87">
        <f>(VLOOKUP(B29,'CC - 02'!$B$8:$AS$72,37,0)+VLOOKUP(B29,'CC - 02'!$B$8:$AS$72,38,0))</f>
        <v>0</v>
      </c>
      <c r="I29" s="206">
        <f t="shared" si="4"/>
        <v>0</v>
      </c>
      <c r="J29" s="207">
        <f t="shared" ref="J29:K29" si="17">F29+H29</f>
        <v>20</v>
      </c>
      <c r="K29" s="37">
        <f t="shared" si="17"/>
        <v>3382857</v>
      </c>
      <c r="L29" s="85">
        <f t="shared" si="6"/>
        <v>300000</v>
      </c>
      <c r="M29" s="38">
        <f t="shared" si="7"/>
        <v>3682857</v>
      </c>
      <c r="N29" s="38">
        <f t="shared" si="14"/>
        <v>284160</v>
      </c>
      <c r="O29" s="38">
        <f t="shared" si="15"/>
        <v>53280</v>
      </c>
      <c r="P29" s="38">
        <f t="shared" si="16"/>
        <v>35520</v>
      </c>
      <c r="Q29" s="37">
        <f t="shared" si="11"/>
        <v>3309897</v>
      </c>
      <c r="R29" s="37">
        <f t="shared" si="12"/>
        <v>0</v>
      </c>
      <c r="S29" s="43">
        <f t="shared" si="13"/>
        <v>3309897</v>
      </c>
      <c r="T29" s="37"/>
      <c r="U29" s="99"/>
      <c r="V29" s="35"/>
      <c r="W29" s="28"/>
      <c r="X29" s="5"/>
      <c r="Y29" s="5"/>
      <c r="Z29" s="5"/>
      <c r="AA29" s="4"/>
      <c r="AB29" s="4"/>
      <c r="AC29" s="4"/>
      <c r="AD29" s="4"/>
      <c r="AE29" s="4"/>
    </row>
    <row r="30" spans="1:31" s="34" customFormat="1" ht="22.5" customHeight="1">
      <c r="A30" s="39"/>
      <c r="B30" s="290"/>
      <c r="C30" s="40"/>
      <c r="D30" s="3"/>
      <c r="E30" s="41"/>
      <c r="F30" s="41"/>
      <c r="G30" s="41"/>
      <c r="H30" s="41"/>
      <c r="I30" s="41"/>
      <c r="J30" s="42"/>
      <c r="K30" s="41"/>
      <c r="L30" s="41"/>
      <c r="M30" s="289"/>
      <c r="N30" s="41"/>
      <c r="O30" s="41"/>
      <c r="P30" s="41"/>
      <c r="Q30" s="41"/>
      <c r="R30" s="41"/>
      <c r="S30" s="41"/>
      <c r="T30" s="37"/>
      <c r="U30" s="99"/>
      <c r="V30" s="35"/>
      <c r="W30" s="35"/>
      <c r="X30" s="35"/>
      <c r="Y30" s="35"/>
      <c r="Z30" s="35"/>
    </row>
    <row r="31" spans="1:31" s="32" customFormat="1" ht="21" customHeight="1">
      <c r="A31" s="437" t="s">
        <v>25</v>
      </c>
      <c r="B31" s="437"/>
      <c r="C31" s="437"/>
      <c r="D31" s="437"/>
      <c r="E31" s="132">
        <f>SUM(E10:E30)</f>
        <v>61896000</v>
      </c>
      <c r="F31" s="132"/>
      <c r="G31" s="132">
        <f>SUM(G10:G30)</f>
        <v>58948569</v>
      </c>
      <c r="H31" s="132"/>
      <c r="I31" s="132">
        <f>SUM(I10:I30)</f>
        <v>0</v>
      </c>
      <c r="J31" s="26"/>
      <c r="K31" s="26">
        <f t="shared" ref="K31:S31" si="18">SUM(K10:K30)</f>
        <v>58948569</v>
      </c>
      <c r="L31" s="26">
        <f t="shared" si="18"/>
        <v>5100000</v>
      </c>
      <c r="M31" s="26">
        <f t="shared" si="18"/>
        <v>64048569</v>
      </c>
      <c r="N31" s="26">
        <f t="shared" si="18"/>
        <v>4951680</v>
      </c>
      <c r="O31" s="26">
        <f t="shared" si="18"/>
        <v>928440</v>
      </c>
      <c r="P31" s="26">
        <f t="shared" si="18"/>
        <v>618960</v>
      </c>
      <c r="Q31" s="26">
        <f t="shared" si="18"/>
        <v>57549489</v>
      </c>
      <c r="R31" s="26">
        <f t="shared" si="18"/>
        <v>0</v>
      </c>
      <c r="S31" s="26">
        <f t="shared" si="18"/>
        <v>57549489</v>
      </c>
      <c r="T31" s="26"/>
      <c r="U31" s="99"/>
      <c r="V31" s="33"/>
      <c r="W31" s="33"/>
      <c r="X31" s="33"/>
      <c r="Y31" s="33"/>
      <c r="Z31" s="33"/>
    </row>
    <row r="32" spans="1:31" ht="11.25" customHeight="1">
      <c r="A32" s="8"/>
      <c r="B32" s="8"/>
      <c r="C32" s="9"/>
      <c r="D32" s="110"/>
      <c r="E32" s="89"/>
      <c r="F32" s="9"/>
      <c r="G32" s="9"/>
      <c r="H32" s="9"/>
      <c r="I32" s="9"/>
      <c r="K32" s="9"/>
      <c r="L32" s="9"/>
      <c r="M32" s="97"/>
      <c r="N32" s="9"/>
      <c r="O32" s="9"/>
      <c r="P32" s="9"/>
      <c r="Q32" s="9"/>
      <c r="R32" s="9"/>
      <c r="S32" s="9"/>
      <c r="T32" s="9"/>
      <c r="U32" s="99"/>
    </row>
    <row r="33" spans="1:31" s="34" customFormat="1" ht="11.25" customHeight="1">
      <c r="A33" s="73"/>
      <c r="B33" s="73"/>
      <c r="C33" s="73"/>
      <c r="D33" s="125"/>
      <c r="E33" s="126"/>
      <c r="F33" s="73"/>
      <c r="G33" s="73"/>
      <c r="H33" s="73"/>
      <c r="I33" s="73"/>
      <c r="J33" s="127"/>
      <c r="K33" s="126"/>
      <c r="L33" s="73"/>
      <c r="M33" s="73"/>
      <c r="N33" s="73"/>
      <c r="O33" s="73"/>
      <c r="P33" s="73"/>
      <c r="Q33" s="73"/>
      <c r="R33" s="73"/>
      <c r="S33" s="103" t="str">
        <f>"Long An, ngày  "&amp;$V$2&amp;"   tháng   "&amp;TEXT(E4,"mm")&amp;"   năm "&amp;TEXT(E4,"yyyy")</f>
        <v>Long An, ngày  29   tháng   01   năm 2017</v>
      </c>
      <c r="T33" s="73"/>
      <c r="U33" s="128"/>
      <c r="V33" s="35"/>
      <c r="W33" s="35"/>
      <c r="X33" s="35"/>
      <c r="Y33" s="35"/>
      <c r="Z33" s="35"/>
    </row>
    <row r="34" spans="1:31" s="34" customFormat="1" ht="12.75">
      <c r="A34" s="29"/>
      <c r="B34" s="29"/>
      <c r="C34" s="29" t="s">
        <v>60</v>
      </c>
      <c r="D34" s="129"/>
      <c r="E34" s="74"/>
      <c r="F34" s="128"/>
      <c r="G34" s="74"/>
      <c r="H34" s="74"/>
      <c r="I34" s="74"/>
      <c r="J34" s="130"/>
      <c r="K34" s="35"/>
      <c r="L34" s="29"/>
      <c r="M34" s="240"/>
      <c r="N34" s="20"/>
      <c r="O34" s="20"/>
      <c r="P34" s="20"/>
      <c r="Q34" s="20"/>
      <c r="S34" s="128" t="s">
        <v>22</v>
      </c>
      <c r="T34" s="128"/>
      <c r="U34" s="128"/>
      <c r="V34" s="35"/>
      <c r="W34" s="35"/>
      <c r="X34" s="35"/>
      <c r="Y34" s="35"/>
      <c r="Z34" s="35"/>
    </row>
    <row r="35" spans="1:31" ht="12">
      <c r="A35" s="8"/>
      <c r="B35" s="8"/>
      <c r="C35" s="15"/>
      <c r="E35" s="13"/>
      <c r="F35" s="12"/>
      <c r="G35" s="13"/>
      <c r="H35" s="13"/>
      <c r="I35" s="13"/>
      <c r="K35" s="7"/>
      <c r="L35" s="15"/>
      <c r="N35" s="11"/>
      <c r="O35" s="11"/>
      <c r="P35" s="11"/>
      <c r="Q35" s="11"/>
      <c r="S35" s="11"/>
      <c r="T35" s="12"/>
      <c r="U35" s="99"/>
    </row>
    <row r="36" spans="1:31" ht="12">
      <c r="C36" s="15"/>
      <c r="L36" s="15"/>
      <c r="T36" s="15"/>
      <c r="U36" s="99"/>
    </row>
    <row r="37" spans="1:31" ht="12">
      <c r="U37" s="99"/>
    </row>
    <row r="38" spans="1:31" ht="12">
      <c r="U38" s="99"/>
    </row>
    <row r="39" spans="1:31" ht="12">
      <c r="U39" s="99"/>
    </row>
    <row r="40" spans="1:31" ht="12">
      <c r="U40" s="99"/>
    </row>
    <row r="41" spans="1:31" ht="12">
      <c r="U41" s="99"/>
    </row>
    <row r="42" spans="1:31" ht="12">
      <c r="U42" s="99"/>
    </row>
    <row r="43" spans="1:31" ht="12">
      <c r="U43" s="99"/>
    </row>
    <row r="44" spans="1:31" s="165" customFormat="1" ht="29.25" customHeight="1">
      <c r="A44" s="131"/>
      <c r="B44" s="307"/>
      <c r="C44" s="307"/>
      <c r="D44" s="438" t="str">
        <f>D1</f>
        <v>BẢNG THANH TOÁN LƯƠNG THÁNG 01 / 2017</v>
      </c>
      <c r="E44" s="438"/>
      <c r="F44" s="438"/>
      <c r="G44" s="438"/>
      <c r="H44" s="438"/>
      <c r="I44" s="438"/>
      <c r="J44" s="438"/>
      <c r="K44" s="438"/>
      <c r="L44" s="438"/>
      <c r="M44" s="438"/>
      <c r="N44" s="438"/>
      <c r="O44" s="438"/>
      <c r="P44" s="438"/>
      <c r="Q44" s="439"/>
      <c r="R44" s="440" t="s">
        <v>112</v>
      </c>
      <c r="S44" s="441"/>
      <c r="T44" s="442"/>
      <c r="U44" s="99"/>
      <c r="V44" s="7"/>
      <c r="W44" s="187"/>
      <c r="X44" s="187"/>
      <c r="Y44" s="188"/>
      <c r="Z44" s="188"/>
    </row>
    <row r="45" spans="1:31" s="165" customFormat="1" ht="15" customHeight="1">
      <c r="A45" s="131" t="str">
        <f>TH!$A$1</f>
        <v>Công ty TNHH Hải sản An Lạc</v>
      </c>
      <c r="B45" s="307"/>
      <c r="C45" s="307"/>
      <c r="D45" s="307"/>
      <c r="E45" s="189"/>
      <c r="F45" s="307"/>
      <c r="G45" s="307"/>
      <c r="H45" s="307"/>
      <c r="I45" s="307"/>
      <c r="J45" s="190"/>
      <c r="K45" s="307"/>
      <c r="L45" s="307"/>
      <c r="M45" s="307"/>
      <c r="N45" s="307"/>
      <c r="O45" s="307"/>
      <c r="P45" s="307"/>
      <c r="Q45" s="307"/>
      <c r="R45" s="307"/>
      <c r="S45" s="307"/>
      <c r="T45" s="143"/>
      <c r="U45" s="99"/>
      <c r="V45" s="7"/>
      <c r="W45" s="187"/>
      <c r="X45" s="187"/>
      <c r="Y45" s="188"/>
      <c r="Z45" s="188"/>
    </row>
    <row r="46" spans="1:31" s="165" customFormat="1" ht="15" customHeight="1">
      <c r="A46" s="131" t="str">
        <f>TH!$A$2</f>
        <v>Địa chỉ: Lô A14, đường 4A, KCN Hải Sơn, Đức Hòa, Long An</v>
      </c>
      <c r="B46" s="307"/>
      <c r="C46" s="307"/>
      <c r="D46" s="307"/>
      <c r="E46" s="189"/>
      <c r="F46" s="307"/>
      <c r="G46" s="307"/>
      <c r="H46" s="307"/>
      <c r="I46" s="307"/>
      <c r="J46" s="190"/>
      <c r="K46" s="307"/>
      <c r="L46" s="307"/>
      <c r="M46" s="307"/>
      <c r="N46" s="307"/>
      <c r="O46" s="307"/>
      <c r="P46" s="307"/>
      <c r="Q46" s="307"/>
      <c r="R46" s="307"/>
      <c r="S46" s="307"/>
      <c r="T46" s="143"/>
      <c r="U46" s="99"/>
      <c r="V46" s="7"/>
      <c r="W46" s="187"/>
      <c r="X46" s="187"/>
      <c r="Y46" s="188"/>
      <c r="Z46" s="188"/>
    </row>
    <row r="47" spans="1:31" s="194" customFormat="1" ht="14.25" customHeight="1">
      <c r="A47" s="192"/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99"/>
      <c r="V47" s="7"/>
      <c r="W47" s="193"/>
      <c r="X47" s="193"/>
      <c r="Y47" s="193"/>
      <c r="Z47" s="193"/>
    </row>
    <row r="48" spans="1:31" s="196" customFormat="1" ht="24" customHeight="1">
      <c r="A48" s="446" t="s">
        <v>19</v>
      </c>
      <c r="B48" s="446" t="s">
        <v>20</v>
      </c>
      <c r="C48" s="436" t="s">
        <v>1</v>
      </c>
      <c r="D48" s="436" t="s">
        <v>2</v>
      </c>
      <c r="E48" s="448" t="s">
        <v>56</v>
      </c>
      <c r="F48" s="424" t="s">
        <v>26</v>
      </c>
      <c r="G48" s="432"/>
      <c r="H48" s="432"/>
      <c r="I48" s="432"/>
      <c r="J48" s="432"/>
      <c r="K48" s="425"/>
      <c r="L48" s="433" t="s">
        <v>57</v>
      </c>
      <c r="M48" s="433" t="s">
        <v>5</v>
      </c>
      <c r="N48" s="436" t="s">
        <v>6</v>
      </c>
      <c r="O48" s="436"/>
      <c r="P48" s="436"/>
      <c r="Q48" s="420" t="s">
        <v>7</v>
      </c>
      <c r="R48" s="420" t="s">
        <v>8</v>
      </c>
      <c r="S48" s="420" t="s">
        <v>9</v>
      </c>
      <c r="T48" s="422" t="s">
        <v>10</v>
      </c>
      <c r="U48" s="172"/>
      <c r="V48" s="195"/>
      <c r="W48" s="195"/>
      <c r="X48" s="188"/>
      <c r="Y48" s="188"/>
      <c r="Z48" s="188"/>
      <c r="AA48" s="165"/>
      <c r="AB48" s="165"/>
      <c r="AC48" s="165"/>
      <c r="AD48" s="165"/>
      <c r="AE48" s="165"/>
    </row>
    <row r="49" spans="1:31" s="196" customFormat="1" ht="33.75" customHeight="1">
      <c r="A49" s="447"/>
      <c r="B49" s="447"/>
      <c r="C49" s="436"/>
      <c r="D49" s="436"/>
      <c r="E49" s="448"/>
      <c r="F49" s="424" t="s">
        <v>59</v>
      </c>
      <c r="G49" s="425"/>
      <c r="H49" s="426" t="s">
        <v>189</v>
      </c>
      <c r="I49" s="427"/>
      <c r="J49" s="428" t="s">
        <v>27</v>
      </c>
      <c r="K49" s="420" t="s">
        <v>4</v>
      </c>
      <c r="L49" s="434"/>
      <c r="M49" s="434"/>
      <c r="N49" s="430" t="s">
        <v>12</v>
      </c>
      <c r="O49" s="420" t="s">
        <v>13</v>
      </c>
      <c r="P49" s="420" t="s">
        <v>34</v>
      </c>
      <c r="Q49" s="421"/>
      <c r="R49" s="421"/>
      <c r="S49" s="421"/>
      <c r="T49" s="423"/>
      <c r="U49" s="172"/>
      <c r="V49" s="195"/>
      <c r="W49" s="195"/>
      <c r="X49" s="188"/>
      <c r="Y49" s="188"/>
      <c r="Z49" s="188"/>
      <c r="AA49" s="165"/>
      <c r="AB49" s="165"/>
      <c r="AC49" s="165"/>
      <c r="AD49" s="165"/>
      <c r="AE49" s="165"/>
    </row>
    <row r="50" spans="1:31" s="196" customFormat="1" ht="35.25" customHeight="1">
      <c r="A50" s="447"/>
      <c r="B50" s="447"/>
      <c r="C50" s="420"/>
      <c r="D50" s="420"/>
      <c r="E50" s="448"/>
      <c r="F50" s="308" t="s">
        <v>40</v>
      </c>
      <c r="G50" s="309" t="s">
        <v>18</v>
      </c>
      <c r="H50" s="306" t="s">
        <v>40</v>
      </c>
      <c r="I50" s="309" t="s">
        <v>18</v>
      </c>
      <c r="J50" s="429"/>
      <c r="K50" s="421"/>
      <c r="L50" s="435"/>
      <c r="M50" s="435"/>
      <c r="N50" s="431"/>
      <c r="O50" s="421"/>
      <c r="P50" s="421"/>
      <c r="Q50" s="421"/>
      <c r="R50" s="421"/>
      <c r="S50" s="421"/>
      <c r="T50" s="423"/>
      <c r="U50" s="172"/>
      <c r="V50" s="195"/>
      <c r="W50" s="195"/>
      <c r="X50" s="188"/>
      <c r="Y50" s="188"/>
      <c r="Z50" s="188"/>
      <c r="AA50" s="165"/>
      <c r="AB50" s="165"/>
      <c r="AC50" s="165"/>
      <c r="AD50" s="165"/>
      <c r="AE50" s="165"/>
    </row>
    <row r="51" spans="1:31" s="201" customFormat="1" ht="12.75" customHeight="1">
      <c r="A51" s="197">
        <v>1</v>
      </c>
      <c r="B51" s="197">
        <v>2</v>
      </c>
      <c r="C51" s="197">
        <v>3</v>
      </c>
      <c r="D51" s="197">
        <v>4</v>
      </c>
      <c r="E51" s="197">
        <v>5</v>
      </c>
      <c r="F51" s="197">
        <v>7</v>
      </c>
      <c r="G51" s="197">
        <v>8</v>
      </c>
      <c r="H51" s="197">
        <v>9</v>
      </c>
      <c r="I51" s="197">
        <v>10</v>
      </c>
      <c r="J51" s="197">
        <v>13</v>
      </c>
      <c r="K51" s="197">
        <v>14</v>
      </c>
      <c r="L51" s="197">
        <v>16</v>
      </c>
      <c r="M51" s="79">
        <v>17</v>
      </c>
      <c r="N51" s="197">
        <v>24</v>
      </c>
      <c r="O51" s="197">
        <v>25</v>
      </c>
      <c r="P51" s="197">
        <v>26</v>
      </c>
      <c r="Q51" s="197">
        <v>29</v>
      </c>
      <c r="R51" s="197">
        <v>30</v>
      </c>
      <c r="S51" s="197">
        <v>31</v>
      </c>
      <c r="T51" s="197">
        <v>32</v>
      </c>
      <c r="U51" s="172"/>
      <c r="V51" s="198"/>
      <c r="W51" s="198"/>
      <c r="X51" s="199"/>
      <c r="Y51" s="199"/>
      <c r="Z51" s="199"/>
      <c r="AA51" s="200"/>
      <c r="AB51" s="200"/>
      <c r="AC51" s="200"/>
      <c r="AD51" s="200"/>
      <c r="AE51" s="200"/>
    </row>
    <row r="52" spans="1:31" s="211" customFormat="1" ht="23.25" customHeight="1">
      <c r="A52" s="202">
        <v>1</v>
      </c>
      <c r="B52" s="202" t="s">
        <v>68</v>
      </c>
      <c r="C52" s="203" t="str">
        <f t="shared" ref="C52:C59" si="19">VLOOKUP(B52,DS,2,0)</f>
        <v>Nguyễn Thiện Duy</v>
      </c>
      <c r="D52" s="204" t="str">
        <f t="shared" ref="D52:D58" si="20">VLOOKUP(B52,DS,3,0)</f>
        <v>Giám đốc</v>
      </c>
      <c r="E52" s="205">
        <f>VLOOKUP(B52,TH!$B$11:$E$52,4,0)</f>
        <v>10851000</v>
      </c>
      <c r="F52" s="87">
        <f>VLOOKUP($B52,'CC - 01'!$B$9:$AR$100,36,0)</f>
        <v>20</v>
      </c>
      <c r="G52" s="206">
        <f t="shared" ref="G52:G58" si="21">ROUND(E52/$U$2*F52,0)</f>
        <v>10334286</v>
      </c>
      <c r="H52" s="87">
        <f>(VLOOKUP($B52,'CC - 02'!$B$9:$AN$99,37,0)+(VLOOKUP($B52,'CC - 02'!$B$9:$AN$99,38,0)))</f>
        <v>0</v>
      </c>
      <c r="I52" s="206">
        <f t="shared" ref="I52:I58" si="22">ROUND(E52/$U$2*H52,0)</f>
        <v>0</v>
      </c>
      <c r="J52" s="207">
        <f t="shared" ref="J52:K58" si="23">F52+H52</f>
        <v>20</v>
      </c>
      <c r="K52" s="37">
        <f t="shared" si="23"/>
        <v>10334286</v>
      </c>
      <c r="L52" s="85">
        <f>+F52*15000</f>
        <v>300000</v>
      </c>
      <c r="M52" s="208">
        <f t="shared" ref="M52:M58" si="24">K52+SUM(L52:L52)</f>
        <v>10634286</v>
      </c>
      <c r="N52" s="38">
        <f t="shared" ref="N52:N58" si="25">IF(VLOOKUP(B52,DS,10,0)="x",E52*$N$4,0)</f>
        <v>868080</v>
      </c>
      <c r="O52" s="38">
        <f t="shared" ref="O52:O58" si="26">IF(VLOOKUP(B52,DS,10,0)="x",E52*$O$4,0)</f>
        <v>162765</v>
      </c>
      <c r="P52" s="38">
        <f t="shared" ref="P52:P58" si="27">IF(VLOOKUP(B52,DS,10,0)="x",E52*$P$4,0)</f>
        <v>108510</v>
      </c>
      <c r="Q52" s="206">
        <f t="shared" ref="Q52:Q58" si="28">M52-SUM(N52:P52)</f>
        <v>9494931</v>
      </c>
      <c r="R52" s="206">
        <f t="shared" ref="R52:R58" si="29">VLOOKUP(B52,DS,23,0)</f>
        <v>0</v>
      </c>
      <c r="S52" s="209">
        <f>Q52-R52</f>
        <v>9494931</v>
      </c>
      <c r="T52" s="206"/>
      <c r="U52" s="172"/>
      <c r="V52" s="210"/>
      <c r="W52" s="195"/>
      <c r="X52" s="188"/>
      <c r="Y52" s="188"/>
      <c r="Z52" s="188"/>
      <c r="AA52" s="165"/>
      <c r="AB52" s="165"/>
      <c r="AC52" s="165"/>
      <c r="AD52" s="165"/>
      <c r="AE52" s="165"/>
    </row>
    <row r="53" spans="1:31" s="211" customFormat="1" ht="23.25" customHeight="1">
      <c r="A53" s="202">
        <v>2</v>
      </c>
      <c r="B53" s="202" t="s">
        <v>70</v>
      </c>
      <c r="C53" s="203" t="str">
        <f t="shared" si="19"/>
        <v>Nguyễn Văn Sẽ</v>
      </c>
      <c r="D53" s="204" t="str">
        <f t="shared" si="20"/>
        <v>Kỹ Thuật</v>
      </c>
      <c r="E53" s="205">
        <f>VLOOKUP(B53,TH!$B$11:$E$52,4,0)</f>
        <v>4895000</v>
      </c>
      <c r="F53" s="87">
        <f>VLOOKUP($B53,'CC - 01'!$B$9:$AR$100,36,0)</f>
        <v>14</v>
      </c>
      <c r="G53" s="206">
        <f t="shared" si="21"/>
        <v>3263333</v>
      </c>
      <c r="H53" s="87">
        <f>(VLOOKUP($B53,'CC - 02'!$B$9:$AN$99,37,0)+(VLOOKUP($B53,'CC - 02'!$B$9:$AN$99,38,0)))</f>
        <v>0</v>
      </c>
      <c r="I53" s="206">
        <f t="shared" si="22"/>
        <v>0</v>
      </c>
      <c r="J53" s="207">
        <f t="shared" si="23"/>
        <v>14</v>
      </c>
      <c r="K53" s="37">
        <f t="shared" si="23"/>
        <v>3263333</v>
      </c>
      <c r="L53" s="85">
        <f t="shared" ref="L53:L58" si="30">+F53*15000</f>
        <v>210000</v>
      </c>
      <c r="M53" s="208">
        <f t="shared" si="24"/>
        <v>3473333</v>
      </c>
      <c r="N53" s="38">
        <f t="shared" si="25"/>
        <v>391600</v>
      </c>
      <c r="O53" s="38">
        <f t="shared" si="26"/>
        <v>73425</v>
      </c>
      <c r="P53" s="38">
        <f t="shared" si="27"/>
        <v>48950</v>
      </c>
      <c r="Q53" s="206">
        <f t="shared" si="28"/>
        <v>2959358</v>
      </c>
      <c r="R53" s="206">
        <f t="shared" si="29"/>
        <v>0</v>
      </c>
      <c r="S53" s="209">
        <f t="shared" ref="S53:S58" si="31">Q53-R53</f>
        <v>2959358</v>
      </c>
      <c r="T53" s="206"/>
      <c r="U53" s="172"/>
      <c r="V53" s="210"/>
      <c r="W53" s="195"/>
      <c r="X53" s="188"/>
      <c r="Y53" s="188"/>
      <c r="Z53" s="188"/>
      <c r="AA53" s="165"/>
      <c r="AB53" s="165"/>
      <c r="AC53" s="165"/>
      <c r="AD53" s="165"/>
      <c r="AE53" s="165"/>
    </row>
    <row r="54" spans="1:31" s="211" customFormat="1" ht="23.25" customHeight="1">
      <c r="A54" s="202">
        <v>3</v>
      </c>
      <c r="B54" s="202" t="s">
        <v>72</v>
      </c>
      <c r="C54" s="203" t="str">
        <f t="shared" si="19"/>
        <v>Võ Uyên Phương</v>
      </c>
      <c r="D54" s="204" t="str">
        <f t="shared" si="20"/>
        <v>Kế toán</v>
      </c>
      <c r="E54" s="205">
        <f>VLOOKUP(B54,TH!$B$11:$E$52,4,0)</f>
        <v>4895000</v>
      </c>
      <c r="F54" s="87">
        <f>VLOOKUP($B54,'CC - 01'!$B$9:$AR$100,36,0)</f>
        <v>20</v>
      </c>
      <c r="G54" s="206">
        <f t="shared" si="21"/>
        <v>4661905</v>
      </c>
      <c r="H54" s="87">
        <f>(VLOOKUP($B54,'CC - 02'!$B$9:$AN$99,37,0)+(VLOOKUP($B54,'CC - 02'!$B$9:$AN$99,38,0)))</f>
        <v>0</v>
      </c>
      <c r="I54" s="206">
        <f t="shared" si="22"/>
        <v>0</v>
      </c>
      <c r="J54" s="207">
        <f t="shared" si="23"/>
        <v>20</v>
      </c>
      <c r="K54" s="37">
        <f t="shared" si="23"/>
        <v>4661905</v>
      </c>
      <c r="L54" s="85">
        <f t="shared" si="30"/>
        <v>300000</v>
      </c>
      <c r="M54" s="208">
        <f t="shared" si="24"/>
        <v>4961905</v>
      </c>
      <c r="N54" s="38">
        <f t="shared" si="25"/>
        <v>391600</v>
      </c>
      <c r="O54" s="38">
        <f t="shared" si="26"/>
        <v>73425</v>
      </c>
      <c r="P54" s="38">
        <f t="shared" si="27"/>
        <v>48950</v>
      </c>
      <c r="Q54" s="206">
        <f t="shared" si="28"/>
        <v>4447930</v>
      </c>
      <c r="R54" s="206">
        <f t="shared" si="29"/>
        <v>0</v>
      </c>
      <c r="S54" s="209">
        <f t="shared" si="31"/>
        <v>4447930</v>
      </c>
      <c r="T54" s="206"/>
      <c r="U54" s="172"/>
      <c r="V54" s="210"/>
      <c r="W54" s="195"/>
      <c r="X54" s="188"/>
      <c r="Y54" s="188"/>
      <c r="Z54" s="188"/>
      <c r="AA54" s="165"/>
      <c r="AB54" s="165"/>
      <c r="AC54" s="165"/>
      <c r="AD54" s="165"/>
      <c r="AE54" s="165"/>
    </row>
    <row r="55" spans="1:31" s="211" customFormat="1" ht="23.25" customHeight="1">
      <c r="A55" s="202">
        <v>4</v>
      </c>
      <c r="B55" s="202" t="s">
        <v>75</v>
      </c>
      <c r="C55" s="203" t="str">
        <f t="shared" si="19"/>
        <v>Lê Nguyễn Huy Cường</v>
      </c>
      <c r="D55" s="204" t="str">
        <f t="shared" si="20"/>
        <v>XNK</v>
      </c>
      <c r="E55" s="205">
        <f>VLOOKUP(B55,TH!$B$11:$E$52,4,0)</f>
        <v>4336000</v>
      </c>
      <c r="F55" s="87">
        <f>VLOOKUP($B55,'CC - 01'!$B$9:$AR$100,36,0)</f>
        <v>20</v>
      </c>
      <c r="G55" s="206">
        <f t="shared" si="21"/>
        <v>4129524</v>
      </c>
      <c r="H55" s="87">
        <f>(VLOOKUP($B55,'CC - 02'!$B$9:$AN$99,37,0)+(VLOOKUP($B55,'CC - 02'!$B$9:$AN$99,38,0)))</f>
        <v>0</v>
      </c>
      <c r="I55" s="206">
        <f t="shared" si="22"/>
        <v>0</v>
      </c>
      <c r="J55" s="207">
        <f t="shared" si="23"/>
        <v>20</v>
      </c>
      <c r="K55" s="37">
        <f t="shared" si="23"/>
        <v>4129524</v>
      </c>
      <c r="L55" s="85">
        <f t="shared" si="30"/>
        <v>300000</v>
      </c>
      <c r="M55" s="208">
        <f t="shared" si="24"/>
        <v>4429524</v>
      </c>
      <c r="N55" s="38">
        <f t="shared" si="25"/>
        <v>346880</v>
      </c>
      <c r="O55" s="38">
        <f t="shared" si="26"/>
        <v>65040</v>
      </c>
      <c r="P55" s="38">
        <f t="shared" si="27"/>
        <v>43360</v>
      </c>
      <c r="Q55" s="206">
        <f t="shared" si="28"/>
        <v>3974244</v>
      </c>
      <c r="R55" s="206">
        <f t="shared" si="29"/>
        <v>0</v>
      </c>
      <c r="S55" s="209">
        <f t="shared" si="31"/>
        <v>3974244</v>
      </c>
      <c r="T55" s="206"/>
      <c r="U55" s="172"/>
      <c r="V55" s="210"/>
      <c r="W55" s="195"/>
      <c r="X55" s="188"/>
      <c r="Y55" s="188"/>
      <c r="Z55" s="188"/>
      <c r="AA55" s="165"/>
      <c r="AB55" s="165"/>
      <c r="AC55" s="165"/>
      <c r="AD55" s="165"/>
      <c r="AE55" s="165"/>
    </row>
    <row r="56" spans="1:31" s="211" customFormat="1" ht="23.25" customHeight="1">
      <c r="A56" s="202">
        <v>5</v>
      </c>
      <c r="B56" s="202" t="s">
        <v>77</v>
      </c>
      <c r="C56" s="203" t="str">
        <f t="shared" si="19"/>
        <v>Nguyễn Văn Bé Tư</v>
      </c>
      <c r="D56" s="204" t="str">
        <f t="shared" si="20"/>
        <v>Tài xế</v>
      </c>
      <c r="E56" s="205">
        <f>VLOOKUP(B56,TH!$B$11:$E$52,4,0)</f>
        <v>3776000</v>
      </c>
      <c r="F56" s="87">
        <f>VLOOKUP($B56,'CC - 01'!$B$9:$AR$100,36,0)</f>
        <v>20</v>
      </c>
      <c r="G56" s="206">
        <f t="shared" si="21"/>
        <v>3596190</v>
      </c>
      <c r="H56" s="87">
        <f>(VLOOKUP($B56,'CC - 02'!$B$9:$AN$99,37,0)+(VLOOKUP($B56,'CC - 02'!$B$9:$AN$99,38,0)))</f>
        <v>0</v>
      </c>
      <c r="I56" s="206">
        <f t="shared" si="22"/>
        <v>0</v>
      </c>
      <c r="J56" s="207">
        <f t="shared" si="23"/>
        <v>20</v>
      </c>
      <c r="K56" s="37">
        <f t="shared" si="23"/>
        <v>3596190</v>
      </c>
      <c r="L56" s="85">
        <f t="shared" si="30"/>
        <v>300000</v>
      </c>
      <c r="M56" s="208">
        <f t="shared" si="24"/>
        <v>3896190</v>
      </c>
      <c r="N56" s="38">
        <f t="shared" si="25"/>
        <v>302080</v>
      </c>
      <c r="O56" s="38">
        <f t="shared" si="26"/>
        <v>56640</v>
      </c>
      <c r="P56" s="38">
        <f t="shared" si="27"/>
        <v>37760</v>
      </c>
      <c r="Q56" s="206">
        <f t="shared" si="28"/>
        <v>3499710</v>
      </c>
      <c r="R56" s="206">
        <f t="shared" si="29"/>
        <v>0</v>
      </c>
      <c r="S56" s="209">
        <f t="shared" si="31"/>
        <v>3499710</v>
      </c>
      <c r="T56" s="206"/>
      <c r="U56" s="172"/>
      <c r="V56" s="210"/>
      <c r="W56" s="195"/>
      <c r="X56" s="188"/>
      <c r="Y56" s="188"/>
      <c r="Z56" s="188"/>
      <c r="AA56" s="165"/>
      <c r="AB56" s="165"/>
      <c r="AC56" s="165"/>
      <c r="AD56" s="165"/>
      <c r="AE56" s="165"/>
    </row>
    <row r="57" spans="1:31" s="211" customFormat="1" ht="23.25" customHeight="1">
      <c r="A57" s="202">
        <v>6</v>
      </c>
      <c r="B57" s="202" t="s">
        <v>78</v>
      </c>
      <c r="C57" s="203" t="str">
        <f t="shared" si="19"/>
        <v>Dương Thanh Tuấn</v>
      </c>
      <c r="D57" s="204" t="str">
        <f t="shared" si="20"/>
        <v>Nhân sự</v>
      </c>
      <c r="E57" s="205">
        <f>VLOOKUP(B57,TH!$B$11:$E$52,4,0)</f>
        <v>4056000</v>
      </c>
      <c r="F57" s="87">
        <f>VLOOKUP($B57,'CC - 01'!$B$9:$AR$100,36,0)</f>
        <v>19</v>
      </c>
      <c r="G57" s="206">
        <f t="shared" si="21"/>
        <v>3669714</v>
      </c>
      <c r="H57" s="87">
        <f>(VLOOKUP($B57,'CC - 02'!$B$9:$AN$99,37,0)+(VLOOKUP($B57,'CC - 02'!$B$9:$AN$99,38,0)))</f>
        <v>0</v>
      </c>
      <c r="I57" s="206">
        <f t="shared" si="22"/>
        <v>0</v>
      </c>
      <c r="J57" s="207">
        <f t="shared" si="23"/>
        <v>19</v>
      </c>
      <c r="K57" s="37">
        <f t="shared" si="23"/>
        <v>3669714</v>
      </c>
      <c r="L57" s="85">
        <f t="shared" si="30"/>
        <v>285000</v>
      </c>
      <c r="M57" s="208">
        <f t="shared" si="24"/>
        <v>3954714</v>
      </c>
      <c r="N57" s="38">
        <f t="shared" si="25"/>
        <v>324480</v>
      </c>
      <c r="O57" s="38">
        <f t="shared" si="26"/>
        <v>60840</v>
      </c>
      <c r="P57" s="38">
        <f t="shared" si="27"/>
        <v>40560</v>
      </c>
      <c r="Q57" s="206">
        <f t="shared" si="28"/>
        <v>3528834</v>
      </c>
      <c r="R57" s="206">
        <f t="shared" si="29"/>
        <v>0</v>
      </c>
      <c r="S57" s="209">
        <f t="shared" si="31"/>
        <v>3528834</v>
      </c>
      <c r="T57" s="206"/>
      <c r="U57" s="172"/>
      <c r="V57" s="210"/>
      <c r="W57" s="195"/>
      <c r="X57" s="188"/>
      <c r="Y57" s="188"/>
      <c r="Z57" s="188"/>
      <c r="AA57" s="165"/>
      <c r="AB57" s="165"/>
      <c r="AC57" s="165"/>
      <c r="AD57" s="165"/>
      <c r="AE57" s="165"/>
    </row>
    <row r="58" spans="1:31" s="211" customFormat="1" ht="23.25" customHeight="1">
      <c r="A58" s="202">
        <v>7</v>
      </c>
      <c r="B58" s="202" t="s">
        <v>81</v>
      </c>
      <c r="C58" s="203" t="str">
        <f t="shared" si="19"/>
        <v>Nguyễn Thiện Duyệt</v>
      </c>
      <c r="D58" s="204" t="str">
        <f t="shared" si="20"/>
        <v>XNK</v>
      </c>
      <c r="E58" s="205">
        <f>VLOOKUP(B58,TH!$B$11:$E$52,4,0)</f>
        <v>4840000</v>
      </c>
      <c r="F58" s="87">
        <f>VLOOKUP($B58,'CC - 01'!$B$9:$AR$100,36,0)</f>
        <v>20</v>
      </c>
      <c r="G58" s="206">
        <f t="shared" si="21"/>
        <v>4609524</v>
      </c>
      <c r="H58" s="87">
        <f>(VLOOKUP($B58,'CC - 02'!$B$9:$AN$99,37,0)+(VLOOKUP($B58,'CC - 02'!$B$9:$AN$99,38,0)))</f>
        <v>0</v>
      </c>
      <c r="I58" s="206">
        <f t="shared" si="22"/>
        <v>0</v>
      </c>
      <c r="J58" s="207">
        <f t="shared" si="23"/>
        <v>20</v>
      </c>
      <c r="K58" s="37">
        <f t="shared" si="23"/>
        <v>4609524</v>
      </c>
      <c r="L58" s="85">
        <f t="shared" si="30"/>
        <v>300000</v>
      </c>
      <c r="M58" s="208">
        <f t="shared" si="24"/>
        <v>4909524</v>
      </c>
      <c r="N58" s="38">
        <f t="shared" si="25"/>
        <v>387200</v>
      </c>
      <c r="O58" s="38">
        <f t="shared" si="26"/>
        <v>72600</v>
      </c>
      <c r="P58" s="38">
        <f t="shared" si="27"/>
        <v>48400</v>
      </c>
      <c r="Q58" s="206">
        <f t="shared" si="28"/>
        <v>4401324</v>
      </c>
      <c r="R58" s="206">
        <f t="shared" si="29"/>
        <v>0</v>
      </c>
      <c r="S58" s="209">
        <f t="shared" si="31"/>
        <v>4401324</v>
      </c>
      <c r="T58" s="206"/>
      <c r="U58" s="172"/>
      <c r="V58" s="210"/>
      <c r="W58" s="195"/>
      <c r="X58" s="188"/>
      <c r="Y58" s="188"/>
      <c r="Z58" s="188"/>
      <c r="AA58" s="165"/>
      <c r="AB58" s="165"/>
      <c r="AC58" s="165"/>
      <c r="AD58" s="165"/>
      <c r="AE58" s="165"/>
    </row>
    <row r="59" spans="1:31" s="211" customFormat="1" ht="22.5" customHeight="1">
      <c r="A59" s="212">
        <v>8</v>
      </c>
      <c r="B59" s="212" t="s">
        <v>192</v>
      </c>
      <c r="C59" s="203" t="str">
        <f t="shared" si="19"/>
        <v>Trần Đình Thái</v>
      </c>
      <c r="D59" s="204" t="str">
        <f t="shared" ref="D59" si="32">VLOOKUP(B59,DS,3,0)</f>
        <v>Cơ Điện</v>
      </c>
      <c r="E59" s="205">
        <f>VLOOKUP(B59,TH!$B$11:$E$52,4,0)</f>
        <v>3568000</v>
      </c>
      <c r="F59" s="87">
        <f>VLOOKUP($B59,'CC - 01'!$B$9:$AR$100,36,0)</f>
        <v>20</v>
      </c>
      <c r="G59" s="206">
        <f t="shared" ref="G59" si="33">ROUND(E59/$U$2*F59,0)</f>
        <v>3398095</v>
      </c>
      <c r="H59" s="87">
        <f>(VLOOKUP($B59,'CC - 02'!$B$9:$AN$99,37,0)+(VLOOKUP($B59,'CC - 02'!$B$9:$AN$99,38,0)))</f>
        <v>0</v>
      </c>
      <c r="I59" s="206">
        <f t="shared" ref="I59" si="34">ROUND(E59/$U$2*H59,0)</f>
        <v>0</v>
      </c>
      <c r="J59" s="207">
        <f t="shared" ref="J59" si="35">F59+H59</f>
        <v>20</v>
      </c>
      <c r="K59" s="37">
        <f t="shared" ref="K59" si="36">G59+I59</f>
        <v>3398095</v>
      </c>
      <c r="L59" s="85">
        <f t="shared" ref="L59" si="37">+F59*15000</f>
        <v>300000</v>
      </c>
      <c r="M59" s="208">
        <f t="shared" ref="M59" si="38">K59+SUM(L59:L59)</f>
        <v>3698095</v>
      </c>
      <c r="N59" s="38">
        <f t="shared" ref="N59" si="39">IF(VLOOKUP(B59,DS,10,0)="x",E59*$N$4,0)</f>
        <v>285440</v>
      </c>
      <c r="O59" s="38">
        <f t="shared" ref="O59" si="40">IF(VLOOKUP(B59,DS,10,0)="x",E59*$O$4,0)</f>
        <v>53520</v>
      </c>
      <c r="P59" s="38">
        <f t="shared" ref="P59" si="41">IF(VLOOKUP(B59,DS,10,0)="x",E59*$P$4,0)</f>
        <v>35680</v>
      </c>
      <c r="Q59" s="206">
        <f t="shared" ref="Q59" si="42">M59-SUM(N59:P59)</f>
        <v>3323455</v>
      </c>
      <c r="R59" s="206">
        <f t="shared" ref="R59" si="43">VLOOKUP(B59,DS,23,0)</f>
        <v>0</v>
      </c>
      <c r="S59" s="209">
        <f t="shared" ref="S59" si="44">Q59-R59</f>
        <v>3323455</v>
      </c>
      <c r="T59" s="206"/>
      <c r="U59" s="172"/>
      <c r="V59" s="210"/>
      <c r="W59" s="210"/>
      <c r="X59" s="210"/>
      <c r="Y59" s="210"/>
      <c r="Z59" s="210"/>
    </row>
    <row r="60" spans="1:31" s="216" customFormat="1" ht="21" customHeight="1">
      <c r="A60" s="418" t="s">
        <v>25</v>
      </c>
      <c r="B60" s="419"/>
      <c r="C60" s="419"/>
      <c r="D60" s="419"/>
      <c r="E60" s="213">
        <f>SUM(E52:E59)</f>
        <v>41217000</v>
      </c>
      <c r="F60" s="213"/>
      <c r="G60" s="213">
        <f t="shared" ref="G60:S60" si="45">SUM(G52:G59)</f>
        <v>37662571</v>
      </c>
      <c r="H60" s="213">
        <f t="shared" si="45"/>
        <v>0</v>
      </c>
      <c r="I60" s="213">
        <f t="shared" si="45"/>
        <v>0</v>
      </c>
      <c r="J60" s="213">
        <f t="shared" si="45"/>
        <v>153</v>
      </c>
      <c r="K60" s="214">
        <f t="shared" si="45"/>
        <v>37662571</v>
      </c>
      <c r="L60" s="214">
        <f t="shared" si="45"/>
        <v>2295000</v>
      </c>
      <c r="M60" s="214">
        <f t="shared" si="45"/>
        <v>39957571</v>
      </c>
      <c r="N60" s="214">
        <f t="shared" si="45"/>
        <v>3297360</v>
      </c>
      <c r="O60" s="214">
        <f t="shared" si="45"/>
        <v>618255</v>
      </c>
      <c r="P60" s="214">
        <f t="shared" si="45"/>
        <v>412170</v>
      </c>
      <c r="Q60" s="214">
        <f t="shared" si="45"/>
        <v>35629786</v>
      </c>
      <c r="R60" s="214">
        <f t="shared" si="45"/>
        <v>0</v>
      </c>
      <c r="S60" s="214">
        <f t="shared" si="45"/>
        <v>35629786</v>
      </c>
      <c r="T60" s="214"/>
      <c r="U60" s="172"/>
      <c r="V60" s="215">
        <f>S60+S31</f>
        <v>93179275</v>
      </c>
      <c r="W60" s="215"/>
      <c r="X60" s="215"/>
      <c r="Y60" s="215"/>
      <c r="Z60" s="215"/>
    </row>
    <row r="61" spans="1:31" s="224" customFormat="1" ht="13.5" customHeight="1">
      <c r="A61" s="217"/>
      <c r="B61" s="217"/>
      <c r="C61" s="218"/>
      <c r="D61" s="219"/>
      <c r="E61" s="220"/>
      <c r="F61" s="218"/>
      <c r="G61" s="218"/>
      <c r="H61" s="218"/>
      <c r="I61" s="218"/>
      <c r="J61" s="221"/>
      <c r="K61" s="218"/>
      <c r="L61" s="218"/>
      <c r="M61" s="222"/>
      <c r="N61" s="218"/>
      <c r="O61" s="218"/>
      <c r="P61" s="218"/>
      <c r="Q61" s="218"/>
      <c r="R61" s="218"/>
      <c r="S61" s="218"/>
      <c r="T61" s="218"/>
      <c r="U61" s="172"/>
      <c r="V61" s="223"/>
      <c r="W61" s="223"/>
      <c r="X61" s="223"/>
      <c r="Y61" s="223"/>
      <c r="Z61" s="223"/>
    </row>
    <row r="62" spans="1:31" s="211" customFormat="1" ht="17.25" customHeight="1">
      <c r="A62" s="225"/>
      <c r="B62" s="225"/>
      <c r="C62" s="225"/>
      <c r="D62" s="226"/>
      <c r="E62" s="227"/>
      <c r="F62" s="225"/>
      <c r="G62" s="225"/>
      <c r="H62" s="225"/>
      <c r="I62" s="225"/>
      <c r="J62" s="228"/>
      <c r="K62" s="227"/>
      <c r="L62" s="225"/>
      <c r="M62" s="225"/>
      <c r="N62" s="225"/>
      <c r="O62" s="225"/>
      <c r="P62" s="225"/>
      <c r="Q62" s="225"/>
      <c r="R62" s="225"/>
      <c r="S62" s="229" t="str">
        <f>$S$33</f>
        <v>Long An, ngày  29   tháng   01   năm 2017</v>
      </c>
      <c r="T62" s="225"/>
      <c r="U62" s="230"/>
      <c r="V62" s="210"/>
      <c r="W62" s="210"/>
      <c r="X62" s="210"/>
      <c r="Y62" s="210"/>
      <c r="Z62" s="210"/>
    </row>
    <row r="63" spans="1:31" s="211" customFormat="1" ht="12.75">
      <c r="A63" s="231"/>
      <c r="B63" s="231"/>
      <c r="C63" s="230" t="s">
        <v>60</v>
      </c>
      <c r="D63" s="232"/>
      <c r="E63" s="191"/>
      <c r="F63" s="230"/>
      <c r="G63" s="191"/>
      <c r="H63" s="191"/>
      <c r="I63" s="191"/>
      <c r="J63" s="233"/>
      <c r="K63" s="210"/>
      <c r="L63" s="234"/>
      <c r="M63" s="241"/>
      <c r="N63" s="235"/>
      <c r="O63" s="235"/>
      <c r="P63" s="235"/>
      <c r="Q63" s="235"/>
      <c r="S63" s="235" t="s">
        <v>22</v>
      </c>
      <c r="T63" s="230"/>
      <c r="U63" s="230"/>
      <c r="V63" s="210"/>
      <c r="W63" s="210"/>
      <c r="X63" s="210"/>
      <c r="Y63" s="210"/>
      <c r="Z63" s="210"/>
    </row>
    <row r="64" spans="1:31" s="224" customFormat="1" ht="12">
      <c r="A64" s="217"/>
      <c r="B64" s="217"/>
      <c r="C64" s="236"/>
      <c r="D64" s="236"/>
      <c r="E64" s="237">
        <f>E60+E31</f>
        <v>103113000</v>
      </c>
      <c r="F64" s="175"/>
      <c r="G64" s="237"/>
      <c r="H64" s="237"/>
      <c r="I64" s="237"/>
      <c r="J64" s="221"/>
      <c r="K64" s="223"/>
      <c r="L64" s="238"/>
      <c r="N64" s="239"/>
      <c r="O64" s="239"/>
      <c r="P64" s="239"/>
      <c r="Q64" s="239"/>
      <c r="S64" s="239"/>
      <c r="T64" s="175"/>
      <c r="U64" s="172"/>
      <c r="V64" s="223"/>
      <c r="W64" s="223"/>
      <c r="X64" s="223"/>
      <c r="Y64" s="223"/>
      <c r="Z64" s="223"/>
    </row>
    <row r="66" spans="6:6">
      <c r="F66" s="299"/>
    </row>
  </sheetData>
  <protectedRanges>
    <protectedRange password="CC78" sqref="V30:IK31 A10:B11 L30 C5:D7 B34:C34 V5:W9 A30:A35 B30:B33 B35 A65:A95 V12:W12 Q5:T7 AF5:IK12 L31:T31 V25:W25 E5:I6 D31:I31 N5:P6 L5 Q10:S11 L50 L34 J6:K7 L7 L48 AF25:IK25 A37:A43 N30:S30 W37:IK43 W10:W11 C65:IK95 J30:K31 A96:IK65363 C37:T43 B37:B51 V37:V47 H49:I49 B54:B95" name="Range1"/>
    <protectedRange password="CC78" sqref="F7:H7 H50" name="Range1_4"/>
    <protectedRange password="CC78" sqref="V34:IK35 S34:T35 N34:Q35 E34:I35" name="Range1_1_1"/>
    <protectedRange password="CC78" sqref="U1 W1:IK3 V4:IK4 B4:T4 U4:U12 X5:AE12 U25 X25:AE25 B1:Q3 R2:S3 U30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60 C48:D50 B63:C63 V48:W51 A59:A64 B59:B62 B64 N48:P49 Q48:T50 E48:I48 AF48:IK58 D60:T60 J49:K50 L63 W52:W58 A54:B58 E49:G49 A52:A53 Q52:S59" name="Range1_3"/>
    <protectedRange password="CC78" sqref="F50:G50" name="Range1_4_2"/>
    <protectedRange password="CC78" sqref="V63:IK64 N63:Q64 S63:T64 E63:I64" name="Range1_1_1_1"/>
    <protectedRange password="CC78" sqref="W44:IK47 U48:U64 X48:AE58 B47:T47 B44:Q46 R45:S46" name="Range1_2_2"/>
    <protectedRange password="CC78" sqref="V52:V58" name="Range1_1_2"/>
    <protectedRange password="CC78" sqref="A44" name="Range1_2_1_1_1"/>
    <protectedRange password="CC78" sqref="I50" name="Range1_4_1_1"/>
    <protectedRange password="CC78" sqref="AF13:IK24 W13:W24 Q13:S24 A13:B14 AF26:IK29 W26:W29 Q26:S29 B15:B24 A15:A26 A26:B29" name="Range1_5"/>
    <protectedRange password="CC78" sqref="X13:AE24 U13:U24 X26:AE29 U26:U29" name="Range1_2_3"/>
    <protectedRange password="CC78" sqref="V13:V24 V26:V29" name="Range1_1_3"/>
    <protectedRange password="CC78" sqref="K10:K11 K13:K24 K26:K29 K52:K59" name="Range1_6"/>
    <protectedRange password="CC78" sqref="A2:A3 A45:A46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8:A50"/>
    <mergeCell ref="B48:B50"/>
    <mergeCell ref="C48:C50"/>
    <mergeCell ref="D48:D50"/>
    <mergeCell ref="E48:E50"/>
    <mergeCell ref="O6:O7"/>
    <mergeCell ref="P6:P7"/>
    <mergeCell ref="A31:D31"/>
    <mergeCell ref="D44:Q44"/>
    <mergeCell ref="R44:T44"/>
    <mergeCell ref="F6:G6"/>
    <mergeCell ref="H6:I6"/>
    <mergeCell ref="J6:J7"/>
    <mergeCell ref="K6:K7"/>
    <mergeCell ref="A60:D60"/>
    <mergeCell ref="S48:S50"/>
    <mergeCell ref="T48:T50"/>
    <mergeCell ref="F49:G49"/>
    <mergeCell ref="H49:I49"/>
    <mergeCell ref="J49:J50"/>
    <mergeCell ref="K49:K50"/>
    <mergeCell ref="N49:N50"/>
    <mergeCell ref="O49:O50"/>
    <mergeCell ref="P49:P50"/>
    <mergeCell ref="F48:K48"/>
    <mergeCell ref="L48:L50"/>
    <mergeCell ref="M48:M50"/>
    <mergeCell ref="N48:P48"/>
    <mergeCell ref="Q48:Q50"/>
    <mergeCell ref="R48:R50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9"/>
  <sheetViews>
    <sheetView zoomScaleNormal="115" workbookViewId="0">
      <pane xSplit="3" ySplit="6" topLeftCell="D91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F6" sqref="AF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01" customWidth="1"/>
    <col min="5" max="5" width="11.28515625" style="2" bestFit="1" customWidth="1"/>
    <col min="6" max="33" width="3.42578125" style="116" customWidth="1"/>
    <col min="34" max="34" width="3.42578125" style="117" customWidth="1"/>
    <col min="35" max="35" width="3.5703125" style="117" bestFit="1" customWidth="1"/>
    <col min="36" max="36" width="3.42578125" style="117" customWidth="1"/>
    <col min="37" max="38" width="4.42578125" style="2" customWidth="1"/>
    <col min="39" max="39" width="5.5703125" style="95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1"/>
      <c r="B1" s="50"/>
      <c r="C1" s="50"/>
      <c r="D1" s="54"/>
      <c r="E1" s="50"/>
      <c r="F1" s="54"/>
      <c r="G1" s="54"/>
      <c r="H1" s="54"/>
      <c r="I1" s="54"/>
      <c r="J1" s="54"/>
      <c r="K1" s="112"/>
      <c r="L1" s="112"/>
      <c r="M1" s="112"/>
      <c r="N1" s="112"/>
      <c r="O1" s="112"/>
      <c r="P1" s="112"/>
      <c r="Q1" s="112"/>
      <c r="R1" s="112"/>
      <c r="S1" s="52" t="str">
        <f>CONCATENATE("BẢNG CHẤM CÔNG THÁNG ",TEXT($E$4,"mm")," NĂM ",TEXT($E$4,"yyyy"))</f>
        <v>BẢNG CHẤM CÔNG THÁNG 02 NĂM 2017</v>
      </c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51"/>
      <c r="AL1" s="51"/>
      <c r="AM1" s="407" t="s">
        <v>180</v>
      </c>
      <c r="AN1" s="408"/>
      <c r="AO1" s="408"/>
      <c r="AP1" s="408"/>
      <c r="AQ1" s="408"/>
      <c r="AR1" s="408"/>
      <c r="AS1" s="409"/>
      <c r="AT1" s="53"/>
    </row>
    <row r="2" spans="1:91" ht="20.25">
      <c r="A2" s="131" t="str">
        <f>TH!$A$1</f>
        <v>Công ty TNHH Hải sản An Lạc</v>
      </c>
      <c r="B2" s="54"/>
      <c r="C2" s="54"/>
      <c r="D2" s="54"/>
      <c r="E2" s="54"/>
      <c r="F2" s="54"/>
      <c r="G2" s="54"/>
      <c r="H2" s="54"/>
      <c r="I2" s="54"/>
      <c r="J2" s="54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51"/>
      <c r="AL2" s="51"/>
      <c r="AM2" s="91"/>
      <c r="AN2" s="55"/>
      <c r="AO2" s="55"/>
      <c r="AP2" s="55"/>
      <c r="AQ2" s="55"/>
      <c r="AR2" s="55"/>
      <c r="AS2" s="90"/>
      <c r="AT2" s="90"/>
    </row>
    <row r="3" spans="1:91" ht="21" customHeight="1">
      <c r="A3" s="131" t="str">
        <f>TH!$A$2</f>
        <v>Địa chỉ: Lô A14, đường 4A, KCN Hải Sơn, Đức Hòa, Long An</v>
      </c>
      <c r="B3" s="56"/>
      <c r="C3" s="56"/>
      <c r="D3" s="57"/>
      <c r="E3" s="57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51"/>
      <c r="AL3" s="51"/>
      <c r="AM3" s="91"/>
      <c r="AN3" s="53"/>
      <c r="AO3" s="53"/>
      <c r="AP3" s="53"/>
      <c r="AQ3" s="53"/>
      <c r="AR3" s="53"/>
      <c r="AS3" s="58"/>
      <c r="AT3" s="58"/>
    </row>
    <row r="4" spans="1:91" ht="14.25" customHeight="1">
      <c r="A4" s="59"/>
      <c r="B4" s="59"/>
      <c r="C4" s="250"/>
      <c r="D4" s="249"/>
      <c r="E4" s="300">
        <v>42767</v>
      </c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1"/>
      <c r="AI4" s="61"/>
      <c r="AJ4" s="61"/>
      <c r="AK4" s="59"/>
      <c r="AL4" s="59"/>
      <c r="AM4" s="92"/>
      <c r="AN4" s="59"/>
      <c r="AO4" s="59"/>
      <c r="AP4" s="59"/>
      <c r="AQ4" s="59"/>
      <c r="AR4" s="59"/>
      <c r="AS4" s="59"/>
      <c r="AT4" s="96"/>
    </row>
    <row r="5" spans="1:91" s="62" customFormat="1" ht="18.75" customHeight="1">
      <c r="A5" s="410" t="s">
        <v>28</v>
      </c>
      <c r="B5" s="410" t="s">
        <v>3</v>
      </c>
      <c r="C5" s="410" t="s">
        <v>1</v>
      </c>
      <c r="D5" s="412" t="s">
        <v>29</v>
      </c>
      <c r="E5" s="410" t="s">
        <v>30</v>
      </c>
      <c r="F5" s="111">
        <f>+E4</f>
        <v>42767</v>
      </c>
      <c r="G5" s="111">
        <f t="shared" ref="G5:AG5" si="0">F5+1</f>
        <v>42768</v>
      </c>
      <c r="H5" s="111">
        <f t="shared" si="0"/>
        <v>42769</v>
      </c>
      <c r="I5" s="111">
        <f t="shared" si="0"/>
        <v>42770</v>
      </c>
      <c r="J5" s="111">
        <f t="shared" si="0"/>
        <v>42771</v>
      </c>
      <c r="K5" s="111">
        <f t="shared" si="0"/>
        <v>42772</v>
      </c>
      <c r="L5" s="111">
        <f t="shared" si="0"/>
        <v>42773</v>
      </c>
      <c r="M5" s="111">
        <f t="shared" si="0"/>
        <v>42774</v>
      </c>
      <c r="N5" s="111">
        <f t="shared" si="0"/>
        <v>42775</v>
      </c>
      <c r="O5" s="111">
        <f t="shared" si="0"/>
        <v>42776</v>
      </c>
      <c r="P5" s="111">
        <f t="shared" si="0"/>
        <v>42777</v>
      </c>
      <c r="Q5" s="111">
        <f t="shared" si="0"/>
        <v>42778</v>
      </c>
      <c r="R5" s="111">
        <f t="shared" si="0"/>
        <v>42779</v>
      </c>
      <c r="S5" s="111">
        <f t="shared" si="0"/>
        <v>42780</v>
      </c>
      <c r="T5" s="111">
        <f t="shared" si="0"/>
        <v>42781</v>
      </c>
      <c r="U5" s="111">
        <f t="shared" si="0"/>
        <v>42782</v>
      </c>
      <c r="V5" s="111">
        <f t="shared" si="0"/>
        <v>42783</v>
      </c>
      <c r="W5" s="111">
        <f t="shared" si="0"/>
        <v>42784</v>
      </c>
      <c r="X5" s="111">
        <f t="shared" si="0"/>
        <v>42785</v>
      </c>
      <c r="Y5" s="111">
        <f t="shared" si="0"/>
        <v>42786</v>
      </c>
      <c r="Z5" s="111">
        <f t="shared" si="0"/>
        <v>42787</v>
      </c>
      <c r="AA5" s="111">
        <f t="shared" si="0"/>
        <v>42788</v>
      </c>
      <c r="AB5" s="111">
        <f t="shared" si="0"/>
        <v>42789</v>
      </c>
      <c r="AC5" s="111">
        <f t="shared" si="0"/>
        <v>42790</v>
      </c>
      <c r="AD5" s="111">
        <f t="shared" si="0"/>
        <v>42791</v>
      </c>
      <c r="AE5" s="111">
        <f t="shared" si="0"/>
        <v>42792</v>
      </c>
      <c r="AF5" s="111">
        <f t="shared" si="0"/>
        <v>42793</v>
      </c>
      <c r="AG5" s="111">
        <f t="shared" si="0"/>
        <v>42794</v>
      </c>
      <c r="AH5" s="111">
        <f>AG5+1</f>
        <v>42795</v>
      </c>
      <c r="AI5" s="111">
        <f>AH5+1</f>
        <v>42796</v>
      </c>
      <c r="AJ5" s="111">
        <v>31</v>
      </c>
      <c r="AK5" s="413" t="s">
        <v>15</v>
      </c>
      <c r="AL5" s="414"/>
      <c r="AM5" s="415"/>
      <c r="AN5" s="416" t="s">
        <v>45</v>
      </c>
      <c r="AO5" s="416" t="s">
        <v>41</v>
      </c>
      <c r="AP5" s="416" t="s">
        <v>42</v>
      </c>
      <c r="AQ5" s="416" t="s">
        <v>43</v>
      </c>
      <c r="AR5" s="416" t="s">
        <v>44</v>
      </c>
      <c r="AS5" s="412" t="s">
        <v>0</v>
      </c>
      <c r="AT5" s="40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2" customFormat="1" ht="39.75" customHeight="1">
      <c r="A6" s="411"/>
      <c r="B6" s="411"/>
      <c r="C6" s="411"/>
      <c r="D6" s="411"/>
      <c r="E6" s="411"/>
      <c r="F6" s="279" t="str">
        <f>CHOOSE(WEEKDAY(F5),"C.Nhật","T.Hai","T.Ba","T.Tư","T.Năm","T.Sáu","T.Bảy")</f>
        <v>T.Tư</v>
      </c>
      <c r="G6" s="279" t="str">
        <f t="shared" ref="G6:AI6" si="1">CHOOSE(WEEKDAY(G5),"C.Nhật","T.Hai","T.Ba","T.Tư","T.Năm","T.Sáu","T.Bảy")</f>
        <v>T.Năm</v>
      </c>
      <c r="H6" s="279" t="str">
        <f t="shared" si="1"/>
        <v>T.Sáu</v>
      </c>
      <c r="I6" s="279" t="str">
        <f t="shared" si="1"/>
        <v>T.Bảy</v>
      </c>
      <c r="J6" s="279" t="str">
        <f t="shared" si="1"/>
        <v>C.Nhật</v>
      </c>
      <c r="K6" s="279" t="str">
        <f t="shared" si="1"/>
        <v>T.Hai</v>
      </c>
      <c r="L6" s="279" t="str">
        <f t="shared" si="1"/>
        <v>T.Ba</v>
      </c>
      <c r="M6" s="279" t="str">
        <f t="shared" si="1"/>
        <v>T.Tư</v>
      </c>
      <c r="N6" s="279" t="str">
        <f t="shared" si="1"/>
        <v>T.Năm</v>
      </c>
      <c r="O6" s="279" t="str">
        <f t="shared" si="1"/>
        <v>T.Sáu</v>
      </c>
      <c r="P6" s="279" t="str">
        <f t="shared" si="1"/>
        <v>T.Bảy</v>
      </c>
      <c r="Q6" s="279" t="str">
        <f t="shared" si="1"/>
        <v>C.Nhật</v>
      </c>
      <c r="R6" s="279" t="str">
        <f t="shared" si="1"/>
        <v>T.Hai</v>
      </c>
      <c r="S6" s="279" t="str">
        <f t="shared" si="1"/>
        <v>T.Ba</v>
      </c>
      <c r="T6" s="279" t="str">
        <f t="shared" si="1"/>
        <v>T.Tư</v>
      </c>
      <c r="U6" s="279" t="str">
        <f t="shared" si="1"/>
        <v>T.Năm</v>
      </c>
      <c r="V6" s="279" t="str">
        <f t="shared" si="1"/>
        <v>T.Sáu</v>
      </c>
      <c r="W6" s="279" t="str">
        <f t="shared" si="1"/>
        <v>T.Bảy</v>
      </c>
      <c r="X6" s="279" t="str">
        <f t="shared" si="1"/>
        <v>C.Nhật</v>
      </c>
      <c r="Y6" s="279" t="str">
        <f t="shared" si="1"/>
        <v>T.Hai</v>
      </c>
      <c r="Z6" s="279" t="str">
        <f t="shared" si="1"/>
        <v>T.Ba</v>
      </c>
      <c r="AA6" s="279" t="str">
        <f t="shared" si="1"/>
        <v>T.Tư</v>
      </c>
      <c r="AB6" s="279" t="str">
        <f t="shared" si="1"/>
        <v>T.Năm</v>
      </c>
      <c r="AC6" s="279" t="str">
        <f t="shared" si="1"/>
        <v>T.Sáu</v>
      </c>
      <c r="AD6" s="279" t="str">
        <f t="shared" si="1"/>
        <v>T.Bảy</v>
      </c>
      <c r="AE6" s="279" t="str">
        <f t="shared" si="1"/>
        <v>C.Nhật</v>
      </c>
      <c r="AF6" s="279" t="str">
        <f t="shared" si="1"/>
        <v>T.Hai</v>
      </c>
      <c r="AG6" s="279" t="str">
        <f t="shared" si="1"/>
        <v>T.Ba</v>
      </c>
      <c r="AH6" s="279" t="str">
        <f t="shared" si="1"/>
        <v>T.Tư</v>
      </c>
      <c r="AI6" s="279" t="str">
        <f t="shared" si="1"/>
        <v>T.Năm</v>
      </c>
      <c r="AJ6" s="279" t="s">
        <v>195</v>
      </c>
      <c r="AK6" s="280" t="s">
        <v>16</v>
      </c>
      <c r="AL6" s="280" t="s">
        <v>31</v>
      </c>
      <c r="AM6" s="281" t="s">
        <v>17</v>
      </c>
      <c r="AN6" s="417"/>
      <c r="AO6" s="417"/>
      <c r="AP6" s="417"/>
      <c r="AQ6" s="417"/>
      <c r="AR6" s="417"/>
      <c r="AS6" s="411"/>
      <c r="AT6" s="40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2" customFormat="1" ht="12.75" customHeight="1">
      <c r="A7" s="282">
        <v>1</v>
      </c>
      <c r="B7" s="282">
        <v>1</v>
      </c>
      <c r="C7" s="282">
        <v>2</v>
      </c>
      <c r="D7" s="282">
        <v>3</v>
      </c>
      <c r="E7" s="282">
        <v>4</v>
      </c>
      <c r="F7" s="282">
        <v>5</v>
      </c>
      <c r="G7" s="282">
        <v>6</v>
      </c>
      <c r="H7" s="282">
        <v>7</v>
      </c>
      <c r="I7" s="282">
        <v>8</v>
      </c>
      <c r="J7" s="282">
        <v>9</v>
      </c>
      <c r="K7" s="282">
        <v>10</v>
      </c>
      <c r="L7" s="282">
        <v>11</v>
      </c>
      <c r="M7" s="282">
        <v>12</v>
      </c>
      <c r="N7" s="282">
        <v>13</v>
      </c>
      <c r="O7" s="282">
        <v>14</v>
      </c>
      <c r="P7" s="282">
        <v>15</v>
      </c>
      <c r="Q7" s="282">
        <v>16</v>
      </c>
      <c r="R7" s="282">
        <v>17</v>
      </c>
      <c r="S7" s="282">
        <v>18</v>
      </c>
      <c r="T7" s="282">
        <v>19</v>
      </c>
      <c r="U7" s="282">
        <v>20</v>
      </c>
      <c r="V7" s="282">
        <v>21</v>
      </c>
      <c r="W7" s="282">
        <v>22</v>
      </c>
      <c r="X7" s="282">
        <v>23</v>
      </c>
      <c r="Y7" s="282">
        <v>24</v>
      </c>
      <c r="Z7" s="282">
        <v>25</v>
      </c>
      <c r="AA7" s="282">
        <v>26</v>
      </c>
      <c r="AB7" s="282">
        <v>27</v>
      </c>
      <c r="AC7" s="282">
        <v>28</v>
      </c>
      <c r="AD7" s="282">
        <v>29</v>
      </c>
      <c r="AE7" s="282">
        <v>30</v>
      </c>
      <c r="AF7" s="282">
        <v>31</v>
      </c>
      <c r="AG7" s="282">
        <v>32</v>
      </c>
      <c r="AH7" s="282">
        <v>33</v>
      </c>
      <c r="AI7" s="282">
        <v>34</v>
      </c>
      <c r="AJ7" s="282">
        <v>35</v>
      </c>
      <c r="AK7" s="282">
        <v>36</v>
      </c>
      <c r="AL7" s="282">
        <v>37</v>
      </c>
      <c r="AM7" s="282">
        <v>38</v>
      </c>
      <c r="AN7" s="282">
        <v>39</v>
      </c>
      <c r="AO7" s="282">
        <v>40</v>
      </c>
      <c r="AP7" s="282">
        <v>41</v>
      </c>
      <c r="AQ7" s="282">
        <v>42</v>
      </c>
      <c r="AR7" s="282">
        <v>43</v>
      </c>
      <c r="AS7" s="282">
        <v>44</v>
      </c>
      <c r="AT7" s="30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85" customFormat="1" ht="21" customHeight="1">
      <c r="A8" s="283" t="s">
        <v>183</v>
      </c>
      <c r="B8" s="286" t="s">
        <v>184</v>
      </c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  <c r="O8" s="287"/>
      <c r="P8" s="287"/>
      <c r="Q8" s="287"/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  <c r="AC8" s="287"/>
      <c r="AD8" s="287"/>
      <c r="AE8" s="287"/>
      <c r="AF8" s="287"/>
      <c r="AG8" s="287"/>
      <c r="AH8" s="287"/>
      <c r="AI8" s="287"/>
      <c r="AJ8" s="287"/>
      <c r="AK8" s="287"/>
      <c r="AL8" s="287"/>
      <c r="AM8" s="287"/>
      <c r="AN8" s="287"/>
      <c r="AO8" s="287"/>
      <c r="AP8" s="287"/>
      <c r="AQ8" s="287"/>
      <c r="AR8" s="287"/>
      <c r="AS8" s="288"/>
      <c r="AT8" s="284"/>
    </row>
    <row r="9" spans="1:91" s="62" customFormat="1" ht="18" customHeight="1">
      <c r="A9" s="402">
        <v>1</v>
      </c>
      <c r="B9" s="402" t="s">
        <v>61</v>
      </c>
      <c r="C9" s="374" t="str">
        <f>VLOOKUP(B9,DS,2,0)</f>
        <v>Mai Út Hiền</v>
      </c>
      <c r="D9" s="376" t="str">
        <f>VLOOKUP(B9,DS,3,0)</f>
        <v>Cơ Điện</v>
      </c>
      <c r="E9" s="63" t="s">
        <v>32</v>
      </c>
      <c r="F9" s="161"/>
      <c r="G9" s="161"/>
      <c r="H9" s="161"/>
      <c r="I9" s="161"/>
      <c r="J9" s="161"/>
      <c r="K9" s="161">
        <v>8</v>
      </c>
      <c r="L9" s="161">
        <v>8</v>
      </c>
      <c r="M9" s="161">
        <v>8</v>
      </c>
      <c r="N9" s="161">
        <v>8</v>
      </c>
      <c r="O9" s="161">
        <v>8</v>
      </c>
      <c r="P9" s="161">
        <v>8</v>
      </c>
      <c r="Q9" s="161"/>
      <c r="R9" s="161">
        <v>8</v>
      </c>
      <c r="S9" s="161">
        <v>8</v>
      </c>
      <c r="T9" s="161">
        <v>8</v>
      </c>
      <c r="U9" s="161">
        <v>8</v>
      </c>
      <c r="V9" s="161">
        <v>8</v>
      </c>
      <c r="W9" s="161">
        <v>8</v>
      </c>
      <c r="X9" s="161"/>
      <c r="Y9" s="161">
        <v>8</v>
      </c>
      <c r="Z9" s="161">
        <v>8</v>
      </c>
      <c r="AA9" s="161">
        <v>8</v>
      </c>
      <c r="AB9" s="161">
        <v>8</v>
      </c>
      <c r="AC9" s="161">
        <v>8</v>
      </c>
      <c r="AD9" s="161">
        <v>8</v>
      </c>
      <c r="AE9" s="161"/>
      <c r="AF9" s="161">
        <v>8</v>
      </c>
      <c r="AG9" s="161">
        <v>8</v>
      </c>
      <c r="AH9" s="161"/>
      <c r="AI9" s="161"/>
      <c r="AJ9" s="161"/>
      <c r="AK9" s="378">
        <f>((SUM(F9:AJ9))/8)-(SUMIF($F$6:$AJ$6,"C.Nhật",F9:AJ9)/8)</f>
        <v>20</v>
      </c>
      <c r="AL9" s="378">
        <f>SUM(F10:AI10)/8*1.5</f>
        <v>0</v>
      </c>
      <c r="AM9" s="386">
        <f>SUMIF($F$6:$AI$6,"C.Nhật",$F9:$AI10)/8*2</f>
        <v>0</v>
      </c>
      <c r="AN9" s="366">
        <f>SUM(AK9:AM10)</f>
        <v>20</v>
      </c>
      <c r="AO9" s="404">
        <v>0</v>
      </c>
      <c r="AP9" s="366"/>
      <c r="AQ9" s="366"/>
      <c r="AR9" s="366"/>
      <c r="AS9" s="394"/>
      <c r="AT9" s="30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2" customFormat="1" ht="18" customHeight="1">
      <c r="A10" s="403"/>
      <c r="B10" s="403"/>
      <c r="C10" s="375"/>
      <c r="D10" s="377"/>
      <c r="E10" s="64" t="s">
        <v>31</v>
      </c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379"/>
      <c r="AL10" s="379"/>
      <c r="AM10" s="387"/>
      <c r="AN10" s="367"/>
      <c r="AO10" s="405"/>
      <c r="AP10" s="367"/>
      <c r="AQ10" s="367"/>
      <c r="AR10" s="367"/>
      <c r="AS10" s="395"/>
      <c r="AT10" s="30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2" customFormat="1" ht="18" customHeight="1">
      <c r="A11" s="402">
        <f>A9+1</f>
        <v>2</v>
      </c>
      <c r="B11" s="402" t="s">
        <v>62</v>
      </c>
      <c r="C11" s="374" t="str">
        <f>VLOOKUP(B11,DS,2,0)</f>
        <v>Nguyễn Thị Xuân Thảo</v>
      </c>
      <c r="D11" s="376" t="str">
        <f>VLOOKUP(B11,DS,3,0)</f>
        <v>KCS</v>
      </c>
      <c r="E11" s="63" t="s">
        <v>32</v>
      </c>
      <c r="F11" s="161"/>
      <c r="G11" s="161"/>
      <c r="H11" s="161"/>
      <c r="I11" s="161"/>
      <c r="J11" s="161"/>
      <c r="K11" s="161">
        <v>8</v>
      </c>
      <c r="L11" s="161">
        <v>8</v>
      </c>
      <c r="M11" s="161">
        <v>8</v>
      </c>
      <c r="N11" s="161">
        <v>8</v>
      </c>
      <c r="O11" s="161">
        <v>8</v>
      </c>
      <c r="P11" s="161">
        <v>8</v>
      </c>
      <c r="Q11" s="161"/>
      <c r="R11" s="161">
        <v>8</v>
      </c>
      <c r="S11" s="161">
        <v>8</v>
      </c>
      <c r="T11" s="161">
        <v>8</v>
      </c>
      <c r="U11" s="161">
        <v>8</v>
      </c>
      <c r="V11" s="161">
        <v>8</v>
      </c>
      <c r="W11" s="161">
        <v>8</v>
      </c>
      <c r="X11" s="161"/>
      <c r="Y11" s="161">
        <v>8</v>
      </c>
      <c r="Z11" s="161">
        <v>8</v>
      </c>
      <c r="AA11" s="161">
        <v>8</v>
      </c>
      <c r="AB11" s="161">
        <v>8</v>
      </c>
      <c r="AC11" s="161">
        <v>8</v>
      </c>
      <c r="AD11" s="161">
        <v>8</v>
      </c>
      <c r="AE11" s="161"/>
      <c r="AF11" s="161">
        <v>8</v>
      </c>
      <c r="AG11" s="161">
        <v>8</v>
      </c>
      <c r="AH11" s="161"/>
      <c r="AI11" s="161"/>
      <c r="AJ11" s="161"/>
      <c r="AK11" s="378">
        <f>((SUM(F11:AJ11))/8)-(SUMIF($F$6:$AJ$6,"C.Nhật",F11:AJ11)/8)</f>
        <v>20</v>
      </c>
      <c r="AL11" s="378">
        <f>SUM(F12:AI12)/8*1.5</f>
        <v>0</v>
      </c>
      <c r="AM11" s="386">
        <f>SUMIF($F$6:$AI$6,"C.Nhật",$F11:$AI12)/8*2</f>
        <v>0</v>
      </c>
      <c r="AN11" s="366">
        <f>SUM(AK11:AM12)</f>
        <v>20</v>
      </c>
      <c r="AO11" s="404">
        <v>0</v>
      </c>
      <c r="AP11" s="366"/>
      <c r="AQ11" s="366"/>
      <c r="AR11" s="366"/>
      <c r="AS11" s="394"/>
      <c r="AT11" s="30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2" customFormat="1" ht="18" customHeight="1">
      <c r="A12" s="403"/>
      <c r="B12" s="403"/>
      <c r="C12" s="375"/>
      <c r="D12" s="377"/>
      <c r="E12" s="64" t="s">
        <v>31</v>
      </c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379"/>
      <c r="AL12" s="379"/>
      <c r="AM12" s="387"/>
      <c r="AN12" s="367"/>
      <c r="AO12" s="405"/>
      <c r="AP12" s="367"/>
      <c r="AQ12" s="367"/>
      <c r="AR12" s="367"/>
      <c r="AS12" s="395"/>
      <c r="AT12" s="30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85" customFormat="1" ht="21" customHeight="1">
      <c r="A13" s="283" t="s">
        <v>185</v>
      </c>
      <c r="B13" s="286" t="s">
        <v>186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8"/>
      <c r="AT13" s="284"/>
    </row>
    <row r="14" spans="1:91" s="62" customFormat="1" ht="18" customHeight="1">
      <c r="A14" s="402">
        <v>3</v>
      </c>
      <c r="B14" s="402" t="s">
        <v>85</v>
      </c>
      <c r="C14" s="374" t="str">
        <f>VLOOKUP(B14,DS,2,0)</f>
        <v>Huỳnh Thị Hường</v>
      </c>
      <c r="D14" s="376" t="str">
        <f>VLOOKUP(B14,DS,3,0)</f>
        <v>Công nhân</v>
      </c>
      <c r="E14" s="63" t="s">
        <v>32</v>
      </c>
      <c r="F14" s="161"/>
      <c r="G14" s="161"/>
      <c r="H14" s="161"/>
      <c r="I14" s="161"/>
      <c r="J14" s="161"/>
      <c r="K14" s="161">
        <v>8</v>
      </c>
      <c r="L14" s="161">
        <v>8</v>
      </c>
      <c r="M14" s="161">
        <v>8</v>
      </c>
      <c r="N14" s="161">
        <v>8</v>
      </c>
      <c r="O14" s="161">
        <v>8</v>
      </c>
      <c r="P14" s="161">
        <v>8</v>
      </c>
      <c r="Q14" s="161"/>
      <c r="R14" s="161">
        <v>8</v>
      </c>
      <c r="S14" s="161">
        <v>8</v>
      </c>
      <c r="T14" s="161">
        <v>8</v>
      </c>
      <c r="U14" s="161">
        <v>8</v>
      </c>
      <c r="V14" s="161">
        <v>8</v>
      </c>
      <c r="W14" s="161">
        <v>8</v>
      </c>
      <c r="X14" s="161"/>
      <c r="Y14" s="161">
        <v>8</v>
      </c>
      <c r="Z14" s="161">
        <v>8</v>
      </c>
      <c r="AA14" s="161">
        <v>8</v>
      </c>
      <c r="AB14" s="161">
        <v>8</v>
      </c>
      <c r="AC14" s="161">
        <v>8</v>
      </c>
      <c r="AD14" s="161">
        <v>8</v>
      </c>
      <c r="AE14" s="161"/>
      <c r="AF14" s="161">
        <v>8</v>
      </c>
      <c r="AG14" s="161">
        <v>8</v>
      </c>
      <c r="AH14" s="161"/>
      <c r="AI14" s="161"/>
      <c r="AJ14" s="161"/>
      <c r="AK14" s="378">
        <f>((SUM(F14:AJ14))/8)-(SUMIF($F$6:$AJ$6,"C.Nhật",F14:AJ14)/8)</f>
        <v>20</v>
      </c>
      <c r="AL14" s="378">
        <f>SUM(F15:AI15)/8*1.5</f>
        <v>0</v>
      </c>
      <c r="AM14" s="386">
        <f>SUMIF($F$6:$AI$6,"C.Nhật",$F14:$AI15)/8*2</f>
        <v>0</v>
      </c>
      <c r="AN14" s="366">
        <f>SUM(AK14:AM15)</f>
        <v>20</v>
      </c>
      <c r="AO14" s="404">
        <v>0</v>
      </c>
      <c r="AP14" s="366"/>
      <c r="AQ14" s="366"/>
      <c r="AR14" s="366"/>
      <c r="AS14" s="394"/>
      <c r="AT14" s="30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2" customFormat="1" ht="18" customHeight="1">
      <c r="A15" s="403"/>
      <c r="B15" s="403"/>
      <c r="C15" s="375"/>
      <c r="D15" s="377"/>
      <c r="E15" s="64" t="s">
        <v>31</v>
      </c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  <c r="AG15" s="162"/>
      <c r="AH15" s="162"/>
      <c r="AI15" s="162"/>
      <c r="AJ15" s="162"/>
      <c r="AK15" s="379"/>
      <c r="AL15" s="379"/>
      <c r="AM15" s="387"/>
      <c r="AN15" s="367"/>
      <c r="AO15" s="405"/>
      <c r="AP15" s="367"/>
      <c r="AQ15" s="367"/>
      <c r="AR15" s="367"/>
      <c r="AS15" s="395"/>
      <c r="AT15" s="30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2" customFormat="1" ht="18" customHeight="1">
      <c r="A16" s="402">
        <f>A14+1</f>
        <v>4</v>
      </c>
      <c r="B16" s="402" t="s">
        <v>86</v>
      </c>
      <c r="C16" s="374" t="str">
        <f>VLOOKUP(B16,DS,2,0)</f>
        <v>Nguyễn Thị Rong</v>
      </c>
      <c r="D16" s="376" t="str">
        <f>VLOOKUP(B16,DS,3,0)</f>
        <v>Công nhân</v>
      </c>
      <c r="E16" s="63" t="s">
        <v>32</v>
      </c>
      <c r="F16" s="161"/>
      <c r="G16" s="161"/>
      <c r="H16" s="161"/>
      <c r="I16" s="161"/>
      <c r="J16" s="161"/>
      <c r="K16" s="161">
        <v>8</v>
      </c>
      <c r="L16" s="161">
        <v>8</v>
      </c>
      <c r="M16" s="161">
        <v>8</v>
      </c>
      <c r="N16" s="161">
        <v>8</v>
      </c>
      <c r="O16" s="161">
        <v>8</v>
      </c>
      <c r="P16" s="161">
        <v>8</v>
      </c>
      <c r="Q16" s="161"/>
      <c r="R16" s="161">
        <v>8</v>
      </c>
      <c r="S16" s="161">
        <v>8</v>
      </c>
      <c r="T16" s="161">
        <v>8</v>
      </c>
      <c r="U16" s="161">
        <v>8</v>
      </c>
      <c r="V16" s="161">
        <v>8</v>
      </c>
      <c r="W16" s="161">
        <v>8</v>
      </c>
      <c r="X16" s="161"/>
      <c r="Y16" s="161">
        <v>8</v>
      </c>
      <c r="Z16" s="161">
        <v>8</v>
      </c>
      <c r="AA16" s="161">
        <v>8</v>
      </c>
      <c r="AB16" s="161">
        <v>8</v>
      </c>
      <c r="AC16" s="161">
        <v>8</v>
      </c>
      <c r="AD16" s="161">
        <v>8</v>
      </c>
      <c r="AE16" s="161"/>
      <c r="AF16" s="161">
        <v>8</v>
      </c>
      <c r="AG16" s="161">
        <v>8</v>
      </c>
      <c r="AH16" s="161"/>
      <c r="AI16" s="161"/>
      <c r="AJ16" s="161"/>
      <c r="AK16" s="378">
        <f>((SUM(F16:AJ16))/8)-(SUMIF($F$6:$AJ$6,"C.Nhật",F16:AJ16)/8)</f>
        <v>20</v>
      </c>
      <c r="AL16" s="378">
        <f>SUM(F17:AI17)/8*1.5</f>
        <v>0</v>
      </c>
      <c r="AM16" s="386">
        <f>SUMIF($F$6:$AI$6,"C.Nhật",$F16:$AI17)/8*2</f>
        <v>0</v>
      </c>
      <c r="AN16" s="366">
        <f>SUM(AK16:AM17)</f>
        <v>20</v>
      </c>
      <c r="AO16" s="404">
        <v>0</v>
      </c>
      <c r="AP16" s="366"/>
      <c r="AQ16" s="366"/>
      <c r="AR16" s="366"/>
      <c r="AS16" s="394"/>
      <c r="AT16" s="30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2" customFormat="1" ht="18" customHeight="1">
      <c r="A17" s="403"/>
      <c r="B17" s="403"/>
      <c r="C17" s="375"/>
      <c r="D17" s="377"/>
      <c r="E17" s="64" t="s">
        <v>31</v>
      </c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379"/>
      <c r="AL17" s="379"/>
      <c r="AM17" s="387"/>
      <c r="AN17" s="367"/>
      <c r="AO17" s="405"/>
      <c r="AP17" s="367"/>
      <c r="AQ17" s="367"/>
      <c r="AR17" s="367"/>
      <c r="AS17" s="395"/>
      <c r="AT17" s="30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2" customFormat="1" ht="18" customHeight="1">
      <c r="A18" s="402">
        <f t="shared" ref="A18:A22" si="2">A16+1</f>
        <v>5</v>
      </c>
      <c r="B18" s="402" t="s">
        <v>87</v>
      </c>
      <c r="C18" s="374" t="str">
        <f>VLOOKUP(B18,DS,2,0)</f>
        <v>Sơn Thị Nil</v>
      </c>
      <c r="D18" s="376" t="str">
        <f>VLOOKUP(B18,DS,3,0)</f>
        <v>Công nhân</v>
      </c>
      <c r="E18" s="63" t="s">
        <v>32</v>
      </c>
      <c r="F18" s="161"/>
      <c r="G18" s="161"/>
      <c r="H18" s="161"/>
      <c r="I18" s="161"/>
      <c r="J18" s="161"/>
      <c r="K18" s="161">
        <v>8</v>
      </c>
      <c r="L18" s="161">
        <v>8</v>
      </c>
      <c r="M18" s="161">
        <v>8</v>
      </c>
      <c r="N18" s="161">
        <v>8</v>
      </c>
      <c r="O18" s="161">
        <v>8</v>
      </c>
      <c r="P18" s="161">
        <v>8</v>
      </c>
      <c r="Q18" s="161"/>
      <c r="R18" s="161">
        <v>8</v>
      </c>
      <c r="S18" s="161">
        <v>8</v>
      </c>
      <c r="T18" s="161">
        <v>8</v>
      </c>
      <c r="U18" s="161">
        <v>8</v>
      </c>
      <c r="V18" s="161">
        <v>8</v>
      </c>
      <c r="W18" s="161">
        <v>8</v>
      </c>
      <c r="X18" s="161"/>
      <c r="Y18" s="161">
        <v>8</v>
      </c>
      <c r="Z18" s="161">
        <v>8</v>
      </c>
      <c r="AA18" s="161">
        <v>8</v>
      </c>
      <c r="AB18" s="161">
        <v>8</v>
      </c>
      <c r="AC18" s="161">
        <v>8</v>
      </c>
      <c r="AD18" s="161">
        <v>8</v>
      </c>
      <c r="AE18" s="161"/>
      <c r="AF18" s="161">
        <v>8</v>
      </c>
      <c r="AG18" s="161">
        <v>8</v>
      </c>
      <c r="AH18" s="161"/>
      <c r="AI18" s="161"/>
      <c r="AJ18" s="161"/>
      <c r="AK18" s="378">
        <f>((SUM(F18:AJ18))/8)-(SUMIF($F$6:$AJ$6,"C.Nhật",F18:AJ18)/8)</f>
        <v>20</v>
      </c>
      <c r="AL18" s="378">
        <f>SUM(F19:AI19)/8*1.5</f>
        <v>0</v>
      </c>
      <c r="AM18" s="386">
        <f>SUMIF($F$6:$AI$6,"C.Nhật",$F18:$AI19)/8*2</f>
        <v>0</v>
      </c>
      <c r="AN18" s="366">
        <f>SUM(AK18:AM19)</f>
        <v>20</v>
      </c>
      <c r="AO18" s="404">
        <v>0</v>
      </c>
      <c r="AP18" s="366"/>
      <c r="AQ18" s="366"/>
      <c r="AR18" s="366"/>
      <c r="AS18" s="394"/>
      <c r="AT18" s="30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2" customFormat="1" ht="18" customHeight="1">
      <c r="A19" s="403"/>
      <c r="B19" s="403"/>
      <c r="C19" s="375"/>
      <c r="D19" s="377"/>
      <c r="E19" s="64" t="s">
        <v>31</v>
      </c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379"/>
      <c r="AL19" s="379"/>
      <c r="AM19" s="387"/>
      <c r="AN19" s="367"/>
      <c r="AO19" s="405"/>
      <c r="AP19" s="367"/>
      <c r="AQ19" s="367"/>
      <c r="AR19" s="367"/>
      <c r="AS19" s="395"/>
      <c r="AT19" s="30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2" customFormat="1" ht="18" customHeight="1">
      <c r="A20" s="402">
        <f>A18+1</f>
        <v>6</v>
      </c>
      <c r="B20" s="402" t="s">
        <v>91</v>
      </c>
      <c r="C20" s="374" t="str">
        <f>VLOOKUP(B20,DS,2,0)</f>
        <v>Nguyễn Thị Lựu</v>
      </c>
      <c r="D20" s="376" t="str">
        <f>VLOOKUP(B20,DS,3,0)</f>
        <v>Công nhân</v>
      </c>
      <c r="E20" s="63" t="s">
        <v>32</v>
      </c>
      <c r="F20" s="161"/>
      <c r="G20" s="161"/>
      <c r="H20" s="161"/>
      <c r="I20" s="161"/>
      <c r="J20" s="161"/>
      <c r="K20" s="161">
        <v>8</v>
      </c>
      <c r="L20" s="161">
        <v>8</v>
      </c>
      <c r="M20" s="161">
        <v>8</v>
      </c>
      <c r="N20" s="161">
        <v>8</v>
      </c>
      <c r="O20" s="161">
        <v>8</v>
      </c>
      <c r="P20" s="161">
        <v>8</v>
      </c>
      <c r="Q20" s="161"/>
      <c r="R20" s="161">
        <v>8</v>
      </c>
      <c r="S20" s="161">
        <v>8</v>
      </c>
      <c r="T20" s="161">
        <v>8</v>
      </c>
      <c r="U20" s="161">
        <v>8</v>
      </c>
      <c r="V20" s="161">
        <v>8</v>
      </c>
      <c r="W20" s="161">
        <v>8</v>
      </c>
      <c r="X20" s="161"/>
      <c r="Y20" s="161">
        <v>8</v>
      </c>
      <c r="Z20" s="161">
        <v>8</v>
      </c>
      <c r="AA20" s="161">
        <v>8</v>
      </c>
      <c r="AB20" s="161">
        <v>8</v>
      </c>
      <c r="AC20" s="161">
        <v>8</v>
      </c>
      <c r="AD20" s="161">
        <v>8</v>
      </c>
      <c r="AE20" s="161"/>
      <c r="AF20" s="161">
        <v>8</v>
      </c>
      <c r="AG20" s="161">
        <v>8</v>
      </c>
      <c r="AH20" s="161"/>
      <c r="AI20" s="161"/>
      <c r="AJ20" s="161"/>
      <c r="AK20" s="378">
        <f>((SUM(F20:AJ20))/8)-(SUMIF($F$6:$AJ$6,"C.Nhật",F20:AJ20)/8)</f>
        <v>20</v>
      </c>
      <c r="AL20" s="378">
        <f>SUM(F21:AI21)/8*1.5</f>
        <v>0</v>
      </c>
      <c r="AM20" s="386">
        <f>SUMIF($F$6:$AI$6,"C.Nhật",$F20:$AI21)/8*2</f>
        <v>0</v>
      </c>
      <c r="AN20" s="366">
        <f>SUM(AK20:AM21)</f>
        <v>20</v>
      </c>
      <c r="AO20" s="404">
        <v>0</v>
      </c>
      <c r="AP20" s="366"/>
      <c r="AQ20" s="366"/>
      <c r="AR20" s="366"/>
      <c r="AS20" s="394"/>
      <c r="AT20" s="30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2" customFormat="1" ht="18" customHeight="1">
      <c r="A21" s="403"/>
      <c r="B21" s="403"/>
      <c r="C21" s="375"/>
      <c r="D21" s="377"/>
      <c r="E21" s="64" t="s">
        <v>31</v>
      </c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379"/>
      <c r="AL21" s="379"/>
      <c r="AM21" s="387"/>
      <c r="AN21" s="367"/>
      <c r="AO21" s="405"/>
      <c r="AP21" s="367"/>
      <c r="AQ21" s="367"/>
      <c r="AR21" s="367"/>
      <c r="AS21" s="395"/>
      <c r="AT21" s="30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2" customFormat="1" ht="18" customHeight="1">
      <c r="A22" s="402">
        <f t="shared" si="2"/>
        <v>7</v>
      </c>
      <c r="B22" s="402" t="s">
        <v>92</v>
      </c>
      <c r="C22" s="374" t="str">
        <f>VLOOKUP(B22,DS,2,0)</f>
        <v>Lý Thị Được</v>
      </c>
      <c r="D22" s="376" t="str">
        <f>VLOOKUP(B22,DS,3,0)</f>
        <v>Công nhân</v>
      </c>
      <c r="E22" s="63" t="s">
        <v>32</v>
      </c>
      <c r="F22" s="161"/>
      <c r="G22" s="161"/>
      <c r="H22" s="161"/>
      <c r="I22" s="161"/>
      <c r="J22" s="161"/>
      <c r="K22" s="161">
        <v>8</v>
      </c>
      <c r="L22" s="161">
        <v>8</v>
      </c>
      <c r="M22" s="161">
        <v>8</v>
      </c>
      <c r="N22" s="161">
        <v>8</v>
      </c>
      <c r="O22" s="161">
        <v>8</v>
      </c>
      <c r="P22" s="161">
        <v>8</v>
      </c>
      <c r="Q22" s="161"/>
      <c r="R22" s="161">
        <v>8</v>
      </c>
      <c r="S22" s="161">
        <v>8</v>
      </c>
      <c r="T22" s="161">
        <v>8</v>
      </c>
      <c r="U22" s="161">
        <v>8</v>
      </c>
      <c r="V22" s="161">
        <v>8</v>
      </c>
      <c r="W22" s="161">
        <v>8</v>
      </c>
      <c r="X22" s="161"/>
      <c r="Y22" s="161">
        <v>8</v>
      </c>
      <c r="Z22" s="161">
        <v>8</v>
      </c>
      <c r="AA22" s="161">
        <v>8</v>
      </c>
      <c r="AB22" s="161">
        <v>8</v>
      </c>
      <c r="AC22" s="161">
        <v>8</v>
      </c>
      <c r="AD22" s="161">
        <v>8</v>
      </c>
      <c r="AE22" s="161"/>
      <c r="AF22" s="161">
        <v>8</v>
      </c>
      <c r="AG22" s="161">
        <v>8</v>
      </c>
      <c r="AH22" s="161"/>
      <c r="AI22" s="161"/>
      <c r="AJ22" s="161"/>
      <c r="AK22" s="378">
        <f>((SUM(F22:AJ22))/8)-(SUMIF($F$6:$AJ$6,"C.Nhật",F22:AJ22)/8)</f>
        <v>20</v>
      </c>
      <c r="AL22" s="378">
        <f>SUM(F23:AI23)/8*1.5</f>
        <v>0</v>
      </c>
      <c r="AM22" s="386">
        <f>SUMIF($F$6:$AI$6,"C.Nhật",$F22:$AI23)/8*2</f>
        <v>0</v>
      </c>
      <c r="AN22" s="366">
        <f>SUM(AK22:AM23)</f>
        <v>20</v>
      </c>
      <c r="AO22" s="404">
        <v>0</v>
      </c>
      <c r="AP22" s="366"/>
      <c r="AQ22" s="366"/>
      <c r="AR22" s="366"/>
      <c r="AS22" s="394"/>
      <c r="AT22" s="30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2" customFormat="1" ht="18" customHeight="1">
      <c r="A23" s="403"/>
      <c r="B23" s="403"/>
      <c r="C23" s="375"/>
      <c r="D23" s="377"/>
      <c r="E23" s="64" t="s">
        <v>31</v>
      </c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379"/>
      <c r="AL23" s="379"/>
      <c r="AM23" s="387"/>
      <c r="AN23" s="367"/>
      <c r="AO23" s="405"/>
      <c r="AP23" s="367"/>
      <c r="AQ23" s="367"/>
      <c r="AR23" s="367"/>
      <c r="AS23" s="395"/>
      <c r="AT23" s="30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2" customFormat="1" ht="18" customHeight="1">
      <c r="A24" s="402">
        <f>A22+1</f>
        <v>8</v>
      </c>
      <c r="B24" s="402" t="s">
        <v>94</v>
      </c>
      <c r="C24" s="374" t="str">
        <f>VLOOKUP(B24,DS,2,0)</f>
        <v>Trà Thị Soi</v>
      </c>
      <c r="D24" s="376" t="str">
        <f>VLOOKUP(B24,DS,3,0)</f>
        <v>Công nhân</v>
      </c>
      <c r="E24" s="63" t="s">
        <v>32</v>
      </c>
      <c r="F24" s="161"/>
      <c r="G24" s="161"/>
      <c r="H24" s="161"/>
      <c r="I24" s="161"/>
      <c r="J24" s="161"/>
      <c r="K24" s="161">
        <v>8</v>
      </c>
      <c r="L24" s="161">
        <v>8</v>
      </c>
      <c r="M24" s="161">
        <v>8</v>
      </c>
      <c r="N24" s="161">
        <v>8</v>
      </c>
      <c r="O24" s="161">
        <v>8</v>
      </c>
      <c r="P24" s="161">
        <v>8</v>
      </c>
      <c r="Q24" s="161"/>
      <c r="R24" s="161">
        <v>8</v>
      </c>
      <c r="S24" s="161">
        <v>8</v>
      </c>
      <c r="T24" s="161">
        <v>8</v>
      </c>
      <c r="U24" s="161">
        <v>8</v>
      </c>
      <c r="V24" s="161">
        <v>8</v>
      </c>
      <c r="W24" s="161">
        <v>8</v>
      </c>
      <c r="X24" s="161"/>
      <c r="Y24" s="161">
        <v>8</v>
      </c>
      <c r="Z24" s="161">
        <v>8</v>
      </c>
      <c r="AA24" s="161">
        <v>8</v>
      </c>
      <c r="AB24" s="161">
        <v>8</v>
      </c>
      <c r="AC24" s="161">
        <v>8</v>
      </c>
      <c r="AD24" s="161">
        <v>8</v>
      </c>
      <c r="AE24" s="161"/>
      <c r="AF24" s="161">
        <v>8</v>
      </c>
      <c r="AG24" s="161">
        <v>8</v>
      </c>
      <c r="AH24" s="161"/>
      <c r="AI24" s="161"/>
      <c r="AJ24" s="161"/>
      <c r="AK24" s="378">
        <f>((SUM(F24:AJ24))/8)-(SUMIF($F$6:$AJ$6,"C.Nhật",F24:AJ24)/8)</f>
        <v>20</v>
      </c>
      <c r="AL24" s="378">
        <f>SUM(F25:AI25)/8*1.5</f>
        <v>0</v>
      </c>
      <c r="AM24" s="386">
        <f>SUMIF($F$6:$AI$6,"C.Nhật",$F24:$AI25)/8*2</f>
        <v>0</v>
      </c>
      <c r="AN24" s="366">
        <f>SUM(AK24:AM25)</f>
        <v>20</v>
      </c>
      <c r="AO24" s="404">
        <v>0</v>
      </c>
      <c r="AP24" s="366"/>
      <c r="AQ24" s="366"/>
      <c r="AR24" s="366"/>
      <c r="AS24" s="394"/>
      <c r="AT24" s="30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2" customFormat="1" ht="18" customHeight="1">
      <c r="A25" s="403"/>
      <c r="B25" s="403"/>
      <c r="C25" s="375"/>
      <c r="D25" s="377"/>
      <c r="E25" s="64" t="s">
        <v>31</v>
      </c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379"/>
      <c r="AL25" s="379"/>
      <c r="AM25" s="387"/>
      <c r="AN25" s="367"/>
      <c r="AO25" s="405"/>
      <c r="AP25" s="367"/>
      <c r="AQ25" s="367"/>
      <c r="AR25" s="367"/>
      <c r="AS25" s="395"/>
      <c r="AT25" s="30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2" customFormat="1" ht="18" customHeight="1">
      <c r="A26" s="402">
        <f>A24+1</f>
        <v>9</v>
      </c>
      <c r="B26" s="402" t="s">
        <v>100</v>
      </c>
      <c r="C26" s="374" t="str">
        <f>VLOOKUP(B26,DS,2,0)</f>
        <v>Sơn Thị Chành Đa</v>
      </c>
      <c r="D26" s="376" t="str">
        <f>VLOOKUP(B26,DS,3,0)</f>
        <v>Công nhân</v>
      </c>
      <c r="E26" s="63" t="s">
        <v>32</v>
      </c>
      <c r="F26" s="161"/>
      <c r="G26" s="161"/>
      <c r="H26" s="161"/>
      <c r="I26" s="161"/>
      <c r="J26" s="161"/>
      <c r="K26" s="161">
        <v>8</v>
      </c>
      <c r="L26" s="161">
        <v>8</v>
      </c>
      <c r="M26" s="161">
        <v>8</v>
      </c>
      <c r="N26" s="161">
        <v>8</v>
      </c>
      <c r="O26" s="161">
        <v>8</v>
      </c>
      <c r="P26" s="161">
        <v>8</v>
      </c>
      <c r="Q26" s="161"/>
      <c r="R26" s="161">
        <v>8</v>
      </c>
      <c r="S26" s="161">
        <v>8</v>
      </c>
      <c r="T26" s="161">
        <v>8</v>
      </c>
      <c r="U26" s="161">
        <v>8</v>
      </c>
      <c r="V26" s="161">
        <v>8</v>
      </c>
      <c r="W26" s="161">
        <v>8</v>
      </c>
      <c r="X26" s="161"/>
      <c r="Y26" s="161">
        <v>8</v>
      </c>
      <c r="Z26" s="161">
        <v>8</v>
      </c>
      <c r="AA26" s="161">
        <v>8</v>
      </c>
      <c r="AB26" s="161">
        <v>8</v>
      </c>
      <c r="AC26" s="161">
        <v>8</v>
      </c>
      <c r="AD26" s="161">
        <v>8</v>
      </c>
      <c r="AE26" s="161"/>
      <c r="AF26" s="161">
        <v>8</v>
      </c>
      <c r="AG26" s="161">
        <v>8</v>
      </c>
      <c r="AH26" s="161"/>
      <c r="AI26" s="161"/>
      <c r="AJ26" s="161"/>
      <c r="AK26" s="378">
        <f>((SUM(F26:AJ26))/8)-(SUMIF($F$6:$AJ$6,"C.Nhật",F26:AJ26)/8)</f>
        <v>20</v>
      </c>
      <c r="AL26" s="378">
        <f>SUM(F27:AI27)/8*1.5</f>
        <v>0</v>
      </c>
      <c r="AM26" s="386">
        <f>SUMIF($F$6:$AI$6,"C.Nhật",$F26:$AI27)/8*2</f>
        <v>0</v>
      </c>
      <c r="AN26" s="366">
        <f>SUM(AK26:AM27)</f>
        <v>20</v>
      </c>
      <c r="AO26" s="404">
        <v>0</v>
      </c>
      <c r="AP26" s="366"/>
      <c r="AQ26" s="366"/>
      <c r="AR26" s="366"/>
      <c r="AS26" s="394"/>
      <c r="AT26" s="30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2" customFormat="1" ht="18" customHeight="1">
      <c r="A27" s="403"/>
      <c r="B27" s="403"/>
      <c r="C27" s="375"/>
      <c r="D27" s="377"/>
      <c r="E27" s="64" t="s">
        <v>31</v>
      </c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379"/>
      <c r="AL27" s="379"/>
      <c r="AM27" s="387"/>
      <c r="AN27" s="367"/>
      <c r="AO27" s="405"/>
      <c r="AP27" s="367"/>
      <c r="AQ27" s="367"/>
      <c r="AR27" s="367"/>
      <c r="AS27" s="395"/>
      <c r="AT27" s="30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2" customFormat="1" ht="18" customHeight="1">
      <c r="A28" s="402">
        <f>A26+1</f>
        <v>10</v>
      </c>
      <c r="B28" s="402" t="s">
        <v>101</v>
      </c>
      <c r="C28" s="374" t="str">
        <f>VLOOKUP(B28,DS,2,0)</f>
        <v>Trần Thị Bích Phượng</v>
      </c>
      <c r="D28" s="376" t="str">
        <f>VLOOKUP(B28,DS,3,0)</f>
        <v>Công nhân</v>
      </c>
      <c r="E28" s="63" t="s">
        <v>32</v>
      </c>
      <c r="F28" s="161"/>
      <c r="G28" s="161"/>
      <c r="H28" s="161"/>
      <c r="I28" s="161"/>
      <c r="J28" s="161"/>
      <c r="K28" s="161">
        <v>8</v>
      </c>
      <c r="L28" s="161">
        <v>8</v>
      </c>
      <c r="M28" s="161">
        <v>8</v>
      </c>
      <c r="N28" s="161">
        <v>8</v>
      </c>
      <c r="O28" s="161">
        <v>8</v>
      </c>
      <c r="P28" s="161">
        <v>8</v>
      </c>
      <c r="Q28" s="161"/>
      <c r="R28" s="161">
        <v>8</v>
      </c>
      <c r="S28" s="161">
        <v>8</v>
      </c>
      <c r="T28" s="161">
        <v>8</v>
      </c>
      <c r="U28" s="161">
        <v>8</v>
      </c>
      <c r="V28" s="161">
        <v>8</v>
      </c>
      <c r="W28" s="161">
        <v>8</v>
      </c>
      <c r="X28" s="161"/>
      <c r="Y28" s="161">
        <v>8</v>
      </c>
      <c r="Z28" s="161">
        <v>8</v>
      </c>
      <c r="AA28" s="161">
        <v>8</v>
      </c>
      <c r="AB28" s="161">
        <v>8</v>
      </c>
      <c r="AC28" s="161">
        <v>8</v>
      </c>
      <c r="AD28" s="161">
        <v>8</v>
      </c>
      <c r="AE28" s="161"/>
      <c r="AF28" s="161">
        <v>8</v>
      </c>
      <c r="AG28" s="161">
        <v>8</v>
      </c>
      <c r="AH28" s="161"/>
      <c r="AI28" s="161"/>
      <c r="AJ28" s="161"/>
      <c r="AK28" s="378">
        <f>((SUM(F28:AJ28))/8)-(SUMIF($F$6:$AJ$6,"C.Nhật",F28:AJ28)/8)</f>
        <v>20</v>
      </c>
      <c r="AL28" s="378">
        <f>SUM(F29:AI29)/8*1.5</f>
        <v>0</v>
      </c>
      <c r="AM28" s="386">
        <f>SUMIF($F$6:$AI$6,"C.Nhật",$F28:$AI29)/8*2</f>
        <v>0</v>
      </c>
      <c r="AN28" s="366">
        <f>SUM(AK28:AM29)</f>
        <v>20</v>
      </c>
      <c r="AO28" s="404">
        <v>0</v>
      </c>
      <c r="AP28" s="366"/>
      <c r="AQ28" s="366"/>
      <c r="AR28" s="366"/>
      <c r="AS28" s="394"/>
      <c r="AT28" s="303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2" customFormat="1" ht="18" customHeight="1">
      <c r="A29" s="403"/>
      <c r="B29" s="403"/>
      <c r="C29" s="375"/>
      <c r="D29" s="377"/>
      <c r="E29" s="64" t="s">
        <v>31</v>
      </c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379"/>
      <c r="AL29" s="379"/>
      <c r="AM29" s="387"/>
      <c r="AN29" s="367"/>
      <c r="AO29" s="405"/>
      <c r="AP29" s="367"/>
      <c r="AQ29" s="367"/>
      <c r="AR29" s="367"/>
      <c r="AS29" s="395"/>
      <c r="AT29" s="303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2" customFormat="1" ht="18" customHeight="1">
      <c r="A30" s="402">
        <f>A28+1</f>
        <v>11</v>
      </c>
      <c r="B30" s="402" t="s">
        <v>102</v>
      </c>
      <c r="C30" s="374" t="str">
        <f>VLOOKUP(B30,DS,2,0)</f>
        <v>Sơn Thị Trường Sa</v>
      </c>
      <c r="D30" s="376" t="str">
        <f>VLOOKUP(B30,DS,3,0)</f>
        <v>Công nhân</v>
      </c>
      <c r="E30" s="63" t="s">
        <v>32</v>
      </c>
      <c r="F30" s="161"/>
      <c r="G30" s="161"/>
      <c r="H30" s="161"/>
      <c r="I30" s="161"/>
      <c r="J30" s="161"/>
      <c r="K30" s="161">
        <v>8</v>
      </c>
      <c r="L30" s="161">
        <v>8</v>
      </c>
      <c r="M30" s="161">
        <v>8</v>
      </c>
      <c r="N30" s="161">
        <v>8</v>
      </c>
      <c r="O30" s="161">
        <v>8</v>
      </c>
      <c r="P30" s="161">
        <v>8</v>
      </c>
      <c r="Q30" s="161"/>
      <c r="R30" s="161">
        <v>8</v>
      </c>
      <c r="S30" s="161">
        <v>8</v>
      </c>
      <c r="T30" s="161">
        <v>8</v>
      </c>
      <c r="U30" s="161">
        <v>8</v>
      </c>
      <c r="V30" s="161">
        <v>8</v>
      </c>
      <c r="W30" s="161">
        <v>8</v>
      </c>
      <c r="X30" s="161"/>
      <c r="Y30" s="161">
        <v>8</v>
      </c>
      <c r="Z30" s="161">
        <v>8</v>
      </c>
      <c r="AA30" s="161">
        <v>8</v>
      </c>
      <c r="AB30" s="161">
        <v>8</v>
      </c>
      <c r="AC30" s="161">
        <v>8</v>
      </c>
      <c r="AD30" s="161">
        <v>8</v>
      </c>
      <c r="AE30" s="161"/>
      <c r="AF30" s="161">
        <v>8</v>
      </c>
      <c r="AG30" s="161">
        <v>8</v>
      </c>
      <c r="AH30" s="161"/>
      <c r="AI30" s="161"/>
      <c r="AJ30" s="161"/>
      <c r="AK30" s="378">
        <f>((SUM(F30:AJ30))/8)-(SUMIF($F$6:$AJ$6,"C.Nhật",F30:AJ30)/8)</f>
        <v>20</v>
      </c>
      <c r="AL30" s="378">
        <f>SUM(F31:AI31)/8*1.5</f>
        <v>0</v>
      </c>
      <c r="AM30" s="386">
        <f>SUMIF($F$6:$AI$6,"C.Nhật",$F30:$AI31)/8*2</f>
        <v>0</v>
      </c>
      <c r="AN30" s="366">
        <f>SUM(AK30:AM31)</f>
        <v>20</v>
      </c>
      <c r="AO30" s="404">
        <v>0</v>
      </c>
      <c r="AP30" s="366"/>
      <c r="AQ30" s="366"/>
      <c r="AR30" s="366"/>
      <c r="AS30" s="394"/>
      <c r="AT30" s="30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2" customFormat="1" ht="18" customHeight="1">
      <c r="A31" s="403"/>
      <c r="B31" s="403"/>
      <c r="C31" s="375"/>
      <c r="D31" s="377"/>
      <c r="E31" s="64" t="s">
        <v>31</v>
      </c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379"/>
      <c r="AL31" s="379"/>
      <c r="AM31" s="387"/>
      <c r="AN31" s="367"/>
      <c r="AO31" s="405"/>
      <c r="AP31" s="367"/>
      <c r="AQ31" s="367"/>
      <c r="AR31" s="367"/>
      <c r="AS31" s="395"/>
      <c r="AT31" s="30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2" customFormat="1" ht="18" customHeight="1">
      <c r="A32" s="402">
        <f>A30+1</f>
        <v>12</v>
      </c>
      <c r="B32" s="402" t="s">
        <v>103</v>
      </c>
      <c r="C32" s="374" t="str">
        <f>VLOOKUP(B32,DS,2,0)</f>
        <v>Lý Thị Sà Kha</v>
      </c>
      <c r="D32" s="376" t="str">
        <f>VLOOKUP(B32,DS,3,0)</f>
        <v>Công nhân</v>
      </c>
      <c r="E32" s="63" t="s">
        <v>32</v>
      </c>
      <c r="F32" s="161"/>
      <c r="G32" s="161"/>
      <c r="H32" s="161"/>
      <c r="I32" s="161"/>
      <c r="J32" s="161"/>
      <c r="K32" s="161">
        <v>8</v>
      </c>
      <c r="L32" s="161">
        <v>8</v>
      </c>
      <c r="M32" s="161">
        <v>8</v>
      </c>
      <c r="N32" s="161">
        <v>8</v>
      </c>
      <c r="O32" s="161">
        <v>8</v>
      </c>
      <c r="P32" s="161">
        <v>8</v>
      </c>
      <c r="Q32" s="161"/>
      <c r="R32" s="161">
        <v>8</v>
      </c>
      <c r="S32" s="161">
        <v>8</v>
      </c>
      <c r="T32" s="161">
        <v>8</v>
      </c>
      <c r="U32" s="161">
        <v>8</v>
      </c>
      <c r="V32" s="161">
        <v>8</v>
      </c>
      <c r="W32" s="161">
        <v>8</v>
      </c>
      <c r="X32" s="161"/>
      <c r="Y32" s="161">
        <v>8</v>
      </c>
      <c r="Z32" s="161">
        <v>8</v>
      </c>
      <c r="AA32" s="161">
        <v>8</v>
      </c>
      <c r="AB32" s="161">
        <v>8</v>
      </c>
      <c r="AC32" s="161">
        <v>8</v>
      </c>
      <c r="AD32" s="161">
        <v>8</v>
      </c>
      <c r="AE32" s="161"/>
      <c r="AF32" s="161">
        <v>8</v>
      </c>
      <c r="AG32" s="161">
        <v>8</v>
      </c>
      <c r="AH32" s="161"/>
      <c r="AI32" s="161"/>
      <c r="AJ32" s="161"/>
      <c r="AK32" s="378">
        <f>((SUM(F32:AJ32))/8)-(SUMIF($F$6:$AJ$6,"C.Nhật",F32:AJ32)/8)</f>
        <v>20</v>
      </c>
      <c r="AL32" s="378">
        <f>SUM(F33:AI33)/8*1.5</f>
        <v>0</v>
      </c>
      <c r="AM32" s="386">
        <f>SUMIF($F$6:$AI$6,"C.Nhật",$F32:$AI33)/8*2</f>
        <v>0</v>
      </c>
      <c r="AN32" s="366">
        <f>SUM(AK32:AM33)</f>
        <v>20</v>
      </c>
      <c r="AO32" s="404">
        <v>0</v>
      </c>
      <c r="AP32" s="366"/>
      <c r="AQ32" s="366"/>
      <c r="AR32" s="366"/>
      <c r="AS32" s="394"/>
      <c r="AT32" s="30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2" customFormat="1" ht="18" customHeight="1">
      <c r="A33" s="403"/>
      <c r="B33" s="403"/>
      <c r="C33" s="375"/>
      <c r="D33" s="377"/>
      <c r="E33" s="64" t="s">
        <v>31</v>
      </c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379"/>
      <c r="AL33" s="379"/>
      <c r="AM33" s="387"/>
      <c r="AN33" s="367"/>
      <c r="AO33" s="405"/>
      <c r="AP33" s="367"/>
      <c r="AQ33" s="367"/>
      <c r="AR33" s="367"/>
      <c r="AS33" s="395"/>
      <c r="AT33" s="303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2" customFormat="1" ht="18" customHeight="1">
      <c r="A34" s="402">
        <f>A32+1</f>
        <v>13</v>
      </c>
      <c r="B34" s="402" t="s">
        <v>104</v>
      </c>
      <c r="C34" s="374" t="str">
        <f>VLOOKUP(B34,DS,2,0)</f>
        <v xml:space="preserve"> Lâm Thị Mộng Thường</v>
      </c>
      <c r="D34" s="376" t="str">
        <f>VLOOKUP(B34,DS,3,0)</f>
        <v>Công nhân</v>
      </c>
      <c r="E34" s="63" t="s">
        <v>32</v>
      </c>
      <c r="F34" s="161"/>
      <c r="G34" s="161"/>
      <c r="H34" s="161"/>
      <c r="I34" s="161"/>
      <c r="J34" s="161"/>
      <c r="K34" s="161">
        <v>8</v>
      </c>
      <c r="L34" s="161">
        <v>8</v>
      </c>
      <c r="M34" s="161">
        <v>8</v>
      </c>
      <c r="N34" s="161">
        <v>8</v>
      </c>
      <c r="O34" s="161">
        <v>8</v>
      </c>
      <c r="P34" s="161">
        <v>8</v>
      </c>
      <c r="Q34" s="161"/>
      <c r="R34" s="161">
        <v>8</v>
      </c>
      <c r="S34" s="161">
        <v>8</v>
      </c>
      <c r="T34" s="161">
        <v>8</v>
      </c>
      <c r="U34" s="161">
        <v>8</v>
      </c>
      <c r="V34" s="161">
        <v>8</v>
      </c>
      <c r="W34" s="161">
        <v>8</v>
      </c>
      <c r="X34" s="161"/>
      <c r="Y34" s="161">
        <v>8</v>
      </c>
      <c r="Z34" s="161">
        <v>8</v>
      </c>
      <c r="AA34" s="161">
        <v>8</v>
      </c>
      <c r="AB34" s="161">
        <v>8</v>
      </c>
      <c r="AC34" s="161">
        <v>8</v>
      </c>
      <c r="AD34" s="161">
        <v>8</v>
      </c>
      <c r="AE34" s="161"/>
      <c r="AF34" s="161">
        <v>8</v>
      </c>
      <c r="AG34" s="161">
        <v>8</v>
      </c>
      <c r="AH34" s="161"/>
      <c r="AI34" s="161"/>
      <c r="AJ34" s="161"/>
      <c r="AK34" s="378">
        <f>((SUM(F34:AJ34))/8)-(SUMIF($F$6:$AJ$6,"C.Nhật",F34:AJ34)/8)</f>
        <v>20</v>
      </c>
      <c r="AL34" s="378">
        <f>SUM(F35:AI35)/8*1.5</f>
        <v>0</v>
      </c>
      <c r="AM34" s="386">
        <f>SUMIF($F$6:$AI$6,"C.Nhật",$F34:$AI35)/8*2</f>
        <v>0</v>
      </c>
      <c r="AN34" s="366">
        <f>SUM(AK34:AM35)</f>
        <v>20</v>
      </c>
      <c r="AO34" s="404">
        <v>0</v>
      </c>
      <c r="AP34" s="366"/>
      <c r="AQ34" s="366"/>
      <c r="AR34" s="366"/>
      <c r="AS34" s="394"/>
      <c r="AT34" s="303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2" customFormat="1" ht="18" customHeight="1">
      <c r="A35" s="403"/>
      <c r="B35" s="403"/>
      <c r="C35" s="375"/>
      <c r="D35" s="377"/>
      <c r="E35" s="64" t="s">
        <v>31</v>
      </c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379"/>
      <c r="AL35" s="379"/>
      <c r="AM35" s="387"/>
      <c r="AN35" s="367"/>
      <c r="AO35" s="405"/>
      <c r="AP35" s="367"/>
      <c r="AQ35" s="367"/>
      <c r="AR35" s="367"/>
      <c r="AS35" s="395"/>
      <c r="AT35" s="30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285" customFormat="1" ht="18" customHeight="1">
      <c r="A36" s="283" t="s">
        <v>187</v>
      </c>
      <c r="B36" s="286" t="s">
        <v>188</v>
      </c>
      <c r="C36" s="287"/>
      <c r="D36" s="287"/>
      <c r="E36" s="287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287"/>
      <c r="AF36" s="287"/>
      <c r="AG36" s="287"/>
      <c r="AH36" s="287"/>
      <c r="AI36" s="287"/>
      <c r="AJ36" s="287"/>
      <c r="AK36" s="287"/>
      <c r="AL36" s="287"/>
      <c r="AM36" s="287"/>
      <c r="AN36" s="287"/>
      <c r="AO36" s="287"/>
      <c r="AP36" s="287"/>
      <c r="AQ36" s="287"/>
      <c r="AR36" s="287"/>
      <c r="AS36" s="288"/>
      <c r="AT36" s="284"/>
    </row>
    <row r="37" spans="1:90" s="62" customFormat="1" ht="18" customHeight="1">
      <c r="A37" s="402">
        <f>A34+1</f>
        <v>14</v>
      </c>
      <c r="B37" s="402" t="s">
        <v>113</v>
      </c>
      <c r="C37" s="374" t="str">
        <f>VLOOKUP(B37,DS,2,0)</f>
        <v>Nguyễn Văn Bé Hai</v>
      </c>
      <c r="D37" s="376" t="str">
        <f>VLOOKUP(B37,DS,3,0)</f>
        <v>Công nhân</v>
      </c>
      <c r="E37" s="63" t="s">
        <v>32</v>
      </c>
      <c r="F37" s="161"/>
      <c r="G37" s="161"/>
      <c r="H37" s="161"/>
      <c r="I37" s="161"/>
      <c r="J37" s="161"/>
      <c r="K37" s="161">
        <v>8</v>
      </c>
      <c r="L37" s="161">
        <v>8</v>
      </c>
      <c r="M37" s="161">
        <v>8</v>
      </c>
      <c r="N37" s="161">
        <v>8</v>
      </c>
      <c r="O37" s="161">
        <v>8</v>
      </c>
      <c r="P37" s="161">
        <v>8</v>
      </c>
      <c r="Q37" s="161"/>
      <c r="R37" s="161">
        <v>8</v>
      </c>
      <c r="S37" s="161">
        <v>8</v>
      </c>
      <c r="T37" s="161">
        <v>8</v>
      </c>
      <c r="U37" s="161">
        <v>8</v>
      </c>
      <c r="V37" s="161">
        <v>8</v>
      </c>
      <c r="W37" s="161">
        <v>8</v>
      </c>
      <c r="X37" s="161"/>
      <c r="Y37" s="161">
        <v>8</v>
      </c>
      <c r="Z37" s="161">
        <v>8</v>
      </c>
      <c r="AA37" s="161">
        <v>8</v>
      </c>
      <c r="AB37" s="161">
        <v>8</v>
      </c>
      <c r="AC37" s="161">
        <v>8</v>
      </c>
      <c r="AD37" s="161">
        <v>8</v>
      </c>
      <c r="AE37" s="161"/>
      <c r="AF37" s="161">
        <v>8</v>
      </c>
      <c r="AG37" s="161">
        <v>8</v>
      </c>
      <c r="AH37" s="161"/>
      <c r="AI37" s="161"/>
      <c r="AJ37" s="161"/>
      <c r="AK37" s="378">
        <f>((SUM(F37:AJ37))/8)-(SUMIF($F$6:$AJ$6,"C.Nhật",F37:AJ37)/8)</f>
        <v>20</v>
      </c>
      <c r="AL37" s="378">
        <f>SUM(F38:AI38)/8*1.5</f>
        <v>0</v>
      </c>
      <c r="AM37" s="386">
        <f>SUMIF($F$6:$AI$6,"C.Nhật",$F37:$AI38)/8*2</f>
        <v>0</v>
      </c>
      <c r="AN37" s="366">
        <f>SUM(AK37:AM38)</f>
        <v>20</v>
      </c>
      <c r="AO37" s="404">
        <v>0</v>
      </c>
      <c r="AP37" s="366"/>
      <c r="AQ37" s="366"/>
      <c r="AR37" s="366"/>
      <c r="AS37" s="394"/>
      <c r="AT37" s="303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2" customFormat="1" ht="18" customHeight="1">
      <c r="A38" s="403"/>
      <c r="B38" s="403"/>
      <c r="C38" s="375"/>
      <c r="D38" s="377"/>
      <c r="E38" s="64" t="s">
        <v>31</v>
      </c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379"/>
      <c r="AL38" s="379"/>
      <c r="AM38" s="387"/>
      <c r="AN38" s="367"/>
      <c r="AO38" s="405"/>
      <c r="AP38" s="367"/>
      <c r="AQ38" s="367"/>
      <c r="AR38" s="367"/>
      <c r="AS38" s="395"/>
      <c r="AT38" s="30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2" customFormat="1" ht="18" customHeight="1">
      <c r="A39" s="402">
        <f>A37+1</f>
        <v>15</v>
      </c>
      <c r="B39" s="402" t="s">
        <v>95</v>
      </c>
      <c r="C39" s="374" t="str">
        <f>VLOOKUP(B39,DS,2,0)</f>
        <v>Sơn Thị Muỗi Tron</v>
      </c>
      <c r="D39" s="376" t="str">
        <f>VLOOKUP(B39,DS,3,0)</f>
        <v>Công nhân</v>
      </c>
      <c r="E39" s="63" t="s">
        <v>32</v>
      </c>
      <c r="F39" s="161"/>
      <c r="G39" s="161"/>
      <c r="H39" s="161"/>
      <c r="I39" s="161"/>
      <c r="J39" s="161"/>
      <c r="K39" s="161">
        <v>8</v>
      </c>
      <c r="L39" s="161">
        <v>8</v>
      </c>
      <c r="M39" s="161">
        <v>8</v>
      </c>
      <c r="N39" s="161">
        <v>8</v>
      </c>
      <c r="O39" s="161">
        <v>8</v>
      </c>
      <c r="P39" s="161">
        <v>8</v>
      </c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378">
        <f>((SUM(F39:AJ39))/8)-(SUMIF($F$6:$AJ$6,"C.Nhật",F39:AJ39)/8)</f>
        <v>6</v>
      </c>
      <c r="AL39" s="378">
        <f>SUM(F40:AI40)/8*1.5</f>
        <v>0</v>
      </c>
      <c r="AM39" s="386">
        <f>SUMIF($F$6:$AI$6,"C.Nhật",$F39:$AI40)/8*2</f>
        <v>0</v>
      </c>
      <c r="AN39" s="366">
        <f>SUM(AK39:AM40)</f>
        <v>6</v>
      </c>
      <c r="AO39" s="404">
        <v>0</v>
      </c>
      <c r="AP39" s="366"/>
      <c r="AQ39" s="366"/>
      <c r="AR39" s="366"/>
      <c r="AS39" s="394"/>
      <c r="AT39" s="30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2" customFormat="1" ht="18" customHeight="1">
      <c r="A40" s="403"/>
      <c r="B40" s="403"/>
      <c r="C40" s="375"/>
      <c r="D40" s="377"/>
      <c r="E40" s="64" t="s">
        <v>31</v>
      </c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2"/>
      <c r="AF40" s="162"/>
      <c r="AG40" s="162"/>
      <c r="AH40" s="162"/>
      <c r="AI40" s="162"/>
      <c r="AJ40" s="162"/>
      <c r="AK40" s="379"/>
      <c r="AL40" s="379"/>
      <c r="AM40" s="387"/>
      <c r="AN40" s="367"/>
      <c r="AO40" s="405"/>
      <c r="AP40" s="367"/>
      <c r="AQ40" s="367"/>
      <c r="AR40" s="367"/>
      <c r="AS40" s="395"/>
      <c r="AT40" s="303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2" customFormat="1" ht="18" customHeight="1">
      <c r="A41" s="402">
        <v>16</v>
      </c>
      <c r="B41" s="402" t="s">
        <v>118</v>
      </c>
      <c r="C41" s="374" t="str">
        <f>VLOOKUP(B41,DS,2,0)</f>
        <v>Trần Nhiên</v>
      </c>
      <c r="D41" s="376" t="str">
        <f>VLOOKUP(B41,DS,3,0)</f>
        <v>Công nhân</v>
      </c>
      <c r="E41" s="63" t="s">
        <v>32</v>
      </c>
      <c r="F41" s="161"/>
      <c r="G41" s="161"/>
      <c r="H41" s="161"/>
      <c r="I41" s="161"/>
      <c r="J41" s="161"/>
      <c r="K41" s="161">
        <v>8</v>
      </c>
      <c r="L41" s="161">
        <v>8</v>
      </c>
      <c r="M41" s="161">
        <v>8</v>
      </c>
      <c r="N41" s="161">
        <v>8</v>
      </c>
      <c r="O41" s="161">
        <v>8</v>
      </c>
      <c r="P41" s="161">
        <v>8</v>
      </c>
      <c r="Q41" s="161"/>
      <c r="R41" s="161">
        <v>8</v>
      </c>
      <c r="S41" s="161">
        <v>8</v>
      </c>
      <c r="T41" s="161">
        <v>8</v>
      </c>
      <c r="U41" s="161">
        <v>8</v>
      </c>
      <c r="V41" s="161">
        <v>8</v>
      </c>
      <c r="W41" s="161">
        <v>8</v>
      </c>
      <c r="X41" s="161"/>
      <c r="Y41" s="161">
        <v>8</v>
      </c>
      <c r="Z41" s="161">
        <v>8</v>
      </c>
      <c r="AA41" s="161">
        <v>8</v>
      </c>
      <c r="AB41" s="161">
        <v>8</v>
      </c>
      <c r="AC41" s="161">
        <v>8</v>
      </c>
      <c r="AD41" s="161">
        <v>8</v>
      </c>
      <c r="AE41" s="161"/>
      <c r="AF41" s="161">
        <v>8</v>
      </c>
      <c r="AG41" s="161">
        <v>8</v>
      </c>
      <c r="AH41" s="161"/>
      <c r="AI41" s="161"/>
      <c r="AJ41" s="161"/>
      <c r="AK41" s="378">
        <f>((SUM(F41:AJ41))/8)-(SUMIF($F$6:$AJ$6,"C.Nhật",F41:AJ41)/8)</f>
        <v>20</v>
      </c>
      <c r="AL41" s="378">
        <f>SUM(F42:AI42)/8*1.5</f>
        <v>0</v>
      </c>
      <c r="AM41" s="386">
        <f>SUMIF($F$6:$AI$6,"C.Nhật",$F41:$AI42)/8*2</f>
        <v>0</v>
      </c>
      <c r="AN41" s="366">
        <f>SUM(AK41:AM42)</f>
        <v>20</v>
      </c>
      <c r="AO41" s="404">
        <v>0</v>
      </c>
      <c r="AP41" s="366"/>
      <c r="AQ41" s="366"/>
      <c r="AR41" s="366"/>
      <c r="AS41" s="394"/>
      <c r="AT41" s="303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2" customFormat="1" ht="18" customHeight="1">
      <c r="A42" s="403"/>
      <c r="B42" s="403"/>
      <c r="C42" s="375"/>
      <c r="D42" s="377"/>
      <c r="E42" s="64" t="s">
        <v>31</v>
      </c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379"/>
      <c r="AL42" s="379"/>
      <c r="AM42" s="387"/>
      <c r="AN42" s="367"/>
      <c r="AO42" s="405"/>
      <c r="AP42" s="367"/>
      <c r="AQ42" s="367"/>
      <c r="AR42" s="367"/>
      <c r="AS42" s="395"/>
      <c r="AT42" s="303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2" customFormat="1" ht="18" customHeight="1">
      <c r="A43" s="402">
        <v>17</v>
      </c>
      <c r="B43" s="402" t="s">
        <v>119</v>
      </c>
      <c r="C43" s="374" t="str">
        <f>VLOOKUP(B43,DS,2,0)</f>
        <v>Thạch Giang</v>
      </c>
      <c r="D43" s="376" t="str">
        <f>VLOOKUP(B43,DS,3,0)</f>
        <v>Công nhân</v>
      </c>
      <c r="E43" s="63" t="s">
        <v>32</v>
      </c>
      <c r="F43" s="161"/>
      <c r="G43" s="161"/>
      <c r="H43" s="161"/>
      <c r="I43" s="161"/>
      <c r="J43" s="161"/>
      <c r="K43" s="161">
        <v>8</v>
      </c>
      <c r="L43" s="161">
        <v>8</v>
      </c>
      <c r="M43" s="161">
        <v>8</v>
      </c>
      <c r="N43" s="161">
        <v>8</v>
      </c>
      <c r="O43" s="161">
        <v>8</v>
      </c>
      <c r="P43" s="161">
        <v>8</v>
      </c>
      <c r="Q43" s="161"/>
      <c r="R43" s="161">
        <v>8</v>
      </c>
      <c r="S43" s="161">
        <v>8</v>
      </c>
      <c r="T43" s="161">
        <v>8</v>
      </c>
      <c r="U43" s="161">
        <v>8</v>
      </c>
      <c r="V43" s="161">
        <v>8</v>
      </c>
      <c r="W43" s="161">
        <v>8</v>
      </c>
      <c r="X43" s="161"/>
      <c r="Y43" s="161">
        <v>8</v>
      </c>
      <c r="Z43" s="161">
        <v>8</v>
      </c>
      <c r="AA43" s="161">
        <v>8</v>
      </c>
      <c r="AB43" s="161">
        <v>8</v>
      </c>
      <c r="AC43" s="161">
        <v>8</v>
      </c>
      <c r="AD43" s="161"/>
      <c r="AE43" s="161"/>
      <c r="AF43" s="161">
        <v>8</v>
      </c>
      <c r="AG43" s="161">
        <v>8</v>
      </c>
      <c r="AH43" s="161"/>
      <c r="AI43" s="161"/>
      <c r="AJ43" s="161"/>
      <c r="AK43" s="378">
        <f>((SUM(F43:AJ43))/8)-(SUMIF($F$6:$AJ$6,"C.Nhật",F43:AJ43)/8)</f>
        <v>19</v>
      </c>
      <c r="AL43" s="378">
        <f>SUM(F44:AI44)/8*1.5</f>
        <v>0</v>
      </c>
      <c r="AM43" s="386">
        <f>SUMIF($F$6:$AI$6,"C.Nhật",$F43:$AI44)/8*2</f>
        <v>0</v>
      </c>
      <c r="AN43" s="366">
        <f>SUM(AK43:AM44)</f>
        <v>19</v>
      </c>
      <c r="AO43" s="404">
        <v>0</v>
      </c>
      <c r="AP43" s="366"/>
      <c r="AQ43" s="366"/>
      <c r="AR43" s="366"/>
      <c r="AS43" s="394"/>
      <c r="AT43" s="303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2" customFormat="1" ht="18" customHeight="1">
      <c r="A44" s="403"/>
      <c r="B44" s="403"/>
      <c r="C44" s="375"/>
      <c r="D44" s="377"/>
      <c r="E44" s="64" t="s">
        <v>31</v>
      </c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379"/>
      <c r="AL44" s="379"/>
      <c r="AM44" s="387"/>
      <c r="AN44" s="367"/>
      <c r="AO44" s="405"/>
      <c r="AP44" s="367"/>
      <c r="AQ44" s="367"/>
      <c r="AR44" s="367"/>
      <c r="AS44" s="395"/>
      <c r="AT44" s="303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2" customFormat="1" ht="18" customHeight="1">
      <c r="A45" s="402">
        <v>18</v>
      </c>
      <c r="B45" s="402" t="s">
        <v>122</v>
      </c>
      <c r="C45" s="374" t="str">
        <f>VLOOKUP(B45,DS,2,0)</f>
        <v>Lâm Chanh Đa Ra</v>
      </c>
      <c r="D45" s="376" t="str">
        <f>VLOOKUP(B45,DS,3,0)</f>
        <v>Công nhân</v>
      </c>
      <c r="E45" s="63" t="s">
        <v>32</v>
      </c>
      <c r="F45" s="161"/>
      <c r="G45" s="161"/>
      <c r="H45" s="161"/>
      <c r="I45" s="161"/>
      <c r="J45" s="161"/>
      <c r="K45" s="161">
        <v>8</v>
      </c>
      <c r="L45" s="161">
        <v>8</v>
      </c>
      <c r="M45" s="161">
        <v>8</v>
      </c>
      <c r="N45" s="161">
        <v>8</v>
      </c>
      <c r="O45" s="161">
        <v>8</v>
      </c>
      <c r="P45" s="161">
        <v>8</v>
      </c>
      <c r="Q45" s="161"/>
      <c r="R45" s="161">
        <v>8</v>
      </c>
      <c r="S45" s="161">
        <v>8</v>
      </c>
      <c r="T45" s="161">
        <v>8</v>
      </c>
      <c r="U45" s="161">
        <v>8</v>
      </c>
      <c r="V45" s="161">
        <v>8</v>
      </c>
      <c r="W45" s="161">
        <v>8</v>
      </c>
      <c r="X45" s="161"/>
      <c r="Y45" s="161">
        <v>8</v>
      </c>
      <c r="Z45" s="161">
        <v>8</v>
      </c>
      <c r="AA45" s="161">
        <v>8</v>
      </c>
      <c r="AB45" s="161">
        <v>8</v>
      </c>
      <c r="AC45" s="161">
        <v>8</v>
      </c>
      <c r="AD45" s="161">
        <v>8</v>
      </c>
      <c r="AE45" s="161"/>
      <c r="AF45" s="161">
        <v>8</v>
      </c>
      <c r="AG45" s="161">
        <v>8</v>
      </c>
      <c r="AH45" s="161"/>
      <c r="AI45" s="161"/>
      <c r="AJ45" s="161"/>
      <c r="AK45" s="378">
        <f>((SUM(F45:AJ45))/8)-(SUMIF($F$6:$AJ$6,"C.Nhật",F45:AJ45)/8)</f>
        <v>20</v>
      </c>
      <c r="AL45" s="378">
        <f>SUM(F46:AI46)/8*1.5</f>
        <v>0</v>
      </c>
      <c r="AM45" s="386">
        <f>SUMIF($F$6:$AI$6,"C.Nhật",$F45:$AI46)/8*2</f>
        <v>0</v>
      </c>
      <c r="AN45" s="366">
        <f>SUM(AK45:AM46)</f>
        <v>20</v>
      </c>
      <c r="AO45" s="404">
        <v>0</v>
      </c>
      <c r="AP45" s="366"/>
      <c r="AQ45" s="366"/>
      <c r="AR45" s="366"/>
      <c r="AS45" s="394"/>
      <c r="AT45" s="303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2" customFormat="1" ht="18" customHeight="1">
      <c r="A46" s="403"/>
      <c r="B46" s="403"/>
      <c r="C46" s="375"/>
      <c r="D46" s="377"/>
      <c r="E46" s="64" t="s">
        <v>31</v>
      </c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379"/>
      <c r="AL46" s="379"/>
      <c r="AM46" s="387"/>
      <c r="AN46" s="367"/>
      <c r="AO46" s="405"/>
      <c r="AP46" s="367"/>
      <c r="AQ46" s="367"/>
      <c r="AR46" s="367"/>
      <c r="AS46" s="395"/>
      <c r="AT46" s="303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5" customFormat="1" ht="18" customHeight="1">
      <c r="A47" s="14"/>
      <c r="B47" s="66"/>
      <c r="C47" s="4"/>
      <c r="D47" s="107"/>
      <c r="E47" s="4"/>
      <c r="F47" s="70"/>
      <c r="G47" s="70"/>
      <c r="H47" s="67"/>
      <c r="I47" s="67"/>
      <c r="J47" s="113"/>
      <c r="K47" s="70"/>
      <c r="L47" s="70"/>
      <c r="M47" s="70"/>
      <c r="N47" s="70"/>
      <c r="O47" s="70"/>
      <c r="P47" s="70"/>
      <c r="Q47" s="67"/>
      <c r="R47" s="70"/>
      <c r="S47" s="70"/>
      <c r="T47" s="113"/>
      <c r="U47" s="70"/>
      <c r="V47" s="70"/>
      <c r="W47" s="70"/>
      <c r="X47" s="66"/>
      <c r="Y47" s="70"/>
      <c r="Z47" s="70"/>
      <c r="AA47" s="70"/>
      <c r="AB47" s="70"/>
      <c r="AC47" s="70"/>
      <c r="AD47" s="67"/>
      <c r="AE47" s="70"/>
      <c r="AF47" s="70"/>
      <c r="AG47" s="70"/>
      <c r="AH47" s="70"/>
      <c r="AI47" s="70"/>
      <c r="AJ47" s="70"/>
      <c r="AK47" s="4"/>
      <c r="AL47" s="4"/>
      <c r="AM47" s="93"/>
      <c r="AN47" s="69"/>
      <c r="AO47" s="69"/>
      <c r="AP47" s="69"/>
      <c r="AQ47" s="69"/>
      <c r="AR47" s="69"/>
      <c r="AS47" s="4"/>
      <c r="AT47" s="99"/>
    </row>
    <row r="48" spans="1:90" s="65" customFormat="1" ht="18" customHeight="1">
      <c r="A48" s="14"/>
      <c r="B48" s="66"/>
      <c r="C48" s="14" t="s">
        <v>14</v>
      </c>
      <c r="D48" s="107"/>
      <c r="E48" s="4"/>
      <c r="F48" s="70"/>
      <c r="G48" s="70"/>
      <c r="H48" s="67"/>
      <c r="I48" s="67"/>
      <c r="J48" s="113"/>
      <c r="K48" s="70"/>
      <c r="L48" s="67"/>
      <c r="M48" s="70"/>
      <c r="N48" s="70"/>
      <c r="O48" s="70"/>
      <c r="P48" s="70"/>
      <c r="Q48" s="67"/>
      <c r="R48" s="70"/>
      <c r="S48" s="70"/>
      <c r="T48" s="113"/>
      <c r="U48" s="70"/>
      <c r="V48" s="70"/>
      <c r="W48" s="70"/>
      <c r="X48" s="66"/>
      <c r="Y48" s="70"/>
      <c r="Z48" s="70"/>
      <c r="AA48" s="70"/>
      <c r="AB48" s="70"/>
      <c r="AC48" s="70"/>
      <c r="AD48" s="67"/>
      <c r="AE48" s="70"/>
      <c r="AF48" s="70"/>
      <c r="AG48" s="70"/>
      <c r="AH48" s="70"/>
      <c r="AI48" s="70"/>
      <c r="AJ48" s="70"/>
      <c r="AK48" s="4"/>
      <c r="AL48" s="4"/>
      <c r="AM48" s="93"/>
      <c r="AN48" s="69"/>
      <c r="AO48" s="69"/>
      <c r="AP48" s="69"/>
      <c r="AQ48" s="69"/>
      <c r="AR48" s="69"/>
      <c r="AS48" s="4"/>
      <c r="AT48" s="99"/>
    </row>
    <row r="49" spans="1:46" s="65" customFormat="1" ht="18" customHeight="1">
      <c r="A49" s="12"/>
      <c r="B49" s="12"/>
      <c r="C49" s="4"/>
      <c r="D49" s="107"/>
      <c r="E49" s="4"/>
      <c r="F49" s="70"/>
      <c r="G49" s="70"/>
      <c r="H49" s="114"/>
      <c r="I49" s="114"/>
      <c r="J49" s="114"/>
      <c r="K49" s="70"/>
      <c r="L49" s="114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114"/>
      <c r="AE49" s="70"/>
      <c r="AF49" s="70"/>
      <c r="AG49" s="70"/>
      <c r="AH49" s="70"/>
      <c r="AI49" s="70"/>
      <c r="AJ49" s="70"/>
      <c r="AK49" s="4"/>
      <c r="AL49" s="4"/>
      <c r="AM49" s="93"/>
      <c r="AN49" s="71"/>
      <c r="AO49" s="71"/>
      <c r="AP49" s="71"/>
      <c r="AQ49" s="71"/>
      <c r="AR49" s="71"/>
      <c r="AS49" s="4"/>
      <c r="AT49" s="99"/>
    </row>
    <row r="50" spans="1:46" s="68" customFormat="1" ht="18" customHeight="1">
      <c r="A50" s="12"/>
      <c r="B50" s="12"/>
      <c r="C50" s="4"/>
      <c r="D50" s="107"/>
      <c r="E50" s="4"/>
      <c r="F50" s="70"/>
      <c r="G50" s="70"/>
      <c r="H50" s="114"/>
      <c r="I50" s="114"/>
      <c r="J50" s="114"/>
      <c r="K50" s="70"/>
      <c r="L50" s="114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114"/>
      <c r="AE50" s="70"/>
      <c r="AF50" s="70"/>
      <c r="AG50" s="70"/>
      <c r="AH50" s="70"/>
      <c r="AI50" s="70"/>
      <c r="AJ50" s="70"/>
      <c r="AK50" s="4"/>
      <c r="AL50" s="4"/>
      <c r="AM50" s="93"/>
      <c r="AN50" s="71"/>
      <c r="AO50" s="71"/>
      <c r="AP50" s="71"/>
      <c r="AQ50" s="71"/>
      <c r="AR50" s="71"/>
      <c r="AS50" s="4"/>
      <c r="AT50" s="4"/>
    </row>
    <row r="51" spans="1:46" s="68" customFormat="1" ht="18" customHeight="1">
      <c r="A51" s="12"/>
      <c r="B51" s="12"/>
      <c r="C51" s="4"/>
      <c r="D51" s="107"/>
      <c r="E51" s="4"/>
      <c r="F51" s="70"/>
      <c r="G51" s="70"/>
      <c r="H51" s="114"/>
      <c r="I51" s="114"/>
      <c r="J51" s="114"/>
      <c r="K51" s="70"/>
      <c r="L51" s="114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114"/>
      <c r="AE51" s="70"/>
      <c r="AF51" s="70"/>
      <c r="AG51" s="70"/>
      <c r="AH51" s="70"/>
      <c r="AI51" s="70"/>
      <c r="AJ51" s="70"/>
      <c r="AK51" s="4"/>
      <c r="AL51" s="4"/>
      <c r="AM51" s="93"/>
      <c r="AN51" s="71"/>
      <c r="AO51" s="71"/>
      <c r="AP51" s="71"/>
      <c r="AQ51" s="71"/>
      <c r="AR51" s="71"/>
      <c r="AS51" s="4"/>
      <c r="AT51" s="4"/>
    </row>
    <row r="52" spans="1:46" s="68" customFormat="1" ht="21" customHeight="1">
      <c r="A52" s="12"/>
      <c r="B52" s="12"/>
      <c r="C52" s="4"/>
      <c r="D52" s="107"/>
      <c r="E52" s="4"/>
      <c r="F52" s="70"/>
      <c r="G52" s="70"/>
      <c r="H52" s="114"/>
      <c r="I52" s="114"/>
      <c r="J52" s="114"/>
      <c r="K52" s="70"/>
      <c r="L52" s="114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114"/>
      <c r="AE52" s="70"/>
      <c r="AF52" s="70"/>
      <c r="AG52" s="70"/>
      <c r="AH52" s="70"/>
      <c r="AI52" s="70"/>
      <c r="AJ52" s="70"/>
      <c r="AK52" s="4"/>
      <c r="AL52" s="4"/>
      <c r="AM52" s="93"/>
      <c r="AN52" s="71"/>
      <c r="AO52" s="71"/>
      <c r="AP52" s="71"/>
      <c r="AQ52" s="71"/>
      <c r="AR52" s="71"/>
      <c r="AS52" s="4"/>
      <c r="AT52" s="4"/>
    </row>
    <row r="53" spans="1:46" s="68" customFormat="1" ht="18" customHeight="1">
      <c r="A53" s="10"/>
      <c r="B53" s="10"/>
      <c r="C53" s="14"/>
      <c r="D53" s="108"/>
      <c r="E53" s="72"/>
      <c r="F53" s="113"/>
      <c r="G53" s="115"/>
      <c r="H53" s="67"/>
      <c r="I53" s="67"/>
      <c r="J53" s="67"/>
      <c r="K53" s="115"/>
      <c r="L53" s="67"/>
      <c r="M53" s="115"/>
      <c r="N53" s="115"/>
      <c r="O53" s="115"/>
      <c r="P53" s="115"/>
      <c r="Q53" s="67"/>
      <c r="R53" s="113"/>
      <c r="S53" s="115"/>
      <c r="T53" s="115"/>
      <c r="U53" s="67"/>
      <c r="V53" s="115"/>
      <c r="W53" s="115"/>
      <c r="X53" s="67"/>
      <c r="Y53" s="115"/>
      <c r="Z53" s="115"/>
      <c r="AA53" s="115"/>
      <c r="AB53" s="115"/>
      <c r="AC53" s="115"/>
      <c r="AD53" s="67"/>
      <c r="AE53" s="115"/>
      <c r="AF53" s="115"/>
      <c r="AG53" s="115"/>
      <c r="AH53" s="115"/>
      <c r="AI53" s="115"/>
      <c r="AJ53" s="115"/>
      <c r="AK53" s="72"/>
      <c r="AM53" s="94"/>
      <c r="AN53" s="10"/>
      <c r="AO53" s="10"/>
      <c r="AP53" s="10"/>
      <c r="AQ53" s="10"/>
      <c r="AR53" s="10"/>
      <c r="AS53" s="14"/>
      <c r="AT53" s="4"/>
    </row>
    <row r="54" spans="1:46" s="68" customFormat="1" ht="18" customHeight="1">
      <c r="A54" s="2"/>
      <c r="B54" s="2" t="s">
        <v>0</v>
      </c>
      <c r="C54" s="2"/>
      <c r="D54" s="301"/>
      <c r="E54" s="2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7"/>
      <c r="AI54" s="117"/>
      <c r="AJ54" s="117"/>
      <c r="AK54" s="2"/>
      <c r="AL54" s="2"/>
      <c r="AM54" s="95"/>
      <c r="AN54" s="2"/>
      <c r="AO54" s="2"/>
      <c r="AP54" s="2"/>
      <c r="AQ54" s="2"/>
      <c r="AR54" s="2"/>
      <c r="AS54" s="2"/>
      <c r="AT54" s="4"/>
    </row>
    <row r="55" spans="1:46" s="68" customFormat="1" ht="18" customHeight="1">
      <c r="A55" s="2"/>
      <c r="B55" s="2"/>
      <c r="C55" s="2" t="s">
        <v>46</v>
      </c>
      <c r="D55" s="301"/>
      <c r="E55" s="2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7"/>
      <c r="AI55" s="117"/>
      <c r="AJ55" s="117"/>
      <c r="AK55" s="2"/>
      <c r="AL55" s="2"/>
      <c r="AM55" s="95"/>
      <c r="AN55" s="2"/>
      <c r="AO55" s="2"/>
      <c r="AP55" s="2"/>
      <c r="AQ55" s="2"/>
      <c r="AR55" s="2"/>
      <c r="AS55" s="2"/>
      <c r="AT55" s="14"/>
    </row>
    <row r="56" spans="1:46" ht="18" customHeight="1">
      <c r="C56" s="2" t="s">
        <v>47</v>
      </c>
    </row>
    <row r="57" spans="1:46" ht="18" customHeight="1">
      <c r="C57" s="2" t="s">
        <v>48</v>
      </c>
    </row>
    <row r="58" spans="1:46" ht="18" customHeight="1">
      <c r="C58" s="2" t="s">
        <v>49</v>
      </c>
    </row>
    <row r="59" spans="1:46" ht="18" customHeight="1">
      <c r="C59" s="2" t="s">
        <v>50</v>
      </c>
    </row>
    <row r="60" spans="1:46" ht="18" customHeight="1">
      <c r="C60" s="2" t="s">
        <v>51</v>
      </c>
    </row>
    <row r="61" spans="1:46" ht="18" customHeight="1">
      <c r="C61" s="2" t="s">
        <v>52</v>
      </c>
    </row>
    <row r="62" spans="1:46" ht="18" customHeight="1">
      <c r="C62" s="2" t="s">
        <v>53</v>
      </c>
    </row>
    <row r="63" spans="1:46" ht="15" customHeight="1">
      <c r="C63" s="2" t="s">
        <v>54</v>
      </c>
    </row>
    <row r="74" spans="1:91" s="141" customFormat="1" ht="20.25">
      <c r="A74" s="131"/>
      <c r="B74" s="135"/>
      <c r="C74" s="135"/>
      <c r="D74" s="136"/>
      <c r="E74" s="135"/>
      <c r="F74" s="136"/>
      <c r="G74" s="136"/>
      <c r="H74" s="136"/>
      <c r="I74" s="136"/>
      <c r="J74" s="136"/>
      <c r="K74" s="137"/>
      <c r="L74" s="137"/>
      <c r="M74" s="137"/>
      <c r="N74" s="137"/>
      <c r="O74" s="137"/>
      <c r="P74" s="137"/>
      <c r="Q74" s="137"/>
      <c r="R74" s="137"/>
      <c r="S74" s="138" t="str">
        <f>S1</f>
        <v>BẢNG CHẤM CÔNG THÁNG 02 NĂM 2017</v>
      </c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9"/>
      <c r="AL74" s="139"/>
      <c r="AM74" s="396" t="s">
        <v>112</v>
      </c>
      <c r="AN74" s="397"/>
      <c r="AO74" s="397"/>
      <c r="AP74" s="397"/>
      <c r="AQ74" s="397"/>
      <c r="AR74" s="397"/>
      <c r="AS74" s="398"/>
      <c r="AT74" s="140"/>
    </row>
    <row r="75" spans="1:91" s="141" customFormat="1" ht="20.25">
      <c r="A75" s="131" t="str">
        <f>$A$2</f>
        <v>Công ty TNHH Hải sản An Lạc</v>
      </c>
      <c r="B75" s="136"/>
      <c r="C75" s="136"/>
      <c r="D75" s="136"/>
      <c r="E75" s="136"/>
      <c r="F75" s="136"/>
      <c r="G75" s="136"/>
      <c r="H75" s="136"/>
      <c r="I75" s="136"/>
      <c r="J75" s="136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9"/>
      <c r="AL75" s="139"/>
      <c r="AM75" s="142"/>
      <c r="AN75" s="143"/>
      <c r="AO75" s="143"/>
      <c r="AP75" s="143"/>
      <c r="AQ75" s="143"/>
      <c r="AR75" s="143"/>
      <c r="AS75" s="144"/>
      <c r="AT75" s="144"/>
    </row>
    <row r="76" spans="1:91" s="141" customFormat="1" ht="21" customHeight="1">
      <c r="A76" s="131" t="str">
        <f>$A$3</f>
        <v>Địa chỉ: Lô A14, đường 4A, KCN Hải Sơn, Đức Hòa, Long An</v>
      </c>
      <c r="B76" s="145"/>
      <c r="C76" s="145"/>
      <c r="D76" s="146"/>
      <c r="E76" s="146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9"/>
      <c r="AL76" s="139"/>
      <c r="AM76" s="142"/>
      <c r="AN76" s="140"/>
      <c r="AO76" s="140"/>
      <c r="AP76" s="140"/>
      <c r="AQ76" s="140"/>
      <c r="AR76" s="140"/>
      <c r="AS76" s="147"/>
      <c r="AT76" s="147"/>
    </row>
    <row r="77" spans="1:91" s="141" customFormat="1" ht="14.25" customHeight="1">
      <c r="A77" s="148"/>
      <c r="B77" s="148"/>
      <c r="C77" s="149"/>
      <c r="D77" s="150"/>
      <c r="E77" s="151">
        <f>$E$4</f>
        <v>42767</v>
      </c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3"/>
      <c r="AI77" s="153"/>
      <c r="AJ77" s="153"/>
      <c r="AK77" s="148"/>
      <c r="AL77" s="148"/>
      <c r="AM77" s="154"/>
      <c r="AN77" s="148"/>
      <c r="AO77" s="148"/>
      <c r="AP77" s="148"/>
      <c r="AQ77" s="148"/>
      <c r="AR77" s="148"/>
      <c r="AS77" s="148"/>
      <c r="AT77" s="155"/>
    </row>
    <row r="78" spans="1:91" s="157" customFormat="1" ht="18.75" customHeight="1">
      <c r="A78" s="399" t="s">
        <v>28</v>
      </c>
      <c r="B78" s="399" t="s">
        <v>3</v>
      </c>
      <c r="C78" s="399" t="s">
        <v>1</v>
      </c>
      <c r="D78" s="401" t="s">
        <v>29</v>
      </c>
      <c r="E78" s="399" t="s">
        <v>30</v>
      </c>
      <c r="F78" s="156">
        <f>+E77</f>
        <v>42767</v>
      </c>
      <c r="G78" s="156">
        <f t="shared" ref="G78:AG78" si="3">F78+1</f>
        <v>42768</v>
      </c>
      <c r="H78" s="156">
        <f t="shared" si="3"/>
        <v>42769</v>
      </c>
      <c r="I78" s="156">
        <f t="shared" si="3"/>
        <v>42770</v>
      </c>
      <c r="J78" s="156">
        <f t="shared" si="3"/>
        <v>42771</v>
      </c>
      <c r="K78" s="156">
        <f t="shared" si="3"/>
        <v>42772</v>
      </c>
      <c r="L78" s="156">
        <f t="shared" si="3"/>
        <v>42773</v>
      </c>
      <c r="M78" s="156">
        <f t="shared" si="3"/>
        <v>42774</v>
      </c>
      <c r="N78" s="156">
        <f t="shared" si="3"/>
        <v>42775</v>
      </c>
      <c r="O78" s="156">
        <f t="shared" si="3"/>
        <v>42776</v>
      </c>
      <c r="P78" s="156">
        <f t="shared" si="3"/>
        <v>42777</v>
      </c>
      <c r="Q78" s="156">
        <f t="shared" si="3"/>
        <v>42778</v>
      </c>
      <c r="R78" s="156">
        <f t="shared" si="3"/>
        <v>42779</v>
      </c>
      <c r="S78" s="156">
        <f t="shared" si="3"/>
        <v>42780</v>
      </c>
      <c r="T78" s="156">
        <f t="shared" si="3"/>
        <v>42781</v>
      </c>
      <c r="U78" s="156">
        <f t="shared" si="3"/>
        <v>42782</v>
      </c>
      <c r="V78" s="156">
        <f t="shared" si="3"/>
        <v>42783</v>
      </c>
      <c r="W78" s="156">
        <f t="shared" si="3"/>
        <v>42784</v>
      </c>
      <c r="X78" s="156">
        <f t="shared" si="3"/>
        <v>42785</v>
      </c>
      <c r="Y78" s="156">
        <f t="shared" si="3"/>
        <v>42786</v>
      </c>
      <c r="Z78" s="156">
        <f t="shared" si="3"/>
        <v>42787</v>
      </c>
      <c r="AA78" s="156">
        <f t="shared" si="3"/>
        <v>42788</v>
      </c>
      <c r="AB78" s="156">
        <f t="shared" si="3"/>
        <v>42789</v>
      </c>
      <c r="AC78" s="156">
        <f t="shared" si="3"/>
        <v>42790</v>
      </c>
      <c r="AD78" s="156">
        <f t="shared" si="3"/>
        <v>42791</v>
      </c>
      <c r="AE78" s="156">
        <f t="shared" si="3"/>
        <v>42792</v>
      </c>
      <c r="AF78" s="156">
        <f t="shared" si="3"/>
        <v>42793</v>
      </c>
      <c r="AG78" s="156">
        <f t="shared" si="3"/>
        <v>42794</v>
      </c>
      <c r="AH78" s="156">
        <f>AG78+1</f>
        <v>42795</v>
      </c>
      <c r="AI78" s="156">
        <f>AH78+1</f>
        <v>42796</v>
      </c>
      <c r="AJ78" s="156"/>
      <c r="AK78" s="389" t="s">
        <v>15</v>
      </c>
      <c r="AL78" s="390"/>
      <c r="AM78" s="391"/>
      <c r="AN78" s="392" t="s">
        <v>45</v>
      </c>
      <c r="AO78" s="392" t="s">
        <v>41</v>
      </c>
      <c r="AP78" s="392" t="s">
        <v>42</v>
      </c>
      <c r="AQ78" s="392" t="s">
        <v>43</v>
      </c>
      <c r="AR78" s="392" t="s">
        <v>44</v>
      </c>
      <c r="AS78" s="401" t="s">
        <v>0</v>
      </c>
      <c r="AT78" s="388"/>
      <c r="AV78" s="141"/>
      <c r="AW78" s="141"/>
      <c r="AX78" s="141"/>
      <c r="AY78" s="141"/>
      <c r="AZ78" s="141"/>
      <c r="BA78" s="141"/>
      <c r="BB78" s="141"/>
      <c r="BC78" s="141"/>
      <c r="BD78" s="141"/>
      <c r="BE78" s="141"/>
      <c r="BF78" s="141"/>
      <c r="BG78" s="141"/>
      <c r="BH78" s="141"/>
      <c r="BI78" s="141"/>
      <c r="BJ78" s="141"/>
      <c r="BK78" s="141"/>
      <c r="BL78" s="141"/>
      <c r="BM78" s="141"/>
      <c r="BN78" s="141"/>
      <c r="BO78" s="141"/>
      <c r="BP78" s="141"/>
      <c r="BQ78" s="141"/>
      <c r="BR78" s="141"/>
      <c r="BS78" s="141"/>
      <c r="BT78" s="141"/>
      <c r="BU78" s="141"/>
      <c r="BV78" s="141"/>
      <c r="BW78" s="141"/>
      <c r="BX78" s="141"/>
      <c r="BY78" s="141"/>
      <c r="BZ78" s="141"/>
      <c r="CA78" s="141"/>
      <c r="CB78" s="141"/>
      <c r="CC78" s="141"/>
      <c r="CD78" s="141"/>
      <c r="CE78" s="141"/>
      <c r="CF78" s="141"/>
      <c r="CG78" s="141"/>
      <c r="CH78" s="141"/>
      <c r="CI78" s="141"/>
      <c r="CJ78" s="141"/>
      <c r="CK78" s="141"/>
      <c r="CL78" s="141"/>
      <c r="CM78" s="141"/>
    </row>
    <row r="79" spans="1:91" s="157" customFormat="1" ht="43.5" customHeight="1">
      <c r="A79" s="400"/>
      <c r="B79" s="400"/>
      <c r="C79" s="400"/>
      <c r="D79" s="400"/>
      <c r="E79" s="400"/>
      <c r="F79" s="295" t="str">
        <f>CHOOSE(WEEKDAY(F78),"C.Nhật","T.Hai","T.Ba","T.Tư","T.Năm","T.Sáu","T.Bảy")</f>
        <v>T.Tư</v>
      </c>
      <c r="G79" s="295" t="str">
        <f t="shared" ref="G79:AI79" si="4">CHOOSE(WEEKDAY(G78),"C.Nhật","T.Hai","T.Ba","T.Tư","T.Năm","T.Sáu","T.Bảy")</f>
        <v>T.Năm</v>
      </c>
      <c r="H79" s="295" t="str">
        <f t="shared" si="4"/>
        <v>T.Sáu</v>
      </c>
      <c r="I79" s="295" t="str">
        <f t="shared" si="4"/>
        <v>T.Bảy</v>
      </c>
      <c r="J79" s="295" t="str">
        <f t="shared" si="4"/>
        <v>C.Nhật</v>
      </c>
      <c r="K79" s="158" t="str">
        <f t="shared" si="4"/>
        <v>T.Hai</v>
      </c>
      <c r="L79" s="158" t="str">
        <f t="shared" si="4"/>
        <v>T.Ba</v>
      </c>
      <c r="M79" s="158" t="str">
        <f t="shared" si="4"/>
        <v>T.Tư</v>
      </c>
      <c r="N79" s="158" t="str">
        <f t="shared" si="4"/>
        <v>T.Năm</v>
      </c>
      <c r="O79" s="158" t="str">
        <f t="shared" si="4"/>
        <v>T.Sáu</v>
      </c>
      <c r="P79" s="158" t="str">
        <f t="shared" si="4"/>
        <v>T.Bảy</v>
      </c>
      <c r="Q79" s="158" t="str">
        <f t="shared" si="4"/>
        <v>C.Nhật</v>
      </c>
      <c r="R79" s="158" t="str">
        <f t="shared" si="4"/>
        <v>T.Hai</v>
      </c>
      <c r="S79" s="158" t="str">
        <f t="shared" si="4"/>
        <v>T.Ba</v>
      </c>
      <c r="T79" s="158" t="str">
        <f t="shared" si="4"/>
        <v>T.Tư</v>
      </c>
      <c r="U79" s="158" t="str">
        <f t="shared" si="4"/>
        <v>T.Năm</v>
      </c>
      <c r="V79" s="158" t="str">
        <f t="shared" si="4"/>
        <v>T.Sáu</v>
      </c>
      <c r="W79" s="158" t="str">
        <f t="shared" si="4"/>
        <v>T.Bảy</v>
      </c>
      <c r="X79" s="158" t="str">
        <f t="shared" si="4"/>
        <v>C.Nhật</v>
      </c>
      <c r="Y79" s="158" t="str">
        <f t="shared" si="4"/>
        <v>T.Hai</v>
      </c>
      <c r="Z79" s="158" t="str">
        <f t="shared" si="4"/>
        <v>T.Ba</v>
      </c>
      <c r="AA79" s="158" t="str">
        <f t="shared" si="4"/>
        <v>T.Tư</v>
      </c>
      <c r="AB79" s="158" t="str">
        <f t="shared" si="4"/>
        <v>T.Năm</v>
      </c>
      <c r="AC79" s="158" t="str">
        <f t="shared" si="4"/>
        <v>T.Sáu</v>
      </c>
      <c r="AD79" s="158" t="str">
        <f t="shared" si="4"/>
        <v>T.Bảy</v>
      </c>
      <c r="AE79" s="158" t="str">
        <f t="shared" si="4"/>
        <v>C.Nhật</v>
      </c>
      <c r="AF79" s="158" t="str">
        <f t="shared" si="4"/>
        <v>T.Hai</v>
      </c>
      <c r="AG79" s="158" t="str">
        <f t="shared" si="4"/>
        <v>T.Ba</v>
      </c>
      <c r="AH79" s="158" t="str">
        <f t="shared" si="4"/>
        <v>T.Tư</v>
      </c>
      <c r="AI79" s="158" t="str">
        <f t="shared" si="4"/>
        <v>T.Năm</v>
      </c>
      <c r="AJ79" s="158"/>
      <c r="AK79" s="159" t="s">
        <v>16</v>
      </c>
      <c r="AL79" s="159" t="s">
        <v>31</v>
      </c>
      <c r="AM79" s="160" t="s">
        <v>17</v>
      </c>
      <c r="AN79" s="393"/>
      <c r="AO79" s="393"/>
      <c r="AP79" s="393"/>
      <c r="AQ79" s="393"/>
      <c r="AR79" s="393"/>
      <c r="AS79" s="400"/>
      <c r="AT79" s="388"/>
      <c r="AV79" s="141"/>
      <c r="AW79" s="141"/>
      <c r="AX79" s="141"/>
      <c r="AY79" s="141"/>
      <c r="AZ79" s="141"/>
      <c r="BA79" s="141"/>
      <c r="BB79" s="141"/>
      <c r="BC79" s="141"/>
      <c r="BD79" s="141"/>
      <c r="BE79" s="141"/>
      <c r="BF79" s="141"/>
      <c r="BG79" s="141"/>
      <c r="BH79" s="141"/>
      <c r="BI79" s="141"/>
      <c r="BJ79" s="141"/>
      <c r="BK79" s="141"/>
      <c r="BL79" s="141"/>
      <c r="BM79" s="141"/>
      <c r="BN79" s="141"/>
      <c r="BO79" s="141"/>
      <c r="BP79" s="141"/>
      <c r="BQ79" s="141"/>
      <c r="BR79" s="141"/>
      <c r="BS79" s="141"/>
      <c r="BT79" s="141"/>
      <c r="BU79" s="141"/>
      <c r="BV79" s="141"/>
      <c r="BW79" s="141"/>
      <c r="BX79" s="141"/>
      <c r="BY79" s="141"/>
      <c r="BZ79" s="141"/>
      <c r="CA79" s="141"/>
      <c r="CB79" s="141"/>
      <c r="CC79" s="141"/>
      <c r="CD79" s="141"/>
      <c r="CE79" s="141"/>
      <c r="CF79" s="141"/>
      <c r="CG79" s="141"/>
      <c r="CH79" s="141"/>
      <c r="CI79" s="141"/>
      <c r="CJ79" s="141"/>
      <c r="CK79" s="141"/>
      <c r="CL79" s="141"/>
      <c r="CM79" s="141"/>
    </row>
    <row r="80" spans="1:91" s="157" customFormat="1" ht="12.75" customHeight="1">
      <c r="A80" s="296">
        <v>1</v>
      </c>
      <c r="B80" s="296">
        <v>2</v>
      </c>
      <c r="C80" s="296">
        <v>3</v>
      </c>
      <c r="D80" s="296">
        <v>4</v>
      </c>
      <c r="E80" s="296">
        <v>5</v>
      </c>
      <c r="F80" s="296">
        <v>6</v>
      </c>
      <c r="G80" s="296">
        <v>7</v>
      </c>
      <c r="H80" s="296">
        <v>8</v>
      </c>
      <c r="I80" s="296">
        <v>9</v>
      </c>
      <c r="J80" s="296">
        <v>10</v>
      </c>
      <c r="K80" s="296">
        <v>11</v>
      </c>
      <c r="L80" s="296">
        <v>12</v>
      </c>
      <c r="M80" s="296">
        <v>13</v>
      </c>
      <c r="N80" s="296">
        <v>14</v>
      </c>
      <c r="O80" s="296">
        <v>15</v>
      </c>
      <c r="P80" s="296">
        <v>16</v>
      </c>
      <c r="Q80" s="296">
        <v>17</v>
      </c>
      <c r="R80" s="296">
        <v>18</v>
      </c>
      <c r="S80" s="296">
        <v>19</v>
      </c>
      <c r="T80" s="296">
        <v>20</v>
      </c>
      <c r="U80" s="296">
        <v>21</v>
      </c>
      <c r="V80" s="296">
        <v>22</v>
      </c>
      <c r="W80" s="296">
        <v>23</v>
      </c>
      <c r="X80" s="296">
        <v>24</v>
      </c>
      <c r="Y80" s="296">
        <v>25</v>
      </c>
      <c r="Z80" s="296">
        <v>26</v>
      </c>
      <c r="AA80" s="296">
        <v>27</v>
      </c>
      <c r="AB80" s="296">
        <v>28</v>
      </c>
      <c r="AC80" s="296">
        <v>29</v>
      </c>
      <c r="AD80" s="296">
        <v>30</v>
      </c>
      <c r="AE80" s="296">
        <v>31</v>
      </c>
      <c r="AF80" s="296">
        <v>32</v>
      </c>
      <c r="AG80" s="296">
        <v>33</v>
      </c>
      <c r="AH80" s="296">
        <v>34</v>
      </c>
      <c r="AI80" s="296">
        <v>35</v>
      </c>
      <c r="AJ80" s="296">
        <v>36</v>
      </c>
      <c r="AK80" s="296">
        <v>37</v>
      </c>
      <c r="AL80" s="296">
        <v>38</v>
      </c>
      <c r="AM80" s="296">
        <v>39</v>
      </c>
      <c r="AN80" s="296">
        <v>40</v>
      </c>
      <c r="AO80" s="296">
        <v>41</v>
      </c>
      <c r="AP80" s="296">
        <v>42</v>
      </c>
      <c r="AQ80" s="296">
        <v>43</v>
      </c>
      <c r="AR80" s="296">
        <v>44</v>
      </c>
      <c r="AS80" s="296">
        <v>45</v>
      </c>
      <c r="AT80" s="304"/>
      <c r="AV80" s="141"/>
      <c r="AW80" s="141"/>
      <c r="AX80" s="141"/>
      <c r="AY80" s="141"/>
      <c r="AZ80" s="141"/>
      <c r="BA80" s="141"/>
      <c r="BB80" s="141"/>
      <c r="BC80" s="141"/>
      <c r="BD80" s="141"/>
      <c r="BE80" s="141"/>
      <c r="BF80" s="141"/>
      <c r="BG80" s="141"/>
      <c r="BH80" s="141"/>
      <c r="BI80" s="141"/>
      <c r="BJ80" s="141"/>
      <c r="BK80" s="141"/>
      <c r="BL80" s="141"/>
      <c r="BM80" s="141"/>
      <c r="BN80" s="141"/>
      <c r="BO80" s="141"/>
      <c r="BP80" s="141"/>
      <c r="BQ80" s="141"/>
      <c r="BR80" s="141"/>
      <c r="BS80" s="141"/>
      <c r="BT80" s="141"/>
      <c r="BU80" s="141"/>
      <c r="BV80" s="141"/>
      <c r="BW80" s="141"/>
      <c r="BX80" s="141"/>
      <c r="BY80" s="141"/>
      <c r="BZ80" s="141"/>
      <c r="CA80" s="141"/>
      <c r="CB80" s="141"/>
      <c r="CC80" s="141"/>
      <c r="CD80" s="141"/>
      <c r="CE80" s="141"/>
      <c r="CF80" s="141"/>
      <c r="CG80" s="141"/>
      <c r="CH80" s="141"/>
      <c r="CI80" s="141"/>
      <c r="CJ80" s="141"/>
      <c r="CK80" s="141"/>
      <c r="CL80" s="141"/>
      <c r="CM80" s="141"/>
    </row>
    <row r="81" spans="1:91" s="157" customFormat="1" ht="18" customHeight="1">
      <c r="A81" s="372">
        <v>1</v>
      </c>
      <c r="B81" s="372" t="s">
        <v>68</v>
      </c>
      <c r="C81" s="374" t="str">
        <f>VLOOKUP(B81,DS,2,0)</f>
        <v>Nguyễn Thiện Duy</v>
      </c>
      <c r="D81" s="376" t="str">
        <f>VLOOKUP(B81,DS,3,0)</f>
        <v>Giám đốc</v>
      </c>
      <c r="E81" s="63" t="s">
        <v>32</v>
      </c>
      <c r="F81" s="161"/>
      <c r="G81" s="161"/>
      <c r="H81" s="161"/>
      <c r="I81" s="161"/>
      <c r="J81" s="161"/>
      <c r="K81" s="161">
        <v>8</v>
      </c>
      <c r="L81" s="161">
        <v>8</v>
      </c>
      <c r="M81" s="161">
        <v>8</v>
      </c>
      <c r="N81" s="161">
        <v>8</v>
      </c>
      <c r="O81" s="161">
        <v>8</v>
      </c>
      <c r="P81" s="161">
        <v>0</v>
      </c>
      <c r="Q81" s="161"/>
      <c r="R81" s="161">
        <v>8</v>
      </c>
      <c r="S81" s="161">
        <v>8</v>
      </c>
      <c r="T81" s="161">
        <v>8</v>
      </c>
      <c r="U81" s="161">
        <v>8</v>
      </c>
      <c r="V81" s="161">
        <v>8</v>
      </c>
      <c r="W81" s="161">
        <v>8</v>
      </c>
      <c r="X81" s="161"/>
      <c r="Y81" s="161">
        <v>0</v>
      </c>
      <c r="Z81" s="161">
        <v>8</v>
      </c>
      <c r="AA81" s="161">
        <v>8</v>
      </c>
      <c r="AB81" s="161">
        <v>8</v>
      </c>
      <c r="AC81" s="161">
        <v>8</v>
      </c>
      <c r="AD81" s="161">
        <v>8</v>
      </c>
      <c r="AE81" s="161"/>
      <c r="AF81" s="161">
        <v>8</v>
      </c>
      <c r="AG81" s="161">
        <v>8</v>
      </c>
      <c r="AH81" s="161"/>
      <c r="AI81" s="161"/>
      <c r="AJ81" s="161"/>
      <c r="AK81" s="378">
        <f>((SUM(F81:AJ81))/8)-(SUMIF($F$6:$AJ$6,"C.Nhật",F81:AJ81)/8)</f>
        <v>18</v>
      </c>
      <c r="AL81" s="378">
        <f>SUM(F82:AI82)/8*1.5</f>
        <v>0</v>
      </c>
      <c r="AM81" s="386">
        <f>SUMIF($F$6:$AI$6,"C.Nhật",$F81:$AI82)/8*2</f>
        <v>0</v>
      </c>
      <c r="AN81" s="366">
        <f>SUM(AK81:AM82)</f>
        <v>18</v>
      </c>
      <c r="AO81" s="368">
        <v>0</v>
      </c>
      <c r="AP81" s="370"/>
      <c r="AQ81" s="370"/>
      <c r="AR81" s="370"/>
      <c r="AS81" s="380"/>
      <c r="AT81" s="304"/>
      <c r="AV81" s="141"/>
      <c r="AW81" s="141"/>
      <c r="AX81" s="141"/>
      <c r="AY81" s="141"/>
      <c r="AZ81" s="141"/>
      <c r="BA81" s="141"/>
      <c r="BB81" s="141"/>
      <c r="BC81" s="141"/>
      <c r="BD81" s="141"/>
      <c r="BE81" s="141"/>
      <c r="BF81" s="141"/>
      <c r="BG81" s="141"/>
      <c r="BH81" s="141"/>
      <c r="BI81" s="141"/>
      <c r="BJ81" s="141"/>
      <c r="BK81" s="141"/>
      <c r="BL81" s="141"/>
      <c r="BM81" s="141"/>
      <c r="BN81" s="141"/>
      <c r="BO81" s="141"/>
      <c r="BP81" s="141"/>
      <c r="BQ81" s="141"/>
      <c r="BR81" s="141"/>
      <c r="BS81" s="141"/>
      <c r="BT81" s="141"/>
      <c r="BU81" s="141"/>
      <c r="BV81" s="141"/>
      <c r="BW81" s="141"/>
      <c r="BX81" s="141"/>
      <c r="BY81" s="141"/>
      <c r="BZ81" s="141"/>
      <c r="CA81" s="141"/>
      <c r="CB81" s="141"/>
      <c r="CC81" s="141"/>
      <c r="CD81" s="141"/>
      <c r="CE81" s="141"/>
      <c r="CF81" s="141"/>
      <c r="CG81" s="141"/>
      <c r="CH81" s="141"/>
      <c r="CI81" s="141"/>
      <c r="CJ81" s="141"/>
      <c r="CK81" s="141"/>
      <c r="CL81" s="141"/>
      <c r="CM81" s="141"/>
    </row>
    <row r="82" spans="1:91" s="157" customFormat="1" ht="18" customHeight="1">
      <c r="A82" s="373"/>
      <c r="B82" s="373"/>
      <c r="C82" s="375"/>
      <c r="D82" s="377"/>
      <c r="E82" s="64" t="s">
        <v>31</v>
      </c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379"/>
      <c r="AL82" s="379"/>
      <c r="AM82" s="387"/>
      <c r="AN82" s="367"/>
      <c r="AO82" s="369"/>
      <c r="AP82" s="371"/>
      <c r="AQ82" s="371"/>
      <c r="AR82" s="371"/>
      <c r="AS82" s="381"/>
      <c r="AT82" s="304"/>
      <c r="AV82" s="141"/>
      <c r="AW82" s="141"/>
      <c r="AX82" s="141"/>
      <c r="AY82" s="141"/>
      <c r="AZ82" s="141"/>
      <c r="BA82" s="141"/>
      <c r="BB82" s="141"/>
      <c r="BC82" s="141"/>
      <c r="BD82" s="141"/>
      <c r="BE82" s="141"/>
      <c r="BF82" s="141"/>
      <c r="BG82" s="141"/>
      <c r="BH82" s="141"/>
      <c r="BI82" s="141"/>
      <c r="BJ82" s="141"/>
      <c r="BK82" s="141"/>
      <c r="BL82" s="141"/>
      <c r="BM82" s="141"/>
      <c r="BN82" s="141"/>
      <c r="BO82" s="141"/>
      <c r="BP82" s="141"/>
      <c r="BQ82" s="141"/>
      <c r="BR82" s="141"/>
      <c r="BS82" s="141"/>
      <c r="BT82" s="141"/>
      <c r="BU82" s="141"/>
      <c r="BV82" s="141"/>
      <c r="BW82" s="141"/>
      <c r="BX82" s="141"/>
      <c r="BY82" s="141"/>
      <c r="BZ82" s="141"/>
      <c r="CA82" s="141"/>
      <c r="CB82" s="141"/>
      <c r="CC82" s="141"/>
      <c r="CD82" s="141"/>
      <c r="CE82" s="141"/>
      <c r="CF82" s="141"/>
      <c r="CG82" s="141"/>
      <c r="CH82" s="141"/>
      <c r="CI82" s="141"/>
      <c r="CJ82" s="141"/>
      <c r="CK82" s="141"/>
      <c r="CL82" s="141"/>
      <c r="CM82" s="141"/>
    </row>
    <row r="83" spans="1:91" s="157" customFormat="1" ht="18" customHeight="1">
      <c r="A83" s="372">
        <f>A81+1</f>
        <v>2</v>
      </c>
      <c r="B83" s="372" t="s">
        <v>70</v>
      </c>
      <c r="C83" s="374" t="str">
        <f>VLOOKUP(B83,DS,2,0)</f>
        <v>Nguyễn Văn Sẽ</v>
      </c>
      <c r="D83" s="376" t="str">
        <f>VLOOKUP(B83,DS,3,0)</f>
        <v>Kỹ Thuật</v>
      </c>
      <c r="E83" s="63" t="s">
        <v>32</v>
      </c>
      <c r="F83" s="161"/>
      <c r="G83" s="161"/>
      <c r="H83" s="161"/>
      <c r="I83" s="161"/>
      <c r="J83" s="161"/>
      <c r="K83" s="161">
        <v>8</v>
      </c>
      <c r="L83" s="161">
        <v>8</v>
      </c>
      <c r="M83" s="161">
        <v>8</v>
      </c>
      <c r="N83" s="161">
        <v>8</v>
      </c>
      <c r="O83" s="161">
        <v>8</v>
      </c>
      <c r="P83" s="161">
        <v>8</v>
      </c>
      <c r="Q83" s="161"/>
      <c r="R83" s="161">
        <v>8</v>
      </c>
      <c r="S83" s="161">
        <v>8</v>
      </c>
      <c r="T83" s="161">
        <v>8</v>
      </c>
      <c r="U83" s="161">
        <v>8</v>
      </c>
      <c r="V83" s="161">
        <v>8</v>
      </c>
      <c r="W83" s="161">
        <v>8</v>
      </c>
      <c r="X83" s="161"/>
      <c r="Y83" s="161">
        <v>8</v>
      </c>
      <c r="Z83" s="161">
        <v>8</v>
      </c>
      <c r="AA83" s="161">
        <v>8</v>
      </c>
      <c r="AB83" s="161">
        <v>8</v>
      </c>
      <c r="AC83" s="161">
        <v>8</v>
      </c>
      <c r="AD83" s="161">
        <v>8</v>
      </c>
      <c r="AE83" s="161"/>
      <c r="AF83" s="161">
        <v>8</v>
      </c>
      <c r="AG83" s="161">
        <v>8</v>
      </c>
      <c r="AH83" s="161"/>
      <c r="AI83" s="161"/>
      <c r="AJ83" s="161"/>
      <c r="AK83" s="378">
        <f>((SUM(F83:AJ83))/8)-(SUMIF($F$6:$AJ$6,"C.Nhật",F83:AJ83)/8)</f>
        <v>20</v>
      </c>
      <c r="AL83" s="378">
        <f>SUM(F84:AI84)/8*1.5</f>
        <v>0</v>
      </c>
      <c r="AM83" s="386">
        <f>SUMIF($F$6:$AI$6,"C.Nhật",$F83:$AI84)/8*2</f>
        <v>0</v>
      </c>
      <c r="AN83" s="366">
        <f>SUM(AK83:AM84)</f>
        <v>20</v>
      </c>
      <c r="AO83" s="368">
        <v>0</v>
      </c>
      <c r="AP83" s="370"/>
      <c r="AQ83" s="370"/>
      <c r="AR83" s="370"/>
      <c r="AS83" s="380"/>
      <c r="AT83" s="304"/>
      <c r="AV83" s="141"/>
      <c r="AW83" s="141"/>
      <c r="AX83" s="141"/>
      <c r="AY83" s="141"/>
      <c r="AZ83" s="141"/>
      <c r="BA83" s="141"/>
      <c r="BB83" s="141"/>
      <c r="BC83" s="141"/>
      <c r="BD83" s="141"/>
      <c r="BE83" s="141"/>
      <c r="BF83" s="141"/>
      <c r="BG83" s="141"/>
      <c r="BH83" s="141"/>
      <c r="BI83" s="141"/>
      <c r="BJ83" s="141"/>
      <c r="BK83" s="141"/>
      <c r="BL83" s="141"/>
      <c r="BM83" s="141"/>
      <c r="BN83" s="141"/>
      <c r="BO83" s="141"/>
      <c r="BP83" s="141"/>
      <c r="BQ83" s="141"/>
      <c r="BR83" s="141"/>
      <c r="BS83" s="141"/>
      <c r="BT83" s="141"/>
      <c r="BU83" s="141"/>
      <c r="BV83" s="141"/>
      <c r="BW83" s="141"/>
      <c r="BX83" s="141"/>
      <c r="BY83" s="141"/>
      <c r="BZ83" s="141"/>
      <c r="CA83" s="141"/>
      <c r="CB83" s="141"/>
      <c r="CC83" s="141"/>
      <c r="CD83" s="141"/>
      <c r="CE83" s="141"/>
      <c r="CF83" s="141"/>
      <c r="CG83" s="141"/>
      <c r="CH83" s="141"/>
      <c r="CI83" s="141"/>
      <c r="CJ83" s="141"/>
      <c r="CK83" s="141"/>
      <c r="CL83" s="141"/>
      <c r="CM83" s="141"/>
    </row>
    <row r="84" spans="1:91" s="157" customFormat="1" ht="18" customHeight="1">
      <c r="A84" s="373"/>
      <c r="B84" s="373"/>
      <c r="C84" s="375"/>
      <c r="D84" s="377"/>
      <c r="E84" s="64" t="s">
        <v>31</v>
      </c>
      <c r="F84" s="162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379"/>
      <c r="AL84" s="379"/>
      <c r="AM84" s="387"/>
      <c r="AN84" s="367"/>
      <c r="AO84" s="369"/>
      <c r="AP84" s="371"/>
      <c r="AQ84" s="371"/>
      <c r="AR84" s="371"/>
      <c r="AS84" s="381"/>
      <c r="AT84" s="304"/>
      <c r="AV84" s="141"/>
      <c r="AW84" s="141"/>
      <c r="AX84" s="141"/>
      <c r="AY84" s="141"/>
      <c r="AZ84" s="141"/>
      <c r="BA84" s="141"/>
      <c r="BB84" s="141"/>
      <c r="BC84" s="141"/>
      <c r="BD84" s="141"/>
      <c r="BE84" s="141"/>
      <c r="BF84" s="141"/>
      <c r="BG84" s="141"/>
      <c r="BH84" s="141"/>
      <c r="BI84" s="141"/>
      <c r="BJ84" s="141"/>
      <c r="BK84" s="141"/>
      <c r="BL84" s="141"/>
      <c r="BM84" s="141"/>
      <c r="BN84" s="141"/>
      <c r="BO84" s="141"/>
      <c r="BP84" s="141"/>
      <c r="BQ84" s="141"/>
      <c r="BR84" s="141"/>
      <c r="BS84" s="141"/>
      <c r="BT84" s="141"/>
      <c r="BU84" s="141"/>
      <c r="BV84" s="141"/>
      <c r="BW84" s="141"/>
      <c r="BX84" s="141"/>
      <c r="BY84" s="141"/>
      <c r="BZ84" s="141"/>
      <c r="CA84" s="141"/>
      <c r="CB84" s="141"/>
      <c r="CC84" s="141"/>
      <c r="CD84" s="141"/>
      <c r="CE84" s="141"/>
      <c r="CF84" s="141"/>
      <c r="CG84" s="141"/>
      <c r="CH84" s="141"/>
      <c r="CI84" s="141"/>
      <c r="CJ84" s="141"/>
      <c r="CK84" s="141"/>
      <c r="CL84" s="141"/>
      <c r="CM84" s="141"/>
    </row>
    <row r="85" spans="1:91" s="157" customFormat="1" ht="18" customHeight="1">
      <c r="A85" s="372">
        <f>A83+1</f>
        <v>3</v>
      </c>
      <c r="B85" s="372" t="s">
        <v>72</v>
      </c>
      <c r="C85" s="374" t="str">
        <f>VLOOKUP(B85,DS,2,0)</f>
        <v>Võ Uyên Phương</v>
      </c>
      <c r="D85" s="376" t="str">
        <f>VLOOKUP(B85,DS,3,0)</f>
        <v>Kế toán</v>
      </c>
      <c r="E85" s="63" t="s">
        <v>32</v>
      </c>
      <c r="F85" s="161"/>
      <c r="G85" s="161"/>
      <c r="H85" s="161"/>
      <c r="I85" s="161"/>
      <c r="J85" s="161"/>
      <c r="K85" s="161">
        <v>8</v>
      </c>
      <c r="L85" s="161">
        <v>8</v>
      </c>
      <c r="M85" s="161">
        <v>8</v>
      </c>
      <c r="N85" s="161">
        <v>8</v>
      </c>
      <c r="O85" s="161">
        <v>8</v>
      </c>
      <c r="P85" s="161">
        <v>8</v>
      </c>
      <c r="Q85" s="161"/>
      <c r="R85" s="161">
        <v>8</v>
      </c>
      <c r="S85" s="161">
        <v>8</v>
      </c>
      <c r="T85" s="161">
        <v>8</v>
      </c>
      <c r="U85" s="161">
        <v>8</v>
      </c>
      <c r="V85" s="161">
        <v>8</v>
      </c>
      <c r="W85" s="161">
        <v>8</v>
      </c>
      <c r="X85" s="161"/>
      <c r="Y85" s="161">
        <v>8</v>
      </c>
      <c r="Z85" s="161">
        <v>8</v>
      </c>
      <c r="AA85" s="161">
        <v>8</v>
      </c>
      <c r="AB85" s="161">
        <v>8</v>
      </c>
      <c r="AC85" s="161">
        <v>8</v>
      </c>
      <c r="AD85" s="161">
        <v>8</v>
      </c>
      <c r="AE85" s="161"/>
      <c r="AF85" s="161">
        <v>8</v>
      </c>
      <c r="AG85" s="161">
        <v>8</v>
      </c>
      <c r="AH85" s="161"/>
      <c r="AI85" s="161"/>
      <c r="AJ85" s="161"/>
      <c r="AK85" s="378">
        <f>((SUM(F85:AJ85))/8)-(SUMIF($F$6:$AJ$6,"C.Nhật",F85:AJ85)/8)</f>
        <v>20</v>
      </c>
      <c r="AL85" s="378">
        <f>SUM(F86:AI86)/8*1.5</f>
        <v>0</v>
      </c>
      <c r="AM85" s="386">
        <f>SUMIF($F$6:$AI$6,"C.Nhật",$F85:$AI86)/8*2</f>
        <v>0</v>
      </c>
      <c r="AN85" s="366">
        <f>SUM(AK85:AM86)</f>
        <v>20</v>
      </c>
      <c r="AO85" s="368">
        <v>0</v>
      </c>
      <c r="AP85" s="370"/>
      <c r="AQ85" s="370"/>
      <c r="AR85" s="370"/>
      <c r="AS85" s="380"/>
      <c r="AT85" s="304"/>
      <c r="AV85" s="141"/>
      <c r="AW85" s="141"/>
      <c r="AX85" s="141"/>
      <c r="AY85" s="141"/>
      <c r="AZ85" s="141"/>
      <c r="BA85" s="141"/>
      <c r="BB85" s="141"/>
      <c r="BC85" s="141"/>
      <c r="BD85" s="141"/>
      <c r="BE85" s="141"/>
      <c r="BF85" s="141"/>
      <c r="BG85" s="141"/>
      <c r="BH85" s="141"/>
      <c r="BI85" s="141"/>
      <c r="BJ85" s="141"/>
      <c r="BK85" s="141"/>
      <c r="BL85" s="141"/>
      <c r="BM85" s="141"/>
      <c r="BN85" s="141"/>
      <c r="BO85" s="141"/>
      <c r="BP85" s="141"/>
      <c r="BQ85" s="141"/>
      <c r="BR85" s="141"/>
      <c r="BS85" s="141"/>
      <c r="BT85" s="141"/>
      <c r="BU85" s="141"/>
      <c r="BV85" s="141"/>
      <c r="BW85" s="141"/>
      <c r="BX85" s="141"/>
      <c r="BY85" s="141"/>
      <c r="BZ85" s="141"/>
      <c r="CA85" s="141"/>
      <c r="CB85" s="141"/>
      <c r="CC85" s="141"/>
      <c r="CD85" s="141"/>
      <c r="CE85" s="141"/>
      <c r="CF85" s="141"/>
      <c r="CG85" s="141"/>
      <c r="CH85" s="141"/>
      <c r="CI85" s="141"/>
      <c r="CJ85" s="141"/>
      <c r="CK85" s="141"/>
      <c r="CL85" s="141"/>
      <c r="CM85" s="141"/>
    </row>
    <row r="86" spans="1:91" s="157" customFormat="1" ht="18" customHeight="1">
      <c r="A86" s="373"/>
      <c r="B86" s="373"/>
      <c r="C86" s="375"/>
      <c r="D86" s="377"/>
      <c r="E86" s="64" t="s">
        <v>31</v>
      </c>
      <c r="F86" s="162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379"/>
      <c r="AL86" s="379"/>
      <c r="AM86" s="387"/>
      <c r="AN86" s="367"/>
      <c r="AO86" s="369"/>
      <c r="AP86" s="371"/>
      <c r="AQ86" s="371"/>
      <c r="AR86" s="371"/>
      <c r="AS86" s="381"/>
      <c r="AT86" s="304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</row>
    <row r="87" spans="1:91" s="157" customFormat="1" ht="18" customHeight="1">
      <c r="A87" s="372">
        <f>A85+1</f>
        <v>4</v>
      </c>
      <c r="B87" s="372" t="s">
        <v>75</v>
      </c>
      <c r="C87" s="374" t="str">
        <f>VLOOKUP(B87,DS,2,0)</f>
        <v>Lê Nguyễn Huy Cường</v>
      </c>
      <c r="D87" s="376" t="str">
        <f>VLOOKUP(B87,DS,3,0)</f>
        <v>XNK</v>
      </c>
      <c r="E87" s="63" t="s">
        <v>32</v>
      </c>
      <c r="F87" s="161"/>
      <c r="G87" s="161"/>
      <c r="H87" s="161"/>
      <c r="I87" s="161"/>
      <c r="J87" s="161"/>
      <c r="K87" s="161">
        <v>8</v>
      </c>
      <c r="L87" s="161">
        <v>8</v>
      </c>
      <c r="M87" s="161">
        <v>8</v>
      </c>
      <c r="N87" s="161">
        <v>8</v>
      </c>
      <c r="O87" s="161">
        <v>8</v>
      </c>
      <c r="P87" s="161">
        <v>8</v>
      </c>
      <c r="Q87" s="161"/>
      <c r="R87" s="161">
        <v>8</v>
      </c>
      <c r="S87" s="161">
        <v>8</v>
      </c>
      <c r="T87" s="161">
        <v>8</v>
      </c>
      <c r="U87" s="161">
        <v>8</v>
      </c>
      <c r="V87" s="161">
        <v>8</v>
      </c>
      <c r="W87" s="161">
        <v>8</v>
      </c>
      <c r="X87" s="161"/>
      <c r="Y87" s="161">
        <v>8</v>
      </c>
      <c r="Z87" s="161">
        <v>8</v>
      </c>
      <c r="AA87" s="161">
        <v>8</v>
      </c>
      <c r="AB87" s="161">
        <v>8</v>
      </c>
      <c r="AC87" s="161">
        <v>8</v>
      </c>
      <c r="AD87" s="161">
        <v>8</v>
      </c>
      <c r="AE87" s="161"/>
      <c r="AF87" s="161">
        <v>8</v>
      </c>
      <c r="AG87" s="161">
        <v>8</v>
      </c>
      <c r="AH87" s="161"/>
      <c r="AI87" s="161"/>
      <c r="AJ87" s="161"/>
      <c r="AK87" s="378">
        <f>((SUM(F87:AJ87))/8)-(SUMIF($F$6:$AJ$6,"C.Nhật",F87:AJ87)/8)</f>
        <v>20</v>
      </c>
      <c r="AL87" s="378">
        <f>SUM(F88:AI88)/8*1.5</f>
        <v>0</v>
      </c>
      <c r="AM87" s="386">
        <f>SUMIF($F$6:$AI$6,"C.Nhật",$F87:$AI88)/8*2</f>
        <v>0</v>
      </c>
      <c r="AN87" s="366">
        <f>SUM(AK87:AM88)</f>
        <v>20</v>
      </c>
      <c r="AO87" s="368">
        <v>0</v>
      </c>
      <c r="AP87" s="370"/>
      <c r="AQ87" s="370"/>
      <c r="AR87" s="370"/>
      <c r="AS87" s="380"/>
      <c r="AT87" s="304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</row>
    <row r="88" spans="1:91" s="157" customFormat="1" ht="18" customHeight="1">
      <c r="A88" s="373"/>
      <c r="B88" s="373"/>
      <c r="C88" s="375"/>
      <c r="D88" s="377"/>
      <c r="E88" s="64" t="s">
        <v>31</v>
      </c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379"/>
      <c r="AL88" s="379"/>
      <c r="AM88" s="387"/>
      <c r="AN88" s="367"/>
      <c r="AO88" s="369"/>
      <c r="AP88" s="371"/>
      <c r="AQ88" s="371"/>
      <c r="AR88" s="371"/>
      <c r="AS88" s="381"/>
      <c r="AT88" s="304"/>
      <c r="AV88" s="141"/>
      <c r="AW88" s="141"/>
      <c r="AX88" s="141"/>
      <c r="AY88" s="141"/>
      <c r="AZ88" s="141"/>
      <c r="BA88" s="141"/>
      <c r="BB88" s="141"/>
      <c r="BC88" s="141"/>
      <c r="BD88" s="141"/>
      <c r="BE88" s="141"/>
      <c r="BF88" s="141"/>
      <c r="BG88" s="141"/>
      <c r="BH88" s="141"/>
      <c r="BI88" s="141"/>
      <c r="BJ88" s="141"/>
      <c r="BK88" s="141"/>
      <c r="BL88" s="141"/>
      <c r="BM88" s="141"/>
      <c r="BN88" s="141"/>
      <c r="BO88" s="141"/>
      <c r="BP88" s="141"/>
      <c r="BQ88" s="141"/>
      <c r="BR88" s="141"/>
      <c r="BS88" s="141"/>
      <c r="BT88" s="141"/>
      <c r="BU88" s="141"/>
      <c r="BV88" s="141"/>
      <c r="BW88" s="141"/>
      <c r="BX88" s="141"/>
      <c r="BY88" s="141"/>
      <c r="BZ88" s="141"/>
      <c r="CA88" s="141"/>
      <c r="CB88" s="141"/>
      <c r="CC88" s="141"/>
      <c r="CD88" s="141"/>
      <c r="CE88" s="141"/>
      <c r="CF88" s="141"/>
      <c r="CG88" s="141"/>
      <c r="CH88" s="141"/>
      <c r="CI88" s="141"/>
      <c r="CJ88" s="141"/>
      <c r="CK88" s="141"/>
      <c r="CL88" s="141"/>
      <c r="CM88" s="141"/>
    </row>
    <row r="89" spans="1:91" s="157" customFormat="1" ht="18" customHeight="1">
      <c r="A89" s="372">
        <f>A87+1</f>
        <v>5</v>
      </c>
      <c r="B89" s="372" t="s">
        <v>77</v>
      </c>
      <c r="C89" s="374" t="str">
        <f>VLOOKUP(B89,DS,2,0)</f>
        <v>Nguyễn Văn Bé Tư</v>
      </c>
      <c r="D89" s="376" t="str">
        <f>VLOOKUP(B89,DS,3,0)</f>
        <v>Tài xế</v>
      </c>
      <c r="E89" s="63" t="s">
        <v>32</v>
      </c>
      <c r="F89" s="161"/>
      <c r="G89" s="161"/>
      <c r="H89" s="161"/>
      <c r="I89" s="161"/>
      <c r="J89" s="161"/>
      <c r="K89" s="161">
        <v>8</v>
      </c>
      <c r="L89" s="161">
        <v>8</v>
      </c>
      <c r="M89" s="161">
        <v>8</v>
      </c>
      <c r="N89" s="161">
        <v>8</v>
      </c>
      <c r="O89" s="161">
        <v>8</v>
      </c>
      <c r="P89" s="161">
        <v>8</v>
      </c>
      <c r="Q89" s="161"/>
      <c r="R89" s="161">
        <v>8</v>
      </c>
      <c r="S89" s="161">
        <v>8</v>
      </c>
      <c r="T89" s="161">
        <v>8</v>
      </c>
      <c r="U89" s="161">
        <v>8</v>
      </c>
      <c r="V89" s="161">
        <v>8</v>
      </c>
      <c r="W89" s="161">
        <v>8</v>
      </c>
      <c r="X89" s="161"/>
      <c r="Y89" s="161">
        <v>8</v>
      </c>
      <c r="Z89" s="161">
        <v>8</v>
      </c>
      <c r="AA89" s="161">
        <v>8</v>
      </c>
      <c r="AB89" s="161">
        <v>8</v>
      </c>
      <c r="AC89" s="161">
        <v>8</v>
      </c>
      <c r="AD89" s="161">
        <v>8</v>
      </c>
      <c r="AE89" s="161"/>
      <c r="AF89" s="161">
        <v>8</v>
      </c>
      <c r="AG89" s="161">
        <v>8</v>
      </c>
      <c r="AH89" s="161"/>
      <c r="AI89" s="161"/>
      <c r="AJ89" s="161"/>
      <c r="AK89" s="378">
        <f>((SUM(F89:AJ89))/8)-(SUMIF($F$6:$AJ$6,"C.Nhật",F89:AJ89)/8)</f>
        <v>20</v>
      </c>
      <c r="AL89" s="378">
        <f>SUM(F90:AI90)/8*1.5</f>
        <v>0</v>
      </c>
      <c r="AM89" s="386">
        <f>SUMIF($F$6:$AI$6,"C.Nhật",$F89:$AI90)/8*2</f>
        <v>0</v>
      </c>
      <c r="AN89" s="366">
        <f>SUM(AK89:AM90)</f>
        <v>20</v>
      </c>
      <c r="AO89" s="368">
        <v>0</v>
      </c>
      <c r="AP89" s="370"/>
      <c r="AQ89" s="370"/>
      <c r="AR89" s="370"/>
      <c r="AS89" s="380"/>
      <c r="AT89" s="304"/>
      <c r="AV89" s="141"/>
      <c r="AW89" s="141"/>
      <c r="AX89" s="141"/>
      <c r="AY89" s="141"/>
      <c r="AZ89" s="141"/>
      <c r="BA89" s="141"/>
      <c r="BB89" s="141"/>
      <c r="BC89" s="141"/>
      <c r="BD89" s="141"/>
      <c r="BE89" s="141"/>
      <c r="BF89" s="141"/>
      <c r="BG89" s="141"/>
      <c r="BH89" s="141"/>
      <c r="BI89" s="141"/>
      <c r="BJ89" s="141"/>
      <c r="BK89" s="141"/>
      <c r="BL89" s="141"/>
      <c r="BM89" s="141"/>
      <c r="BN89" s="141"/>
      <c r="BO89" s="141"/>
      <c r="BP89" s="141"/>
      <c r="BQ89" s="141"/>
      <c r="BR89" s="141"/>
      <c r="BS89" s="141"/>
      <c r="BT89" s="141"/>
      <c r="BU89" s="141"/>
      <c r="BV89" s="141"/>
      <c r="BW89" s="141"/>
      <c r="BX89" s="141"/>
      <c r="BY89" s="141"/>
      <c r="BZ89" s="141"/>
      <c r="CA89" s="141"/>
      <c r="CB89" s="141"/>
      <c r="CC89" s="141"/>
      <c r="CD89" s="141"/>
      <c r="CE89" s="141"/>
      <c r="CF89" s="141"/>
      <c r="CG89" s="141"/>
      <c r="CH89" s="141"/>
      <c r="CI89" s="141"/>
      <c r="CJ89" s="141"/>
      <c r="CK89" s="141"/>
      <c r="CL89" s="141"/>
      <c r="CM89" s="141"/>
    </row>
    <row r="90" spans="1:91" s="157" customFormat="1" ht="18" customHeight="1">
      <c r="A90" s="373"/>
      <c r="B90" s="373"/>
      <c r="C90" s="375"/>
      <c r="D90" s="377"/>
      <c r="E90" s="64" t="s">
        <v>31</v>
      </c>
      <c r="F90" s="162"/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  <c r="AD90" s="162"/>
      <c r="AE90" s="162"/>
      <c r="AF90" s="162"/>
      <c r="AG90" s="162"/>
      <c r="AH90" s="162"/>
      <c r="AI90" s="162"/>
      <c r="AJ90" s="162"/>
      <c r="AK90" s="379"/>
      <c r="AL90" s="379"/>
      <c r="AM90" s="387"/>
      <c r="AN90" s="367"/>
      <c r="AO90" s="369"/>
      <c r="AP90" s="371"/>
      <c r="AQ90" s="371"/>
      <c r="AR90" s="371"/>
      <c r="AS90" s="381"/>
      <c r="AT90" s="304"/>
      <c r="AV90" s="141"/>
      <c r="AW90" s="141"/>
      <c r="AX90" s="141"/>
      <c r="AY90" s="141"/>
      <c r="AZ90" s="141"/>
      <c r="BA90" s="141"/>
      <c r="BB90" s="141"/>
      <c r="BC90" s="141"/>
      <c r="BD90" s="141"/>
      <c r="BE90" s="141"/>
      <c r="BF90" s="141"/>
      <c r="BG90" s="141"/>
      <c r="BH90" s="141"/>
      <c r="BI90" s="141"/>
      <c r="BJ90" s="141"/>
      <c r="BK90" s="141"/>
      <c r="BL90" s="141"/>
      <c r="BM90" s="141"/>
      <c r="BN90" s="141"/>
      <c r="BO90" s="141"/>
      <c r="BP90" s="141"/>
      <c r="BQ90" s="141"/>
      <c r="BR90" s="141"/>
      <c r="BS90" s="141"/>
      <c r="BT90" s="141"/>
      <c r="BU90" s="141"/>
      <c r="BV90" s="141"/>
      <c r="BW90" s="141"/>
      <c r="BX90" s="141"/>
      <c r="BY90" s="141"/>
      <c r="BZ90" s="141"/>
      <c r="CA90" s="141"/>
      <c r="CB90" s="141"/>
      <c r="CC90" s="141"/>
      <c r="CD90" s="141"/>
      <c r="CE90" s="141"/>
      <c r="CF90" s="141"/>
      <c r="CG90" s="141"/>
      <c r="CH90" s="141"/>
      <c r="CI90" s="141"/>
      <c r="CJ90" s="141"/>
      <c r="CK90" s="141"/>
      <c r="CL90" s="141"/>
      <c r="CM90" s="141"/>
    </row>
    <row r="91" spans="1:91" s="157" customFormat="1" ht="18" customHeight="1">
      <c r="A91" s="372">
        <f>A89+1</f>
        <v>6</v>
      </c>
      <c r="B91" s="372" t="s">
        <v>78</v>
      </c>
      <c r="C91" s="374" t="str">
        <f>VLOOKUP(B91,DS,2,0)</f>
        <v>Dương Thanh Tuấn</v>
      </c>
      <c r="D91" s="376" t="str">
        <f>VLOOKUP(B91,DS,3,0)</f>
        <v>Nhân sự</v>
      </c>
      <c r="E91" s="63" t="s">
        <v>32</v>
      </c>
      <c r="F91" s="161"/>
      <c r="G91" s="161"/>
      <c r="H91" s="161"/>
      <c r="I91" s="161"/>
      <c r="J91" s="161"/>
      <c r="K91" s="161">
        <v>8</v>
      </c>
      <c r="L91" s="161">
        <v>8</v>
      </c>
      <c r="M91" s="161">
        <v>8</v>
      </c>
      <c r="N91" s="161">
        <v>8</v>
      </c>
      <c r="O91" s="161">
        <v>8</v>
      </c>
      <c r="P91" s="161">
        <v>8</v>
      </c>
      <c r="Q91" s="161"/>
      <c r="R91" s="161">
        <v>8</v>
      </c>
      <c r="S91" s="161">
        <v>8</v>
      </c>
      <c r="T91" s="161">
        <v>8</v>
      </c>
      <c r="U91" s="161">
        <v>8</v>
      </c>
      <c r="V91" s="161">
        <v>8</v>
      </c>
      <c r="W91" s="161">
        <v>8</v>
      </c>
      <c r="X91" s="161"/>
      <c r="Y91" s="161">
        <v>8</v>
      </c>
      <c r="Z91" s="161">
        <v>8</v>
      </c>
      <c r="AA91" s="161">
        <v>8</v>
      </c>
      <c r="AB91" s="161">
        <v>8</v>
      </c>
      <c r="AC91" s="161">
        <v>8</v>
      </c>
      <c r="AD91" s="161">
        <v>8</v>
      </c>
      <c r="AE91" s="161"/>
      <c r="AF91" s="161">
        <v>8</v>
      </c>
      <c r="AG91" s="161">
        <v>8</v>
      </c>
      <c r="AH91" s="161"/>
      <c r="AI91" s="161"/>
      <c r="AJ91" s="161"/>
      <c r="AK91" s="378">
        <f>((SUM(F91:AJ91))/8)-(SUMIF($F$6:$AJ$6,"C.Nhật",F91:AJ91)/8)</f>
        <v>20</v>
      </c>
      <c r="AL91" s="378">
        <f>SUM(F92:AI92)/8*1.5</f>
        <v>0</v>
      </c>
      <c r="AM91" s="386">
        <f>SUMIF($F$6:$AI$6,"C.Nhật",$F91:$AI92)/8*2</f>
        <v>0</v>
      </c>
      <c r="AN91" s="366">
        <f>SUM(AK91:AM92)</f>
        <v>20</v>
      </c>
      <c r="AO91" s="368">
        <v>0</v>
      </c>
      <c r="AP91" s="370"/>
      <c r="AQ91" s="370"/>
      <c r="AR91" s="370"/>
      <c r="AS91" s="380"/>
      <c r="AT91" s="304"/>
      <c r="AV91" s="141"/>
      <c r="AW91" s="141"/>
      <c r="AX91" s="141"/>
      <c r="AY91" s="141"/>
      <c r="AZ91" s="141"/>
      <c r="BA91" s="141"/>
      <c r="BB91" s="141"/>
      <c r="BC91" s="141"/>
      <c r="BD91" s="141"/>
      <c r="BE91" s="141"/>
      <c r="BF91" s="141"/>
      <c r="BG91" s="141"/>
      <c r="BH91" s="141"/>
      <c r="BI91" s="141"/>
      <c r="BJ91" s="141"/>
      <c r="BK91" s="141"/>
      <c r="BL91" s="141"/>
      <c r="BM91" s="141"/>
      <c r="BN91" s="141"/>
      <c r="BO91" s="141"/>
      <c r="BP91" s="141"/>
      <c r="BQ91" s="141"/>
      <c r="BR91" s="141"/>
      <c r="BS91" s="141"/>
      <c r="BT91" s="141"/>
      <c r="BU91" s="141"/>
      <c r="BV91" s="141"/>
      <c r="BW91" s="141"/>
      <c r="BX91" s="141"/>
      <c r="BY91" s="141"/>
      <c r="BZ91" s="141"/>
      <c r="CA91" s="141"/>
      <c r="CB91" s="141"/>
      <c r="CC91" s="141"/>
      <c r="CD91" s="141"/>
      <c r="CE91" s="141"/>
      <c r="CF91" s="141"/>
      <c r="CG91" s="141"/>
      <c r="CH91" s="141"/>
      <c r="CI91" s="141"/>
      <c r="CJ91" s="141"/>
      <c r="CK91" s="141"/>
      <c r="CL91" s="141"/>
      <c r="CM91" s="141"/>
    </row>
    <row r="92" spans="1:91" s="157" customFormat="1" ht="18" customHeight="1">
      <c r="A92" s="373"/>
      <c r="B92" s="373"/>
      <c r="C92" s="375"/>
      <c r="D92" s="377"/>
      <c r="E92" s="64" t="s">
        <v>31</v>
      </c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2"/>
      <c r="AJ92" s="162"/>
      <c r="AK92" s="379"/>
      <c r="AL92" s="379"/>
      <c r="AM92" s="387"/>
      <c r="AN92" s="367"/>
      <c r="AO92" s="369"/>
      <c r="AP92" s="371"/>
      <c r="AQ92" s="371"/>
      <c r="AR92" s="371"/>
      <c r="AS92" s="381"/>
      <c r="AT92" s="304"/>
      <c r="AV92" s="141"/>
      <c r="AW92" s="141"/>
      <c r="AX92" s="141"/>
      <c r="AY92" s="141"/>
      <c r="AZ92" s="141"/>
      <c r="BA92" s="141"/>
      <c r="BB92" s="141"/>
      <c r="BC92" s="141"/>
      <c r="BD92" s="141"/>
      <c r="BE92" s="141"/>
      <c r="BF92" s="141"/>
      <c r="BG92" s="141"/>
      <c r="BH92" s="141"/>
      <c r="BI92" s="141"/>
      <c r="BJ92" s="141"/>
      <c r="BK92" s="141"/>
      <c r="BL92" s="141"/>
      <c r="BM92" s="141"/>
      <c r="BN92" s="141"/>
      <c r="BO92" s="141"/>
      <c r="BP92" s="141"/>
      <c r="BQ92" s="141"/>
      <c r="BR92" s="141"/>
      <c r="BS92" s="141"/>
      <c r="BT92" s="141"/>
      <c r="BU92" s="141"/>
      <c r="BV92" s="141"/>
      <c r="BW92" s="141"/>
      <c r="BX92" s="141"/>
      <c r="BY92" s="141"/>
      <c r="BZ92" s="141"/>
      <c r="CA92" s="141"/>
      <c r="CB92" s="141"/>
      <c r="CC92" s="141"/>
      <c r="CD92" s="141"/>
      <c r="CE92" s="141"/>
      <c r="CF92" s="141"/>
      <c r="CG92" s="141"/>
      <c r="CH92" s="141"/>
      <c r="CI92" s="141"/>
      <c r="CJ92" s="141"/>
      <c r="CK92" s="141"/>
      <c r="CL92" s="141"/>
      <c r="CM92" s="141"/>
    </row>
    <row r="93" spans="1:91" s="157" customFormat="1" ht="18" customHeight="1">
      <c r="A93" s="382">
        <v>7</v>
      </c>
      <c r="B93" s="458" t="s">
        <v>192</v>
      </c>
      <c r="C93" s="384" t="str">
        <f>VLOOKUP(B93,DS,2,0)</f>
        <v>Trần Đình Thái</v>
      </c>
      <c r="D93" s="384" t="str">
        <f t="shared" ref="D93" si="5">VLOOKUP(B93,DS,3,0)</f>
        <v>Cơ Điện</v>
      </c>
      <c r="E93" s="63" t="s">
        <v>32</v>
      </c>
      <c r="F93" s="161"/>
      <c r="G93" s="161"/>
      <c r="H93" s="161"/>
      <c r="I93" s="161"/>
      <c r="J93" s="161"/>
      <c r="K93" s="161">
        <v>8</v>
      </c>
      <c r="L93" s="161">
        <v>8</v>
      </c>
      <c r="M93" s="161">
        <v>8</v>
      </c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378">
        <f>((SUM(F93:AJ93))/8)-(SUMIF($F$6:$AJ$6,"C.Nhật",F93:AJ93)/8)</f>
        <v>3</v>
      </c>
      <c r="AL93" s="378">
        <f>SUM(F94:AI94)/8*1.5</f>
        <v>0</v>
      </c>
      <c r="AM93" s="386">
        <f>SUMIF($F$6:$AI$6,"C.Nhật",$F93:$AI94)/8*2</f>
        <v>0</v>
      </c>
      <c r="AN93" s="366">
        <f>SUM(AK93:AM94)</f>
        <v>3</v>
      </c>
      <c r="AO93" s="368">
        <v>0</v>
      </c>
      <c r="AP93" s="370"/>
      <c r="AQ93" s="370"/>
      <c r="AR93" s="370"/>
      <c r="AS93" s="318"/>
      <c r="AT93" s="304"/>
      <c r="AV93" s="141"/>
      <c r="AW93" s="141"/>
      <c r="AX93" s="141"/>
      <c r="AY93" s="141"/>
      <c r="AZ93" s="141"/>
      <c r="BA93" s="141"/>
      <c r="BB93" s="141"/>
      <c r="BC93" s="141"/>
      <c r="BD93" s="141"/>
      <c r="BE93" s="141"/>
      <c r="BF93" s="141"/>
      <c r="BG93" s="141"/>
      <c r="BH93" s="141"/>
      <c r="BI93" s="141"/>
      <c r="BJ93" s="141"/>
      <c r="BK93" s="141"/>
      <c r="BL93" s="141"/>
      <c r="BM93" s="141"/>
      <c r="BN93" s="141"/>
      <c r="BO93" s="141"/>
      <c r="BP93" s="141"/>
      <c r="BQ93" s="141"/>
      <c r="BR93" s="141"/>
      <c r="BS93" s="141"/>
      <c r="BT93" s="141"/>
      <c r="BU93" s="141"/>
      <c r="BV93" s="141"/>
      <c r="BW93" s="141"/>
      <c r="BX93" s="141"/>
      <c r="BY93" s="141"/>
      <c r="BZ93" s="141"/>
      <c r="CA93" s="141"/>
      <c r="CB93" s="141"/>
      <c r="CC93" s="141"/>
      <c r="CD93" s="141"/>
      <c r="CE93" s="141"/>
      <c r="CF93" s="141"/>
      <c r="CG93" s="141"/>
      <c r="CH93" s="141"/>
      <c r="CI93" s="141"/>
      <c r="CJ93" s="141"/>
      <c r="CK93" s="141"/>
      <c r="CL93" s="141"/>
      <c r="CM93" s="141"/>
    </row>
    <row r="94" spans="1:91" s="157" customFormat="1" ht="18" customHeight="1">
      <c r="A94" s="383"/>
      <c r="B94" s="459"/>
      <c r="C94" s="385"/>
      <c r="D94" s="385"/>
      <c r="E94" s="64" t="s">
        <v>31</v>
      </c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379"/>
      <c r="AL94" s="379"/>
      <c r="AM94" s="387"/>
      <c r="AN94" s="367"/>
      <c r="AO94" s="369"/>
      <c r="AP94" s="371"/>
      <c r="AQ94" s="371"/>
      <c r="AR94" s="371"/>
      <c r="AS94" s="318"/>
      <c r="AT94" s="304"/>
      <c r="AV94" s="141"/>
      <c r="AW94" s="141"/>
      <c r="AX94" s="141"/>
      <c r="AY94" s="141"/>
      <c r="AZ94" s="141"/>
      <c r="BA94" s="141"/>
      <c r="BB94" s="141"/>
      <c r="BC94" s="141"/>
      <c r="BD94" s="141"/>
      <c r="BE94" s="141"/>
      <c r="BF94" s="141"/>
      <c r="BG94" s="141"/>
      <c r="BH94" s="141"/>
      <c r="BI94" s="141"/>
      <c r="BJ94" s="141"/>
      <c r="BK94" s="141"/>
      <c r="BL94" s="141"/>
      <c r="BM94" s="141"/>
      <c r="BN94" s="141"/>
      <c r="BO94" s="141"/>
      <c r="BP94" s="141"/>
      <c r="BQ94" s="141"/>
      <c r="BR94" s="141"/>
      <c r="BS94" s="141"/>
      <c r="BT94" s="141"/>
      <c r="BU94" s="141"/>
      <c r="BV94" s="141"/>
      <c r="BW94" s="141"/>
      <c r="BX94" s="141"/>
      <c r="BY94" s="141"/>
      <c r="BZ94" s="141"/>
      <c r="CA94" s="141"/>
      <c r="CB94" s="141"/>
      <c r="CC94" s="141"/>
      <c r="CD94" s="141"/>
      <c r="CE94" s="141"/>
      <c r="CF94" s="141"/>
      <c r="CG94" s="141"/>
      <c r="CH94" s="141"/>
      <c r="CI94" s="141"/>
      <c r="CJ94" s="141"/>
      <c r="CK94" s="141"/>
      <c r="CL94" s="141"/>
      <c r="CM94" s="141"/>
    </row>
    <row r="95" spans="1:91" s="157" customFormat="1" ht="18" customHeight="1">
      <c r="A95" s="372">
        <v>8</v>
      </c>
      <c r="B95" s="372" t="s">
        <v>81</v>
      </c>
      <c r="C95" s="374" t="str">
        <f>VLOOKUP(B95,DS,2,0)</f>
        <v>Nguyễn Thiện Duyệt</v>
      </c>
      <c r="D95" s="376" t="str">
        <f>VLOOKUP(B95,DS,3,0)</f>
        <v>XNK</v>
      </c>
      <c r="E95" s="63" t="s">
        <v>32</v>
      </c>
      <c r="F95" s="161"/>
      <c r="G95" s="161"/>
      <c r="H95" s="161"/>
      <c r="I95" s="161"/>
      <c r="J95" s="161"/>
      <c r="K95" s="161">
        <v>8</v>
      </c>
      <c r="L95" s="161">
        <v>8</v>
      </c>
      <c r="M95" s="161">
        <v>8</v>
      </c>
      <c r="N95" s="161">
        <v>8</v>
      </c>
      <c r="O95" s="161">
        <v>8</v>
      </c>
      <c r="P95" s="161">
        <v>8</v>
      </c>
      <c r="Q95" s="161"/>
      <c r="R95" s="161">
        <v>8</v>
      </c>
      <c r="S95" s="161">
        <v>8</v>
      </c>
      <c r="T95" s="161">
        <v>8</v>
      </c>
      <c r="U95" s="161">
        <v>8</v>
      </c>
      <c r="V95" s="161">
        <v>8</v>
      </c>
      <c r="W95" s="161">
        <v>8</v>
      </c>
      <c r="X95" s="161"/>
      <c r="Y95" s="161">
        <v>8</v>
      </c>
      <c r="Z95" s="161">
        <v>8</v>
      </c>
      <c r="AA95" s="161">
        <v>8</v>
      </c>
      <c r="AB95" s="161">
        <v>8</v>
      </c>
      <c r="AC95" s="161">
        <v>8</v>
      </c>
      <c r="AD95" s="161">
        <v>8</v>
      </c>
      <c r="AE95" s="161"/>
      <c r="AF95" s="161">
        <v>8</v>
      </c>
      <c r="AG95" s="161">
        <v>8</v>
      </c>
      <c r="AH95" s="161"/>
      <c r="AI95" s="161"/>
      <c r="AJ95" s="161"/>
      <c r="AK95" s="378">
        <f>((SUM(F95:AJ95))/8)-(SUMIF($F$6:$AJ$6,"C.Nhật",F95:AJ95)/8)</f>
        <v>20</v>
      </c>
      <c r="AL95" s="378">
        <f>SUM(F96:AI96)/8*1.5</f>
        <v>0</v>
      </c>
      <c r="AM95" s="386">
        <f>SUMIF($F$6:$AI$6,"C.Nhật",$F95:$AI96)/8*2</f>
        <v>0</v>
      </c>
      <c r="AN95" s="366">
        <f>SUM(AK95:AM96)</f>
        <v>20</v>
      </c>
      <c r="AO95" s="368">
        <v>0</v>
      </c>
      <c r="AP95" s="370"/>
      <c r="AQ95" s="370"/>
      <c r="AR95" s="370"/>
      <c r="AS95" s="380"/>
      <c r="AT95" s="304"/>
      <c r="AV95" s="141"/>
      <c r="AW95" s="141"/>
      <c r="AX95" s="141"/>
      <c r="AY95" s="141"/>
      <c r="AZ95" s="141"/>
      <c r="BA95" s="141"/>
      <c r="BB95" s="141"/>
      <c r="BC95" s="141"/>
      <c r="BD95" s="141"/>
      <c r="BE95" s="141"/>
      <c r="BF95" s="141"/>
      <c r="BG95" s="141"/>
      <c r="BH95" s="141"/>
      <c r="BI95" s="141"/>
      <c r="BJ95" s="141"/>
      <c r="BK95" s="141"/>
      <c r="BL95" s="141"/>
      <c r="BM95" s="141"/>
      <c r="BN95" s="141"/>
      <c r="BO95" s="141"/>
      <c r="BP95" s="141"/>
      <c r="BQ95" s="141"/>
      <c r="BR95" s="141"/>
      <c r="BS95" s="141"/>
      <c r="BT95" s="141"/>
      <c r="BU95" s="141"/>
      <c r="BV95" s="141"/>
      <c r="BW95" s="141"/>
      <c r="BX95" s="141"/>
      <c r="BY95" s="141"/>
      <c r="BZ95" s="141"/>
      <c r="CA95" s="141"/>
      <c r="CB95" s="141"/>
      <c r="CC95" s="141"/>
      <c r="CD95" s="141"/>
      <c r="CE95" s="141"/>
      <c r="CF95" s="141"/>
      <c r="CG95" s="141"/>
      <c r="CH95" s="141"/>
      <c r="CI95" s="141"/>
      <c r="CJ95" s="141"/>
      <c r="CK95" s="141"/>
      <c r="CL95" s="141"/>
      <c r="CM95" s="141"/>
    </row>
    <row r="96" spans="1:91" s="157" customFormat="1" ht="18" customHeight="1">
      <c r="A96" s="373"/>
      <c r="B96" s="373"/>
      <c r="C96" s="375"/>
      <c r="D96" s="377"/>
      <c r="E96" s="64" t="s">
        <v>31</v>
      </c>
      <c r="F96" s="162"/>
      <c r="G96" s="162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379"/>
      <c r="AL96" s="379"/>
      <c r="AM96" s="387"/>
      <c r="AN96" s="367"/>
      <c r="AO96" s="369"/>
      <c r="AP96" s="371"/>
      <c r="AQ96" s="371"/>
      <c r="AR96" s="371"/>
      <c r="AS96" s="381"/>
      <c r="AT96" s="304"/>
      <c r="AV96" s="141"/>
      <c r="AW96" s="141"/>
      <c r="AX96" s="141"/>
      <c r="AY96" s="141"/>
      <c r="AZ96" s="141"/>
      <c r="BA96" s="141"/>
      <c r="BB96" s="141"/>
      <c r="BC96" s="141"/>
      <c r="BD96" s="141"/>
      <c r="BE96" s="141"/>
      <c r="BF96" s="141"/>
      <c r="BG96" s="141"/>
      <c r="BH96" s="141"/>
      <c r="BI96" s="141"/>
      <c r="BJ96" s="141"/>
      <c r="BK96" s="141"/>
      <c r="BL96" s="141"/>
      <c r="BM96" s="141"/>
      <c r="BN96" s="141"/>
      <c r="BO96" s="141"/>
      <c r="BP96" s="141"/>
      <c r="BQ96" s="141"/>
      <c r="BR96" s="141"/>
      <c r="BS96" s="141"/>
      <c r="BT96" s="141"/>
      <c r="BU96" s="141"/>
      <c r="BV96" s="141"/>
      <c r="BW96" s="141"/>
      <c r="BX96" s="141"/>
      <c r="BY96" s="141"/>
      <c r="BZ96" s="141"/>
      <c r="CA96" s="141"/>
      <c r="CB96" s="141"/>
      <c r="CC96" s="141"/>
      <c r="CD96" s="141"/>
      <c r="CE96" s="141"/>
      <c r="CF96" s="141"/>
      <c r="CG96" s="141"/>
      <c r="CH96" s="141"/>
      <c r="CI96" s="141"/>
      <c r="CJ96" s="141"/>
      <c r="CK96" s="141"/>
      <c r="CL96" s="141"/>
      <c r="CM96" s="141"/>
    </row>
    <row r="97" spans="1:46" s="173" customFormat="1" ht="12.75">
      <c r="A97" s="163"/>
      <c r="B97" s="164"/>
      <c r="C97" s="165"/>
      <c r="D97" s="166"/>
      <c r="E97" s="165"/>
      <c r="F97" s="167"/>
      <c r="G97" s="167"/>
      <c r="H97" s="168"/>
      <c r="I97" s="168"/>
      <c r="J97" s="169"/>
      <c r="K97" s="167"/>
      <c r="L97" s="168"/>
      <c r="M97" s="167"/>
      <c r="N97" s="167"/>
      <c r="O97" s="167"/>
      <c r="P97" s="167"/>
      <c r="Q97" s="168"/>
      <c r="R97" s="167"/>
      <c r="S97" s="167"/>
      <c r="T97" s="169"/>
      <c r="U97" s="167"/>
      <c r="V97" s="167"/>
      <c r="W97" s="167"/>
      <c r="X97" s="164"/>
      <c r="Y97" s="167"/>
      <c r="Z97" s="167"/>
      <c r="AA97" s="167"/>
      <c r="AB97" s="167"/>
      <c r="AC97" s="167"/>
      <c r="AD97" s="168"/>
      <c r="AE97" s="167"/>
      <c r="AF97" s="167"/>
      <c r="AG97" s="167"/>
      <c r="AH97" s="167"/>
      <c r="AI97" s="167"/>
      <c r="AJ97" s="167"/>
      <c r="AK97" s="165"/>
      <c r="AL97" s="165"/>
      <c r="AM97" s="170"/>
      <c r="AN97" s="171"/>
      <c r="AO97" s="171"/>
      <c r="AP97" s="171"/>
      <c r="AQ97" s="171"/>
      <c r="AR97" s="171"/>
      <c r="AS97" s="165"/>
      <c r="AT97" s="172"/>
    </row>
    <row r="98" spans="1:46" s="173" customFormat="1" ht="12.75">
      <c r="A98" s="163"/>
      <c r="B98" s="164"/>
      <c r="C98" s="174" t="s">
        <v>14</v>
      </c>
      <c r="D98" s="166"/>
      <c r="E98" s="165"/>
      <c r="F98" s="167"/>
      <c r="G98" s="167"/>
      <c r="H98" s="168"/>
      <c r="I98" s="168"/>
      <c r="J98" s="169"/>
      <c r="K98" s="167"/>
      <c r="L98" s="168"/>
      <c r="M98" s="167"/>
      <c r="N98" s="167"/>
      <c r="O98" s="167"/>
      <c r="P98" s="167"/>
      <c r="Q98" s="168"/>
      <c r="R98" s="167"/>
      <c r="S98" s="167"/>
      <c r="T98" s="169"/>
      <c r="U98" s="167"/>
      <c r="V98" s="167"/>
      <c r="W98" s="167"/>
      <c r="X98" s="164"/>
      <c r="Y98" s="167"/>
      <c r="Z98" s="167"/>
      <c r="AA98" s="167"/>
      <c r="AB98" s="167"/>
      <c r="AC98" s="167"/>
      <c r="AD98" s="168"/>
      <c r="AE98" s="167"/>
      <c r="AF98" s="167"/>
      <c r="AG98" s="167"/>
      <c r="AH98" s="167"/>
      <c r="AI98" s="167"/>
      <c r="AJ98" s="167"/>
      <c r="AK98" s="165"/>
      <c r="AL98" s="165"/>
      <c r="AM98" s="170"/>
      <c r="AN98" s="171"/>
      <c r="AO98" s="171"/>
      <c r="AP98" s="171"/>
      <c r="AQ98" s="171"/>
      <c r="AR98" s="171"/>
      <c r="AS98" s="165"/>
      <c r="AT98" s="172"/>
    </row>
    <row r="99" spans="1:46" s="173" customFormat="1" ht="12.75">
      <c r="A99" s="175"/>
      <c r="B99" s="175"/>
      <c r="C99" s="165"/>
      <c r="D99" s="166"/>
      <c r="E99" s="165"/>
      <c r="F99" s="167"/>
      <c r="G99" s="167"/>
      <c r="H99" s="176"/>
      <c r="I99" s="176"/>
      <c r="J99" s="176"/>
      <c r="K99" s="167"/>
      <c r="L99" s="176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76"/>
      <c r="AE99" s="167"/>
      <c r="AF99" s="167"/>
      <c r="AG99" s="167"/>
      <c r="AH99" s="167"/>
      <c r="AI99" s="167"/>
      <c r="AJ99" s="167"/>
      <c r="AK99" s="165"/>
      <c r="AL99" s="165"/>
      <c r="AM99" s="170"/>
      <c r="AN99" s="177"/>
      <c r="AO99" s="177"/>
      <c r="AP99" s="177"/>
      <c r="AQ99" s="177"/>
      <c r="AR99" s="177"/>
      <c r="AS99" s="165"/>
      <c r="AT99" s="172"/>
    </row>
    <row r="100" spans="1:46" s="178" customFormat="1" ht="15" customHeight="1">
      <c r="A100" s="175"/>
      <c r="B100" s="175"/>
      <c r="C100" s="165"/>
      <c r="D100" s="166"/>
      <c r="E100" s="165"/>
      <c r="F100" s="167"/>
      <c r="G100" s="167"/>
      <c r="H100" s="176"/>
      <c r="I100" s="176"/>
      <c r="J100" s="176"/>
      <c r="K100" s="167"/>
      <c r="L100" s="176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76"/>
      <c r="AE100" s="167"/>
      <c r="AF100" s="167"/>
      <c r="AG100" s="167"/>
      <c r="AH100" s="167"/>
      <c r="AI100" s="167"/>
      <c r="AJ100" s="167"/>
      <c r="AK100" s="165"/>
      <c r="AL100" s="165"/>
      <c r="AM100" s="170"/>
      <c r="AN100" s="177"/>
      <c r="AO100" s="177"/>
      <c r="AP100" s="177"/>
      <c r="AQ100" s="177"/>
      <c r="AR100" s="177"/>
      <c r="AS100" s="165"/>
      <c r="AT100" s="165"/>
    </row>
    <row r="101" spans="1:46" s="178" customFormat="1" ht="11.25">
      <c r="A101" s="175"/>
      <c r="B101" s="175"/>
      <c r="C101" s="165"/>
      <c r="D101" s="166"/>
      <c r="E101" s="165"/>
      <c r="F101" s="167"/>
      <c r="G101" s="167"/>
      <c r="H101" s="176"/>
      <c r="I101" s="176"/>
      <c r="J101" s="176"/>
      <c r="K101" s="167"/>
      <c r="L101" s="176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76"/>
      <c r="AE101" s="167"/>
      <c r="AF101" s="167"/>
      <c r="AG101" s="167"/>
      <c r="AH101" s="167"/>
      <c r="AI101" s="167"/>
      <c r="AJ101" s="167"/>
      <c r="AK101" s="165"/>
      <c r="AL101" s="165"/>
      <c r="AM101" s="170"/>
      <c r="AN101" s="177"/>
      <c r="AO101" s="177"/>
      <c r="AP101" s="177"/>
      <c r="AQ101" s="177"/>
      <c r="AR101" s="177"/>
      <c r="AS101" s="165"/>
      <c r="AT101" s="165"/>
    </row>
    <row r="102" spans="1:46" s="178" customFormat="1" ht="25.5">
      <c r="A102" s="175"/>
      <c r="B102" s="202" t="s">
        <v>192</v>
      </c>
      <c r="C102" s="203" t="str">
        <f t="shared" ref="C102" si="6">VLOOKUP(B102,DS,2,0)</f>
        <v>Trần Đình Thái</v>
      </c>
      <c r="D102" s="204" t="str">
        <f t="shared" ref="D102" si="7">VLOOKUP(B102,DS,3,0)</f>
        <v>Cơ Điện</v>
      </c>
      <c r="E102" s="165"/>
      <c r="F102" s="167"/>
      <c r="G102" s="167"/>
      <c r="H102" s="176"/>
      <c r="I102" s="176"/>
      <c r="J102" s="176"/>
      <c r="K102" s="167"/>
      <c r="L102" s="176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76"/>
      <c r="AE102" s="167"/>
      <c r="AF102" s="167"/>
      <c r="AG102" s="167"/>
      <c r="AH102" s="167"/>
      <c r="AI102" s="167"/>
      <c r="AJ102" s="167"/>
      <c r="AK102" s="165"/>
      <c r="AL102" s="165"/>
      <c r="AM102" s="170"/>
      <c r="AN102" s="177"/>
      <c r="AO102" s="177"/>
      <c r="AP102" s="177"/>
      <c r="AQ102" s="177"/>
      <c r="AR102" s="177"/>
      <c r="AS102" s="165"/>
      <c r="AT102" s="165"/>
    </row>
    <row r="103" spans="1:46" s="178" customFormat="1" ht="11.25">
      <c r="A103" s="174"/>
      <c r="B103" s="174"/>
      <c r="C103" s="163"/>
      <c r="D103" s="179"/>
      <c r="E103" s="180"/>
      <c r="F103" s="169"/>
      <c r="G103" s="181"/>
      <c r="H103" s="168"/>
      <c r="I103" s="168"/>
      <c r="J103" s="168"/>
      <c r="K103" s="181"/>
      <c r="L103" s="168"/>
      <c r="M103" s="181"/>
      <c r="N103" s="181"/>
      <c r="O103" s="181"/>
      <c r="P103" s="181"/>
      <c r="Q103" s="168"/>
      <c r="R103" s="169"/>
      <c r="S103" s="181"/>
      <c r="T103" s="181"/>
      <c r="U103" s="168"/>
      <c r="V103" s="181"/>
      <c r="W103" s="181"/>
      <c r="X103" s="168"/>
      <c r="Y103" s="181"/>
      <c r="Z103" s="181"/>
      <c r="AA103" s="181"/>
      <c r="AB103" s="181"/>
      <c r="AC103" s="181"/>
      <c r="AD103" s="168"/>
      <c r="AE103" s="181"/>
      <c r="AF103" s="181"/>
      <c r="AG103" s="181"/>
      <c r="AH103" s="181"/>
      <c r="AI103" s="181"/>
      <c r="AJ103" s="181"/>
      <c r="AK103" s="180"/>
      <c r="AM103" s="182"/>
      <c r="AN103" s="174"/>
      <c r="AO103" s="174"/>
      <c r="AP103" s="174"/>
      <c r="AQ103" s="174"/>
      <c r="AR103" s="174"/>
      <c r="AS103" s="163"/>
      <c r="AT103" s="165"/>
    </row>
    <row r="104" spans="1:46" s="178" customFormat="1" ht="12.75">
      <c r="A104" s="141"/>
      <c r="B104" s="141" t="s">
        <v>0</v>
      </c>
      <c r="C104" s="141"/>
      <c r="D104" s="183"/>
      <c r="E104" s="141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  <c r="AD104" s="184"/>
      <c r="AE104" s="184"/>
      <c r="AF104" s="184"/>
      <c r="AG104" s="184"/>
      <c r="AH104" s="185"/>
      <c r="AI104" s="185"/>
      <c r="AJ104" s="185"/>
      <c r="AK104" s="141"/>
      <c r="AL104" s="141"/>
      <c r="AM104" s="186"/>
      <c r="AN104" s="141"/>
      <c r="AO104" s="141"/>
      <c r="AP104" s="141"/>
      <c r="AQ104" s="141"/>
      <c r="AR104" s="141"/>
      <c r="AS104" s="141"/>
      <c r="AT104" s="165"/>
    </row>
    <row r="105" spans="1:46" s="178" customFormat="1" ht="12.75">
      <c r="A105" s="141"/>
      <c r="B105" s="141"/>
      <c r="C105" s="141" t="s">
        <v>46</v>
      </c>
      <c r="D105" s="183"/>
      <c r="E105" s="141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  <c r="AD105" s="184"/>
      <c r="AE105" s="184"/>
      <c r="AF105" s="184"/>
      <c r="AG105" s="184"/>
      <c r="AH105" s="185"/>
      <c r="AI105" s="185"/>
      <c r="AJ105" s="185"/>
      <c r="AK105" s="141"/>
      <c r="AL105" s="141"/>
      <c r="AM105" s="186"/>
      <c r="AN105" s="141"/>
      <c r="AO105" s="141"/>
      <c r="AP105" s="141"/>
      <c r="AQ105" s="141"/>
      <c r="AR105" s="141"/>
      <c r="AS105" s="141"/>
      <c r="AT105" s="163"/>
    </row>
    <row r="106" spans="1:46" s="141" customFormat="1" ht="15" customHeight="1">
      <c r="C106" s="141" t="s">
        <v>47</v>
      </c>
      <c r="D106" s="183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  <c r="AC106" s="184"/>
      <c r="AD106" s="184"/>
      <c r="AE106" s="184"/>
      <c r="AF106" s="184"/>
      <c r="AG106" s="184"/>
      <c r="AH106" s="185"/>
      <c r="AI106" s="185"/>
      <c r="AJ106" s="185"/>
      <c r="AM106" s="186"/>
    </row>
    <row r="107" spans="1:46" s="141" customFormat="1" ht="15" customHeight="1">
      <c r="C107" s="141" t="s">
        <v>48</v>
      </c>
      <c r="D107" s="183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  <c r="AA107" s="184"/>
      <c r="AB107" s="184"/>
      <c r="AC107" s="184"/>
      <c r="AD107" s="184"/>
      <c r="AE107" s="184"/>
      <c r="AF107" s="184"/>
      <c r="AG107" s="184"/>
      <c r="AH107" s="185"/>
      <c r="AI107" s="185"/>
      <c r="AJ107" s="185"/>
      <c r="AM107" s="186"/>
    </row>
    <row r="108" spans="1:46" s="141" customFormat="1" ht="15" customHeight="1">
      <c r="C108" s="141" t="s">
        <v>49</v>
      </c>
      <c r="D108" s="183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184"/>
      <c r="AC108" s="184"/>
      <c r="AD108" s="184"/>
      <c r="AE108" s="184"/>
      <c r="AF108" s="184"/>
      <c r="AG108" s="184"/>
      <c r="AH108" s="185"/>
      <c r="AI108" s="185"/>
      <c r="AJ108" s="185"/>
      <c r="AM108" s="186"/>
    </row>
    <row r="109" spans="1:46" s="141" customFormat="1" ht="15" customHeight="1">
      <c r="C109" s="141" t="s">
        <v>50</v>
      </c>
      <c r="D109" s="183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84"/>
      <c r="AD109" s="184"/>
      <c r="AE109" s="184"/>
      <c r="AF109" s="184"/>
      <c r="AG109" s="184"/>
      <c r="AH109" s="185"/>
      <c r="AI109" s="185"/>
      <c r="AJ109" s="185"/>
      <c r="AM109" s="186"/>
    </row>
    <row r="110" spans="1:46" s="141" customFormat="1" ht="15" customHeight="1">
      <c r="C110" s="141" t="s">
        <v>51</v>
      </c>
      <c r="D110" s="183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84"/>
      <c r="AD110" s="184"/>
      <c r="AE110" s="184"/>
      <c r="AF110" s="184"/>
      <c r="AG110" s="184"/>
      <c r="AH110" s="185"/>
      <c r="AI110" s="185"/>
      <c r="AJ110" s="185"/>
      <c r="AM110" s="186"/>
    </row>
    <row r="111" spans="1:46" s="141" customFormat="1" ht="15" customHeight="1">
      <c r="C111" s="141" t="s">
        <v>52</v>
      </c>
      <c r="D111" s="183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  <c r="AD111" s="184"/>
      <c r="AE111" s="184"/>
      <c r="AF111" s="184"/>
      <c r="AG111" s="184"/>
      <c r="AH111" s="185"/>
      <c r="AI111" s="185"/>
      <c r="AJ111" s="185"/>
      <c r="AM111" s="186"/>
    </row>
    <row r="112" spans="1:46" s="141" customFormat="1" ht="15" customHeight="1">
      <c r="C112" s="141" t="s">
        <v>53</v>
      </c>
      <c r="D112" s="183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  <c r="AA112" s="184"/>
      <c r="AB112" s="184"/>
      <c r="AC112" s="184"/>
      <c r="AD112" s="184"/>
      <c r="AE112" s="184"/>
      <c r="AF112" s="184"/>
      <c r="AG112" s="184"/>
      <c r="AH112" s="185"/>
      <c r="AI112" s="185"/>
      <c r="AJ112" s="185"/>
      <c r="AM112" s="186"/>
    </row>
    <row r="113" spans="3:39" s="141" customFormat="1" ht="15" customHeight="1">
      <c r="C113" s="141" t="s">
        <v>54</v>
      </c>
      <c r="D113" s="183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  <c r="AD113" s="184"/>
      <c r="AE113" s="184"/>
      <c r="AF113" s="184"/>
      <c r="AG113" s="184"/>
      <c r="AH113" s="185"/>
      <c r="AI113" s="185"/>
      <c r="AJ113" s="185"/>
      <c r="AM113" s="186"/>
    </row>
    <row r="127" spans="3:39" ht="12.75"/>
    <row r="128" spans="3:39" ht="12.75"/>
    <row r="129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:J52 Q47:Q48" name="Range1_1_1_1_2"/>
    <protectedRange password="CC78" sqref="J53" name="Range1_3_1_1_2"/>
    <protectedRange password="CC78" sqref="A74:A76" name="Range1_2_1_1_1"/>
    <protectedRange password="CC78" sqref="A81:A92 B94 A95:A96" name="Range1_1_1_2"/>
    <protectedRange password="CC78" sqref="A81:A92 B94 D93:D94 C81:D92 C95:D96 A95:A96 E81:E96" name="Range1_6_1_1"/>
    <protectedRange password="CC78" sqref="B81:B92 C94 B95:B96" name="Range1_4_1_1"/>
    <protectedRange password="CC78" sqref="J99:J102 Q97:Q98" name="Range1_1_1_1_1_1"/>
    <protectedRange password="CC78" sqref="J103" name="Range1_3_1_1_1_1"/>
    <protectedRange password="CC78" sqref="A14:A35 A37:A46" name="Range1_1_2_1"/>
    <protectedRange password="CC78" sqref="A14:A35 C14:E35 C37:E46 A37:A46" name="Range1_6_2_1"/>
    <protectedRange password="CC78" sqref="B14:B35 B37:B38 B41:B46" name="Range1_4_2_1"/>
    <protectedRange password="CC78" sqref="B39:B40" name="Range1_4_2_2"/>
    <protectedRange password="CC78" sqref="B102 B93" name="Range1"/>
    <protectedRange password="CC78" sqref="B102 B93" name="Range1_3"/>
  </protectedRanges>
  <mergeCells count="36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S34:AS35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Q41:AQ42"/>
    <mergeCell ref="AR41:AR42"/>
    <mergeCell ref="A41:A42"/>
    <mergeCell ref="AP34:AP35"/>
    <mergeCell ref="AQ34:AQ35"/>
    <mergeCell ref="AR34:AR35"/>
    <mergeCell ref="AN41:AN42"/>
    <mergeCell ref="AO41:AO42"/>
    <mergeCell ref="AP41:AP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P39:AP40"/>
    <mergeCell ref="AQ39:AQ40"/>
    <mergeCell ref="AR39:AR40"/>
    <mergeCell ref="AS39:AS40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45:AP46"/>
    <mergeCell ref="AQ45:AQ46"/>
    <mergeCell ref="AR45:AR46"/>
    <mergeCell ref="AS45:AS46"/>
    <mergeCell ref="AS41:AS4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P43:AP44"/>
    <mergeCell ref="AQ43:AQ44"/>
    <mergeCell ref="AR43:AR44"/>
    <mergeCell ref="AS43:AS44"/>
    <mergeCell ref="B41:B42"/>
    <mergeCell ref="C41:C42"/>
    <mergeCell ref="D41:D42"/>
    <mergeCell ref="AK41:AK42"/>
    <mergeCell ref="AL41:AL42"/>
    <mergeCell ref="AM41:AM42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R83:AR84"/>
    <mergeCell ref="AS83:AS84"/>
    <mergeCell ref="AM74:AS74"/>
    <mergeCell ref="A78:A79"/>
    <mergeCell ref="B78:B79"/>
    <mergeCell ref="C78:C79"/>
    <mergeCell ref="D78:D79"/>
    <mergeCell ref="E78:E79"/>
    <mergeCell ref="AK78:AM78"/>
    <mergeCell ref="AN78:AN79"/>
    <mergeCell ref="AO78:AO79"/>
    <mergeCell ref="AP78:AP79"/>
    <mergeCell ref="AQ78:AQ79"/>
    <mergeCell ref="AR78:AR79"/>
    <mergeCell ref="AS78:AS79"/>
    <mergeCell ref="AT78:AT79"/>
    <mergeCell ref="A81:A82"/>
    <mergeCell ref="B81:B82"/>
    <mergeCell ref="C81:C82"/>
    <mergeCell ref="D81:D82"/>
    <mergeCell ref="AK81:AK82"/>
    <mergeCell ref="AL81:AL82"/>
    <mergeCell ref="AM81:AM82"/>
    <mergeCell ref="AN81:AN82"/>
    <mergeCell ref="AO81:AO82"/>
    <mergeCell ref="AP81:AP82"/>
    <mergeCell ref="AQ81:AQ82"/>
    <mergeCell ref="AR81:AR82"/>
    <mergeCell ref="AS81:AS82"/>
    <mergeCell ref="AP85:AP86"/>
    <mergeCell ref="AQ85:AQ86"/>
    <mergeCell ref="AR85:AR86"/>
    <mergeCell ref="AS85:AS86"/>
    <mergeCell ref="A83:A84"/>
    <mergeCell ref="B83:B84"/>
    <mergeCell ref="C83:C84"/>
    <mergeCell ref="D83:D84"/>
    <mergeCell ref="AK83:AK84"/>
    <mergeCell ref="AL83:AL84"/>
    <mergeCell ref="AM83:AM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O85:AO86"/>
    <mergeCell ref="AN83:AN84"/>
    <mergeCell ref="AO83:AO84"/>
    <mergeCell ref="AP83:AP84"/>
    <mergeCell ref="AQ83:AQ84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O87:AO88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O89:AO90"/>
    <mergeCell ref="AK91:AK92"/>
    <mergeCell ref="AL91:AL92"/>
    <mergeCell ref="AM91:AM92"/>
    <mergeCell ref="AN91:AN92"/>
    <mergeCell ref="AO91:AO92"/>
    <mergeCell ref="AP87:AP88"/>
    <mergeCell ref="AQ87:AQ88"/>
    <mergeCell ref="AR87:AR88"/>
    <mergeCell ref="AS87:AS88"/>
    <mergeCell ref="AP89:AP90"/>
    <mergeCell ref="AQ89:AQ90"/>
    <mergeCell ref="AR89:AR90"/>
    <mergeCell ref="AS89:AS90"/>
    <mergeCell ref="AP93:AP94"/>
    <mergeCell ref="AQ93:AQ94"/>
    <mergeCell ref="AR93:AR94"/>
    <mergeCell ref="AP91:AP92"/>
    <mergeCell ref="AQ91:AQ92"/>
    <mergeCell ref="AR91:AR92"/>
    <mergeCell ref="AS91:AS92"/>
    <mergeCell ref="A95:A96"/>
    <mergeCell ref="B95:B96"/>
    <mergeCell ref="C95:C96"/>
    <mergeCell ref="D95:D96"/>
    <mergeCell ref="AK95:AK96"/>
    <mergeCell ref="AL95:AL96"/>
    <mergeCell ref="AM95:AM96"/>
    <mergeCell ref="AN95:AN96"/>
    <mergeCell ref="AO95:AO96"/>
    <mergeCell ref="AP95:AP96"/>
    <mergeCell ref="AQ95:AQ96"/>
    <mergeCell ref="AR95:AR96"/>
    <mergeCell ref="AS95:AS96"/>
    <mergeCell ref="A91:A92"/>
    <mergeCell ref="B91:B92"/>
    <mergeCell ref="C91:C92"/>
    <mergeCell ref="D91:D92"/>
    <mergeCell ref="B93:B94"/>
    <mergeCell ref="C93:C94"/>
    <mergeCell ref="A93:A94"/>
    <mergeCell ref="D93:D94"/>
    <mergeCell ref="AK93:AK94"/>
    <mergeCell ref="AL93:AL94"/>
    <mergeCell ref="AM93:AM94"/>
    <mergeCell ref="AN93:AN94"/>
    <mergeCell ref="AO93:AO94"/>
  </mergeCells>
  <conditionalFormatting sqref="F104:AJ105 F5:AJ6 F53:AJ72 F107:AJ120 F9:AJ12 F14:AJ51">
    <cfRule type="expression" dxfId="16" priority="21" stopIfTrue="1">
      <formula>IF(WEEKDAY(F$5)=1,TRUE,FALSE)</formula>
    </cfRule>
  </conditionalFormatting>
  <conditionalFormatting sqref="F5:AJ6 F78:AJ79 F9:AJ12 F14:AJ35 F81:AJ96">
    <cfRule type="expression" dxfId="15" priority="16" stopIfTrue="1">
      <formula>IF(WEEKDAY(F$5)=1,TRUE,FALSE)</formula>
    </cfRule>
  </conditionalFormatting>
  <conditionalFormatting sqref="K37:P37">
    <cfRule type="expression" dxfId="14" priority="15" stopIfTrue="1">
      <formula>IF(WEEKDAY(K$5)=1,TRUE,FALSE)</formula>
    </cfRule>
  </conditionalFormatting>
  <conditionalFormatting sqref="K39:P39">
    <cfRule type="expression" dxfId="13" priority="14" stopIfTrue="1">
      <formula>IF(WEEKDAY(K$5)=1,TRUE,FALSE)</formula>
    </cfRule>
  </conditionalFormatting>
  <conditionalFormatting sqref="K41:P41">
    <cfRule type="expression" dxfId="12" priority="13" stopIfTrue="1">
      <formula>IF(WEEKDAY(K$5)=1,TRUE,FALSE)</formula>
    </cfRule>
  </conditionalFormatting>
  <conditionalFormatting sqref="K43:P43">
    <cfRule type="expression" dxfId="11" priority="12" stopIfTrue="1">
      <formula>IF(WEEKDAY(K$5)=1,TRUE,FALSE)</formula>
    </cfRule>
  </conditionalFormatting>
  <conditionalFormatting sqref="K45:P45">
    <cfRule type="expression" dxfId="10" priority="11" stopIfTrue="1">
      <formula>IF(WEEKDAY(K$5)=1,TRUE,FALSE)</formula>
    </cfRule>
  </conditionalFormatting>
  <conditionalFormatting sqref="R45:W45">
    <cfRule type="expression" dxfId="9" priority="10" stopIfTrue="1">
      <formula>IF(WEEKDAY(R$5)=1,TRUE,FALSE)</formula>
    </cfRule>
  </conditionalFormatting>
  <conditionalFormatting sqref="R43:W43">
    <cfRule type="expression" dxfId="8" priority="9" stopIfTrue="1">
      <formula>IF(WEEKDAY(R$5)=1,TRUE,FALSE)</formula>
    </cfRule>
  </conditionalFormatting>
  <conditionalFormatting sqref="R41:W41">
    <cfRule type="expression" dxfId="7" priority="8" stopIfTrue="1">
      <formula>IF(WEEKDAY(R$5)=1,TRUE,FALSE)</formula>
    </cfRule>
  </conditionalFormatting>
  <conditionalFormatting sqref="R39:W39">
    <cfRule type="expression" dxfId="6" priority="7" stopIfTrue="1">
      <formula>IF(WEEKDAY(R$5)=1,TRUE,FALSE)</formula>
    </cfRule>
  </conditionalFormatting>
  <conditionalFormatting sqref="R37:W37">
    <cfRule type="expression" dxfId="5" priority="6" stopIfTrue="1">
      <formula>IF(WEEKDAY(R$5)=1,TRUE,FALSE)</formula>
    </cfRule>
  </conditionalFormatting>
  <conditionalFormatting sqref="Y37:AD37">
    <cfRule type="expression" dxfId="4" priority="5" stopIfTrue="1">
      <formula>IF(WEEKDAY(Y$5)=1,TRUE,FALSE)</formula>
    </cfRule>
  </conditionalFormatting>
  <conditionalFormatting sqref="Y39:AD39">
    <cfRule type="expression" dxfId="3" priority="4" stopIfTrue="1">
      <formula>IF(WEEKDAY(Y$5)=1,TRUE,FALSE)</formula>
    </cfRule>
  </conditionalFormatting>
  <conditionalFormatting sqref="Y41:AD41">
    <cfRule type="expression" dxfId="2" priority="3" stopIfTrue="1">
      <formula>IF(WEEKDAY(Y$5)=1,TRUE,FALSE)</formula>
    </cfRule>
  </conditionalFormatting>
  <conditionalFormatting sqref="Y43:AD43">
    <cfRule type="expression" dxfId="1" priority="2" stopIfTrue="1">
      <formula>IF(WEEKDAY(Y$5)=1,TRUE,FALSE)</formula>
    </cfRule>
  </conditionalFormatting>
  <conditionalFormatting sqref="Y45:AD45">
    <cfRule type="expression" dxfId="0" priority="1" stopIfTrue="1">
      <formula>IF(WEEKDAY(Y$5)=1,TRUE,FALSE)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tabSelected="1" zoomScaleNormal="70" workbookViewId="0">
      <pane xSplit="3" ySplit="8" topLeftCell="D9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C1" sqref="C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5.42578125" style="16" bestFit="1" customWidth="1"/>
    <col min="6" max="6" width="6.425781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6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1"/>
      <c r="B1" s="275"/>
      <c r="C1" s="275"/>
      <c r="D1" s="449" t="str">
        <f>"BẢNG THANH TOÁN LƯƠNG THÁNG"&amp;" "&amp;TEXT($E$4,"mm")&amp;" / "&amp;TEXT($E$4,"yyyy")</f>
        <v>BẢNG THANH TOÁN LƯƠNG THÁNG 02 / 2017</v>
      </c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50"/>
      <c r="R1" s="451" t="s">
        <v>179</v>
      </c>
      <c r="S1" s="452"/>
      <c r="T1" s="453"/>
      <c r="U1" s="122" t="s">
        <v>58</v>
      </c>
      <c r="V1" s="105" t="s">
        <v>37</v>
      </c>
      <c r="W1" s="78"/>
      <c r="X1" s="78"/>
      <c r="Y1" s="5"/>
      <c r="Z1" s="5"/>
    </row>
    <row r="2" spans="1:31" s="4" customFormat="1" ht="15" customHeight="1">
      <c r="A2" s="131" t="str">
        <f>TH!$A$1</f>
        <v>Công ty TNHH Hải sản An Lạc</v>
      </c>
      <c r="B2" s="275"/>
      <c r="C2" s="275"/>
      <c r="D2" s="275"/>
      <c r="E2" s="76"/>
      <c r="F2" s="275"/>
      <c r="G2" s="275"/>
      <c r="H2" s="275"/>
      <c r="I2" s="275"/>
      <c r="J2" s="77"/>
      <c r="K2" s="275"/>
      <c r="L2" s="275"/>
      <c r="M2" s="275"/>
      <c r="N2" s="275"/>
      <c r="O2" s="275"/>
      <c r="P2" s="275"/>
      <c r="Q2" s="275"/>
      <c r="R2" s="275"/>
      <c r="S2" s="275"/>
      <c r="T2" s="55"/>
      <c r="U2" s="75">
        <v>21</v>
      </c>
      <c r="V2" s="106">
        <v>29</v>
      </c>
      <c r="W2" s="78"/>
      <c r="X2" s="78"/>
      <c r="Y2" s="5"/>
      <c r="Z2" s="5"/>
    </row>
    <row r="3" spans="1:31" s="4" customFormat="1" ht="15" customHeight="1">
      <c r="A3" s="131" t="str">
        <f>TH!$A$2</f>
        <v>Địa chỉ: Lô A14, đường 4A, KCN Hải Sơn, Đức Hòa, Long An</v>
      </c>
      <c r="B3" s="275"/>
      <c r="C3" s="275"/>
      <c r="D3" s="275"/>
      <c r="E3" s="76"/>
      <c r="F3" s="275"/>
      <c r="G3" s="275"/>
      <c r="H3" s="275"/>
      <c r="I3" s="275"/>
      <c r="J3" s="77"/>
      <c r="K3" s="275"/>
      <c r="L3" s="275"/>
      <c r="M3" s="275"/>
      <c r="N3" s="275"/>
      <c r="O3" s="275"/>
      <c r="P3" s="275"/>
      <c r="Q3" s="275"/>
      <c r="R3" s="275"/>
      <c r="S3" s="275"/>
      <c r="T3" s="55"/>
      <c r="U3" s="123"/>
      <c r="V3" s="124"/>
      <c r="W3" s="78"/>
      <c r="X3" s="78"/>
      <c r="Y3" s="5"/>
      <c r="Z3" s="5"/>
    </row>
    <row r="4" spans="1:31" s="100" customFormat="1" ht="14.25" customHeight="1">
      <c r="A4" s="98"/>
      <c r="B4" s="99"/>
      <c r="C4" s="99"/>
      <c r="D4" s="99"/>
      <c r="E4" s="294">
        <f>'CC - 02'!$E$4</f>
        <v>42767</v>
      </c>
      <c r="F4" s="99"/>
      <c r="G4" s="99"/>
      <c r="H4" s="99"/>
      <c r="I4" s="99"/>
      <c r="J4" s="99"/>
      <c r="K4" s="99"/>
      <c r="L4" s="99"/>
      <c r="M4" s="99"/>
      <c r="N4" s="263">
        <v>0.08</v>
      </c>
      <c r="O4" s="263">
        <v>1.4999999999999999E-2</v>
      </c>
      <c r="P4" s="263">
        <v>0.01</v>
      </c>
      <c r="Q4" s="99"/>
      <c r="R4" s="99"/>
      <c r="S4" s="99"/>
      <c r="T4" s="99"/>
      <c r="U4" s="99"/>
      <c r="V4" s="101"/>
      <c r="W4" s="101"/>
      <c r="X4" s="101"/>
      <c r="Y4" s="101"/>
      <c r="Z4" s="101"/>
    </row>
    <row r="5" spans="1:31" s="27" customFormat="1" ht="24" customHeight="1">
      <c r="A5" s="454" t="s">
        <v>19</v>
      </c>
      <c r="B5" s="454" t="s">
        <v>20</v>
      </c>
      <c r="C5" s="359" t="s">
        <v>1</v>
      </c>
      <c r="D5" s="359" t="s">
        <v>2</v>
      </c>
      <c r="E5" s="362" t="s">
        <v>56</v>
      </c>
      <c r="F5" s="426" t="s">
        <v>26</v>
      </c>
      <c r="G5" s="427"/>
      <c r="H5" s="427"/>
      <c r="I5" s="427"/>
      <c r="J5" s="427"/>
      <c r="K5" s="443"/>
      <c r="L5" s="433" t="s">
        <v>57</v>
      </c>
      <c r="M5" s="433" t="s">
        <v>5</v>
      </c>
      <c r="N5" s="359" t="s">
        <v>6</v>
      </c>
      <c r="O5" s="359"/>
      <c r="P5" s="359"/>
      <c r="Q5" s="433" t="s">
        <v>7</v>
      </c>
      <c r="R5" s="433" t="s">
        <v>8</v>
      </c>
      <c r="S5" s="433" t="s">
        <v>9</v>
      </c>
      <c r="T5" s="360" t="s">
        <v>10</v>
      </c>
      <c r="U5" s="99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55"/>
      <c r="B6" s="455"/>
      <c r="C6" s="359"/>
      <c r="D6" s="359"/>
      <c r="E6" s="362"/>
      <c r="F6" s="426" t="s">
        <v>59</v>
      </c>
      <c r="G6" s="443"/>
      <c r="H6" s="426" t="s">
        <v>189</v>
      </c>
      <c r="I6" s="427"/>
      <c r="J6" s="444" t="s">
        <v>27</v>
      </c>
      <c r="K6" s="433" t="s">
        <v>4</v>
      </c>
      <c r="L6" s="434"/>
      <c r="M6" s="434"/>
      <c r="N6" s="456" t="s">
        <v>12</v>
      </c>
      <c r="O6" s="433" t="s">
        <v>13</v>
      </c>
      <c r="P6" s="433" t="s">
        <v>34</v>
      </c>
      <c r="Q6" s="434"/>
      <c r="R6" s="434"/>
      <c r="S6" s="434"/>
      <c r="T6" s="361"/>
      <c r="U6" s="99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55"/>
      <c r="B7" s="455"/>
      <c r="C7" s="433"/>
      <c r="D7" s="433"/>
      <c r="E7" s="362"/>
      <c r="F7" s="274" t="s">
        <v>40</v>
      </c>
      <c r="G7" s="273" t="s">
        <v>18</v>
      </c>
      <c r="H7" s="274" t="s">
        <v>40</v>
      </c>
      <c r="I7" s="278" t="s">
        <v>18</v>
      </c>
      <c r="J7" s="445"/>
      <c r="K7" s="434"/>
      <c r="L7" s="435"/>
      <c r="M7" s="435"/>
      <c r="N7" s="457"/>
      <c r="O7" s="434"/>
      <c r="P7" s="434"/>
      <c r="Q7" s="434"/>
      <c r="R7" s="434"/>
      <c r="S7" s="434"/>
      <c r="T7" s="361"/>
      <c r="U7" s="99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0" customFormat="1" ht="12.75" customHeight="1">
      <c r="A8" s="79">
        <v>1</v>
      </c>
      <c r="B8" s="79">
        <v>2</v>
      </c>
      <c r="C8" s="79">
        <v>3</v>
      </c>
      <c r="D8" s="79">
        <v>4</v>
      </c>
      <c r="E8" s="79">
        <v>5</v>
      </c>
      <c r="F8" s="79">
        <v>7</v>
      </c>
      <c r="G8" s="79">
        <v>8</v>
      </c>
      <c r="H8" s="79">
        <v>9</v>
      </c>
      <c r="I8" s="79">
        <v>10</v>
      </c>
      <c r="J8" s="79">
        <v>13</v>
      </c>
      <c r="K8" s="79">
        <v>14</v>
      </c>
      <c r="L8" s="79">
        <v>16</v>
      </c>
      <c r="M8" s="79">
        <v>17</v>
      </c>
      <c r="N8" s="79">
        <v>18</v>
      </c>
      <c r="O8" s="79">
        <v>19</v>
      </c>
      <c r="P8" s="79">
        <v>20</v>
      </c>
      <c r="Q8" s="79">
        <v>21</v>
      </c>
      <c r="R8" s="79">
        <v>22</v>
      </c>
      <c r="S8" s="79">
        <v>23</v>
      </c>
      <c r="T8" s="79">
        <v>24</v>
      </c>
      <c r="U8" s="99"/>
      <c r="V8" s="81"/>
      <c r="W8" s="81"/>
      <c r="X8" s="82"/>
      <c r="Y8" s="82"/>
      <c r="Z8" s="82"/>
      <c r="AA8" s="83"/>
      <c r="AB8" s="83"/>
      <c r="AC8" s="83"/>
      <c r="AD8" s="83"/>
      <c r="AE8" s="83"/>
    </row>
    <row r="9" spans="1:31" s="80" customFormat="1" ht="24" customHeight="1">
      <c r="A9" s="293" t="s">
        <v>183</v>
      </c>
      <c r="B9" s="292" t="s">
        <v>184</v>
      </c>
      <c r="C9" s="291"/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99"/>
      <c r="V9" s="81"/>
      <c r="W9" s="81"/>
      <c r="X9" s="82"/>
      <c r="Y9" s="82"/>
      <c r="Z9" s="82"/>
      <c r="AA9" s="83"/>
      <c r="AB9" s="83"/>
      <c r="AC9" s="83"/>
      <c r="AD9" s="83"/>
      <c r="AE9" s="83"/>
    </row>
    <row r="10" spans="1:31" s="34" customFormat="1" ht="24" customHeight="1">
      <c r="A10" s="36">
        <v>1</v>
      </c>
      <c r="B10" s="133" t="s">
        <v>61</v>
      </c>
      <c r="C10" s="84" t="str">
        <f>VLOOKUP(B10,DS,2,0)</f>
        <v>Mai Út Hiền</v>
      </c>
      <c r="D10" s="109" t="str">
        <f>VLOOKUP(B10,DS,3,0)</f>
        <v>Cơ Điện</v>
      </c>
      <c r="E10" s="85">
        <f>VLOOKUP(B10,DS,4,0)</f>
        <v>4336000</v>
      </c>
      <c r="F10" s="87">
        <f>VLOOKUP(B10,'CC - 02'!$B$8:$AS$72,36,0)</f>
        <v>20</v>
      </c>
      <c r="G10" s="206">
        <f>ROUND(E10/$U$2*F10,0)</f>
        <v>4129524</v>
      </c>
      <c r="H10" s="87">
        <f>(VLOOKUP(B10,'CC - 02'!$B$8:$AS$72,37,0)+VLOOKUP(B10,'CC - 02'!$B$8:$AS$72,38,0))</f>
        <v>0</v>
      </c>
      <c r="I10" s="206">
        <f>ROUND(E10/$U$2*H10,0)</f>
        <v>0</v>
      </c>
      <c r="J10" s="88">
        <f>F10+H10</f>
        <v>20</v>
      </c>
      <c r="K10" s="37">
        <f>G10+I10</f>
        <v>4129524</v>
      </c>
      <c r="L10" s="85">
        <f>+F10*15000</f>
        <v>300000</v>
      </c>
      <c r="M10" s="38">
        <f>K10+L10</f>
        <v>4429524</v>
      </c>
      <c r="N10" s="38">
        <f>IF(VLOOKUP(B10,DS,10,0)="x",E10*$N$4,0)</f>
        <v>346880</v>
      </c>
      <c r="O10" s="38">
        <f>IF(VLOOKUP(B10,DS,10,0)="x",E10*$O$4,0)</f>
        <v>65040</v>
      </c>
      <c r="P10" s="38">
        <f>IF(VLOOKUP(B10,DS,10,0)="x",E10*$P$4,0)</f>
        <v>43360</v>
      </c>
      <c r="Q10" s="37">
        <f>M10-SUM(N10:P10)</f>
        <v>3974244</v>
      </c>
      <c r="R10" s="37">
        <f>VLOOKUP(B10,DS,23,0)</f>
        <v>0</v>
      </c>
      <c r="S10" s="43">
        <f>Q10-R10</f>
        <v>3974244</v>
      </c>
      <c r="T10" s="37"/>
      <c r="U10" s="99"/>
      <c r="V10" s="35"/>
      <c r="W10" s="28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3" t="s">
        <v>62</v>
      </c>
      <c r="C11" s="84" t="str">
        <f>VLOOKUP(B11,DS,2,0)</f>
        <v>Nguyễn Thị Xuân Thảo</v>
      </c>
      <c r="D11" s="109" t="str">
        <f>VLOOKUP(B11,DS,3,0)</f>
        <v>KCS</v>
      </c>
      <c r="E11" s="85">
        <f>VLOOKUP(B11,DS,4,0)</f>
        <v>4056000</v>
      </c>
      <c r="F11" s="87">
        <f>VLOOKUP(B11,'CC - 02'!$B$8:$AS$72,36,0)</f>
        <v>20</v>
      </c>
      <c r="G11" s="206">
        <f>ROUND(E11/$U$2*F11,0)</f>
        <v>3862857</v>
      </c>
      <c r="H11" s="87">
        <f>(VLOOKUP(B11,'CC - 02'!$B$8:$AS$72,37,0)+VLOOKUP(B11,'CC - 02'!$B$8:$AS$72,38,0))</f>
        <v>0</v>
      </c>
      <c r="I11" s="206">
        <f>ROUND(E11/$U$2*H11,0)</f>
        <v>0</v>
      </c>
      <c r="J11" s="88">
        <f>F11+H11</f>
        <v>20</v>
      </c>
      <c r="K11" s="37">
        <f>G11+I11</f>
        <v>3862857</v>
      </c>
      <c r="L11" s="85">
        <f>+F11*15000</f>
        <v>300000</v>
      </c>
      <c r="M11" s="38">
        <f>K11+L11</f>
        <v>4162857</v>
      </c>
      <c r="N11" s="38">
        <f>IF(VLOOKUP(B11,DS,10,0)="x",E11*$N$4,0)</f>
        <v>324480</v>
      </c>
      <c r="O11" s="38">
        <f>IF(VLOOKUP(B11,DS,10,0)="x",E11*$O$4,0)</f>
        <v>60840</v>
      </c>
      <c r="P11" s="38">
        <f>IF(VLOOKUP(B11,DS,10,0)="x",E11*$P$4,0)</f>
        <v>40560</v>
      </c>
      <c r="Q11" s="37">
        <f>M11-SUM(N11:P11)</f>
        <v>3736977</v>
      </c>
      <c r="R11" s="37">
        <f>VLOOKUP(B11,DS,23,0)</f>
        <v>0</v>
      </c>
      <c r="S11" s="43">
        <f>Q11-R11</f>
        <v>3736977</v>
      </c>
      <c r="T11" s="37"/>
      <c r="U11" s="99"/>
      <c r="V11" s="35"/>
      <c r="W11" s="28"/>
      <c r="X11" s="5"/>
      <c r="Y11" s="5"/>
      <c r="Z11" s="5"/>
      <c r="AA11" s="4"/>
      <c r="AB11" s="4"/>
      <c r="AC11" s="4"/>
      <c r="AD11" s="4"/>
      <c r="AE11" s="4"/>
    </row>
    <row r="12" spans="1:31" s="80" customFormat="1" ht="24" customHeight="1">
      <c r="A12" s="293" t="s">
        <v>185</v>
      </c>
      <c r="B12" s="292" t="s">
        <v>186</v>
      </c>
      <c r="C12" s="291"/>
      <c r="D12" s="291"/>
      <c r="E12" s="291" t="s">
        <v>194</v>
      </c>
      <c r="F12" s="291"/>
      <c r="G12" s="291"/>
      <c r="H12" s="291"/>
      <c r="I12" s="291"/>
      <c r="J12" s="291"/>
      <c r="K12" s="291" t="s">
        <v>194</v>
      </c>
      <c r="L12" s="291"/>
      <c r="M12" s="291"/>
      <c r="N12" s="38"/>
      <c r="O12" s="38"/>
      <c r="P12" s="38"/>
      <c r="Q12" s="291"/>
      <c r="R12" s="291"/>
      <c r="S12" s="291"/>
      <c r="T12" s="291"/>
      <c r="U12" s="99"/>
      <c r="V12" s="81"/>
      <c r="W12" s="81"/>
      <c r="X12" s="82"/>
      <c r="Y12" s="82"/>
      <c r="Z12" s="82"/>
      <c r="AA12" s="83"/>
      <c r="AB12" s="83"/>
      <c r="AC12" s="83"/>
      <c r="AD12" s="83"/>
      <c r="AE12" s="83"/>
    </row>
    <row r="13" spans="1:31" s="34" customFormat="1" ht="24" customHeight="1">
      <c r="A13" s="36">
        <v>3</v>
      </c>
      <c r="B13" s="133" t="s">
        <v>85</v>
      </c>
      <c r="C13" s="84" t="str">
        <f t="shared" ref="C13:C29" si="0">VLOOKUP(B13,DS,2,0)</f>
        <v>Huỳnh Thị Hường</v>
      </c>
      <c r="D13" s="109" t="str">
        <f t="shared" ref="D13:D29" si="1">VLOOKUP(B13,DS,3,0)</f>
        <v>Công nhân</v>
      </c>
      <c r="E13" s="85">
        <f t="shared" ref="E13:E29" si="2">VLOOKUP(B13,DS,4,0)</f>
        <v>3552000</v>
      </c>
      <c r="F13" s="87">
        <f>VLOOKUP(B13,'CC - 02'!$B$8:$AS$72,36,0)</f>
        <v>20</v>
      </c>
      <c r="G13" s="206">
        <f t="shared" ref="G13:G29" si="3">ROUND(E13/$U$2*F13,0)</f>
        <v>3382857</v>
      </c>
      <c r="H13" s="87">
        <f>(VLOOKUP(B13,'CC - 02'!$B$8:$AS$72,37,0)+VLOOKUP(B13,'CC - 02'!$B$8:$AS$72,38,0))</f>
        <v>0</v>
      </c>
      <c r="I13" s="206">
        <f t="shared" ref="I13:I29" si="4">ROUND(E13/$U$2*H13,0)</f>
        <v>0</v>
      </c>
      <c r="J13" s="207">
        <f t="shared" ref="J13:K19" si="5">F13+H13</f>
        <v>20</v>
      </c>
      <c r="K13" s="37">
        <f t="shared" si="5"/>
        <v>3382857</v>
      </c>
      <c r="L13" s="85">
        <f t="shared" ref="L13:L29" si="6">+F13*15000</f>
        <v>300000</v>
      </c>
      <c r="M13" s="38">
        <f t="shared" ref="M13:M29" si="7">K13+L13</f>
        <v>3682857</v>
      </c>
      <c r="N13" s="38">
        <f t="shared" ref="N13:N24" si="8">IF(VLOOKUP(B13,DS,10,0)="x",E13*$N$4,0)</f>
        <v>284160</v>
      </c>
      <c r="O13" s="38">
        <f t="shared" ref="O13:O24" si="9">IF(VLOOKUP(B13,DS,10,0)="x",E13*$O$4,0)</f>
        <v>53280</v>
      </c>
      <c r="P13" s="38">
        <f t="shared" ref="P13:P24" si="10">IF(VLOOKUP(B13,DS,10,0)="x",E13*$P$4,0)</f>
        <v>35520</v>
      </c>
      <c r="Q13" s="37">
        <f t="shared" ref="Q13:Q26" si="11">M13-SUM(N13:P13)</f>
        <v>3309897</v>
      </c>
      <c r="R13" s="37">
        <f t="shared" ref="R13:R29" si="12">VLOOKUP(B13,DS,23,0)</f>
        <v>0</v>
      </c>
      <c r="S13" s="43">
        <f t="shared" ref="S13:S29" si="13">Q13-R13</f>
        <v>3309897</v>
      </c>
      <c r="T13" s="37"/>
      <c r="U13" s="99"/>
      <c r="V13" s="35"/>
      <c r="W13" s="28"/>
      <c r="X13" s="5"/>
      <c r="Y13" s="5"/>
      <c r="Z13" s="5"/>
      <c r="AA13" s="4"/>
      <c r="AB13" s="4"/>
      <c r="AC13" s="4"/>
      <c r="AD13" s="4"/>
      <c r="AE13" s="4"/>
    </row>
    <row r="14" spans="1:31" s="34" customFormat="1" ht="24" customHeight="1">
      <c r="A14" s="36">
        <v>4</v>
      </c>
      <c r="B14" s="133" t="s">
        <v>86</v>
      </c>
      <c r="C14" s="84" t="str">
        <f t="shared" si="0"/>
        <v>Nguyễn Thị Rong</v>
      </c>
      <c r="D14" s="109" t="str">
        <f t="shared" si="1"/>
        <v>Công nhân</v>
      </c>
      <c r="E14" s="85">
        <f t="shared" si="2"/>
        <v>3552000</v>
      </c>
      <c r="F14" s="87">
        <f>VLOOKUP(B14,'CC - 02'!$B$8:$AS$72,36,0)</f>
        <v>20</v>
      </c>
      <c r="G14" s="206">
        <f t="shared" si="3"/>
        <v>3382857</v>
      </c>
      <c r="H14" s="87">
        <f>(VLOOKUP(B14,'CC - 02'!$B$8:$AS$72,37,0)+VLOOKUP(B14,'CC - 02'!$B$8:$AS$72,38,0))</f>
        <v>0</v>
      </c>
      <c r="I14" s="206">
        <f t="shared" si="4"/>
        <v>0</v>
      </c>
      <c r="J14" s="207">
        <f t="shared" si="5"/>
        <v>20</v>
      </c>
      <c r="K14" s="37">
        <f t="shared" si="5"/>
        <v>3382857</v>
      </c>
      <c r="L14" s="85">
        <f t="shared" si="6"/>
        <v>300000</v>
      </c>
      <c r="M14" s="38">
        <f t="shared" si="7"/>
        <v>3682857</v>
      </c>
      <c r="N14" s="38">
        <f t="shared" si="8"/>
        <v>284160</v>
      </c>
      <c r="O14" s="38">
        <f t="shared" si="9"/>
        <v>53280</v>
      </c>
      <c r="P14" s="38">
        <f t="shared" si="10"/>
        <v>35520</v>
      </c>
      <c r="Q14" s="37">
        <f t="shared" si="11"/>
        <v>3309897</v>
      </c>
      <c r="R14" s="37">
        <f t="shared" si="12"/>
        <v>0</v>
      </c>
      <c r="S14" s="43">
        <f t="shared" si="13"/>
        <v>3309897</v>
      </c>
      <c r="T14" s="37"/>
      <c r="U14" s="99"/>
      <c r="V14" s="35"/>
      <c r="W14" s="28"/>
      <c r="X14" s="5"/>
      <c r="Y14" s="5"/>
      <c r="Z14" s="5"/>
      <c r="AA14" s="4"/>
      <c r="AB14" s="4"/>
      <c r="AC14" s="4"/>
      <c r="AD14" s="4"/>
      <c r="AE14" s="4"/>
    </row>
    <row r="15" spans="1:31" s="34" customFormat="1" ht="24" customHeight="1">
      <c r="A15" s="36">
        <v>5</v>
      </c>
      <c r="B15" s="133" t="s">
        <v>87</v>
      </c>
      <c r="C15" s="84" t="str">
        <f t="shared" si="0"/>
        <v>Sơn Thị Nil</v>
      </c>
      <c r="D15" s="109" t="str">
        <f t="shared" si="1"/>
        <v>Công nhân</v>
      </c>
      <c r="E15" s="85">
        <f t="shared" si="2"/>
        <v>3552000</v>
      </c>
      <c r="F15" s="87">
        <f>VLOOKUP(B15,'CC - 02'!$B$8:$AS$72,36,0)</f>
        <v>20</v>
      </c>
      <c r="G15" s="206">
        <f t="shared" si="3"/>
        <v>3382857</v>
      </c>
      <c r="H15" s="87">
        <f>(VLOOKUP(B15,'CC - 02'!$B$8:$AS$72,37,0)+VLOOKUP(B15,'CC - 02'!$B$8:$AS$72,38,0))</f>
        <v>0</v>
      </c>
      <c r="I15" s="206">
        <f t="shared" si="4"/>
        <v>0</v>
      </c>
      <c r="J15" s="207">
        <f t="shared" si="5"/>
        <v>20</v>
      </c>
      <c r="K15" s="37">
        <f t="shared" si="5"/>
        <v>3382857</v>
      </c>
      <c r="L15" s="85">
        <f t="shared" si="6"/>
        <v>300000</v>
      </c>
      <c r="M15" s="38">
        <f t="shared" si="7"/>
        <v>3682857</v>
      </c>
      <c r="N15" s="38">
        <f t="shared" si="8"/>
        <v>284160</v>
      </c>
      <c r="O15" s="38">
        <f t="shared" si="9"/>
        <v>53280</v>
      </c>
      <c r="P15" s="38">
        <f t="shared" si="10"/>
        <v>35520</v>
      </c>
      <c r="Q15" s="37">
        <f t="shared" si="11"/>
        <v>3309897</v>
      </c>
      <c r="R15" s="37">
        <f t="shared" si="12"/>
        <v>0</v>
      </c>
      <c r="S15" s="43">
        <f t="shared" si="13"/>
        <v>3309897</v>
      </c>
      <c r="T15" s="37"/>
      <c r="U15" s="99"/>
      <c r="V15" s="35"/>
      <c r="W15" s="28"/>
      <c r="X15" s="5"/>
      <c r="Y15" s="5"/>
      <c r="Z15" s="5"/>
      <c r="AA15" s="4"/>
      <c r="AB15" s="4"/>
      <c r="AC15" s="4"/>
      <c r="AD15" s="4"/>
      <c r="AE15" s="4"/>
    </row>
    <row r="16" spans="1:31" s="34" customFormat="1" ht="23.25" customHeight="1">
      <c r="A16" s="36">
        <v>6</v>
      </c>
      <c r="B16" s="133" t="s">
        <v>91</v>
      </c>
      <c r="C16" s="84" t="str">
        <f t="shared" si="0"/>
        <v>Nguyễn Thị Lựu</v>
      </c>
      <c r="D16" s="109" t="str">
        <f t="shared" si="1"/>
        <v>Công nhân</v>
      </c>
      <c r="E16" s="85">
        <f t="shared" si="2"/>
        <v>3552000</v>
      </c>
      <c r="F16" s="87">
        <f>VLOOKUP(B16,'CC - 02'!$B$8:$AS$72,36,0)</f>
        <v>20</v>
      </c>
      <c r="G16" s="206">
        <f t="shared" si="3"/>
        <v>3382857</v>
      </c>
      <c r="H16" s="87">
        <f>(VLOOKUP(B16,'CC - 02'!$B$8:$AS$72,37,0)+VLOOKUP(B16,'CC - 02'!$B$8:$AS$72,38,0))</f>
        <v>0</v>
      </c>
      <c r="I16" s="206">
        <f t="shared" si="4"/>
        <v>0</v>
      </c>
      <c r="J16" s="207">
        <f t="shared" si="5"/>
        <v>20</v>
      </c>
      <c r="K16" s="37">
        <f t="shared" si="5"/>
        <v>3382857</v>
      </c>
      <c r="L16" s="85">
        <f t="shared" si="6"/>
        <v>300000</v>
      </c>
      <c r="M16" s="38">
        <f t="shared" si="7"/>
        <v>3682857</v>
      </c>
      <c r="N16" s="38">
        <f t="shared" si="8"/>
        <v>284160</v>
      </c>
      <c r="O16" s="38">
        <f t="shared" si="9"/>
        <v>53280</v>
      </c>
      <c r="P16" s="38">
        <f t="shared" si="10"/>
        <v>35520</v>
      </c>
      <c r="Q16" s="37">
        <f t="shared" si="11"/>
        <v>3309897</v>
      </c>
      <c r="R16" s="37">
        <f t="shared" si="12"/>
        <v>0</v>
      </c>
      <c r="S16" s="43">
        <f t="shared" si="13"/>
        <v>3309897</v>
      </c>
      <c r="T16" s="37"/>
      <c r="U16" s="99"/>
      <c r="V16" s="35"/>
      <c r="W16" s="28"/>
      <c r="X16" s="5"/>
      <c r="Y16" s="5"/>
      <c r="Z16" s="5"/>
      <c r="AA16" s="4"/>
      <c r="AB16" s="4"/>
      <c r="AC16" s="4"/>
      <c r="AD16" s="4"/>
      <c r="AE16" s="4"/>
    </row>
    <row r="17" spans="1:31" s="34" customFormat="1" ht="23.25" customHeight="1">
      <c r="A17" s="36">
        <v>7</v>
      </c>
      <c r="B17" s="133" t="s">
        <v>92</v>
      </c>
      <c r="C17" s="84" t="str">
        <f t="shared" si="0"/>
        <v>Lý Thị Được</v>
      </c>
      <c r="D17" s="109" t="str">
        <f t="shared" si="1"/>
        <v>Công nhân</v>
      </c>
      <c r="E17" s="85">
        <f t="shared" si="2"/>
        <v>3552000</v>
      </c>
      <c r="F17" s="87">
        <f>VLOOKUP(B17,'CC - 02'!$B$8:$AS$72,36,0)</f>
        <v>20</v>
      </c>
      <c r="G17" s="206">
        <f t="shared" si="3"/>
        <v>3382857</v>
      </c>
      <c r="H17" s="87">
        <f>(VLOOKUP(B17,'CC - 02'!$B$8:$AS$72,37,0)+VLOOKUP(B17,'CC - 02'!$B$8:$AS$72,38,0))</f>
        <v>0</v>
      </c>
      <c r="I17" s="206">
        <f t="shared" si="4"/>
        <v>0</v>
      </c>
      <c r="J17" s="207">
        <f t="shared" si="5"/>
        <v>20</v>
      </c>
      <c r="K17" s="37">
        <f t="shared" si="5"/>
        <v>3382857</v>
      </c>
      <c r="L17" s="85">
        <f t="shared" si="6"/>
        <v>300000</v>
      </c>
      <c r="M17" s="38">
        <f t="shared" si="7"/>
        <v>3682857</v>
      </c>
      <c r="N17" s="38">
        <f t="shared" si="8"/>
        <v>284160</v>
      </c>
      <c r="O17" s="38">
        <f t="shared" si="9"/>
        <v>53280</v>
      </c>
      <c r="P17" s="38">
        <f t="shared" si="10"/>
        <v>35520</v>
      </c>
      <c r="Q17" s="37">
        <f t="shared" si="11"/>
        <v>3309897</v>
      </c>
      <c r="R17" s="37">
        <f t="shared" si="12"/>
        <v>0</v>
      </c>
      <c r="S17" s="43">
        <f t="shared" si="13"/>
        <v>3309897</v>
      </c>
      <c r="T17" s="37"/>
      <c r="U17" s="99"/>
      <c r="V17" s="35"/>
      <c r="W17" s="28"/>
      <c r="X17" s="5"/>
      <c r="Y17" s="5"/>
      <c r="Z17" s="5"/>
      <c r="AA17" s="4"/>
      <c r="AB17" s="4"/>
      <c r="AC17" s="4"/>
      <c r="AD17" s="4"/>
      <c r="AE17" s="4"/>
    </row>
    <row r="18" spans="1:31" s="34" customFormat="1" ht="23.25" customHeight="1">
      <c r="A18" s="36">
        <v>8</v>
      </c>
      <c r="B18" s="133" t="s">
        <v>94</v>
      </c>
      <c r="C18" s="84" t="str">
        <f t="shared" si="0"/>
        <v>Trà Thị Soi</v>
      </c>
      <c r="D18" s="109" t="str">
        <f t="shared" si="1"/>
        <v>Công nhân</v>
      </c>
      <c r="E18" s="85">
        <f t="shared" si="2"/>
        <v>3552000</v>
      </c>
      <c r="F18" s="87">
        <f>VLOOKUP(B18,'CC - 02'!$B$8:$AS$72,36,0)</f>
        <v>20</v>
      </c>
      <c r="G18" s="206">
        <f t="shared" si="3"/>
        <v>3382857</v>
      </c>
      <c r="H18" s="87">
        <f>(VLOOKUP(B18,'CC - 02'!$B$8:$AS$72,37,0)+VLOOKUP(B18,'CC - 02'!$B$8:$AS$72,38,0))</f>
        <v>0</v>
      </c>
      <c r="I18" s="206">
        <f t="shared" si="4"/>
        <v>0</v>
      </c>
      <c r="J18" s="207">
        <f t="shared" si="5"/>
        <v>20</v>
      </c>
      <c r="K18" s="37">
        <f t="shared" si="5"/>
        <v>3382857</v>
      </c>
      <c r="L18" s="85">
        <f t="shared" si="6"/>
        <v>300000</v>
      </c>
      <c r="M18" s="38">
        <f t="shared" si="7"/>
        <v>3682857</v>
      </c>
      <c r="N18" s="38">
        <f t="shared" si="8"/>
        <v>284160</v>
      </c>
      <c r="O18" s="38">
        <f t="shared" si="9"/>
        <v>53280</v>
      </c>
      <c r="P18" s="38">
        <f t="shared" si="10"/>
        <v>35520</v>
      </c>
      <c r="Q18" s="37">
        <f t="shared" si="11"/>
        <v>3309897</v>
      </c>
      <c r="R18" s="37">
        <f t="shared" si="12"/>
        <v>0</v>
      </c>
      <c r="S18" s="43">
        <f t="shared" si="13"/>
        <v>3309897</v>
      </c>
      <c r="T18" s="37"/>
      <c r="U18" s="99"/>
      <c r="V18" s="35"/>
      <c r="W18" s="28"/>
      <c r="X18" s="5"/>
      <c r="Y18" s="5"/>
      <c r="Z18" s="5"/>
      <c r="AA18" s="4"/>
      <c r="AB18" s="4"/>
      <c r="AC18" s="4"/>
      <c r="AD18" s="4"/>
      <c r="AE18" s="4"/>
    </row>
    <row r="19" spans="1:31" s="34" customFormat="1" ht="23.25" customHeight="1">
      <c r="A19" s="36">
        <v>9</v>
      </c>
      <c r="B19" s="133" t="s">
        <v>95</v>
      </c>
      <c r="C19" s="84" t="str">
        <f t="shared" si="0"/>
        <v>Sơn Thị Muỗi Tron</v>
      </c>
      <c r="D19" s="109" t="str">
        <f t="shared" si="1"/>
        <v>Công nhân</v>
      </c>
      <c r="E19" s="85">
        <v>3317000</v>
      </c>
      <c r="F19" s="87">
        <f>VLOOKUP(B19,'CC - 02'!$B$8:$AS$72,36,0)</f>
        <v>6</v>
      </c>
      <c r="G19" s="206">
        <f t="shared" si="3"/>
        <v>947714</v>
      </c>
      <c r="H19" s="87">
        <f>(VLOOKUP(B19,'CC - 02'!$B$8:$AS$72,37,0)+VLOOKUP(B19,'CC - 02'!$B$8:$AS$72,38,0))</f>
        <v>0</v>
      </c>
      <c r="I19" s="206">
        <f t="shared" si="4"/>
        <v>0</v>
      </c>
      <c r="J19" s="207">
        <f t="shared" si="5"/>
        <v>6</v>
      </c>
      <c r="K19" s="37">
        <f t="shared" si="5"/>
        <v>947714</v>
      </c>
      <c r="L19" s="85">
        <f t="shared" si="6"/>
        <v>90000</v>
      </c>
      <c r="M19" s="38">
        <f t="shared" si="7"/>
        <v>1037714</v>
      </c>
      <c r="N19" s="38">
        <f t="shared" si="8"/>
        <v>0</v>
      </c>
      <c r="O19" s="38">
        <f t="shared" si="9"/>
        <v>0</v>
      </c>
      <c r="P19" s="38">
        <f t="shared" si="10"/>
        <v>0</v>
      </c>
      <c r="Q19" s="37">
        <f t="shared" si="11"/>
        <v>1037714</v>
      </c>
      <c r="R19" s="37">
        <f t="shared" si="12"/>
        <v>0</v>
      </c>
      <c r="S19" s="43">
        <f t="shared" si="13"/>
        <v>1037714</v>
      </c>
      <c r="T19" s="37"/>
      <c r="U19" s="99"/>
      <c r="V19" s="35"/>
      <c r="W19" s="28"/>
      <c r="X19" s="5"/>
      <c r="Y19" s="5"/>
      <c r="Z19" s="5"/>
      <c r="AA19" s="4"/>
      <c r="AB19" s="4"/>
      <c r="AC19" s="4"/>
      <c r="AD19" s="4"/>
      <c r="AE19" s="4"/>
    </row>
    <row r="20" spans="1:31" s="34" customFormat="1" ht="23.25" customHeight="1">
      <c r="A20" s="36">
        <v>10</v>
      </c>
      <c r="B20" s="133" t="s">
        <v>100</v>
      </c>
      <c r="C20" s="84" t="str">
        <f t="shared" si="0"/>
        <v>Sơn Thị Chành Đa</v>
      </c>
      <c r="D20" s="109" t="str">
        <f t="shared" si="1"/>
        <v>Công nhân</v>
      </c>
      <c r="E20" s="85">
        <f t="shared" si="2"/>
        <v>3552000</v>
      </c>
      <c r="F20" s="87">
        <f>VLOOKUP(B20,'CC - 02'!$B$8:$AS$72,36,0)</f>
        <v>20</v>
      </c>
      <c r="G20" s="206">
        <f t="shared" si="3"/>
        <v>3382857</v>
      </c>
      <c r="H20" s="87">
        <f>(VLOOKUP(B20,'CC - 02'!$B$8:$AS$72,37,0)+VLOOKUP(B20,'CC - 02'!$B$8:$AS$72,38,0))</f>
        <v>0</v>
      </c>
      <c r="I20" s="206">
        <f t="shared" si="4"/>
        <v>0</v>
      </c>
      <c r="J20" s="207">
        <f t="shared" ref="J20:K29" si="14">F20+H20</f>
        <v>20</v>
      </c>
      <c r="K20" s="37">
        <f t="shared" si="14"/>
        <v>3382857</v>
      </c>
      <c r="L20" s="85">
        <f t="shared" si="6"/>
        <v>300000</v>
      </c>
      <c r="M20" s="38">
        <f t="shared" si="7"/>
        <v>3682857</v>
      </c>
      <c r="N20" s="38">
        <f t="shared" si="8"/>
        <v>284160</v>
      </c>
      <c r="O20" s="38">
        <f t="shared" si="9"/>
        <v>53280</v>
      </c>
      <c r="P20" s="38">
        <f t="shared" si="10"/>
        <v>35520</v>
      </c>
      <c r="Q20" s="37">
        <f t="shared" si="11"/>
        <v>3309897</v>
      </c>
      <c r="R20" s="37">
        <f t="shared" si="12"/>
        <v>0</v>
      </c>
      <c r="S20" s="43">
        <f t="shared" si="13"/>
        <v>3309897</v>
      </c>
      <c r="T20" s="37"/>
      <c r="U20" s="99"/>
      <c r="V20" s="35"/>
      <c r="W20" s="28"/>
      <c r="X20" s="5"/>
      <c r="Y20" s="5"/>
      <c r="Z20" s="5"/>
      <c r="AA20" s="4"/>
      <c r="AB20" s="4"/>
      <c r="AC20" s="4"/>
      <c r="AD20" s="4"/>
      <c r="AE20" s="4"/>
    </row>
    <row r="21" spans="1:31" s="34" customFormat="1" ht="23.25" customHeight="1">
      <c r="A21" s="36">
        <v>11</v>
      </c>
      <c r="B21" s="133" t="s">
        <v>101</v>
      </c>
      <c r="C21" s="84" t="str">
        <f t="shared" si="0"/>
        <v>Trần Thị Bích Phượng</v>
      </c>
      <c r="D21" s="109" t="str">
        <f t="shared" si="1"/>
        <v>Công nhân</v>
      </c>
      <c r="E21" s="85">
        <f t="shared" si="2"/>
        <v>3552000</v>
      </c>
      <c r="F21" s="87">
        <f>VLOOKUP(B21,'CC - 02'!$B$8:$AS$72,36,0)</f>
        <v>20</v>
      </c>
      <c r="G21" s="206">
        <f t="shared" si="3"/>
        <v>3382857</v>
      </c>
      <c r="H21" s="87">
        <f>(VLOOKUP(B21,'CC - 02'!$B$8:$AS$72,37,0)+VLOOKUP(B21,'CC - 02'!$B$8:$AS$72,38,0))</f>
        <v>0</v>
      </c>
      <c r="I21" s="206">
        <f t="shared" si="4"/>
        <v>0</v>
      </c>
      <c r="J21" s="207">
        <f t="shared" si="14"/>
        <v>20</v>
      </c>
      <c r="K21" s="37">
        <f t="shared" si="14"/>
        <v>3382857</v>
      </c>
      <c r="L21" s="85">
        <f t="shared" si="6"/>
        <v>300000</v>
      </c>
      <c r="M21" s="38">
        <f t="shared" si="7"/>
        <v>3682857</v>
      </c>
      <c r="N21" s="38">
        <f t="shared" si="8"/>
        <v>284160</v>
      </c>
      <c r="O21" s="38">
        <f t="shared" si="9"/>
        <v>53280</v>
      </c>
      <c r="P21" s="38">
        <f t="shared" si="10"/>
        <v>35520</v>
      </c>
      <c r="Q21" s="37">
        <f t="shared" si="11"/>
        <v>3309897</v>
      </c>
      <c r="R21" s="37">
        <f t="shared" si="12"/>
        <v>0</v>
      </c>
      <c r="S21" s="43">
        <f t="shared" si="13"/>
        <v>3309897</v>
      </c>
      <c r="T21" s="37"/>
      <c r="U21" s="99"/>
      <c r="V21" s="35"/>
      <c r="W21" s="28"/>
      <c r="X21" s="5"/>
      <c r="Y21" s="5"/>
      <c r="Z21" s="5"/>
      <c r="AA21" s="4"/>
      <c r="AB21" s="4"/>
      <c r="AC21" s="4"/>
      <c r="AD21" s="4"/>
      <c r="AE21" s="4"/>
    </row>
    <row r="22" spans="1:31" s="347" customFormat="1" ht="23.25" customHeight="1">
      <c r="A22" s="337">
        <v>12</v>
      </c>
      <c r="B22" s="338" t="s">
        <v>102</v>
      </c>
      <c r="C22" s="339" t="str">
        <f t="shared" si="0"/>
        <v>Sơn Thị Trường Sa</v>
      </c>
      <c r="D22" s="340" t="str">
        <f t="shared" si="1"/>
        <v>Công nhân</v>
      </c>
      <c r="E22" s="327">
        <f t="shared" si="2"/>
        <v>3552000</v>
      </c>
      <c r="F22" s="323">
        <f>VLOOKUP(B22,'CC - 02'!$B$8:$AS$72,36,0)</f>
        <v>20</v>
      </c>
      <c r="G22" s="324">
        <f t="shared" si="3"/>
        <v>3382857</v>
      </c>
      <c r="H22" s="323">
        <f>(VLOOKUP(B22,'CC - 02'!$B$8:$AS$72,37,0)+VLOOKUP(B22,'CC - 02'!$B$8:$AS$72,38,0))</f>
        <v>0</v>
      </c>
      <c r="I22" s="324">
        <f t="shared" si="4"/>
        <v>0</v>
      </c>
      <c r="J22" s="325">
        <f t="shared" si="14"/>
        <v>20</v>
      </c>
      <c r="K22" s="326">
        <f t="shared" si="14"/>
        <v>3382857</v>
      </c>
      <c r="L22" s="327">
        <f t="shared" si="6"/>
        <v>300000</v>
      </c>
      <c r="M22" s="329">
        <f t="shared" si="7"/>
        <v>3682857</v>
      </c>
      <c r="N22" s="329">
        <f t="shared" si="8"/>
        <v>284160</v>
      </c>
      <c r="O22" s="329">
        <f t="shared" si="9"/>
        <v>53280</v>
      </c>
      <c r="P22" s="329">
        <f t="shared" si="10"/>
        <v>35520</v>
      </c>
      <c r="Q22" s="326">
        <f t="shared" si="11"/>
        <v>3309897</v>
      </c>
      <c r="R22" s="326">
        <f t="shared" si="12"/>
        <v>0</v>
      </c>
      <c r="S22" s="341">
        <f t="shared" si="13"/>
        <v>3309897</v>
      </c>
      <c r="T22" s="326"/>
      <c r="U22" s="342"/>
      <c r="V22" s="343"/>
      <c r="W22" s="344"/>
      <c r="X22" s="345"/>
      <c r="Y22" s="345"/>
      <c r="Z22" s="345"/>
      <c r="AA22" s="346"/>
      <c r="AB22" s="346"/>
      <c r="AC22" s="346"/>
      <c r="AD22" s="346"/>
      <c r="AE22" s="346"/>
    </row>
    <row r="23" spans="1:31" s="34" customFormat="1" ht="23.25" customHeight="1">
      <c r="A23" s="36">
        <v>13</v>
      </c>
      <c r="B23" s="133" t="s">
        <v>103</v>
      </c>
      <c r="C23" s="84" t="str">
        <f t="shared" si="0"/>
        <v>Lý Thị Sà Kha</v>
      </c>
      <c r="D23" s="109" t="str">
        <f t="shared" si="1"/>
        <v>Công nhân</v>
      </c>
      <c r="E23" s="85">
        <f t="shared" si="2"/>
        <v>3552000</v>
      </c>
      <c r="F23" s="87">
        <f>VLOOKUP(B23,'CC - 02'!$B$8:$AS$72,36,0)</f>
        <v>20</v>
      </c>
      <c r="G23" s="206">
        <f t="shared" si="3"/>
        <v>3382857</v>
      </c>
      <c r="H23" s="87">
        <f>(VLOOKUP(B23,'CC - 02'!$B$8:$AS$72,37,0)+VLOOKUP(B23,'CC - 02'!$B$8:$AS$72,38,0))</f>
        <v>0</v>
      </c>
      <c r="I23" s="206">
        <f t="shared" si="4"/>
        <v>0</v>
      </c>
      <c r="J23" s="207">
        <f t="shared" si="14"/>
        <v>20</v>
      </c>
      <c r="K23" s="37">
        <f t="shared" si="14"/>
        <v>3382857</v>
      </c>
      <c r="L23" s="85">
        <f t="shared" si="6"/>
        <v>300000</v>
      </c>
      <c r="M23" s="38">
        <f t="shared" si="7"/>
        <v>3682857</v>
      </c>
      <c r="N23" s="38">
        <f t="shared" si="8"/>
        <v>284160</v>
      </c>
      <c r="O23" s="38">
        <f t="shared" si="9"/>
        <v>53280</v>
      </c>
      <c r="P23" s="38">
        <f t="shared" si="10"/>
        <v>35520</v>
      </c>
      <c r="Q23" s="37">
        <f t="shared" si="11"/>
        <v>3309897</v>
      </c>
      <c r="R23" s="37">
        <f t="shared" si="12"/>
        <v>0</v>
      </c>
      <c r="S23" s="43">
        <f t="shared" si="13"/>
        <v>3309897</v>
      </c>
      <c r="T23" s="37"/>
      <c r="U23" s="99"/>
      <c r="V23" s="35"/>
      <c r="W23" s="28"/>
      <c r="X23" s="5"/>
      <c r="Y23" s="5"/>
      <c r="Z23" s="5"/>
      <c r="AA23" s="4"/>
      <c r="AB23" s="4"/>
      <c r="AC23" s="4"/>
      <c r="AD23" s="4"/>
      <c r="AE23" s="4"/>
    </row>
    <row r="24" spans="1:31" s="34" customFormat="1" ht="23.25" customHeight="1">
      <c r="A24" s="36">
        <v>14</v>
      </c>
      <c r="B24" s="133" t="s">
        <v>104</v>
      </c>
      <c r="C24" s="84" t="str">
        <f t="shared" si="0"/>
        <v xml:space="preserve"> Lâm Thị Mộng Thường</v>
      </c>
      <c r="D24" s="109" t="str">
        <f t="shared" si="1"/>
        <v>Công nhân</v>
      </c>
      <c r="E24" s="85">
        <f t="shared" si="2"/>
        <v>3552000</v>
      </c>
      <c r="F24" s="87">
        <f>VLOOKUP(B24,'CC - 02'!$B$8:$AS$72,36,0)</f>
        <v>20</v>
      </c>
      <c r="G24" s="206">
        <f t="shared" si="3"/>
        <v>3382857</v>
      </c>
      <c r="H24" s="87">
        <f>(VLOOKUP(B24,'CC - 02'!$B$8:$AS$72,37,0)+VLOOKUP(B24,'CC - 02'!$B$8:$AS$72,38,0))</f>
        <v>0</v>
      </c>
      <c r="I24" s="206">
        <f t="shared" si="4"/>
        <v>0</v>
      </c>
      <c r="J24" s="207">
        <f t="shared" si="14"/>
        <v>20</v>
      </c>
      <c r="K24" s="37">
        <f t="shared" si="14"/>
        <v>3382857</v>
      </c>
      <c r="L24" s="85">
        <f t="shared" si="6"/>
        <v>300000</v>
      </c>
      <c r="M24" s="38">
        <f t="shared" si="7"/>
        <v>3682857</v>
      </c>
      <c r="N24" s="38">
        <f t="shared" si="8"/>
        <v>284160</v>
      </c>
      <c r="O24" s="38">
        <f t="shared" si="9"/>
        <v>53280</v>
      </c>
      <c r="P24" s="38">
        <f t="shared" si="10"/>
        <v>35520</v>
      </c>
      <c r="Q24" s="37">
        <f t="shared" si="11"/>
        <v>3309897</v>
      </c>
      <c r="R24" s="37">
        <f t="shared" si="12"/>
        <v>0</v>
      </c>
      <c r="S24" s="43">
        <f t="shared" si="13"/>
        <v>3309897</v>
      </c>
      <c r="T24" s="37"/>
      <c r="U24" s="99"/>
      <c r="V24" s="35"/>
      <c r="W24" s="28"/>
      <c r="X24" s="5"/>
      <c r="Y24" s="5"/>
      <c r="Z24" s="5"/>
      <c r="AA24" s="4"/>
      <c r="AB24" s="4"/>
      <c r="AC24" s="4"/>
      <c r="AD24" s="4"/>
      <c r="AE24" s="4"/>
    </row>
    <row r="25" spans="1:31" s="80" customFormat="1" ht="24" customHeight="1">
      <c r="A25" s="36"/>
      <c r="B25" s="292" t="s">
        <v>188</v>
      </c>
      <c r="C25" s="291"/>
      <c r="D25" s="291"/>
      <c r="E25" s="291"/>
      <c r="F25" s="291"/>
      <c r="G25" s="291"/>
      <c r="H25" s="291"/>
      <c r="I25" s="291"/>
      <c r="J25" s="291"/>
      <c r="K25" s="291"/>
      <c r="L25" s="291"/>
      <c r="M25" s="291"/>
      <c r="N25" s="38"/>
      <c r="O25" s="38"/>
      <c r="P25" s="38"/>
      <c r="Q25" s="291"/>
      <c r="R25" s="291"/>
      <c r="S25" s="291"/>
      <c r="T25" s="291"/>
      <c r="U25" s="99"/>
      <c r="V25" s="81"/>
      <c r="W25" s="81"/>
      <c r="X25" s="82"/>
      <c r="Y25" s="82"/>
      <c r="Z25" s="82"/>
      <c r="AA25" s="83"/>
      <c r="AB25" s="83"/>
      <c r="AC25" s="83"/>
      <c r="AD25" s="83"/>
      <c r="AE25" s="83"/>
    </row>
    <row r="26" spans="1:31" s="34" customFormat="1" ht="23.25" customHeight="1">
      <c r="A26" s="36">
        <v>15</v>
      </c>
      <c r="B26" s="242" t="s">
        <v>113</v>
      </c>
      <c r="C26" s="84" t="str">
        <f t="shared" si="0"/>
        <v>Nguyễn Văn Bé Hai</v>
      </c>
      <c r="D26" s="109" t="str">
        <f t="shared" si="1"/>
        <v>Công nhân</v>
      </c>
      <c r="E26" s="85">
        <f t="shared" si="2"/>
        <v>3776000</v>
      </c>
      <c r="F26" s="87">
        <f>VLOOKUP(B26,'CC - 02'!$B$8:$AS$72,36,0)</f>
        <v>20</v>
      </c>
      <c r="G26" s="206">
        <f t="shared" si="3"/>
        <v>3596190</v>
      </c>
      <c r="H26" s="87">
        <f>(VLOOKUP(B26,'CC - 02'!$B$8:$AS$72,37,0)+VLOOKUP(B26,'CC - 02'!$B$8:$AS$72,38,0))</f>
        <v>0</v>
      </c>
      <c r="I26" s="206">
        <f t="shared" si="4"/>
        <v>0</v>
      </c>
      <c r="J26" s="207">
        <f t="shared" si="14"/>
        <v>20</v>
      </c>
      <c r="K26" s="37">
        <f t="shared" si="14"/>
        <v>3596190</v>
      </c>
      <c r="L26" s="85">
        <f t="shared" si="6"/>
        <v>300000</v>
      </c>
      <c r="M26" s="38">
        <f t="shared" si="7"/>
        <v>3896190</v>
      </c>
      <c r="N26" s="38">
        <f t="shared" ref="N26:N29" si="15">IF(VLOOKUP(B26,DS,10,0)="x",E26*$N$4,0)</f>
        <v>302080</v>
      </c>
      <c r="O26" s="38">
        <f t="shared" ref="O26:O29" si="16">IF(VLOOKUP(B26,DS,10,0)="x",E26*$O$4,0)</f>
        <v>56640</v>
      </c>
      <c r="P26" s="38">
        <f t="shared" ref="P26:P29" si="17">IF(VLOOKUP(B26,DS,10,0)="x",E26*$P$4,0)</f>
        <v>37760</v>
      </c>
      <c r="Q26" s="37">
        <f t="shared" si="11"/>
        <v>3499710</v>
      </c>
      <c r="R26" s="37">
        <f t="shared" si="12"/>
        <v>0</v>
      </c>
      <c r="S26" s="43">
        <f t="shared" si="13"/>
        <v>3499710</v>
      </c>
      <c r="T26" s="37"/>
      <c r="U26" s="99"/>
      <c r="V26" s="35"/>
      <c r="W26" s="28"/>
      <c r="X26" s="5"/>
      <c r="Y26" s="5"/>
      <c r="Z26" s="5"/>
      <c r="AA26" s="4"/>
      <c r="AB26" s="4"/>
      <c r="AC26" s="4"/>
      <c r="AD26" s="4"/>
      <c r="AE26" s="4"/>
    </row>
    <row r="27" spans="1:31" s="34" customFormat="1" ht="23.25" customHeight="1">
      <c r="A27" s="36">
        <v>16</v>
      </c>
      <c r="B27" s="242" t="s">
        <v>118</v>
      </c>
      <c r="C27" s="84" t="str">
        <f t="shared" si="0"/>
        <v>Trần Nhiên</v>
      </c>
      <c r="D27" s="109" t="str">
        <f t="shared" si="1"/>
        <v>Công nhân</v>
      </c>
      <c r="E27" s="85">
        <f t="shared" si="2"/>
        <v>3552000</v>
      </c>
      <c r="F27" s="87">
        <f>VLOOKUP(B27,'CC - 02'!$B$8:$AS$72,36,0)</f>
        <v>20</v>
      </c>
      <c r="G27" s="206">
        <f t="shared" si="3"/>
        <v>3382857</v>
      </c>
      <c r="H27" s="87">
        <f>(VLOOKUP(B27,'CC - 02'!$B$8:$AS$72,37,0)+VLOOKUP(B27,'CC - 02'!$B$8:$AS$72,38,0))</f>
        <v>0</v>
      </c>
      <c r="I27" s="206">
        <f t="shared" si="4"/>
        <v>0</v>
      </c>
      <c r="J27" s="207">
        <f t="shared" si="14"/>
        <v>20</v>
      </c>
      <c r="K27" s="37">
        <f t="shared" si="14"/>
        <v>3382857</v>
      </c>
      <c r="L27" s="85">
        <f t="shared" si="6"/>
        <v>300000</v>
      </c>
      <c r="M27" s="38">
        <f t="shared" si="7"/>
        <v>3682857</v>
      </c>
      <c r="N27" s="38">
        <f t="shared" si="15"/>
        <v>284160</v>
      </c>
      <c r="O27" s="38">
        <f t="shared" si="16"/>
        <v>53280</v>
      </c>
      <c r="P27" s="38">
        <f t="shared" si="17"/>
        <v>35520</v>
      </c>
      <c r="Q27" s="37">
        <f t="shared" ref="Q27:Q29" si="18">M27-SUM(N27:P27)</f>
        <v>3309897</v>
      </c>
      <c r="R27" s="37">
        <f t="shared" si="12"/>
        <v>0</v>
      </c>
      <c r="S27" s="43">
        <f t="shared" si="13"/>
        <v>3309897</v>
      </c>
      <c r="T27" s="37"/>
      <c r="U27" s="99"/>
      <c r="V27" s="35"/>
      <c r="W27" s="28"/>
      <c r="X27" s="5"/>
      <c r="Y27" s="5"/>
      <c r="Z27" s="5"/>
      <c r="AA27" s="4"/>
      <c r="AB27" s="4"/>
      <c r="AC27" s="4"/>
      <c r="AD27" s="4"/>
      <c r="AE27" s="4"/>
    </row>
    <row r="28" spans="1:31" s="34" customFormat="1" ht="23.25" customHeight="1">
      <c r="A28" s="36">
        <v>17</v>
      </c>
      <c r="B28" s="242" t="s">
        <v>119</v>
      </c>
      <c r="C28" s="84" t="str">
        <f t="shared" si="0"/>
        <v>Thạch Giang</v>
      </c>
      <c r="D28" s="109" t="str">
        <f t="shared" si="1"/>
        <v>Công nhân</v>
      </c>
      <c r="E28" s="85">
        <f t="shared" si="2"/>
        <v>3552000</v>
      </c>
      <c r="F28" s="87">
        <f>VLOOKUP(B28,'CC - 02'!$B$8:$AS$72,36,0)</f>
        <v>19</v>
      </c>
      <c r="G28" s="206">
        <f t="shared" si="3"/>
        <v>3213714</v>
      </c>
      <c r="H28" s="87">
        <f>(VLOOKUP(B28,'CC - 02'!$B$8:$AS$72,37,0)+VLOOKUP(B28,'CC - 02'!$B$8:$AS$72,38,0))</f>
        <v>0</v>
      </c>
      <c r="I28" s="206">
        <f t="shared" si="4"/>
        <v>0</v>
      </c>
      <c r="J28" s="207">
        <f t="shared" si="14"/>
        <v>19</v>
      </c>
      <c r="K28" s="37">
        <f t="shared" si="14"/>
        <v>3213714</v>
      </c>
      <c r="L28" s="85">
        <f t="shared" si="6"/>
        <v>285000</v>
      </c>
      <c r="M28" s="38">
        <f t="shared" si="7"/>
        <v>3498714</v>
      </c>
      <c r="N28" s="38">
        <f t="shared" si="15"/>
        <v>284160</v>
      </c>
      <c r="O28" s="38">
        <f t="shared" si="16"/>
        <v>53280</v>
      </c>
      <c r="P28" s="38">
        <f t="shared" si="17"/>
        <v>35520</v>
      </c>
      <c r="Q28" s="37">
        <f t="shared" si="18"/>
        <v>3125754</v>
      </c>
      <c r="R28" s="37">
        <f t="shared" si="12"/>
        <v>0</v>
      </c>
      <c r="S28" s="43">
        <f t="shared" si="13"/>
        <v>3125754</v>
      </c>
      <c r="T28" s="37"/>
      <c r="U28" s="99"/>
      <c r="V28" s="35"/>
      <c r="W28" s="28"/>
      <c r="X28" s="5"/>
      <c r="Y28" s="5"/>
      <c r="Z28" s="5"/>
      <c r="AA28" s="4"/>
      <c r="AB28" s="4"/>
      <c r="AC28" s="4"/>
      <c r="AD28" s="4"/>
      <c r="AE28" s="4"/>
    </row>
    <row r="29" spans="1:31" s="34" customFormat="1" ht="23.25" customHeight="1">
      <c r="A29" s="36">
        <v>18</v>
      </c>
      <c r="B29" s="242" t="s">
        <v>122</v>
      </c>
      <c r="C29" s="84" t="str">
        <f t="shared" si="0"/>
        <v>Lâm Chanh Đa Ra</v>
      </c>
      <c r="D29" s="109" t="str">
        <f t="shared" si="1"/>
        <v>Công nhân</v>
      </c>
      <c r="E29" s="85">
        <f t="shared" si="2"/>
        <v>3552000</v>
      </c>
      <c r="F29" s="87">
        <f>VLOOKUP(B29,'CC - 02'!$B$8:$AS$72,36,0)</f>
        <v>20</v>
      </c>
      <c r="G29" s="206">
        <f t="shared" si="3"/>
        <v>3382857</v>
      </c>
      <c r="H29" s="87">
        <f>(VLOOKUP(B29,'CC - 02'!$B$8:$AS$72,37,0)+VLOOKUP(B29,'CC - 02'!$B$8:$AS$72,38,0))</f>
        <v>0</v>
      </c>
      <c r="I29" s="206">
        <f t="shared" si="4"/>
        <v>0</v>
      </c>
      <c r="J29" s="207">
        <f t="shared" si="14"/>
        <v>20</v>
      </c>
      <c r="K29" s="37">
        <f t="shared" si="14"/>
        <v>3382857</v>
      </c>
      <c r="L29" s="85">
        <f t="shared" si="6"/>
        <v>300000</v>
      </c>
      <c r="M29" s="38">
        <f t="shared" si="7"/>
        <v>3682857</v>
      </c>
      <c r="N29" s="38">
        <f t="shared" si="15"/>
        <v>284160</v>
      </c>
      <c r="O29" s="38">
        <f t="shared" si="16"/>
        <v>53280</v>
      </c>
      <c r="P29" s="38">
        <f t="shared" si="17"/>
        <v>35520</v>
      </c>
      <c r="Q29" s="37">
        <f t="shared" si="18"/>
        <v>3309897</v>
      </c>
      <c r="R29" s="37">
        <f t="shared" si="12"/>
        <v>0</v>
      </c>
      <c r="S29" s="43">
        <f t="shared" si="13"/>
        <v>3309897</v>
      </c>
      <c r="T29" s="37"/>
      <c r="U29" s="99"/>
      <c r="V29" s="35"/>
      <c r="W29" s="28"/>
      <c r="X29" s="5"/>
      <c r="Y29" s="5"/>
      <c r="Z29" s="5"/>
      <c r="AA29" s="4"/>
      <c r="AB29" s="4"/>
      <c r="AC29" s="4"/>
      <c r="AD29" s="4"/>
      <c r="AE29" s="4"/>
    </row>
    <row r="30" spans="1:31" s="34" customFormat="1" ht="22.5" customHeight="1">
      <c r="A30" s="39"/>
      <c r="B30" s="290"/>
      <c r="C30" s="40"/>
      <c r="D30" s="3"/>
      <c r="E30" s="41"/>
      <c r="F30" s="41"/>
      <c r="G30" s="41"/>
      <c r="H30" s="41"/>
      <c r="I30" s="41"/>
      <c r="J30" s="42"/>
      <c r="K30" s="41"/>
      <c r="L30" s="41"/>
      <c r="M30" s="289"/>
      <c r="N30" s="41"/>
      <c r="O30" s="41"/>
      <c r="P30" s="41"/>
      <c r="Q30" s="41"/>
      <c r="R30" s="41"/>
      <c r="S30" s="41"/>
      <c r="T30" s="37"/>
      <c r="U30" s="99"/>
      <c r="V30" s="35"/>
      <c r="W30" s="35"/>
      <c r="X30" s="35"/>
      <c r="Y30" s="35"/>
      <c r="Z30" s="35"/>
    </row>
    <row r="31" spans="1:31" s="32" customFormat="1" ht="21" customHeight="1">
      <c r="A31" s="437" t="s">
        <v>25</v>
      </c>
      <c r="B31" s="437"/>
      <c r="C31" s="437"/>
      <c r="D31" s="437"/>
      <c r="E31" s="132">
        <f>SUM(E10:E29)</f>
        <v>65213000</v>
      </c>
      <c r="F31" s="132"/>
      <c r="G31" s="132">
        <f>SUM(G10:G30)</f>
        <v>59727140</v>
      </c>
      <c r="H31" s="132"/>
      <c r="I31" s="132">
        <f>SUM(I10:I30)</f>
        <v>0</v>
      </c>
      <c r="J31" s="26"/>
      <c r="K31" s="26">
        <f t="shared" ref="K31:S31" si="19">SUM(K10:K30)</f>
        <v>59727140</v>
      </c>
      <c r="L31" s="26">
        <f t="shared" si="19"/>
        <v>5175000</v>
      </c>
      <c r="M31" s="26">
        <f t="shared" si="19"/>
        <v>64902140</v>
      </c>
      <c r="N31" s="26">
        <f t="shared" si="19"/>
        <v>4951680</v>
      </c>
      <c r="O31" s="26">
        <f t="shared" si="19"/>
        <v>928440</v>
      </c>
      <c r="P31" s="26">
        <f t="shared" si="19"/>
        <v>618960</v>
      </c>
      <c r="Q31" s="26">
        <f t="shared" si="19"/>
        <v>58403060</v>
      </c>
      <c r="R31" s="26">
        <f t="shared" si="19"/>
        <v>0</v>
      </c>
      <c r="S31" s="26">
        <f t="shared" si="19"/>
        <v>58403060</v>
      </c>
      <c r="T31" s="26"/>
      <c r="U31" s="99"/>
      <c r="V31" s="33"/>
      <c r="W31" s="33"/>
      <c r="X31" s="33"/>
      <c r="Y31" s="33"/>
      <c r="Z31" s="33"/>
    </row>
    <row r="32" spans="1:31" ht="11.25" customHeight="1">
      <c r="A32" s="8"/>
      <c r="B32" s="8"/>
      <c r="C32" s="9"/>
      <c r="D32" s="110"/>
      <c r="E32" s="89"/>
      <c r="F32" s="9"/>
      <c r="G32" s="9"/>
      <c r="H32" s="9"/>
      <c r="I32" s="9"/>
      <c r="K32" s="9"/>
      <c r="L32" s="9"/>
      <c r="M32" s="97"/>
      <c r="N32" s="9"/>
      <c r="O32" s="9"/>
      <c r="P32" s="9"/>
      <c r="Q32" s="9"/>
      <c r="R32" s="9"/>
      <c r="S32" s="9"/>
      <c r="T32" s="9"/>
      <c r="U32" s="99"/>
    </row>
    <row r="33" spans="1:31" s="34" customFormat="1" ht="11.25" customHeight="1">
      <c r="A33" s="73"/>
      <c r="B33" s="73"/>
      <c r="C33" s="73"/>
      <c r="D33" s="125"/>
      <c r="E33" s="126">
        <f>E31-3317000</f>
        <v>61896000</v>
      </c>
      <c r="F33" s="73"/>
      <c r="G33" s="73"/>
      <c r="H33" s="73"/>
      <c r="I33" s="73"/>
      <c r="J33" s="127"/>
      <c r="K33" s="126"/>
      <c r="L33" s="73"/>
      <c r="M33" s="73"/>
      <c r="N33" s="73"/>
      <c r="O33" s="73"/>
      <c r="P33" s="73"/>
      <c r="Q33" s="73"/>
      <c r="R33" s="73"/>
      <c r="S33" s="103" t="str">
        <f>"Long An, ngày  "&amp;$V$2&amp;"   tháng   "&amp;TEXT(E4,"mm")&amp;"   năm "&amp;TEXT(E4,"yyyy")</f>
        <v>Long An, ngày  29   tháng   02   năm 2017</v>
      </c>
      <c r="T33" s="73"/>
      <c r="U33" s="128"/>
      <c r="V33" s="35"/>
      <c r="W33" s="35"/>
      <c r="X33" s="35"/>
      <c r="Y33" s="35"/>
      <c r="Z33" s="35"/>
    </row>
    <row r="34" spans="1:31" s="34" customFormat="1" ht="12.75">
      <c r="A34" s="29"/>
      <c r="B34" s="29"/>
      <c r="C34" s="29" t="s">
        <v>60</v>
      </c>
      <c r="D34" s="129"/>
      <c r="E34" s="74"/>
      <c r="F34" s="128"/>
      <c r="G34" s="74"/>
      <c r="H34" s="74"/>
      <c r="I34" s="74"/>
      <c r="J34" s="130"/>
      <c r="K34" s="35"/>
      <c r="L34" s="29"/>
      <c r="M34" s="240"/>
      <c r="N34" s="20"/>
      <c r="O34" s="20"/>
      <c r="P34" s="20"/>
      <c r="Q34" s="20"/>
      <c r="S34" s="128" t="s">
        <v>22</v>
      </c>
      <c r="T34" s="128"/>
      <c r="U34" s="128"/>
      <c r="V34" s="35"/>
      <c r="W34" s="35"/>
      <c r="X34" s="35"/>
      <c r="Y34" s="35"/>
      <c r="Z34" s="35"/>
    </row>
    <row r="35" spans="1:31" ht="12">
      <c r="A35" s="8"/>
      <c r="B35" s="8"/>
      <c r="C35" s="15"/>
      <c r="E35" s="13"/>
      <c r="F35" s="12"/>
      <c r="G35" s="13"/>
      <c r="H35" s="13"/>
      <c r="I35" s="13"/>
      <c r="K35" s="7"/>
      <c r="L35" s="15"/>
      <c r="N35" s="11"/>
      <c r="O35" s="11"/>
      <c r="P35" s="11"/>
      <c r="Q35" s="11"/>
      <c r="S35" s="11"/>
      <c r="T35" s="12"/>
      <c r="U35" s="99"/>
    </row>
    <row r="36" spans="1:31" ht="12">
      <c r="C36" s="15"/>
      <c r="L36" s="15"/>
      <c r="T36" s="15"/>
      <c r="U36" s="99"/>
    </row>
    <row r="37" spans="1:31" ht="12">
      <c r="U37" s="99"/>
    </row>
    <row r="38" spans="1:31" ht="12">
      <c r="U38" s="99"/>
    </row>
    <row r="39" spans="1:31" ht="12">
      <c r="U39" s="99"/>
    </row>
    <row r="40" spans="1:31" ht="12">
      <c r="U40" s="99"/>
    </row>
    <row r="41" spans="1:31" ht="12">
      <c r="U41" s="99"/>
    </row>
    <row r="42" spans="1:31" ht="12">
      <c r="U42" s="99"/>
    </row>
    <row r="43" spans="1:31" ht="12">
      <c r="U43" s="99"/>
    </row>
    <row r="44" spans="1:31" s="165" customFormat="1" ht="29.25" customHeight="1">
      <c r="A44" s="131"/>
      <c r="B44" s="276"/>
      <c r="C44" s="276"/>
      <c r="D44" s="438" t="str">
        <f>D1</f>
        <v>BẢNG THANH TOÁN LƯƠNG THÁNG 02 / 2017</v>
      </c>
      <c r="E44" s="438"/>
      <c r="F44" s="438"/>
      <c r="G44" s="438"/>
      <c r="H44" s="438"/>
      <c r="I44" s="438"/>
      <c r="J44" s="438"/>
      <c r="K44" s="438"/>
      <c r="L44" s="438"/>
      <c r="M44" s="438"/>
      <c r="N44" s="438"/>
      <c r="O44" s="438"/>
      <c r="P44" s="438"/>
      <c r="Q44" s="439"/>
      <c r="R44" s="440" t="s">
        <v>112</v>
      </c>
      <c r="S44" s="441"/>
      <c r="T44" s="442"/>
      <c r="U44" s="99"/>
      <c r="V44" s="7"/>
      <c r="W44" s="187"/>
      <c r="X44" s="187"/>
      <c r="Y44" s="188"/>
      <c r="Z44" s="188"/>
    </row>
    <row r="45" spans="1:31" s="165" customFormat="1" ht="15" customHeight="1">
      <c r="A45" s="131" t="str">
        <f>TH!$A$1</f>
        <v>Công ty TNHH Hải sản An Lạc</v>
      </c>
      <c r="B45" s="276"/>
      <c r="C45" s="276"/>
      <c r="D45" s="276"/>
      <c r="E45" s="189"/>
      <c r="F45" s="276"/>
      <c r="G45" s="276"/>
      <c r="H45" s="276"/>
      <c r="I45" s="276"/>
      <c r="J45" s="190"/>
      <c r="K45" s="276"/>
      <c r="L45" s="276"/>
      <c r="M45" s="276"/>
      <c r="N45" s="276"/>
      <c r="O45" s="276"/>
      <c r="P45" s="276"/>
      <c r="Q45" s="276"/>
      <c r="R45" s="276"/>
      <c r="S45" s="276"/>
      <c r="T45" s="143"/>
      <c r="U45" s="99"/>
      <c r="V45" s="7"/>
      <c r="W45" s="187"/>
      <c r="X45" s="187"/>
      <c r="Y45" s="188"/>
      <c r="Z45" s="188"/>
    </row>
    <row r="46" spans="1:31" s="165" customFormat="1" ht="15" customHeight="1">
      <c r="A46" s="131" t="str">
        <f>TH!$A$2</f>
        <v>Địa chỉ: Lô A14, đường 4A, KCN Hải Sơn, Đức Hòa, Long An</v>
      </c>
      <c r="B46" s="276"/>
      <c r="C46" s="276"/>
      <c r="D46" s="276"/>
      <c r="E46" s="189"/>
      <c r="F46" s="276"/>
      <c r="G46" s="276"/>
      <c r="H46" s="276"/>
      <c r="I46" s="276"/>
      <c r="J46" s="190"/>
      <c r="K46" s="276"/>
      <c r="L46" s="276"/>
      <c r="M46" s="276"/>
      <c r="N46" s="276"/>
      <c r="O46" s="276"/>
      <c r="P46" s="276"/>
      <c r="Q46" s="276"/>
      <c r="R46" s="276"/>
      <c r="S46" s="276"/>
      <c r="T46" s="143"/>
      <c r="U46" s="99"/>
      <c r="V46" s="7"/>
      <c r="W46" s="187"/>
      <c r="X46" s="187"/>
      <c r="Y46" s="188"/>
      <c r="Z46" s="188"/>
    </row>
    <row r="47" spans="1:31" s="194" customFormat="1" ht="14.25" customHeight="1">
      <c r="A47" s="192"/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99"/>
      <c r="V47" s="7"/>
      <c r="W47" s="193"/>
      <c r="X47" s="193"/>
      <c r="Y47" s="193"/>
      <c r="Z47" s="193"/>
    </row>
    <row r="48" spans="1:31" s="196" customFormat="1" ht="24" customHeight="1">
      <c r="A48" s="446" t="s">
        <v>19</v>
      </c>
      <c r="B48" s="446" t="s">
        <v>20</v>
      </c>
      <c r="C48" s="436" t="s">
        <v>1</v>
      </c>
      <c r="D48" s="436" t="s">
        <v>2</v>
      </c>
      <c r="E48" s="448" t="s">
        <v>56</v>
      </c>
      <c r="F48" s="424" t="s">
        <v>26</v>
      </c>
      <c r="G48" s="432"/>
      <c r="H48" s="432"/>
      <c r="I48" s="432"/>
      <c r="J48" s="432"/>
      <c r="K48" s="425"/>
      <c r="L48" s="433" t="s">
        <v>57</v>
      </c>
      <c r="M48" s="433" t="s">
        <v>5</v>
      </c>
      <c r="N48" s="436" t="s">
        <v>6</v>
      </c>
      <c r="O48" s="436"/>
      <c r="P48" s="436"/>
      <c r="Q48" s="420" t="s">
        <v>7</v>
      </c>
      <c r="R48" s="420" t="s">
        <v>8</v>
      </c>
      <c r="S48" s="420" t="s">
        <v>9</v>
      </c>
      <c r="T48" s="422" t="s">
        <v>10</v>
      </c>
      <c r="U48" s="172"/>
      <c r="V48" s="195"/>
      <c r="W48" s="195"/>
      <c r="X48" s="188"/>
      <c r="Y48" s="188"/>
      <c r="Z48" s="188"/>
      <c r="AA48" s="165"/>
      <c r="AB48" s="165"/>
      <c r="AC48" s="165"/>
      <c r="AD48" s="165"/>
      <c r="AE48" s="165"/>
    </row>
    <row r="49" spans="1:31" s="196" customFormat="1" ht="33.75" customHeight="1">
      <c r="A49" s="447"/>
      <c r="B49" s="447"/>
      <c r="C49" s="436"/>
      <c r="D49" s="436"/>
      <c r="E49" s="448"/>
      <c r="F49" s="424" t="s">
        <v>59</v>
      </c>
      <c r="G49" s="425"/>
      <c r="H49" s="426" t="s">
        <v>189</v>
      </c>
      <c r="I49" s="427"/>
      <c r="J49" s="428" t="s">
        <v>27</v>
      </c>
      <c r="K49" s="420" t="s">
        <v>4</v>
      </c>
      <c r="L49" s="434"/>
      <c r="M49" s="434"/>
      <c r="N49" s="430" t="s">
        <v>12</v>
      </c>
      <c r="O49" s="420" t="s">
        <v>13</v>
      </c>
      <c r="P49" s="420" t="s">
        <v>34</v>
      </c>
      <c r="Q49" s="421"/>
      <c r="R49" s="421"/>
      <c r="S49" s="421"/>
      <c r="T49" s="423"/>
      <c r="U49" s="172"/>
      <c r="V49" s="195"/>
      <c r="W49" s="195"/>
      <c r="X49" s="188"/>
      <c r="Y49" s="188"/>
      <c r="Z49" s="188"/>
      <c r="AA49" s="165"/>
      <c r="AB49" s="165"/>
      <c r="AC49" s="165"/>
      <c r="AD49" s="165"/>
      <c r="AE49" s="165"/>
    </row>
    <row r="50" spans="1:31" s="196" customFormat="1" ht="35.25" customHeight="1">
      <c r="A50" s="447"/>
      <c r="B50" s="447"/>
      <c r="C50" s="420"/>
      <c r="D50" s="420"/>
      <c r="E50" s="448"/>
      <c r="F50" s="277" t="s">
        <v>40</v>
      </c>
      <c r="G50" s="278" t="s">
        <v>18</v>
      </c>
      <c r="H50" s="274" t="s">
        <v>40</v>
      </c>
      <c r="I50" s="278" t="s">
        <v>18</v>
      </c>
      <c r="J50" s="429"/>
      <c r="K50" s="421"/>
      <c r="L50" s="435"/>
      <c r="M50" s="435"/>
      <c r="N50" s="431"/>
      <c r="O50" s="421"/>
      <c r="P50" s="421"/>
      <c r="Q50" s="421"/>
      <c r="R50" s="421"/>
      <c r="S50" s="421"/>
      <c r="T50" s="423"/>
      <c r="U50" s="172"/>
      <c r="V50" s="195"/>
      <c r="W50" s="195"/>
      <c r="X50" s="188"/>
      <c r="Y50" s="188"/>
      <c r="Z50" s="188"/>
      <c r="AA50" s="165"/>
      <c r="AB50" s="165"/>
      <c r="AC50" s="165"/>
      <c r="AD50" s="165"/>
      <c r="AE50" s="165"/>
    </row>
    <row r="51" spans="1:31" s="201" customFormat="1" ht="12.75" customHeight="1">
      <c r="A51" s="197">
        <v>1</v>
      </c>
      <c r="B51" s="197">
        <v>2</v>
      </c>
      <c r="C51" s="197">
        <v>3</v>
      </c>
      <c r="D51" s="197">
        <v>4</v>
      </c>
      <c r="E51" s="197">
        <v>5</v>
      </c>
      <c r="F51" s="197">
        <v>7</v>
      </c>
      <c r="G51" s="197">
        <v>8</v>
      </c>
      <c r="H51" s="197">
        <v>9</v>
      </c>
      <c r="I51" s="197">
        <v>10</v>
      </c>
      <c r="J51" s="197">
        <v>13</v>
      </c>
      <c r="K51" s="197">
        <v>14</v>
      </c>
      <c r="L51" s="197">
        <v>16</v>
      </c>
      <c r="M51" s="79">
        <v>17</v>
      </c>
      <c r="N51" s="197">
        <v>24</v>
      </c>
      <c r="O51" s="197">
        <v>25</v>
      </c>
      <c r="P51" s="197">
        <v>26</v>
      </c>
      <c r="Q51" s="197">
        <v>29</v>
      </c>
      <c r="R51" s="197">
        <v>30</v>
      </c>
      <c r="S51" s="197">
        <v>31</v>
      </c>
      <c r="T51" s="197">
        <v>32</v>
      </c>
      <c r="U51" s="172"/>
      <c r="V51" s="198"/>
      <c r="W51" s="198"/>
      <c r="X51" s="199"/>
      <c r="Y51" s="199"/>
      <c r="Z51" s="199"/>
      <c r="AA51" s="200"/>
      <c r="AB51" s="200"/>
      <c r="AC51" s="200"/>
      <c r="AD51" s="200"/>
      <c r="AE51" s="200"/>
    </row>
    <row r="52" spans="1:31" s="211" customFormat="1" ht="23.25" customHeight="1">
      <c r="A52" s="202">
        <v>1</v>
      </c>
      <c r="B52" s="202" t="s">
        <v>68</v>
      </c>
      <c r="C52" s="203" t="str">
        <f t="shared" ref="C52:C58" si="20">VLOOKUP(B52,DS,2,0)</f>
        <v>Nguyễn Thiện Duy</v>
      </c>
      <c r="D52" s="204" t="str">
        <f t="shared" ref="D52:D58" si="21">VLOOKUP(B52,DS,3,0)</f>
        <v>Giám đốc</v>
      </c>
      <c r="E52" s="205">
        <f>VLOOKUP(B52,TH!$B$11:$E$52,4,0)</f>
        <v>10851000</v>
      </c>
      <c r="F52" s="87">
        <f>VLOOKUP($B52,'CC - 02'!$B$9:$AR$100,36,0)</f>
        <v>18</v>
      </c>
      <c r="G52" s="206">
        <f t="shared" ref="G52:G58" si="22">ROUND(E52/$U$2*F52,0)</f>
        <v>9300857</v>
      </c>
      <c r="H52" s="87">
        <f>(VLOOKUP($B52,'CC - 02'!$B$9:$AN$99,37,0)+(VLOOKUP($B52,'CC - 02'!$B$9:$AN$99,38,0)))</f>
        <v>0</v>
      </c>
      <c r="I52" s="206">
        <f t="shared" ref="I52:I58" si="23">ROUND(E52/$U$2*H52,0)</f>
        <v>0</v>
      </c>
      <c r="J52" s="207">
        <f t="shared" ref="J52:K58" si="24">F52+H52</f>
        <v>18</v>
      </c>
      <c r="K52" s="37">
        <f t="shared" si="24"/>
        <v>9300857</v>
      </c>
      <c r="L52" s="85">
        <f>+F52*15000</f>
        <v>270000</v>
      </c>
      <c r="M52" s="208">
        <f t="shared" ref="M52:M58" si="25">K52+SUM(L52:L52)</f>
        <v>9570857</v>
      </c>
      <c r="N52" s="38">
        <f t="shared" ref="N52:N58" si="26">IF(VLOOKUP(B52,DS,10,0)="x",E52*$N$4,0)</f>
        <v>868080</v>
      </c>
      <c r="O52" s="38">
        <f t="shared" ref="O52:O58" si="27">IF(VLOOKUP(B52,DS,10,0)="x",E52*$O$4,0)</f>
        <v>162765</v>
      </c>
      <c r="P52" s="38">
        <f t="shared" ref="P52:P58" si="28">IF(VLOOKUP(B52,DS,10,0)="x",E52*$P$4,0)</f>
        <v>108510</v>
      </c>
      <c r="Q52" s="206">
        <f t="shared" ref="Q52:Q58" si="29">M52-SUM(N52:P52)</f>
        <v>8431502</v>
      </c>
      <c r="R52" s="206">
        <f t="shared" ref="R52:R58" si="30">VLOOKUP(B52,DS,23,0)</f>
        <v>0</v>
      </c>
      <c r="S52" s="209">
        <f>Q52-R52</f>
        <v>8431502</v>
      </c>
      <c r="T52" s="206"/>
      <c r="U52" s="172"/>
      <c r="V52" s="210"/>
      <c r="W52" s="195"/>
      <c r="X52" s="188"/>
      <c r="Y52" s="188"/>
      <c r="Z52" s="188"/>
      <c r="AA52" s="165"/>
      <c r="AB52" s="165"/>
      <c r="AC52" s="165"/>
      <c r="AD52" s="165"/>
      <c r="AE52" s="165"/>
    </row>
    <row r="53" spans="1:31" s="336" customFormat="1" ht="23.25" customHeight="1">
      <c r="A53" s="319">
        <v>2</v>
      </c>
      <c r="B53" s="319" t="s">
        <v>70</v>
      </c>
      <c r="C53" s="320" t="str">
        <f t="shared" si="20"/>
        <v>Nguyễn Văn Sẽ</v>
      </c>
      <c r="D53" s="321" t="str">
        <f t="shared" si="21"/>
        <v>Kỹ Thuật</v>
      </c>
      <c r="E53" s="322">
        <f>VLOOKUP(B53,TH!$B$11:$E$52,4,0)</f>
        <v>4895000</v>
      </c>
      <c r="F53" s="323">
        <f>VLOOKUP($B53,'CC - 02'!$B$9:$AR$100,36,0)</f>
        <v>20</v>
      </c>
      <c r="G53" s="324">
        <f t="shared" si="22"/>
        <v>4661905</v>
      </c>
      <c r="H53" s="323">
        <f>(VLOOKUP($B53,'CC - 02'!$B$9:$AN$99,37,0)+(VLOOKUP($B53,'CC - 02'!$B$9:$AN$99,38,0)))</f>
        <v>0</v>
      </c>
      <c r="I53" s="324">
        <f t="shared" si="23"/>
        <v>0</v>
      </c>
      <c r="J53" s="325">
        <f t="shared" si="24"/>
        <v>20</v>
      </c>
      <c r="K53" s="326">
        <f t="shared" si="24"/>
        <v>4661905</v>
      </c>
      <c r="L53" s="327">
        <f t="shared" ref="L53:L58" si="31">+F53*15000</f>
        <v>300000</v>
      </c>
      <c r="M53" s="328">
        <f t="shared" si="25"/>
        <v>4961905</v>
      </c>
      <c r="N53" s="329">
        <f t="shared" si="26"/>
        <v>391600</v>
      </c>
      <c r="O53" s="329">
        <f t="shared" si="27"/>
        <v>73425</v>
      </c>
      <c r="P53" s="329">
        <f t="shared" si="28"/>
        <v>48950</v>
      </c>
      <c r="Q53" s="324">
        <f t="shared" si="29"/>
        <v>4447930</v>
      </c>
      <c r="R53" s="324">
        <f t="shared" si="30"/>
        <v>0</v>
      </c>
      <c r="S53" s="330">
        <f t="shared" ref="S53:S58" si="32">Q53-R53</f>
        <v>4447930</v>
      </c>
      <c r="T53" s="324"/>
      <c r="U53" s="331"/>
      <c r="V53" s="332"/>
      <c r="W53" s="333"/>
      <c r="X53" s="334"/>
      <c r="Y53" s="334"/>
      <c r="Z53" s="334"/>
      <c r="AA53" s="335"/>
      <c r="AB53" s="335"/>
      <c r="AC53" s="335"/>
      <c r="AD53" s="335"/>
      <c r="AE53" s="335"/>
    </row>
    <row r="54" spans="1:31" s="336" customFormat="1" ht="23.25" customHeight="1">
      <c r="A54" s="319">
        <v>3</v>
      </c>
      <c r="B54" s="319" t="s">
        <v>72</v>
      </c>
      <c r="C54" s="320" t="str">
        <f t="shared" si="20"/>
        <v>Võ Uyên Phương</v>
      </c>
      <c r="D54" s="321" t="str">
        <f t="shared" si="21"/>
        <v>Kế toán</v>
      </c>
      <c r="E54" s="322">
        <f>VLOOKUP(B54,TH!$B$11:$E$52,4,0)</f>
        <v>4895000</v>
      </c>
      <c r="F54" s="323">
        <f>VLOOKUP($B54,'CC - 02'!$B$9:$AR$100,36,0)</f>
        <v>20</v>
      </c>
      <c r="G54" s="324">
        <f t="shared" si="22"/>
        <v>4661905</v>
      </c>
      <c r="H54" s="323">
        <f>(VLOOKUP($B54,'CC - 02'!$B$9:$AN$99,37,0)+(VLOOKUP($B54,'CC - 02'!$B$9:$AN$99,38,0)))</f>
        <v>0</v>
      </c>
      <c r="I54" s="324">
        <f t="shared" si="23"/>
        <v>0</v>
      </c>
      <c r="J54" s="325">
        <f t="shared" si="24"/>
        <v>20</v>
      </c>
      <c r="K54" s="326">
        <f t="shared" si="24"/>
        <v>4661905</v>
      </c>
      <c r="L54" s="327">
        <f t="shared" si="31"/>
        <v>300000</v>
      </c>
      <c r="M54" s="328">
        <f t="shared" si="25"/>
        <v>4961905</v>
      </c>
      <c r="N54" s="329">
        <f t="shared" si="26"/>
        <v>391600</v>
      </c>
      <c r="O54" s="329">
        <f t="shared" si="27"/>
        <v>73425</v>
      </c>
      <c r="P54" s="329">
        <f t="shared" si="28"/>
        <v>48950</v>
      </c>
      <c r="Q54" s="324">
        <f t="shared" si="29"/>
        <v>4447930</v>
      </c>
      <c r="R54" s="324">
        <f t="shared" si="30"/>
        <v>0</v>
      </c>
      <c r="S54" s="330">
        <f t="shared" si="32"/>
        <v>4447930</v>
      </c>
      <c r="T54" s="324"/>
      <c r="U54" s="331"/>
      <c r="V54" s="332"/>
      <c r="W54" s="333"/>
      <c r="X54" s="334"/>
      <c r="Y54" s="334"/>
      <c r="Z54" s="334"/>
      <c r="AA54" s="335"/>
      <c r="AB54" s="335"/>
      <c r="AC54" s="335"/>
      <c r="AD54" s="335"/>
      <c r="AE54" s="335"/>
    </row>
    <row r="55" spans="1:31" s="211" customFormat="1" ht="23.25" customHeight="1">
      <c r="A55" s="202">
        <v>4</v>
      </c>
      <c r="B55" s="202" t="s">
        <v>75</v>
      </c>
      <c r="C55" s="203" t="str">
        <f t="shared" si="20"/>
        <v>Lê Nguyễn Huy Cường</v>
      </c>
      <c r="D55" s="204" t="str">
        <f t="shared" si="21"/>
        <v>XNK</v>
      </c>
      <c r="E55" s="205">
        <f>VLOOKUP(B55,TH!$B$11:$E$52,4,0)</f>
        <v>4336000</v>
      </c>
      <c r="F55" s="87">
        <f>VLOOKUP($B55,'CC - 02'!$B$9:$AR$100,36,0)</f>
        <v>20</v>
      </c>
      <c r="G55" s="206">
        <f t="shared" si="22"/>
        <v>4129524</v>
      </c>
      <c r="H55" s="87">
        <f>(VLOOKUP($B55,'CC - 02'!$B$9:$AN$99,37,0)+(VLOOKUP($B55,'CC - 02'!$B$9:$AN$99,38,0)))</f>
        <v>0</v>
      </c>
      <c r="I55" s="206">
        <f t="shared" si="23"/>
        <v>0</v>
      </c>
      <c r="J55" s="207">
        <f t="shared" si="24"/>
        <v>20</v>
      </c>
      <c r="K55" s="37">
        <f t="shared" si="24"/>
        <v>4129524</v>
      </c>
      <c r="L55" s="85">
        <f t="shared" si="31"/>
        <v>300000</v>
      </c>
      <c r="M55" s="208">
        <f t="shared" si="25"/>
        <v>4429524</v>
      </c>
      <c r="N55" s="38">
        <f t="shared" si="26"/>
        <v>346880</v>
      </c>
      <c r="O55" s="38">
        <f t="shared" si="27"/>
        <v>65040</v>
      </c>
      <c r="P55" s="38">
        <f t="shared" si="28"/>
        <v>43360</v>
      </c>
      <c r="Q55" s="206">
        <f t="shared" si="29"/>
        <v>3974244</v>
      </c>
      <c r="R55" s="206">
        <f t="shared" si="30"/>
        <v>0</v>
      </c>
      <c r="S55" s="209">
        <f t="shared" si="32"/>
        <v>3974244</v>
      </c>
      <c r="T55" s="206"/>
      <c r="U55" s="172"/>
      <c r="V55" s="210"/>
      <c r="W55" s="195"/>
      <c r="X55" s="188"/>
      <c r="Y55" s="188"/>
      <c r="Z55" s="188"/>
      <c r="AA55" s="165"/>
      <c r="AB55" s="165"/>
      <c r="AC55" s="165"/>
      <c r="AD55" s="165"/>
      <c r="AE55" s="165"/>
    </row>
    <row r="56" spans="1:31" s="336" customFormat="1" ht="23.25" customHeight="1">
      <c r="A56" s="319">
        <v>5</v>
      </c>
      <c r="B56" s="319" t="s">
        <v>77</v>
      </c>
      <c r="C56" s="320" t="str">
        <f t="shared" si="20"/>
        <v>Nguyễn Văn Bé Tư</v>
      </c>
      <c r="D56" s="321" t="str">
        <f t="shared" si="21"/>
        <v>Tài xế</v>
      </c>
      <c r="E56" s="322">
        <f>VLOOKUP(B56,TH!$B$11:$E$52,4,0)</f>
        <v>3776000</v>
      </c>
      <c r="F56" s="323">
        <f>VLOOKUP($B56,'CC - 02'!$B$9:$AR$100,36,0)</f>
        <v>20</v>
      </c>
      <c r="G56" s="324">
        <f t="shared" si="22"/>
        <v>3596190</v>
      </c>
      <c r="H56" s="323">
        <f>(VLOOKUP($B56,'CC - 02'!$B$9:$AN$99,37,0)+(VLOOKUP($B56,'CC - 02'!$B$9:$AN$99,38,0)))</f>
        <v>0</v>
      </c>
      <c r="I56" s="324">
        <f t="shared" si="23"/>
        <v>0</v>
      </c>
      <c r="J56" s="325">
        <f t="shared" si="24"/>
        <v>20</v>
      </c>
      <c r="K56" s="326">
        <f t="shared" si="24"/>
        <v>3596190</v>
      </c>
      <c r="L56" s="327">
        <f t="shared" si="31"/>
        <v>300000</v>
      </c>
      <c r="M56" s="328">
        <f t="shared" si="25"/>
        <v>3896190</v>
      </c>
      <c r="N56" s="329">
        <f t="shared" si="26"/>
        <v>302080</v>
      </c>
      <c r="O56" s="329">
        <f t="shared" si="27"/>
        <v>56640</v>
      </c>
      <c r="P56" s="329">
        <f t="shared" si="28"/>
        <v>37760</v>
      </c>
      <c r="Q56" s="324">
        <f t="shared" si="29"/>
        <v>3499710</v>
      </c>
      <c r="R56" s="324">
        <f t="shared" si="30"/>
        <v>0</v>
      </c>
      <c r="S56" s="330">
        <f t="shared" si="32"/>
        <v>3499710</v>
      </c>
      <c r="T56" s="324"/>
      <c r="U56" s="331"/>
      <c r="V56" s="332"/>
      <c r="W56" s="333"/>
      <c r="X56" s="334"/>
      <c r="Y56" s="334"/>
      <c r="Z56" s="334"/>
      <c r="AA56" s="335"/>
      <c r="AB56" s="335"/>
      <c r="AC56" s="335"/>
      <c r="AD56" s="335"/>
      <c r="AE56" s="335"/>
    </row>
    <row r="57" spans="1:31" s="211" customFormat="1" ht="23.25" customHeight="1">
      <c r="A57" s="202">
        <v>6</v>
      </c>
      <c r="B57" s="202" t="s">
        <v>78</v>
      </c>
      <c r="C57" s="203" t="str">
        <f t="shared" si="20"/>
        <v>Dương Thanh Tuấn</v>
      </c>
      <c r="D57" s="204" t="str">
        <f t="shared" si="21"/>
        <v>Nhân sự</v>
      </c>
      <c r="E57" s="205">
        <f>VLOOKUP(B57,TH!$B$11:$E$52,4,0)</f>
        <v>4056000</v>
      </c>
      <c r="F57" s="87">
        <f>VLOOKUP($B57,'CC - 02'!$B$9:$AR$100,36,0)</f>
        <v>20</v>
      </c>
      <c r="G57" s="206">
        <f t="shared" si="22"/>
        <v>3862857</v>
      </c>
      <c r="H57" s="87">
        <f>(VLOOKUP($B57,'CC - 02'!$B$9:$AN$99,37,0)+(VLOOKUP($B57,'CC - 02'!$B$9:$AN$99,38,0)))</f>
        <v>0</v>
      </c>
      <c r="I57" s="206">
        <f t="shared" si="23"/>
        <v>0</v>
      </c>
      <c r="J57" s="207">
        <f t="shared" si="24"/>
        <v>20</v>
      </c>
      <c r="K57" s="37">
        <f t="shared" si="24"/>
        <v>3862857</v>
      </c>
      <c r="L57" s="85">
        <f t="shared" si="31"/>
        <v>300000</v>
      </c>
      <c r="M57" s="208">
        <f t="shared" si="25"/>
        <v>4162857</v>
      </c>
      <c r="N57" s="38">
        <f t="shared" si="26"/>
        <v>324480</v>
      </c>
      <c r="O57" s="38">
        <f t="shared" si="27"/>
        <v>60840</v>
      </c>
      <c r="P57" s="38">
        <f t="shared" si="28"/>
        <v>40560</v>
      </c>
      <c r="Q57" s="206">
        <f t="shared" si="29"/>
        <v>3736977</v>
      </c>
      <c r="R57" s="206">
        <f t="shared" si="30"/>
        <v>0</v>
      </c>
      <c r="S57" s="209">
        <f t="shared" si="32"/>
        <v>3736977</v>
      </c>
      <c r="T57" s="206"/>
      <c r="U57" s="172"/>
      <c r="V57" s="210"/>
      <c r="W57" s="195"/>
      <c r="X57" s="188"/>
      <c r="Y57" s="188"/>
      <c r="Z57" s="188"/>
      <c r="AA57" s="165"/>
      <c r="AB57" s="165"/>
      <c r="AC57" s="165"/>
      <c r="AD57" s="165"/>
      <c r="AE57" s="165"/>
    </row>
    <row r="58" spans="1:31" s="211" customFormat="1" ht="23.25" customHeight="1">
      <c r="A58" s="202">
        <v>7</v>
      </c>
      <c r="B58" s="202" t="s">
        <v>81</v>
      </c>
      <c r="C58" s="203" t="str">
        <f t="shared" si="20"/>
        <v>Nguyễn Thiện Duyệt</v>
      </c>
      <c r="D58" s="204" t="str">
        <f t="shared" si="21"/>
        <v>XNK</v>
      </c>
      <c r="E58" s="205">
        <f>VLOOKUP(B58,TH!$B$11:$E$52,4,0)</f>
        <v>4840000</v>
      </c>
      <c r="F58" s="87">
        <f>VLOOKUP($B58,'CC - 02'!$B$9:$AR$100,36,0)</f>
        <v>20</v>
      </c>
      <c r="G58" s="206">
        <f t="shared" si="22"/>
        <v>4609524</v>
      </c>
      <c r="H58" s="87">
        <f>(VLOOKUP($B58,'CC - 02'!$B$9:$AN$99,37,0)+(VLOOKUP($B58,'CC - 02'!$B$9:$AN$99,38,0)))</f>
        <v>0</v>
      </c>
      <c r="I58" s="206">
        <f t="shared" si="23"/>
        <v>0</v>
      </c>
      <c r="J58" s="207">
        <f t="shared" si="24"/>
        <v>20</v>
      </c>
      <c r="K58" s="37">
        <f t="shared" si="24"/>
        <v>4609524</v>
      </c>
      <c r="L58" s="85">
        <f t="shared" si="31"/>
        <v>300000</v>
      </c>
      <c r="M58" s="208">
        <f t="shared" si="25"/>
        <v>4909524</v>
      </c>
      <c r="N58" s="38">
        <f t="shared" si="26"/>
        <v>387200</v>
      </c>
      <c r="O58" s="38">
        <f t="shared" si="27"/>
        <v>72600</v>
      </c>
      <c r="P58" s="38">
        <f t="shared" si="28"/>
        <v>48400</v>
      </c>
      <c r="Q58" s="206">
        <f t="shared" si="29"/>
        <v>4401324</v>
      </c>
      <c r="R58" s="206">
        <f t="shared" si="30"/>
        <v>0</v>
      </c>
      <c r="S58" s="209">
        <f t="shared" si="32"/>
        <v>4401324</v>
      </c>
      <c r="T58" s="206"/>
      <c r="U58" s="172"/>
      <c r="V58" s="210"/>
      <c r="W58" s="195"/>
      <c r="X58" s="188"/>
      <c r="Y58" s="188"/>
      <c r="Z58" s="188"/>
      <c r="AA58" s="165"/>
      <c r="AB58" s="165"/>
      <c r="AC58" s="165"/>
      <c r="AD58" s="165"/>
      <c r="AE58" s="165"/>
    </row>
    <row r="59" spans="1:31" s="211" customFormat="1" ht="22.5" customHeight="1">
      <c r="A59" s="202">
        <v>8</v>
      </c>
      <c r="B59" s="202" t="s">
        <v>192</v>
      </c>
      <c r="C59" s="203" t="str">
        <f t="shared" ref="C59" si="33">VLOOKUP(B59,DS,2,0)</f>
        <v>Trần Đình Thái</v>
      </c>
      <c r="D59" s="204" t="str">
        <f t="shared" ref="D59" si="34">VLOOKUP(B59,DS,3,0)</f>
        <v>Cơ Điện</v>
      </c>
      <c r="E59" s="205">
        <f>VLOOKUP(B59,TH!$B$11:$E$52,4,0)</f>
        <v>3568000</v>
      </c>
      <c r="F59" s="87">
        <f>VLOOKUP($B59,'CC - 02'!$B$9:$AR$100,36,0)</f>
        <v>3</v>
      </c>
      <c r="G59" s="206">
        <f t="shared" ref="G59" si="35">ROUND(E59/$U$2*F59,0)</f>
        <v>509714</v>
      </c>
      <c r="H59" s="87">
        <f>(VLOOKUP($B59,'CC - 02'!$B$9:$AN$99,37,0)+(VLOOKUP($B59,'CC - 02'!$B$9:$AN$99,38,0)))</f>
        <v>0</v>
      </c>
      <c r="I59" s="206">
        <f t="shared" ref="I59" si="36">ROUND(E59/$U$2*H59,0)</f>
        <v>0</v>
      </c>
      <c r="J59" s="207">
        <f t="shared" ref="J59" si="37">F59+H59</f>
        <v>3</v>
      </c>
      <c r="K59" s="37">
        <f t="shared" ref="K59" si="38">G59+I59</f>
        <v>509714</v>
      </c>
      <c r="L59" s="85">
        <f t="shared" ref="L59" si="39">+F59*15000</f>
        <v>45000</v>
      </c>
      <c r="M59" s="208">
        <f t="shared" ref="M59" si="40">K59+SUM(L59:L59)</f>
        <v>554714</v>
      </c>
      <c r="N59" s="38"/>
      <c r="O59" s="38"/>
      <c r="P59" s="38"/>
      <c r="Q59" s="206">
        <f t="shared" ref="Q59" si="41">M59-SUM(N59:P59)</f>
        <v>554714</v>
      </c>
      <c r="R59" s="206">
        <f t="shared" ref="R59" si="42">VLOOKUP(B59,DS,23,0)</f>
        <v>0</v>
      </c>
      <c r="S59" s="209">
        <f t="shared" ref="S59" si="43">Q59-R59</f>
        <v>554714</v>
      </c>
      <c r="T59" s="206"/>
      <c r="U59" s="172"/>
      <c r="V59" s="210"/>
      <c r="W59" s="210"/>
      <c r="X59" s="210"/>
      <c r="Y59" s="210"/>
      <c r="Z59" s="210"/>
    </row>
    <row r="60" spans="1:31" s="216" customFormat="1" ht="21" customHeight="1">
      <c r="A60" s="418" t="s">
        <v>25</v>
      </c>
      <c r="B60" s="419"/>
      <c r="C60" s="419"/>
      <c r="D60" s="419"/>
      <c r="E60" s="213">
        <f>SUM(E52:E59)</f>
        <v>41217000</v>
      </c>
      <c r="F60" s="213"/>
      <c r="G60" s="213">
        <f t="shared" ref="G60:S60" si="44">SUM(G52:G59)</f>
        <v>35332476</v>
      </c>
      <c r="H60" s="213">
        <f t="shared" si="44"/>
        <v>0</v>
      </c>
      <c r="I60" s="213">
        <f t="shared" si="44"/>
        <v>0</v>
      </c>
      <c r="J60" s="213">
        <f t="shared" si="44"/>
        <v>141</v>
      </c>
      <c r="K60" s="214">
        <f t="shared" si="44"/>
        <v>35332476</v>
      </c>
      <c r="L60" s="214">
        <f t="shared" si="44"/>
        <v>2115000</v>
      </c>
      <c r="M60" s="214">
        <f t="shared" si="44"/>
        <v>37447476</v>
      </c>
      <c r="N60" s="214">
        <f t="shared" si="44"/>
        <v>3011920</v>
      </c>
      <c r="O60" s="214">
        <f t="shared" si="44"/>
        <v>564735</v>
      </c>
      <c r="P60" s="214">
        <f t="shared" si="44"/>
        <v>376490</v>
      </c>
      <c r="Q60" s="214">
        <f t="shared" si="44"/>
        <v>33494331</v>
      </c>
      <c r="R60" s="214">
        <f t="shared" si="44"/>
        <v>0</v>
      </c>
      <c r="S60" s="214">
        <f t="shared" si="44"/>
        <v>33494331</v>
      </c>
      <c r="T60" s="214"/>
      <c r="U60" s="172"/>
      <c r="V60" s="215"/>
      <c r="W60" s="215"/>
      <c r="X60" s="215"/>
      <c r="Y60" s="215"/>
      <c r="Z60" s="215"/>
    </row>
    <row r="61" spans="1:31" s="224" customFormat="1" ht="13.5" customHeight="1">
      <c r="A61" s="217"/>
      <c r="B61" s="217"/>
      <c r="C61" s="218"/>
      <c r="D61" s="219"/>
      <c r="E61" s="220">
        <f>E60-E59</f>
        <v>37649000</v>
      </c>
      <c r="F61" s="218"/>
      <c r="G61" s="218"/>
      <c r="H61" s="218"/>
      <c r="I61" s="218"/>
      <c r="J61" s="221"/>
      <c r="K61" s="218"/>
      <c r="L61" s="218"/>
      <c r="M61" s="222"/>
      <c r="N61" s="218"/>
      <c r="O61" s="218"/>
      <c r="P61" s="218"/>
      <c r="Q61" s="218"/>
      <c r="R61" s="218"/>
      <c r="S61" s="218"/>
      <c r="T61" s="218"/>
      <c r="U61" s="172"/>
      <c r="V61" s="223"/>
      <c r="W61" s="223"/>
      <c r="X61" s="223"/>
      <c r="Y61" s="223"/>
      <c r="Z61" s="223"/>
    </row>
    <row r="62" spans="1:31" s="211" customFormat="1" ht="17.25" customHeight="1">
      <c r="A62" s="225"/>
      <c r="B62" s="225"/>
      <c r="C62" s="225"/>
      <c r="D62" s="226"/>
      <c r="E62" s="227"/>
      <c r="F62" s="225"/>
      <c r="G62" s="225"/>
      <c r="H62" s="225"/>
      <c r="I62" s="225"/>
      <c r="J62" s="228"/>
      <c r="K62" s="227"/>
      <c r="L62" s="225"/>
      <c r="M62" s="225"/>
      <c r="N62" s="225"/>
      <c r="O62" s="225"/>
      <c r="P62" s="225"/>
      <c r="Q62" s="225"/>
      <c r="R62" s="225"/>
      <c r="S62" s="229" t="str">
        <f>$S$33</f>
        <v>Long An, ngày  29   tháng   02   năm 2017</v>
      </c>
      <c r="T62" s="225"/>
      <c r="U62" s="230"/>
      <c r="V62" s="210"/>
      <c r="W62" s="210"/>
      <c r="X62" s="210"/>
      <c r="Y62" s="210"/>
      <c r="Z62" s="210"/>
    </row>
    <row r="63" spans="1:31" s="211" customFormat="1" ht="12.75">
      <c r="A63" s="231"/>
      <c r="B63" s="231"/>
      <c r="C63" s="230" t="s">
        <v>60</v>
      </c>
      <c r="D63" s="232"/>
      <c r="E63" s="191"/>
      <c r="F63" s="230"/>
      <c r="G63" s="191"/>
      <c r="H63" s="191"/>
      <c r="I63" s="191"/>
      <c r="J63" s="233"/>
      <c r="K63" s="210"/>
      <c r="L63" s="234"/>
      <c r="M63" s="241"/>
      <c r="N63" s="235"/>
      <c r="O63" s="235"/>
      <c r="P63" s="235"/>
      <c r="Q63" s="235"/>
      <c r="S63" s="235" t="s">
        <v>22</v>
      </c>
      <c r="T63" s="230"/>
      <c r="U63" s="230"/>
      <c r="V63" s="210"/>
      <c r="W63" s="210"/>
      <c r="X63" s="210"/>
      <c r="Y63" s="210"/>
      <c r="Z63" s="210"/>
    </row>
    <row r="64" spans="1:31" s="224" customFormat="1" ht="12">
      <c r="A64" s="217"/>
      <c r="B64" s="217"/>
      <c r="C64" s="236"/>
      <c r="D64" s="236"/>
      <c r="E64" s="237"/>
      <c r="F64" s="175"/>
      <c r="G64" s="237"/>
      <c r="H64" s="237"/>
      <c r="I64" s="237"/>
      <c r="J64" s="221"/>
      <c r="K64" s="223"/>
      <c r="L64" s="238"/>
      <c r="N64" s="239"/>
      <c r="O64" s="239"/>
      <c r="P64" s="239"/>
      <c r="Q64" s="239"/>
      <c r="S64" s="239"/>
      <c r="T64" s="175"/>
      <c r="U64" s="172"/>
      <c r="V64" s="223"/>
      <c r="W64" s="223"/>
      <c r="X64" s="223"/>
      <c r="Y64" s="223"/>
      <c r="Z64" s="223"/>
    </row>
    <row r="66" spans="6:6">
      <c r="F66" s="299"/>
    </row>
  </sheetData>
  <protectedRanges>
    <protectedRange password="CC78" sqref="V30:IK31 A10:B11 L30 C5:D7 B34:C34 V5:W9 A30:A35 B30:B33 B35 A65:A95 V12:W12 Q5:T7 AF5:IK12 L31:T31 V25:W25 E5:I6 D31:I31 N5:P6 L5 Q10:S11 L50 L34 J6:K7 L7 L48 AF25:IK25 A37:A43 N30:S30 W37:IK43 W10:W11 C65:IK95 J30:K31 A96:IK65363 C37:T43 B37:B51 V37:V47 H49:I49 B54:B95" name="Range1"/>
    <protectedRange password="CC78" sqref="F7:H7 H50" name="Range1_4"/>
    <protectedRange password="CC78" sqref="V34:IK35 S34:T35 N34:Q35 E34:I35" name="Range1_1_1"/>
    <protectedRange password="CC78" sqref="U1 W1:IK3 V4:IK4 B4:T4 U4:U12 X5:AE12 U25 X25:AE25 B1:Q3 R2:S3 U30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60 C48:D50 B63:C63 V48:W51 B64 N48:P49 Q48:T50 E48:I48 AF48:IK58 D60:T60 J49:K50 L63 W52:W58 A54:B57 E49:G49 A52:A53 Q52:S59 B58:B62 A58:A64" name="Range1_3"/>
    <protectedRange password="CC78" sqref="F50:G50" name="Range1_4_2"/>
    <protectedRange password="CC78" sqref="V63:IK64 N63:Q64 S63:T64 E63:I64" name="Range1_1_1_1"/>
    <protectedRange password="CC78" sqref="W44:IK47 U48:U64 X48:AE58 B47:T47 B44:Q46 R45:S46" name="Range1_2_2"/>
    <protectedRange password="CC78" sqref="V52:V58" name="Range1_1_2"/>
    <protectedRange password="CC78" sqref="A44" name="Range1_2_1_1_1"/>
    <protectedRange password="CC78" sqref="I50" name="Range1_4_1_1"/>
    <protectedRange password="CC78" sqref="AF13:IK24 W13:W24 Q13:S24 A13:B14 AF26:IK29 W26:W29 Q26:S29 B15:B24 A15:A26 A26:B29" name="Range1_5"/>
    <protectedRange password="CC78" sqref="X13:AE24 U13:U24 X26:AE29 U26:U29" name="Range1_2_3"/>
    <protectedRange password="CC78" sqref="V13:V24 V26:V29" name="Range1_1_3"/>
    <protectedRange password="CC78" sqref="K10:K11 K13:K24 K26:K29 K52:K59" name="Range1_6"/>
    <protectedRange password="CC78" sqref="A2:A3 A45:A46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8:A50"/>
    <mergeCell ref="B48:B50"/>
    <mergeCell ref="C48:C50"/>
    <mergeCell ref="D48:D50"/>
    <mergeCell ref="E48:E50"/>
    <mergeCell ref="O6:O7"/>
    <mergeCell ref="P6:P7"/>
    <mergeCell ref="A31:D31"/>
    <mergeCell ref="D44:Q44"/>
    <mergeCell ref="R44:T44"/>
    <mergeCell ref="F6:G6"/>
    <mergeCell ref="H6:I6"/>
    <mergeCell ref="J6:J7"/>
    <mergeCell ref="K6:K7"/>
    <mergeCell ref="A60:D60"/>
    <mergeCell ref="S48:S50"/>
    <mergeCell ref="T48:T50"/>
    <mergeCell ref="F49:G49"/>
    <mergeCell ref="H49:I49"/>
    <mergeCell ref="J49:J50"/>
    <mergeCell ref="K49:K50"/>
    <mergeCell ref="N49:N50"/>
    <mergeCell ref="O49:O50"/>
    <mergeCell ref="P49:P50"/>
    <mergeCell ref="F48:K48"/>
    <mergeCell ref="L48:L50"/>
    <mergeCell ref="M48:M50"/>
    <mergeCell ref="N48:P48"/>
    <mergeCell ref="Q48:Q50"/>
    <mergeCell ref="R48:R50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TH</vt:lpstr>
      <vt:lpstr>CC - 01</vt:lpstr>
      <vt:lpstr>L - 01</vt:lpstr>
      <vt:lpstr>CC - 02</vt:lpstr>
      <vt:lpstr>L - 02</vt:lpstr>
      <vt:lpstr>Sheet1</vt:lpstr>
      <vt:lpstr>DS</vt:lpstr>
      <vt:lpstr>'CC - 01'!Print_Area</vt:lpstr>
      <vt:lpstr>'CC - 02'!Print_Area</vt:lpstr>
      <vt:lpstr>'L - 01'!Print_Area</vt:lpstr>
      <vt:lpstr>'L - 02'!Print_Area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Le Hoa</cp:lastModifiedBy>
  <cp:lastPrinted>2017-02-27T06:48:07Z</cp:lastPrinted>
  <dcterms:created xsi:type="dcterms:W3CDTF">2011-06-27T04:19:15Z</dcterms:created>
  <dcterms:modified xsi:type="dcterms:W3CDTF">2017-02-28T05:43:26Z</dcterms:modified>
</cp:coreProperties>
</file>