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2505" windowWidth="21840" windowHeight="7575" activeTab="1"/>
  </bookViews>
  <sheets>
    <sheet name="01-18" sheetId="30" r:id="rId1"/>
    <sheet name="VPBANK - 2018" sheetId="29" r:id="rId2"/>
  </sheets>
  <definedNames>
    <definedName name="_Fill" localSheetId="0" hidden="1">#REF!</definedName>
    <definedName name="_Fill" localSheetId="1" hidden="1">#REF!</definedName>
    <definedName name="_Fill" hidden="1">#REF!</definedName>
    <definedName name="_xlnm._FilterDatabase" localSheetId="0" hidden="1">'01-18'!$A$3:$S$18</definedName>
  </definedNames>
  <calcPr calcId="144525"/>
</workbook>
</file>

<file path=xl/calcChain.xml><?xml version="1.0" encoding="utf-8"?>
<calcChain xmlns="http://schemas.openxmlformats.org/spreadsheetml/2006/main">
  <c r="K9" i="29" l="1"/>
  <c r="J5" i="29"/>
  <c r="L8" i="29"/>
  <c r="J8" i="29"/>
  <c r="N38" i="29" l="1"/>
  <c r="K13" i="29"/>
  <c r="F13" i="29"/>
  <c r="L11" i="29"/>
  <c r="J11" i="29"/>
  <c r="L10" i="29"/>
  <c r="J10" i="29"/>
  <c r="L9" i="29"/>
  <c r="J9" i="29"/>
  <c r="L7" i="29"/>
  <c r="J7" i="29"/>
  <c r="E7" i="29"/>
  <c r="L6" i="29"/>
  <c r="J6" i="29"/>
  <c r="E6" i="29"/>
  <c r="L5" i="29"/>
  <c r="E5" i="29"/>
  <c r="R6" i="29"/>
  <c r="T6" i="29" s="1"/>
  <c r="W6" i="29" s="1"/>
  <c r="R7" i="29"/>
  <c r="T7" i="29" s="1"/>
  <c r="W7" i="29" s="1"/>
  <c r="R8" i="29"/>
  <c r="T8" i="29" s="1"/>
  <c r="W8" i="29" s="1"/>
  <c r="R5" i="29"/>
  <c r="T5" i="29" s="1"/>
  <c r="W5" i="29" s="1"/>
  <c r="J13" i="29" l="1"/>
  <c r="L13" i="29"/>
  <c r="E13" i="29"/>
  <c r="P5" i="30"/>
  <c r="P6" i="30"/>
  <c r="P7" i="30"/>
  <c r="P8" i="30"/>
  <c r="P9" i="30"/>
  <c r="P10" i="30"/>
  <c r="P11" i="30"/>
  <c r="P12" i="30"/>
  <c r="P13" i="30"/>
  <c r="P14" i="30"/>
  <c r="P15" i="30"/>
  <c r="P16" i="30"/>
  <c r="P4" i="30"/>
  <c r="O4" i="30"/>
  <c r="O5" i="30"/>
  <c r="O6" i="30"/>
  <c r="O7" i="30"/>
  <c r="O8" i="30"/>
  <c r="O9" i="30"/>
  <c r="N10" i="30"/>
  <c r="N18" i="30" s="1"/>
  <c r="M33" i="30"/>
  <c r="L5" i="30"/>
  <c r="L6" i="30"/>
  <c r="L7" i="30"/>
  <c r="L8" i="30"/>
  <c r="L9" i="30"/>
  <c r="L10" i="30"/>
  <c r="L11" i="30"/>
  <c r="L12" i="30"/>
  <c r="L13" i="30"/>
  <c r="L14" i="30"/>
  <c r="L15" i="30"/>
  <c r="L16" i="30"/>
  <c r="L4" i="30"/>
  <c r="F18" i="30"/>
  <c r="N35" i="30"/>
  <c r="J35" i="30"/>
  <c r="I35" i="30"/>
  <c r="G35" i="30"/>
  <c r="F35" i="30"/>
  <c r="E35" i="30"/>
  <c r="P33" i="30"/>
  <c r="O33" i="30"/>
  <c r="L33" i="30"/>
  <c r="L35" i="30" s="1"/>
  <c r="K33" i="30"/>
  <c r="A33" i="30"/>
  <c r="Q32" i="30"/>
  <c r="O32" i="30" s="1"/>
  <c r="P32" i="30"/>
  <c r="K32" i="30"/>
  <c r="A32" i="30"/>
  <c r="Q31" i="30"/>
  <c r="O31" i="30" s="1"/>
  <c r="P31" i="30"/>
  <c r="K31" i="30"/>
  <c r="A31" i="30"/>
  <c r="Q30" i="30"/>
  <c r="O30" i="30" s="1"/>
  <c r="P30" i="30"/>
  <c r="K30" i="30"/>
  <c r="A30" i="30"/>
  <c r="Q29" i="30"/>
  <c r="M29" i="30" s="1"/>
  <c r="P29" i="30"/>
  <c r="K29" i="30"/>
  <c r="A29" i="30"/>
  <c r="Q28" i="30"/>
  <c r="O28" i="30" s="1"/>
  <c r="P28" i="30"/>
  <c r="K28" i="30"/>
  <c r="A28" i="30"/>
  <c r="Q27" i="30"/>
  <c r="O27" i="30" s="1"/>
  <c r="P27" i="30"/>
  <c r="K27" i="30"/>
  <c r="A27" i="30"/>
  <c r="Q26" i="30"/>
  <c r="O26" i="30" s="1"/>
  <c r="P26" i="30"/>
  <c r="K26" i="30"/>
  <c r="A26" i="30"/>
  <c r="Q25" i="30"/>
  <c r="M25" i="30" s="1"/>
  <c r="P25" i="30"/>
  <c r="K25" i="30"/>
  <c r="A25" i="30"/>
  <c r="Q24" i="30"/>
  <c r="O24" i="30" s="1"/>
  <c r="P24" i="30"/>
  <c r="K24" i="30"/>
  <c r="A24" i="30"/>
  <c r="Q23" i="30"/>
  <c r="O23" i="30" s="1"/>
  <c r="P23" i="30"/>
  <c r="K23" i="30"/>
  <c r="A23" i="30"/>
  <c r="Q22" i="30"/>
  <c r="O22" i="30" s="1"/>
  <c r="P22" i="30"/>
  <c r="K22" i="30"/>
  <c r="A22" i="30"/>
  <c r="Q21" i="30"/>
  <c r="M21" i="30" s="1"/>
  <c r="P21" i="30"/>
  <c r="K21" i="30"/>
  <c r="A21" i="30"/>
  <c r="Q20" i="30"/>
  <c r="O20" i="30" s="1"/>
  <c r="P20" i="30"/>
  <c r="K20" i="30"/>
  <c r="A20" i="30"/>
  <c r="Q19" i="30"/>
  <c r="O19" i="30" s="1"/>
  <c r="P19" i="30"/>
  <c r="M19" i="30"/>
  <c r="K19" i="30"/>
  <c r="A19" i="30"/>
  <c r="M18" i="30"/>
  <c r="K18" i="30"/>
  <c r="J18" i="30"/>
  <c r="I18" i="30"/>
  <c r="G18" i="30"/>
  <c r="E18" i="30"/>
  <c r="O16" i="30"/>
  <c r="A16" i="30"/>
  <c r="O15" i="30"/>
  <c r="A15" i="30"/>
  <c r="O14" i="30"/>
  <c r="A14" i="30"/>
  <c r="O13" i="30"/>
  <c r="A13" i="30"/>
  <c r="O12" i="30"/>
  <c r="A12" i="30"/>
  <c r="O11" i="30"/>
  <c r="A11" i="30"/>
  <c r="O10" i="30"/>
  <c r="A10" i="30"/>
  <c r="A9" i="30"/>
  <c r="A8" i="30"/>
  <c r="A7" i="30"/>
  <c r="A6" i="30"/>
  <c r="A5" i="30"/>
  <c r="A4" i="30"/>
  <c r="L18" i="30" l="1"/>
  <c r="O21" i="30"/>
  <c r="O25" i="30"/>
  <c r="O29" i="30"/>
  <c r="M23" i="30"/>
  <c r="M27" i="30"/>
  <c r="M31" i="30"/>
  <c r="K35" i="30"/>
  <c r="P35" i="30"/>
  <c r="O18" i="30"/>
  <c r="P18" i="30"/>
  <c r="M20" i="30"/>
  <c r="M22" i="30"/>
  <c r="M24" i="30"/>
  <c r="M26" i="30"/>
  <c r="M28" i="30"/>
  <c r="M30" i="30"/>
  <c r="M32" i="30"/>
  <c r="O35" i="30" l="1"/>
  <c r="M35" i="30"/>
  <c r="W9" i="29" l="1"/>
  <c r="W10" i="29"/>
  <c r="W11" i="29"/>
  <c r="V6" i="29"/>
  <c r="V7" i="29"/>
  <c r="V8" i="29"/>
  <c r="T9" i="29"/>
  <c r="V9" i="29" s="1"/>
  <c r="T10" i="29"/>
  <c r="V10" i="29" s="1"/>
  <c r="T11" i="29"/>
  <c r="V11" i="29" s="1"/>
  <c r="V5" i="29"/>
  <c r="U12" i="29"/>
  <c r="S12" i="29"/>
  <c r="N25" i="29"/>
  <c r="V12" i="29" l="1"/>
  <c r="W12" i="29"/>
  <c r="T12" i="29"/>
</calcChain>
</file>

<file path=xl/sharedStrings.xml><?xml version="1.0" encoding="utf-8"?>
<sst xmlns="http://schemas.openxmlformats.org/spreadsheetml/2006/main" count="122" uniqueCount="79">
  <si>
    <t>USD</t>
  </si>
  <si>
    <t>EIB</t>
  </si>
  <si>
    <t>Stt</t>
  </si>
  <si>
    <t>Số khế ước</t>
  </si>
  <si>
    <t>Thời gian</t>
  </si>
  <si>
    <t xml:space="preserve"> Gốc vay đầu kỳ </t>
  </si>
  <si>
    <t>Traû goác</t>
  </si>
  <si>
    <t xml:space="preserve"> Gốc vay cuối kỳ </t>
  </si>
  <si>
    <t>Traû laõi</t>
  </si>
  <si>
    <t>Laõi suaát</t>
  </si>
  <si>
    <t>Ghi chuù</t>
  </si>
  <si>
    <t>Ngày vay</t>
  </si>
  <si>
    <t>Ngày tới hạn</t>
  </si>
  <si>
    <t>VND</t>
  </si>
  <si>
    <t>Ngày trả</t>
  </si>
  <si>
    <t>USD Q11</t>
  </si>
  <si>
    <t>VND Q4</t>
  </si>
  <si>
    <t>VND Q11</t>
  </si>
  <si>
    <t>USD Q4</t>
  </si>
  <si>
    <t>Ngaøy tính laõi</t>
  </si>
  <si>
    <t>1402LDS201401630</t>
  </si>
  <si>
    <t xml:space="preserve"> nhà xưởng TV </t>
  </si>
  <si>
    <t>1402LDS201402000</t>
  </si>
  <si>
    <t>1402LDS201402374</t>
  </si>
  <si>
    <t>1402LDS201402740</t>
  </si>
  <si>
    <t>1402LDS201403045</t>
  </si>
  <si>
    <t>1402LDS201500362</t>
  </si>
  <si>
    <t>1402LDS201500909</t>
  </si>
  <si>
    <t>1402LDS201501248</t>
  </si>
  <si>
    <t>1402LDS201501494</t>
  </si>
  <si>
    <t>1402LDS201501796</t>
  </si>
  <si>
    <t>1402LDS201502113</t>
  </si>
  <si>
    <t>1402LDS201502211</t>
  </si>
  <si>
    <t>1402LDS201502415</t>
  </si>
  <si>
    <t>1402LDS201502591</t>
  </si>
  <si>
    <t>TC: Q4 - TV</t>
  </si>
  <si>
    <t>Tỷ giá</t>
  </si>
  <si>
    <t>TC: PVcombank - LA</t>
  </si>
  <si>
    <t>PVCombank</t>
  </si>
  <si>
    <t>ZhouHan</t>
  </si>
  <si>
    <t>LD1726338999</t>
  </si>
  <si>
    <t>LD1726941340</t>
  </si>
  <si>
    <t>LD1730320093</t>
  </si>
  <si>
    <t>LD1729602661</t>
  </si>
  <si>
    <t>STT</t>
  </si>
  <si>
    <t>VAY CCTG</t>
  </si>
  <si>
    <t>NGÀY GỬI</t>
  </si>
  <si>
    <t>SỐ TIỀN</t>
  </si>
  <si>
    <t>CHỨNG CHỈ TIỀN GỬI</t>
  </si>
  <si>
    <t>NGÀY VAY</t>
  </si>
  <si>
    <t>TỔNG CỘNG</t>
  </si>
  <si>
    <t>GHI CHÚ</t>
  </si>
  <si>
    <t>NGÀY ĐẾN HẠN</t>
  </si>
  <si>
    <t>LÃI XUẤT</t>
  </si>
  <si>
    <t>Trả lãi sau</t>
  </si>
  <si>
    <t>Trả lãi trước</t>
  </si>
  <si>
    <t>TIỀN LÃI 6T</t>
  </si>
  <si>
    <t>LD1731061035</t>
  </si>
  <si>
    <t>LD1731813552</t>
  </si>
  <si>
    <t>LD1733206701</t>
  </si>
  <si>
    <t>LD1733800695</t>
  </si>
  <si>
    <t>TIỀN VAY</t>
  </si>
  <si>
    <t>ĐẾN HẠN</t>
  </si>
  <si>
    <t>VAY TÍN CHẤP</t>
  </si>
  <si>
    <t>GỐC ĐẦU KÌ</t>
  </si>
  <si>
    <t>GỐC CUỐI KÌ</t>
  </si>
  <si>
    <t>TRẢ GỐC</t>
  </si>
  <si>
    <t>LÃI VAY</t>
  </si>
  <si>
    <t>CHI TIẾT THÁNG</t>
  </si>
  <si>
    <t>NGÀY TRẢ : 26 HÀNG THÁNG</t>
  </si>
  <si>
    <t>NGÀY TRẢ : 23 HÀNG THÁNG</t>
  </si>
  <si>
    <t>LD1717972238</t>
  </si>
  <si>
    <t>LD1735654094</t>
  </si>
  <si>
    <t>LD1800565098</t>
  </si>
  <si>
    <t>LD1801518698</t>
  </si>
  <si>
    <t>LD1803004548</t>
  </si>
  <si>
    <t>1402LDS201800234</t>
  </si>
  <si>
    <t>số tháng</t>
  </si>
  <si>
    <t>Tháng 03/2018: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</si>
</sst>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43" formatCode="_(* #,##0.00_);_(* \(#,##0.00\);_(* &quot;-&quot;??_);_(@_)"/>
    <numFmt numFmtId="164" formatCode="_(* #,##0_);_(* \(#,##0\);_(* &quot;-&quot;??_);_(@_)"/>
    <numFmt numFmtId="165" formatCode="#,###"/>
    <numFmt numFmtId="166" formatCode="_-* #,##0.00_-;\-* #,##0.00_-;_-* &quot;-&quot;??_-;_-@_-"/>
    <numFmt numFmtId="167" formatCode="\$#,##0\ ;\(\$#,##0\)"/>
    <numFmt numFmtId="168" formatCode="&quot;\&quot;#,##0;[Red]&quot;\&quot;&quot;\&quot;\-#,##0"/>
    <numFmt numFmtId="169" formatCode="&quot;\&quot;#,##0.00;[Red]&quot;\&quot;&quot;\&quot;&quot;\&quot;&quot;\&quot;&quot;\&quot;&quot;\&quot;\-#,##0.00"/>
    <numFmt numFmtId="170" formatCode="&quot;\&quot;#,##0.00;[Red]&quot;\&quot;\-#,##0.00"/>
    <numFmt numFmtId="171" formatCode="&quot;\&quot;#,##0;[Red]&quot;\&quot;\-#,##0"/>
    <numFmt numFmtId="172" formatCode="0.0%"/>
  </numFmts>
  <fonts count="38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0.5"/>
      <name val="Times New Roman"/>
      <family val="1"/>
    </font>
    <font>
      <sz val="12"/>
      <name val="VNI-Times"/>
    </font>
    <font>
      <b/>
      <sz val="10"/>
      <name val="VNI-Times"/>
    </font>
    <font>
      <b/>
      <sz val="12"/>
      <name val="VNI-Times"/>
    </font>
    <font>
      <b/>
      <sz val="10"/>
      <color indexed="12"/>
      <name val="VNI-Times"/>
    </font>
    <font>
      <sz val="10"/>
      <color indexed="21"/>
      <name val="Times New Roman"/>
      <family val="1"/>
    </font>
    <font>
      <b/>
      <sz val="10"/>
      <color indexed="21"/>
      <name val="VNI-Times"/>
    </font>
    <font>
      <b/>
      <sz val="10.5"/>
      <name val="VNI-Times"/>
    </font>
    <font>
      <b/>
      <sz val="10.5"/>
      <color indexed="12"/>
      <name val="VNI-Times"/>
    </font>
    <font>
      <b/>
      <sz val="10.5"/>
      <color indexed="21"/>
      <name val="VNI-Times"/>
    </font>
    <font>
      <b/>
      <sz val="10.5"/>
      <color indexed="12"/>
      <name val="Times New Roman"/>
      <family val="1"/>
    </font>
    <font>
      <sz val="10"/>
      <name val="Times New Roman"/>
      <family val="1"/>
    </font>
    <font>
      <sz val="10"/>
      <color indexed="12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b/>
      <sz val="9"/>
      <color indexed="21"/>
      <name val="Times New Roman"/>
      <family val="1"/>
    </font>
    <font>
      <b/>
      <sz val="10"/>
      <name val="Times New Roman"/>
      <family val="1"/>
    </font>
    <font>
      <sz val="10"/>
      <name val="VNI-Times"/>
    </font>
    <font>
      <sz val="10"/>
      <color indexed="12"/>
      <name val="VNI-Times"/>
    </font>
    <font>
      <sz val="10"/>
      <color indexed="21"/>
      <name val="VNI-Times"/>
    </font>
    <font>
      <b/>
      <sz val="9"/>
      <name val="VNI-Times"/>
    </font>
    <font>
      <sz val="11"/>
      <color indexed="8"/>
      <name val="Calibri"/>
      <family val="2"/>
    </font>
    <font>
      <b/>
      <sz val="12"/>
      <name val="Arial"/>
      <family val="2"/>
    </font>
    <font>
      <sz val="9"/>
      <name val="VNI-Times"/>
    </font>
    <font>
      <sz val="10"/>
      <name val=".VnAvant"/>
      <family val="2"/>
    </font>
    <font>
      <b/>
      <sz val="12"/>
      <name val="VNI-Cooper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0"/>
      <name val="Arial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8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4" fillId="0" borderId="0"/>
    <xf numFmtId="43" fontId="4" fillId="0" borderId="0" applyFont="0" applyFill="0" applyBorder="0" applyAlignment="0" applyProtection="0"/>
    <xf numFmtId="3" fontId="23" fillId="3" borderId="1"/>
    <xf numFmtId="43" fontId="20" fillId="0" borderId="0" applyFont="0" applyFill="0" applyBorder="0" applyAlignment="0" applyProtection="0"/>
    <xf numFmtId="43" fontId="24" fillId="0" borderId="0" applyFont="0" applyFill="0" applyBorder="0" applyAlignment="0" applyProtection="0"/>
    <xf numFmtId="165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3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23" fillId="3" borderId="1">
      <alignment horizontal="centerContinuous" vertical="center" wrapText="1"/>
    </xf>
    <xf numFmtId="3" fontId="23" fillId="3" borderId="1">
      <alignment horizontal="center" vertical="center" wrapText="1"/>
    </xf>
    <xf numFmtId="2" fontId="1" fillId="0" borderId="0" applyFont="0" applyFill="0" applyBorder="0" applyAlignment="0" applyProtection="0"/>
    <xf numFmtId="0" fontId="25" fillId="0" borderId="9" applyNumberFormat="0" applyAlignment="0" applyProtection="0">
      <alignment horizontal="left" vertical="center"/>
    </xf>
    <xf numFmtId="0" fontId="25" fillId="0" borderId="4">
      <alignment horizontal="left" vertical="center"/>
    </xf>
    <xf numFmtId="3" fontId="23" fillId="0" borderId="10"/>
    <xf numFmtId="3" fontId="26" fillId="0" borderId="11"/>
    <xf numFmtId="3" fontId="23" fillId="0" borderId="1">
      <alignment horizontal="center" vertical="center" wrapText="1"/>
    </xf>
    <xf numFmtId="3" fontId="23" fillId="0" borderId="1">
      <alignment horizontal="centerContinuous" vertical="center"/>
    </xf>
    <xf numFmtId="165" fontId="27" fillId="0" borderId="8"/>
    <xf numFmtId="0" fontId="20" fillId="0" borderId="0"/>
    <xf numFmtId="0" fontId="2" fillId="0" borderId="0"/>
    <xf numFmtId="0" fontId="28" fillId="0" borderId="0">
      <alignment horizontal="centerContinuous"/>
    </xf>
    <xf numFmtId="40" fontId="29" fillId="0" borderId="0" applyFont="0" applyFill="0" applyBorder="0" applyAlignment="0" applyProtection="0"/>
    <xf numFmtId="3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0" fontId="1" fillId="0" borderId="0" applyFont="0" applyFill="0" applyBorder="0" applyAlignment="0" applyProtection="0"/>
    <xf numFmtId="0" fontId="30" fillId="0" borderId="0"/>
    <xf numFmtId="168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70" fontId="31" fillId="0" borderId="0" applyFont="0" applyFill="0" applyBorder="0" applyAlignment="0" applyProtection="0"/>
    <xf numFmtId="171" fontId="31" fillId="0" borderId="0" applyFont="0" applyFill="0" applyBorder="0" applyAlignment="0" applyProtection="0"/>
    <xf numFmtId="0" fontId="32" fillId="0" borderId="0"/>
    <xf numFmtId="0" fontId="33" fillId="0" borderId="0"/>
  </cellStyleXfs>
  <cellXfs count="135">
    <xf numFmtId="0" fontId="0" fillId="0" borderId="0" xfId="0"/>
    <xf numFmtId="0" fontId="5" fillId="2" borderId="0" xfId="3" applyFont="1" applyFill="1" applyAlignment="1">
      <alignment horizontal="center" vertical="center"/>
    </xf>
    <xf numFmtId="0" fontId="6" fillId="2" borderId="0" xfId="3" applyFont="1" applyFill="1" applyAlignment="1">
      <alignment vertical="center"/>
    </xf>
    <xf numFmtId="14" fontId="6" fillId="2" borderId="0" xfId="3" applyNumberFormat="1" applyFont="1" applyFill="1" applyAlignment="1">
      <alignment horizontal="center" vertical="center"/>
    </xf>
    <xf numFmtId="14" fontId="5" fillId="2" borderId="0" xfId="3" applyNumberFormat="1" applyFont="1" applyFill="1" applyAlignment="1">
      <alignment horizontal="center" vertical="center"/>
    </xf>
    <xf numFmtId="164" fontId="5" fillId="2" borderId="0" xfId="4" applyNumberFormat="1" applyFont="1" applyFill="1" applyAlignment="1">
      <alignment vertical="center"/>
    </xf>
    <xf numFmtId="43" fontId="5" fillId="2" borderId="0" xfId="4" applyFont="1" applyFill="1" applyAlignment="1">
      <alignment vertical="center"/>
    </xf>
    <xf numFmtId="14" fontId="7" fillId="2" borderId="0" xfId="4" applyNumberFormat="1" applyFont="1" applyFill="1" applyAlignment="1">
      <alignment horizontal="center" vertical="center"/>
    </xf>
    <xf numFmtId="164" fontId="7" fillId="2" borderId="0" xfId="4" applyNumberFormat="1" applyFont="1" applyFill="1" applyAlignment="1">
      <alignment vertical="center"/>
    </xf>
    <xf numFmtId="14" fontId="8" fillId="2" borderId="5" xfId="3" applyNumberFormat="1" applyFont="1" applyFill="1" applyBorder="1" applyAlignment="1">
      <alignment horizontal="center"/>
    </xf>
    <xf numFmtId="0" fontId="9" fillId="2" borderId="0" xfId="3" applyFont="1" applyFill="1" applyAlignment="1">
      <alignment horizontal="center" vertical="center"/>
    </xf>
    <xf numFmtId="0" fontId="5" fillId="2" borderId="0" xfId="3" applyFont="1" applyFill="1" applyAlignment="1">
      <alignment vertical="center"/>
    </xf>
    <xf numFmtId="0" fontId="10" fillId="2" borderId="0" xfId="3" applyFont="1" applyFill="1" applyAlignment="1">
      <alignment horizontal="center" vertical="center"/>
    </xf>
    <xf numFmtId="14" fontId="3" fillId="2" borderId="1" xfId="3" applyNumberFormat="1" applyFont="1" applyFill="1" applyBorder="1" applyAlignment="1">
      <alignment horizontal="center" vertical="center" wrapText="1"/>
    </xf>
    <xf numFmtId="164" fontId="10" fillId="2" borderId="1" xfId="4" applyNumberFormat="1" applyFont="1" applyFill="1" applyBorder="1" applyAlignment="1">
      <alignment horizontal="center" vertical="center" wrapText="1"/>
    </xf>
    <xf numFmtId="43" fontId="10" fillId="2" borderId="1" xfId="4" applyFont="1" applyFill="1" applyBorder="1" applyAlignment="1">
      <alignment horizontal="center" vertical="center"/>
    </xf>
    <xf numFmtId="14" fontId="13" fillId="2" borderId="1" xfId="4" applyNumberFormat="1" applyFont="1" applyFill="1" applyBorder="1" applyAlignment="1">
      <alignment horizontal="center" vertical="center" wrapText="1"/>
    </xf>
    <xf numFmtId="0" fontId="12" fillId="2" borderId="1" xfId="3" applyFont="1" applyFill="1" applyBorder="1" applyAlignment="1">
      <alignment horizontal="center" vertical="center"/>
    </xf>
    <xf numFmtId="0" fontId="14" fillId="2" borderId="3" xfId="4" applyNumberFormat="1" applyFont="1" applyFill="1" applyBorder="1" applyAlignment="1">
      <alignment horizontal="center" vertical="center"/>
    </xf>
    <xf numFmtId="14" fontId="14" fillId="2" borderId="3" xfId="3" applyNumberFormat="1" applyFont="1" applyFill="1" applyBorder="1" applyAlignment="1">
      <alignment horizontal="center" vertical="center" wrapText="1"/>
    </xf>
    <xf numFmtId="43" fontId="14" fillId="2" borderId="3" xfId="4" applyFont="1" applyFill="1" applyBorder="1" applyAlignment="1">
      <alignment vertical="center"/>
    </xf>
    <xf numFmtId="43" fontId="15" fillId="2" borderId="3" xfId="4" applyFont="1" applyFill="1" applyBorder="1" applyAlignment="1">
      <alignment vertical="center"/>
    </xf>
    <xf numFmtId="43" fontId="14" fillId="2" borderId="0" xfId="4" applyFont="1" applyFill="1" applyBorder="1" applyAlignment="1">
      <alignment vertical="center"/>
    </xf>
    <xf numFmtId="49" fontId="14" fillId="2" borderId="2" xfId="4" applyNumberFormat="1" applyFont="1" applyFill="1" applyBorder="1" applyAlignment="1">
      <alignment vertical="center"/>
    </xf>
    <xf numFmtId="14" fontId="14" fillId="2" borderId="2" xfId="3" applyNumberFormat="1" applyFont="1" applyFill="1" applyBorder="1" applyAlignment="1">
      <alignment horizontal="center" vertical="center" wrapText="1"/>
    </xf>
    <xf numFmtId="43" fontId="14" fillId="2" borderId="2" xfId="4" applyFont="1" applyFill="1" applyBorder="1" applyAlignment="1">
      <alignment vertical="center"/>
    </xf>
    <xf numFmtId="164" fontId="14" fillId="2" borderId="2" xfId="4" applyNumberFormat="1" applyFont="1" applyFill="1" applyBorder="1" applyAlignment="1">
      <alignment vertical="center"/>
    </xf>
    <xf numFmtId="43" fontId="15" fillId="2" borderId="2" xfId="4" applyFont="1" applyFill="1" applyBorder="1" applyAlignment="1">
      <alignment vertical="center"/>
    </xf>
    <xf numFmtId="43" fontId="14" fillId="2" borderId="2" xfId="4" applyFont="1" applyFill="1" applyBorder="1" applyAlignment="1">
      <alignment horizontal="center" vertical="center"/>
    </xf>
    <xf numFmtId="14" fontId="16" fillId="2" borderId="1" xfId="3" applyNumberFormat="1" applyFont="1" applyFill="1" applyBorder="1" applyAlignment="1">
      <alignment horizontal="center" vertical="center" wrapText="1"/>
    </xf>
    <xf numFmtId="164" fontId="17" fillId="2" borderId="1" xfId="4" applyNumberFormat="1" applyFont="1" applyFill="1" applyBorder="1" applyAlignment="1">
      <alignment vertical="center"/>
    </xf>
    <xf numFmtId="43" fontId="17" fillId="2" borderId="1" xfId="4" applyFont="1" applyFill="1" applyBorder="1" applyAlignment="1">
      <alignment vertical="center"/>
    </xf>
    <xf numFmtId="43" fontId="17" fillId="2" borderId="1" xfId="4" applyFont="1" applyFill="1" applyBorder="1" applyAlignment="1">
      <alignment horizontal="center" vertical="center"/>
    </xf>
    <xf numFmtId="0" fontId="15" fillId="2" borderId="3" xfId="4" applyNumberFormat="1" applyFont="1" applyFill="1" applyBorder="1" applyAlignment="1">
      <alignment horizontal="center" vertical="center"/>
    </xf>
    <xf numFmtId="43" fontId="15" fillId="2" borderId="0" xfId="4" applyFont="1" applyFill="1" applyBorder="1" applyAlignment="1">
      <alignment vertical="center"/>
    </xf>
    <xf numFmtId="49" fontId="15" fillId="2" borderId="2" xfId="4" applyNumberFormat="1" applyFont="1" applyFill="1" applyBorder="1" applyAlignment="1">
      <alignment vertical="center"/>
    </xf>
    <xf numFmtId="14" fontId="15" fillId="2" borderId="2" xfId="3" applyNumberFormat="1" applyFont="1" applyFill="1" applyBorder="1" applyAlignment="1">
      <alignment horizontal="center" vertical="center" wrapText="1"/>
    </xf>
    <xf numFmtId="164" fontId="15" fillId="2" borderId="2" xfId="4" applyNumberFormat="1" applyFont="1" applyFill="1" applyBorder="1" applyAlignment="1">
      <alignment vertical="center"/>
    </xf>
    <xf numFmtId="43" fontId="15" fillId="2" borderId="2" xfId="4" applyFont="1" applyFill="1" applyBorder="1" applyAlignment="1">
      <alignment horizontal="center" vertical="center"/>
    </xf>
    <xf numFmtId="10" fontId="14" fillId="2" borderId="2" xfId="4" applyNumberFormat="1" applyFont="1" applyFill="1" applyBorder="1" applyAlignment="1">
      <alignment horizontal="center" vertical="center"/>
    </xf>
    <xf numFmtId="14" fontId="14" fillId="2" borderId="7" xfId="3" applyNumberFormat="1" applyFont="1" applyFill="1" applyBorder="1" applyAlignment="1">
      <alignment horizontal="center" vertical="center" wrapText="1"/>
    </xf>
    <xf numFmtId="43" fontId="14" fillId="2" borderId="7" xfId="4" applyFont="1" applyFill="1" applyBorder="1" applyAlignment="1">
      <alignment vertical="center"/>
    </xf>
    <xf numFmtId="164" fontId="14" fillId="2" borderId="7" xfId="4" applyNumberFormat="1" applyFont="1" applyFill="1" applyBorder="1" applyAlignment="1">
      <alignment vertical="center"/>
    </xf>
    <xf numFmtId="14" fontId="17" fillId="2" borderId="1" xfId="4" applyNumberFormat="1" applyFont="1" applyFill="1" applyBorder="1" applyAlignment="1">
      <alignment horizontal="center" vertical="center"/>
    </xf>
    <xf numFmtId="43" fontId="18" fillId="2" borderId="1" xfId="4" applyFont="1" applyFill="1" applyBorder="1" applyAlignment="1">
      <alignment vertical="center"/>
    </xf>
    <xf numFmtId="43" fontId="18" fillId="2" borderId="1" xfId="4" applyFont="1" applyFill="1" applyBorder="1" applyAlignment="1">
      <alignment horizontal="center" vertical="center"/>
    </xf>
    <xf numFmtId="43" fontId="19" fillId="2" borderId="0" xfId="4" applyFont="1" applyFill="1" applyAlignment="1">
      <alignment vertical="center"/>
    </xf>
    <xf numFmtId="43" fontId="15" fillId="2" borderId="8" xfId="4" applyFont="1" applyFill="1" applyBorder="1" applyAlignment="1">
      <alignment horizontal="center" vertical="center"/>
    </xf>
    <xf numFmtId="14" fontId="15" fillId="2" borderId="7" xfId="3" applyNumberFormat="1" applyFont="1" applyFill="1" applyBorder="1" applyAlignment="1">
      <alignment horizontal="center" vertical="center" wrapText="1"/>
    </xf>
    <xf numFmtId="164" fontId="15" fillId="2" borderId="7" xfId="4" applyNumberFormat="1" applyFont="1" applyFill="1" applyBorder="1" applyAlignment="1">
      <alignment vertical="center"/>
    </xf>
    <xf numFmtId="43" fontId="15" fillId="2" borderId="7" xfId="4" applyFont="1" applyFill="1" applyBorder="1" applyAlignment="1">
      <alignment vertical="center"/>
    </xf>
    <xf numFmtId="0" fontId="20" fillId="2" borderId="0" xfId="3" applyFont="1" applyFill="1" applyAlignment="1">
      <alignment horizontal="center"/>
    </xf>
    <xf numFmtId="0" fontId="20" fillId="2" borderId="0" xfId="3" applyFont="1" applyFill="1"/>
    <xf numFmtId="14" fontId="20" fillId="2" borderId="0" xfId="3" applyNumberFormat="1" applyFont="1" applyFill="1" applyAlignment="1">
      <alignment horizontal="center"/>
    </xf>
    <xf numFmtId="164" fontId="20" fillId="2" borderId="0" xfId="4" applyNumberFormat="1" applyFont="1" applyFill="1"/>
    <xf numFmtId="43" fontId="20" fillId="2" borderId="0" xfId="3" applyNumberFormat="1" applyFont="1" applyFill="1"/>
    <xf numFmtId="14" fontId="21" fillId="2" borderId="0" xfId="4" applyNumberFormat="1" applyFont="1" applyFill="1" applyAlignment="1">
      <alignment horizontal="center"/>
    </xf>
    <xf numFmtId="164" fontId="21" fillId="2" borderId="0" xfId="4" applyNumberFormat="1" applyFont="1" applyFill="1"/>
    <xf numFmtId="43" fontId="20" fillId="2" borderId="0" xfId="4" applyFont="1" applyFill="1"/>
    <xf numFmtId="164" fontId="22" fillId="2" borderId="0" xfId="4" applyNumberFormat="1" applyFont="1" applyFill="1"/>
    <xf numFmtId="0" fontId="22" fillId="2" borderId="0" xfId="3" applyFont="1" applyFill="1"/>
    <xf numFmtId="0" fontId="22" fillId="2" borderId="0" xfId="3" applyFont="1" applyFill="1" applyAlignment="1">
      <alignment horizontal="center"/>
    </xf>
    <xf numFmtId="43" fontId="22" fillId="2" borderId="0" xfId="4" applyFont="1" applyFill="1"/>
    <xf numFmtId="164" fontId="3" fillId="2" borderId="1" xfId="4" applyNumberFormat="1" applyFont="1" applyFill="1" applyBorder="1" applyAlignment="1">
      <alignment horizontal="center" vertical="center" wrapText="1"/>
    </xf>
    <xf numFmtId="172" fontId="14" fillId="2" borderId="2" xfId="4" applyNumberFormat="1" applyFont="1" applyFill="1" applyBorder="1" applyAlignment="1">
      <alignment horizontal="center" vertical="center"/>
    </xf>
    <xf numFmtId="172" fontId="15" fillId="2" borderId="2" xfId="4" applyNumberFormat="1" applyFont="1" applyFill="1" applyBorder="1" applyAlignment="1">
      <alignment horizontal="center" vertical="center"/>
    </xf>
    <xf numFmtId="14" fontId="15" fillId="2" borderId="3" xfId="3" applyNumberFormat="1" applyFont="1" applyFill="1" applyBorder="1" applyAlignment="1">
      <alignment horizontal="center" vertical="center"/>
    </xf>
    <xf numFmtId="14" fontId="14" fillId="2" borderId="0" xfId="4" applyNumberFormat="1" applyFont="1" applyFill="1" applyBorder="1" applyAlignment="1">
      <alignment vertical="center"/>
    </xf>
    <xf numFmtId="10" fontId="14" fillId="2" borderId="2" xfId="1" applyNumberFormat="1" applyFont="1" applyFill="1" applyBorder="1" applyAlignment="1">
      <alignment horizontal="center" vertical="center"/>
    </xf>
    <xf numFmtId="43" fontId="20" fillId="2" borderId="0" xfId="1" applyFont="1" applyFill="1"/>
    <xf numFmtId="0" fontId="34" fillId="0" borderId="0" xfId="0" applyFont="1" applyAlignment="1">
      <alignment vertical="center"/>
    </xf>
    <xf numFmtId="0" fontId="34" fillId="0" borderId="3" xfId="0" applyFont="1" applyBorder="1" applyAlignment="1">
      <alignment vertical="center"/>
    </xf>
    <xf numFmtId="0" fontId="34" fillId="0" borderId="0" xfId="0" applyFont="1" applyAlignment="1">
      <alignment horizontal="center" vertical="center"/>
    </xf>
    <xf numFmtId="0" fontId="34" fillId="0" borderId="3" xfId="0" applyFont="1" applyBorder="1" applyAlignment="1">
      <alignment horizontal="center" vertical="center"/>
    </xf>
    <xf numFmtId="0" fontId="34" fillId="0" borderId="2" xfId="0" applyFont="1" applyBorder="1" applyAlignment="1">
      <alignment horizontal="center" vertical="center"/>
    </xf>
    <xf numFmtId="0" fontId="35" fillId="0" borderId="0" xfId="0" applyFont="1" applyAlignment="1">
      <alignment horizontal="center" vertical="center" wrapText="1"/>
    </xf>
    <xf numFmtId="0" fontId="34" fillId="0" borderId="7" xfId="0" applyFont="1" applyBorder="1" applyAlignment="1">
      <alignment horizontal="center" vertical="center"/>
    </xf>
    <xf numFmtId="0" fontId="34" fillId="0" borderId="7" xfId="0" applyFont="1" applyBorder="1" applyAlignment="1">
      <alignment vertical="center"/>
    </xf>
    <xf numFmtId="43" fontId="34" fillId="0" borderId="3" xfId="1" applyFont="1" applyBorder="1" applyAlignment="1">
      <alignment vertical="center"/>
    </xf>
    <xf numFmtId="43" fontId="34" fillId="0" borderId="2" xfId="1" applyFont="1" applyBorder="1" applyAlignment="1">
      <alignment vertical="center"/>
    </xf>
    <xf numFmtId="43" fontId="34" fillId="0" borderId="7" xfId="1" applyFont="1" applyBorder="1" applyAlignment="1">
      <alignment vertical="center"/>
    </xf>
    <xf numFmtId="164" fontId="34" fillId="0" borderId="3" xfId="1" applyNumberFormat="1" applyFont="1" applyBorder="1" applyAlignment="1">
      <alignment vertical="center"/>
    </xf>
    <xf numFmtId="164" fontId="34" fillId="0" borderId="2" xfId="1" applyNumberFormat="1" applyFont="1" applyBorder="1" applyAlignment="1">
      <alignment vertical="center"/>
    </xf>
    <xf numFmtId="164" fontId="34" fillId="0" borderId="7" xfId="1" applyNumberFormat="1" applyFont="1" applyBorder="1" applyAlignment="1">
      <alignment vertical="center"/>
    </xf>
    <xf numFmtId="14" fontId="34" fillId="0" borderId="3" xfId="0" applyNumberFormat="1" applyFont="1" applyBorder="1" applyAlignment="1">
      <alignment horizontal="center" vertical="center"/>
    </xf>
    <xf numFmtId="14" fontId="34" fillId="0" borderId="2" xfId="0" applyNumberFormat="1" applyFont="1" applyBorder="1" applyAlignment="1">
      <alignment horizontal="center" vertical="center"/>
    </xf>
    <xf numFmtId="14" fontId="34" fillId="0" borderId="7" xfId="0" applyNumberFormat="1" applyFont="1" applyBorder="1" applyAlignment="1">
      <alignment horizontal="center" vertical="center"/>
    </xf>
    <xf numFmtId="10" fontId="34" fillId="0" borderId="3" xfId="0" applyNumberFormat="1" applyFont="1" applyBorder="1" applyAlignment="1">
      <alignment horizontal="center" vertical="center"/>
    </xf>
    <xf numFmtId="10" fontId="34" fillId="0" borderId="2" xfId="0" applyNumberFormat="1" applyFont="1" applyBorder="1" applyAlignment="1">
      <alignment horizontal="center" vertical="center"/>
    </xf>
    <xf numFmtId="10" fontId="34" fillId="0" borderId="7" xfId="0" applyNumberFormat="1" applyFont="1" applyBorder="1" applyAlignment="1">
      <alignment horizontal="center" vertical="center"/>
    </xf>
    <xf numFmtId="164" fontId="34" fillId="0" borderId="2" xfId="1" applyNumberFormat="1" applyFont="1" applyBorder="1" applyAlignment="1">
      <alignment horizontal="center" vertical="center"/>
    </xf>
    <xf numFmtId="164" fontId="34" fillId="0" borderId="3" xfId="1" applyNumberFormat="1" applyFont="1" applyBorder="1" applyAlignment="1">
      <alignment horizontal="center" vertical="center"/>
    </xf>
    <xf numFmtId="0" fontId="35" fillId="0" borderId="0" xfId="0" applyFont="1" applyAlignment="1">
      <alignment horizontal="left" vertical="center"/>
    </xf>
    <xf numFmtId="43" fontId="35" fillId="0" borderId="0" xfId="1" applyFont="1" applyAlignment="1">
      <alignment vertical="center"/>
    </xf>
    <xf numFmtId="49" fontId="35" fillId="0" borderId="1" xfId="0" applyNumberFormat="1" applyFont="1" applyBorder="1" applyAlignment="1">
      <alignment horizontal="center" vertical="center" wrapText="1"/>
    </xf>
    <xf numFmtId="49" fontId="35" fillId="0" borderId="0" xfId="0" applyNumberFormat="1" applyFont="1" applyAlignment="1">
      <alignment horizontal="center" vertical="center" wrapText="1"/>
    </xf>
    <xf numFmtId="43" fontId="34" fillId="0" borderId="3" xfId="1" applyFont="1" applyBorder="1" applyAlignment="1">
      <alignment horizontal="center" vertical="center"/>
    </xf>
    <xf numFmtId="164" fontId="36" fillId="0" borderId="1" xfId="1" applyNumberFormat="1" applyFont="1" applyBorder="1" applyAlignment="1">
      <alignment vertical="center"/>
    </xf>
    <xf numFmtId="43" fontId="36" fillId="0" borderId="1" xfId="1" applyFont="1" applyBorder="1" applyAlignment="1">
      <alignment vertical="center"/>
    </xf>
    <xf numFmtId="0" fontId="36" fillId="0" borderId="1" xfId="0" applyFont="1" applyBorder="1" applyAlignment="1">
      <alignment vertical="center"/>
    </xf>
    <xf numFmtId="0" fontId="36" fillId="0" borderId="0" xfId="0" applyFont="1" applyAlignment="1">
      <alignment vertical="center"/>
    </xf>
    <xf numFmtId="43" fontId="36" fillId="0" borderId="1" xfId="0" applyNumberFormat="1" applyFont="1" applyBorder="1" applyAlignment="1">
      <alignment vertical="center"/>
    </xf>
    <xf numFmtId="43" fontId="36" fillId="0" borderId="0" xfId="1" applyFont="1" applyAlignment="1">
      <alignment vertical="center"/>
    </xf>
    <xf numFmtId="0" fontId="37" fillId="0" borderId="0" xfId="0" applyFont="1" applyAlignment="1">
      <alignment vertical="center"/>
    </xf>
    <xf numFmtId="43" fontId="37" fillId="0" borderId="0" xfId="0" applyNumberFormat="1" applyFont="1" applyAlignment="1">
      <alignment horizontal="center" vertical="center" wrapText="1"/>
    </xf>
    <xf numFmtId="164" fontId="10" fillId="2" borderId="1" xfId="4" applyNumberFormat="1" applyFont="1" applyFill="1" applyBorder="1" applyAlignment="1">
      <alignment horizontal="center" vertical="center"/>
    </xf>
    <xf numFmtId="164" fontId="12" fillId="2" borderId="1" xfId="4" applyNumberFormat="1" applyFont="1" applyFill="1" applyBorder="1" applyAlignment="1">
      <alignment horizontal="center" vertical="center"/>
    </xf>
    <xf numFmtId="0" fontId="12" fillId="2" borderId="1" xfId="3" applyFont="1" applyFill="1" applyBorder="1" applyAlignment="1">
      <alignment horizontal="center" vertical="center" wrapText="1"/>
    </xf>
    <xf numFmtId="164" fontId="11" fillId="2" borderId="1" xfId="4" applyNumberFormat="1" applyFont="1" applyFill="1" applyBorder="1" applyAlignment="1">
      <alignment horizontal="center" vertical="center"/>
    </xf>
    <xf numFmtId="0" fontId="36" fillId="0" borderId="13" xfId="0" applyFont="1" applyBorder="1" applyAlignment="1">
      <alignment horizontal="center" vertical="center"/>
    </xf>
    <xf numFmtId="0" fontId="34" fillId="0" borderId="6" xfId="0" applyFont="1" applyBorder="1" applyAlignment="1">
      <alignment vertical="center"/>
    </xf>
    <xf numFmtId="0" fontId="34" fillId="0" borderId="3" xfId="0" applyNumberFormat="1" applyFont="1" applyBorder="1" applyAlignment="1">
      <alignment horizontal="center" vertical="center"/>
    </xf>
    <xf numFmtId="164" fontId="12" fillId="2" borderId="1" xfId="4" applyNumberFormat="1" applyFont="1" applyFill="1" applyBorder="1" applyAlignment="1">
      <alignment horizontal="center" vertical="center"/>
    </xf>
    <xf numFmtId="0" fontId="12" fillId="2" borderId="1" xfId="3" applyFont="1" applyFill="1" applyBorder="1" applyAlignment="1">
      <alignment horizontal="center" vertical="center" wrapText="1"/>
    </xf>
    <xf numFmtId="0" fontId="10" fillId="2" borderId="1" xfId="3" applyFont="1" applyFill="1" applyBorder="1" applyAlignment="1">
      <alignment horizontal="center" vertical="center"/>
    </xf>
    <xf numFmtId="43" fontId="19" fillId="2" borderId="1" xfId="4" applyFont="1" applyFill="1" applyBorder="1" applyAlignment="1">
      <alignment horizontal="center" vertical="center"/>
    </xf>
    <xf numFmtId="14" fontId="3" fillId="2" borderId="1" xfId="3" applyNumberFormat="1" applyFont="1" applyFill="1" applyBorder="1" applyAlignment="1">
      <alignment horizontal="center" vertical="center"/>
    </xf>
    <xf numFmtId="164" fontId="3" fillId="2" borderId="1" xfId="4" applyNumberFormat="1" applyFont="1" applyFill="1" applyBorder="1" applyAlignment="1">
      <alignment horizontal="center" vertical="center"/>
    </xf>
    <xf numFmtId="164" fontId="11" fillId="2" borderId="1" xfId="4" applyNumberFormat="1" applyFont="1" applyFill="1" applyBorder="1" applyAlignment="1">
      <alignment horizontal="center" vertical="center"/>
    </xf>
    <xf numFmtId="164" fontId="10" fillId="2" borderId="1" xfId="4" applyNumberFormat="1" applyFont="1" applyFill="1" applyBorder="1" applyAlignment="1">
      <alignment horizontal="center" vertical="center"/>
    </xf>
    <xf numFmtId="0" fontId="36" fillId="0" borderId="12" xfId="0" applyFont="1" applyBorder="1" applyAlignment="1">
      <alignment horizontal="center" vertical="center"/>
    </xf>
    <xf numFmtId="0" fontId="36" fillId="0" borderId="13" xfId="0" applyFont="1" applyBorder="1" applyAlignment="1">
      <alignment horizontal="center" vertical="center"/>
    </xf>
    <xf numFmtId="0" fontId="35" fillId="0" borderId="14" xfId="0" applyFont="1" applyBorder="1" applyAlignment="1">
      <alignment horizontal="center" vertical="center" wrapText="1"/>
    </xf>
    <xf numFmtId="0" fontId="35" fillId="0" borderId="6" xfId="0" applyFont="1" applyBorder="1" applyAlignment="1">
      <alignment horizontal="center" vertical="center" wrapText="1"/>
    </xf>
    <xf numFmtId="0" fontId="35" fillId="0" borderId="15" xfId="0" applyFont="1" applyBorder="1" applyAlignment="1">
      <alignment horizontal="center" vertical="center" wrapText="1"/>
    </xf>
    <xf numFmtId="0" fontId="35" fillId="0" borderId="1" xfId="0" applyFont="1" applyBorder="1" applyAlignment="1">
      <alignment horizontal="center" vertical="center" wrapText="1"/>
    </xf>
    <xf numFmtId="49" fontId="35" fillId="0" borderId="14" xfId="0" applyNumberFormat="1" applyFont="1" applyBorder="1" applyAlignment="1">
      <alignment horizontal="center" vertical="center" wrapText="1"/>
    </xf>
    <xf numFmtId="49" fontId="35" fillId="0" borderId="15" xfId="0" applyNumberFormat="1" applyFont="1" applyBorder="1" applyAlignment="1">
      <alignment horizontal="center" vertical="center" wrapText="1"/>
    </xf>
    <xf numFmtId="0" fontId="35" fillId="0" borderId="12" xfId="0" applyFont="1" applyBorder="1" applyAlignment="1">
      <alignment horizontal="center" vertical="center" wrapText="1"/>
    </xf>
    <xf numFmtId="0" fontId="35" fillId="0" borderId="13" xfId="0" applyFont="1" applyBorder="1" applyAlignment="1">
      <alignment horizontal="center" vertical="center" wrapText="1"/>
    </xf>
    <xf numFmtId="0" fontId="35" fillId="0" borderId="4" xfId="0" applyFont="1" applyBorder="1" applyAlignment="1">
      <alignment horizontal="center" vertical="center" wrapText="1"/>
    </xf>
    <xf numFmtId="49" fontId="35" fillId="0" borderId="12" xfId="0" applyNumberFormat="1" applyFont="1" applyBorder="1" applyAlignment="1">
      <alignment horizontal="center" vertical="center" wrapText="1"/>
    </xf>
    <xf numFmtId="49" fontId="35" fillId="0" borderId="4" xfId="0" applyNumberFormat="1" applyFont="1" applyBorder="1" applyAlignment="1">
      <alignment horizontal="center" vertical="center" wrapText="1"/>
    </xf>
    <xf numFmtId="49" fontId="35" fillId="0" borderId="13" xfId="0" applyNumberFormat="1" applyFont="1" applyBorder="1" applyAlignment="1">
      <alignment horizontal="center" vertical="center" wrapText="1"/>
    </xf>
    <xf numFmtId="0" fontId="36" fillId="0" borderId="4" xfId="0" applyFont="1" applyBorder="1" applyAlignment="1">
      <alignment horizontal="center" vertical="center"/>
    </xf>
  </cellXfs>
  <cellStyles count="38">
    <cellStyle name="cg" xfId="5"/>
    <cellStyle name="Comma" xfId="1" builtinId="3"/>
    <cellStyle name="Comma 2" xfId="6"/>
    <cellStyle name="Comma 3" xfId="4"/>
    <cellStyle name="Comma 4" xfId="7"/>
    <cellStyle name="Comma 5" xfId="8"/>
    <cellStyle name="Comma 6" xfId="9"/>
    <cellStyle name="Comma0" xfId="10"/>
    <cellStyle name="Currency0" xfId="11"/>
    <cellStyle name="Date" xfId="12"/>
    <cellStyle name="f1" xfId="13"/>
    <cellStyle name="f2" xfId="14"/>
    <cellStyle name="Fixed" xfId="15"/>
    <cellStyle name="Header1" xfId="16"/>
    <cellStyle name="Header2" xfId="17"/>
    <cellStyle name="k0" xfId="18"/>
    <cellStyle name="k1" xfId="19"/>
    <cellStyle name="k2" xfId="20"/>
    <cellStyle name="k3" xfId="21"/>
    <cellStyle name="moi" xfId="22"/>
    <cellStyle name="Normal" xfId="0" builtinId="0"/>
    <cellStyle name="Normal 2" xfId="23"/>
    <cellStyle name="Normal 3" xfId="3"/>
    <cellStyle name="Normal 4" xfId="24"/>
    <cellStyle name="Normal 5" xfId="2"/>
    <cellStyle name="Normal 6" xfId="37"/>
    <cellStyle name="TD1" xfId="25"/>
    <cellStyle name="똿뗦먛귟 [0.00]_PRODUCT DETAIL Q1" xfId="26"/>
    <cellStyle name="똿뗦먛귟_PRODUCT DETAIL Q1" xfId="27"/>
    <cellStyle name="믅됞 [0.00]_PRODUCT DETAIL Q1" xfId="28"/>
    <cellStyle name="믅됞_PRODUCT DETAIL Q1" xfId="29"/>
    <cellStyle name="백분율_HOBONG" xfId="30"/>
    <cellStyle name="뷭?_BOOKSHIP" xfId="31"/>
    <cellStyle name="콤마 [0]_1202" xfId="32"/>
    <cellStyle name="콤마_1202" xfId="33"/>
    <cellStyle name="통화 [0]_1202" xfId="34"/>
    <cellStyle name="통화_1202" xfId="35"/>
    <cellStyle name="표준_(정보부문)월별인원계획" xfId="36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T49"/>
  <sheetViews>
    <sheetView workbookViewId="0">
      <pane xSplit="4" ySplit="3" topLeftCell="E4" activePane="bottomRight" state="frozen"/>
      <selection activeCell="B2" sqref="B2:B3"/>
      <selection pane="topRight" activeCell="B2" sqref="B2:B3"/>
      <selection pane="bottomLeft" activeCell="B2" sqref="B2:B3"/>
      <selection pane="bottomRight" activeCell="P4" sqref="P4:P16"/>
    </sheetView>
  </sheetViews>
  <sheetFormatPr defaultRowHeight="17.25" customHeight="1"/>
  <cols>
    <col min="1" max="1" width="5.140625" style="51" bestFit="1" customWidth="1"/>
    <col min="2" max="2" width="17.5703125" style="52" customWidth="1"/>
    <col min="3" max="4" width="8.28515625" style="53" customWidth="1"/>
    <col min="5" max="5" width="13.42578125" style="54" customWidth="1"/>
    <col min="6" max="6" width="11.7109375" style="58" customWidth="1"/>
    <col min="7" max="7" width="8" style="54" customWidth="1"/>
    <col min="8" max="8" width="7.5703125" style="56" customWidth="1"/>
    <col min="9" max="9" width="11" style="57" customWidth="1"/>
    <col min="10" max="10" width="10" style="57" customWidth="1"/>
    <col min="11" max="11" width="13.85546875" style="54" customWidth="1"/>
    <col min="12" max="12" width="11.5703125" style="58" customWidth="1"/>
    <col min="13" max="13" width="10.7109375" style="59" customWidth="1"/>
    <col min="14" max="14" width="10" style="59" customWidth="1"/>
    <col min="15" max="15" width="9" style="59" customWidth="1"/>
    <col min="16" max="16" width="9" style="60" customWidth="1"/>
    <col min="17" max="17" width="8.42578125" style="61" customWidth="1"/>
    <col min="18" max="18" width="7.7109375" style="61" customWidth="1"/>
    <col min="19" max="19" width="15" style="51" customWidth="1"/>
    <col min="20" max="20" width="15.85546875" style="52" customWidth="1"/>
    <col min="21" max="16384" width="9.140625" style="52"/>
  </cols>
  <sheetData>
    <row r="1" spans="1:20" s="11" customFormat="1" ht="17.25" customHeight="1">
      <c r="A1" s="1"/>
      <c r="B1" s="2" t="s">
        <v>1</v>
      </c>
      <c r="C1" s="3"/>
      <c r="D1" s="4"/>
      <c r="E1" s="5"/>
      <c r="F1" s="6"/>
      <c r="G1" s="5"/>
      <c r="H1" s="7"/>
      <c r="I1" s="8"/>
      <c r="J1" s="8"/>
      <c r="K1" s="5"/>
      <c r="L1" s="9"/>
      <c r="M1" s="9"/>
      <c r="N1" s="9"/>
      <c r="O1" s="9"/>
      <c r="P1" s="9"/>
      <c r="Q1" s="9"/>
      <c r="R1" s="10"/>
      <c r="S1" s="1"/>
    </row>
    <row r="2" spans="1:20" s="12" customFormat="1" ht="16.5" customHeight="1">
      <c r="A2" s="114" t="s">
        <v>2</v>
      </c>
      <c r="B2" s="114" t="s">
        <v>3</v>
      </c>
      <c r="C2" s="116" t="s">
        <v>4</v>
      </c>
      <c r="D2" s="116"/>
      <c r="E2" s="117" t="s">
        <v>5</v>
      </c>
      <c r="F2" s="117"/>
      <c r="G2" s="117"/>
      <c r="H2" s="118" t="s">
        <v>6</v>
      </c>
      <c r="I2" s="118"/>
      <c r="J2" s="118"/>
      <c r="K2" s="119" t="s">
        <v>7</v>
      </c>
      <c r="L2" s="119"/>
      <c r="M2" s="112" t="s">
        <v>8</v>
      </c>
      <c r="N2" s="112"/>
      <c r="O2" s="112"/>
      <c r="P2" s="112"/>
      <c r="Q2" s="112"/>
      <c r="R2" s="113" t="s">
        <v>9</v>
      </c>
      <c r="S2" s="114" t="s">
        <v>10</v>
      </c>
    </row>
    <row r="3" spans="1:20" s="12" customFormat="1" ht="33" customHeight="1">
      <c r="A3" s="114"/>
      <c r="B3" s="114"/>
      <c r="C3" s="13" t="s">
        <v>11</v>
      </c>
      <c r="D3" s="13" t="s">
        <v>12</v>
      </c>
      <c r="E3" s="14" t="s">
        <v>13</v>
      </c>
      <c r="F3" s="15" t="s">
        <v>0</v>
      </c>
      <c r="G3" s="63" t="s">
        <v>36</v>
      </c>
      <c r="H3" s="16" t="s">
        <v>14</v>
      </c>
      <c r="I3" s="108" t="s">
        <v>13</v>
      </c>
      <c r="J3" s="108" t="s">
        <v>15</v>
      </c>
      <c r="K3" s="105" t="s">
        <v>13</v>
      </c>
      <c r="L3" s="15" t="s">
        <v>15</v>
      </c>
      <c r="M3" s="106" t="s">
        <v>16</v>
      </c>
      <c r="N3" s="106" t="s">
        <v>17</v>
      </c>
      <c r="O3" s="17" t="s">
        <v>18</v>
      </c>
      <c r="P3" s="107" t="s">
        <v>38</v>
      </c>
      <c r="Q3" s="107" t="s">
        <v>19</v>
      </c>
      <c r="R3" s="113"/>
      <c r="S3" s="114"/>
    </row>
    <row r="4" spans="1:20" s="22" customFormat="1" ht="17.25" customHeight="1">
      <c r="A4" s="33">
        <f t="shared" ref="A4:A16" si="0">ROW()-3</f>
        <v>1</v>
      </c>
      <c r="B4" s="23" t="s">
        <v>73</v>
      </c>
      <c r="C4" s="24">
        <v>43105</v>
      </c>
      <c r="D4" s="24">
        <v>43286</v>
      </c>
      <c r="E4" s="42"/>
      <c r="F4" s="41">
        <v>63000</v>
      </c>
      <c r="G4" s="26"/>
      <c r="H4" s="40"/>
      <c r="I4" s="41"/>
      <c r="J4" s="41"/>
      <c r="K4" s="21"/>
      <c r="L4" s="20">
        <f>F4</f>
        <v>63000</v>
      </c>
      <c r="M4" s="41"/>
      <c r="N4" s="42"/>
      <c r="O4" s="27">
        <f t="shared" ref="O4:O16" si="1">IF((LEFT(B4,4)="1402"),F4*R4*DATEDIF(DATE(YEAR(Q4),MONTH(Q4)-1,IF(MONTH(C4)=(MONTH(Q4)-1),DAY(C4),16)),Q4,"d")/360,0)</f>
        <v>0</v>
      </c>
      <c r="P4" s="27">
        <f>IF((LEFT(B4,2)="ld"),F4*R4*DATEDIF(DATE(YEAR(Q4),MONTH(Q4)-1,DAY(Q4)),Q4,"d")/360,0)</f>
        <v>217</v>
      </c>
      <c r="Q4" s="19">
        <v>43153</v>
      </c>
      <c r="R4" s="68">
        <v>0.04</v>
      </c>
      <c r="S4" s="38" t="s">
        <v>39</v>
      </c>
    </row>
    <row r="5" spans="1:20" s="22" customFormat="1" ht="17.25" customHeight="1">
      <c r="A5" s="33">
        <f t="shared" si="0"/>
        <v>2</v>
      </c>
      <c r="B5" s="23" t="s">
        <v>74</v>
      </c>
      <c r="C5" s="40">
        <v>43115</v>
      </c>
      <c r="D5" s="24">
        <v>43297</v>
      </c>
      <c r="E5" s="42"/>
      <c r="F5" s="41">
        <v>83500</v>
      </c>
      <c r="G5" s="26"/>
      <c r="H5" s="40"/>
      <c r="I5" s="41"/>
      <c r="J5" s="41"/>
      <c r="K5" s="21"/>
      <c r="L5" s="20">
        <f t="shared" ref="L5:L16" si="2">F5</f>
        <v>83500</v>
      </c>
      <c r="M5" s="41"/>
      <c r="N5" s="42"/>
      <c r="O5" s="27">
        <f t="shared" si="1"/>
        <v>0</v>
      </c>
      <c r="P5" s="27">
        <f t="shared" ref="P5:P16" si="3">IF((LEFT(B5,2)="ld"),F5*R5*DATEDIF(DATE(YEAR(Q5),MONTH(Q5)-1,DAY(Q5)),Q5,"d")/360,0)</f>
        <v>287.61111111111109</v>
      </c>
      <c r="Q5" s="19">
        <v>43153</v>
      </c>
      <c r="R5" s="68">
        <v>0.04</v>
      </c>
      <c r="S5" s="38" t="s">
        <v>39</v>
      </c>
    </row>
    <row r="6" spans="1:20" s="22" customFormat="1" ht="17.25" customHeight="1">
      <c r="A6" s="33">
        <f t="shared" si="0"/>
        <v>3</v>
      </c>
      <c r="B6" s="23" t="s">
        <v>75</v>
      </c>
      <c r="C6" s="40">
        <v>43130</v>
      </c>
      <c r="D6" s="24">
        <v>43311</v>
      </c>
      <c r="E6" s="42"/>
      <c r="F6" s="41">
        <v>87500</v>
      </c>
      <c r="G6" s="42"/>
      <c r="H6" s="40"/>
      <c r="I6" s="41"/>
      <c r="J6" s="41"/>
      <c r="K6" s="21"/>
      <c r="L6" s="20">
        <f t="shared" si="2"/>
        <v>87500</v>
      </c>
      <c r="M6" s="41"/>
      <c r="N6" s="42"/>
      <c r="O6" s="27">
        <f t="shared" si="1"/>
        <v>0</v>
      </c>
      <c r="P6" s="27">
        <f t="shared" si="3"/>
        <v>301.38888888888891</v>
      </c>
      <c r="Q6" s="19">
        <v>43153</v>
      </c>
      <c r="R6" s="68">
        <v>0.04</v>
      </c>
      <c r="S6" s="38" t="s">
        <v>39</v>
      </c>
    </row>
    <row r="7" spans="1:20" s="22" customFormat="1" ht="17.25" customHeight="1">
      <c r="A7" s="33">
        <f t="shared" si="0"/>
        <v>4</v>
      </c>
      <c r="B7" s="23" t="s">
        <v>40</v>
      </c>
      <c r="C7" s="40">
        <v>42998</v>
      </c>
      <c r="D7" s="24">
        <v>43179</v>
      </c>
      <c r="E7" s="42"/>
      <c r="F7" s="41">
        <v>95900</v>
      </c>
      <c r="G7" s="42"/>
      <c r="H7" s="40"/>
      <c r="I7" s="41"/>
      <c r="J7" s="41"/>
      <c r="K7" s="21"/>
      <c r="L7" s="20">
        <f t="shared" si="2"/>
        <v>95900</v>
      </c>
      <c r="M7" s="41"/>
      <c r="N7" s="42"/>
      <c r="O7" s="27">
        <f t="shared" si="1"/>
        <v>0</v>
      </c>
      <c r="P7" s="27">
        <f t="shared" si="3"/>
        <v>309.67708333333331</v>
      </c>
      <c r="Q7" s="19">
        <v>43153</v>
      </c>
      <c r="R7" s="68">
        <v>3.7499999999999999E-2</v>
      </c>
      <c r="S7" s="38" t="s">
        <v>39</v>
      </c>
    </row>
    <row r="8" spans="1:20" s="22" customFormat="1" ht="17.25" customHeight="1">
      <c r="A8" s="33">
        <f t="shared" si="0"/>
        <v>5</v>
      </c>
      <c r="B8" s="23" t="s">
        <v>41</v>
      </c>
      <c r="C8" s="40">
        <v>43004</v>
      </c>
      <c r="D8" s="24">
        <v>43185</v>
      </c>
      <c r="E8" s="42"/>
      <c r="F8" s="41">
        <v>89000</v>
      </c>
      <c r="G8" s="42"/>
      <c r="H8" s="40"/>
      <c r="I8" s="41"/>
      <c r="J8" s="41"/>
      <c r="K8" s="21"/>
      <c r="L8" s="20">
        <f t="shared" si="2"/>
        <v>89000</v>
      </c>
      <c r="M8" s="41"/>
      <c r="N8" s="42"/>
      <c r="O8" s="27">
        <f t="shared" si="1"/>
        <v>0</v>
      </c>
      <c r="P8" s="27">
        <f t="shared" si="3"/>
        <v>287.39583333333331</v>
      </c>
      <c r="Q8" s="19">
        <v>43153</v>
      </c>
      <c r="R8" s="68">
        <v>3.7499999999999999E-2</v>
      </c>
      <c r="S8" s="38" t="s">
        <v>39</v>
      </c>
    </row>
    <row r="9" spans="1:20" s="22" customFormat="1" ht="17.25" customHeight="1">
      <c r="A9" s="33">
        <f t="shared" si="0"/>
        <v>6</v>
      </c>
      <c r="B9" s="23" t="s">
        <v>43</v>
      </c>
      <c r="C9" s="40">
        <v>43031</v>
      </c>
      <c r="D9" s="24">
        <v>43213</v>
      </c>
      <c r="E9" s="42"/>
      <c r="F9" s="41">
        <v>182900</v>
      </c>
      <c r="G9" s="42"/>
      <c r="H9" s="40"/>
      <c r="I9" s="41"/>
      <c r="J9" s="41"/>
      <c r="K9" s="21"/>
      <c r="L9" s="20">
        <f t="shared" si="2"/>
        <v>182900</v>
      </c>
      <c r="M9" s="41"/>
      <c r="N9" s="42"/>
      <c r="O9" s="27">
        <f t="shared" si="1"/>
        <v>0</v>
      </c>
      <c r="P9" s="27">
        <f t="shared" si="3"/>
        <v>552.81524999999999</v>
      </c>
      <c r="Q9" s="19">
        <v>43153</v>
      </c>
      <c r="R9" s="68">
        <v>3.5099999999999999E-2</v>
      </c>
      <c r="S9" s="38" t="s">
        <v>39</v>
      </c>
    </row>
    <row r="10" spans="1:20" s="22" customFormat="1" ht="17.25" customHeight="1">
      <c r="A10" s="33">
        <f t="shared" si="0"/>
        <v>7</v>
      </c>
      <c r="B10" s="23" t="s">
        <v>42</v>
      </c>
      <c r="C10" s="40">
        <v>43038</v>
      </c>
      <c r="D10" s="24">
        <v>43222</v>
      </c>
      <c r="E10" s="42"/>
      <c r="F10" s="41">
        <v>189000</v>
      </c>
      <c r="G10" s="42"/>
      <c r="H10" s="40"/>
      <c r="I10" s="41"/>
      <c r="J10" s="41"/>
      <c r="K10" s="21"/>
      <c r="L10" s="20">
        <f t="shared" si="2"/>
        <v>189000</v>
      </c>
      <c r="M10" s="41"/>
      <c r="N10" s="42">
        <f>P10*G10</f>
        <v>0</v>
      </c>
      <c r="O10" s="27">
        <f t="shared" si="1"/>
        <v>0</v>
      </c>
      <c r="P10" s="27">
        <f t="shared" si="3"/>
        <v>571.25249999999994</v>
      </c>
      <c r="Q10" s="19">
        <v>43153</v>
      </c>
      <c r="R10" s="68">
        <v>3.5099999999999999E-2</v>
      </c>
      <c r="S10" s="38" t="s">
        <v>39</v>
      </c>
    </row>
    <row r="11" spans="1:20" s="22" customFormat="1" ht="17.25" customHeight="1">
      <c r="A11" s="33">
        <f t="shared" si="0"/>
        <v>8</v>
      </c>
      <c r="B11" s="23" t="s">
        <v>57</v>
      </c>
      <c r="C11" s="40">
        <v>43046</v>
      </c>
      <c r="D11" s="24">
        <v>43227</v>
      </c>
      <c r="E11" s="42"/>
      <c r="F11" s="41">
        <v>82000</v>
      </c>
      <c r="G11" s="42"/>
      <c r="H11" s="40"/>
      <c r="I11" s="41"/>
      <c r="J11" s="41"/>
      <c r="K11" s="20"/>
      <c r="L11" s="20">
        <f t="shared" si="2"/>
        <v>82000</v>
      </c>
      <c r="M11" s="41"/>
      <c r="N11" s="41"/>
      <c r="O11" s="27">
        <f t="shared" si="1"/>
        <v>0</v>
      </c>
      <c r="P11" s="27">
        <f t="shared" si="3"/>
        <v>247.845</v>
      </c>
      <c r="Q11" s="19">
        <v>43153</v>
      </c>
      <c r="R11" s="68">
        <v>3.5099999999999999E-2</v>
      </c>
      <c r="S11" s="38" t="s">
        <v>39</v>
      </c>
      <c r="T11" s="67"/>
    </row>
    <row r="12" spans="1:20" s="22" customFormat="1" ht="17.25" customHeight="1">
      <c r="A12" s="33">
        <f t="shared" si="0"/>
        <v>9</v>
      </c>
      <c r="B12" s="23" t="s">
        <v>58</v>
      </c>
      <c r="C12" s="40">
        <v>43053</v>
      </c>
      <c r="D12" s="24">
        <v>43234</v>
      </c>
      <c r="E12" s="42"/>
      <c r="F12" s="41">
        <v>89000</v>
      </c>
      <c r="G12" s="42"/>
      <c r="H12" s="40"/>
      <c r="I12" s="41"/>
      <c r="J12" s="41"/>
      <c r="K12" s="21"/>
      <c r="L12" s="20">
        <f t="shared" si="2"/>
        <v>89000</v>
      </c>
      <c r="M12" s="41"/>
      <c r="N12" s="41"/>
      <c r="O12" s="27">
        <f t="shared" si="1"/>
        <v>0</v>
      </c>
      <c r="P12" s="27">
        <f t="shared" si="3"/>
        <v>269.0025</v>
      </c>
      <c r="Q12" s="19">
        <v>43153</v>
      </c>
      <c r="R12" s="68">
        <v>3.5099999999999999E-2</v>
      </c>
      <c r="S12" s="38" t="s">
        <v>39</v>
      </c>
    </row>
    <row r="13" spans="1:20" s="22" customFormat="1" ht="17.25" customHeight="1">
      <c r="A13" s="33">
        <f t="shared" si="0"/>
        <v>10</v>
      </c>
      <c r="B13" s="23" t="s">
        <v>59</v>
      </c>
      <c r="C13" s="40">
        <v>43067</v>
      </c>
      <c r="D13" s="24">
        <v>43248</v>
      </c>
      <c r="E13" s="42"/>
      <c r="F13" s="41">
        <v>70000</v>
      </c>
      <c r="G13" s="42"/>
      <c r="H13" s="40"/>
      <c r="I13" s="41"/>
      <c r="J13" s="41"/>
      <c r="K13" s="20"/>
      <c r="L13" s="20">
        <f t="shared" si="2"/>
        <v>70000</v>
      </c>
      <c r="M13" s="41"/>
      <c r="N13" s="41"/>
      <c r="O13" s="27">
        <f t="shared" si="1"/>
        <v>0</v>
      </c>
      <c r="P13" s="27">
        <f t="shared" si="3"/>
        <v>241.11111111111111</v>
      </c>
      <c r="Q13" s="19">
        <v>43153</v>
      </c>
      <c r="R13" s="68">
        <v>0.04</v>
      </c>
      <c r="S13" s="38" t="s">
        <v>39</v>
      </c>
      <c r="T13" s="67"/>
    </row>
    <row r="14" spans="1:20" s="22" customFormat="1" ht="17.25" customHeight="1">
      <c r="A14" s="33">
        <f t="shared" si="0"/>
        <v>11</v>
      </c>
      <c r="B14" s="23" t="s">
        <v>60</v>
      </c>
      <c r="C14" s="24">
        <v>43073</v>
      </c>
      <c r="D14" s="24">
        <v>43255</v>
      </c>
      <c r="E14" s="26"/>
      <c r="F14" s="25">
        <v>67000</v>
      </c>
      <c r="G14" s="26"/>
      <c r="H14" s="24"/>
      <c r="I14" s="25"/>
      <c r="J14" s="25"/>
      <c r="K14" s="20"/>
      <c r="L14" s="20">
        <f t="shared" si="2"/>
        <v>67000</v>
      </c>
      <c r="M14" s="25"/>
      <c r="N14" s="25"/>
      <c r="O14" s="27">
        <f t="shared" si="1"/>
        <v>0</v>
      </c>
      <c r="P14" s="27">
        <f t="shared" si="3"/>
        <v>230.77777777777777</v>
      </c>
      <c r="Q14" s="19">
        <v>43153</v>
      </c>
      <c r="R14" s="68">
        <v>0.04</v>
      </c>
      <c r="S14" s="38" t="s">
        <v>39</v>
      </c>
      <c r="T14" s="67"/>
    </row>
    <row r="15" spans="1:20" s="22" customFormat="1" ht="17.25" customHeight="1">
      <c r="A15" s="33">
        <f t="shared" si="0"/>
        <v>12</v>
      </c>
      <c r="B15" s="23" t="s">
        <v>71</v>
      </c>
      <c r="C15" s="24">
        <v>43082</v>
      </c>
      <c r="D15" s="24">
        <v>43264</v>
      </c>
      <c r="E15" s="26"/>
      <c r="F15" s="41">
        <v>84000</v>
      </c>
      <c r="G15" s="26"/>
      <c r="H15" s="40"/>
      <c r="I15" s="41"/>
      <c r="J15" s="41"/>
      <c r="K15" s="21"/>
      <c r="L15" s="20">
        <f t="shared" si="2"/>
        <v>84000</v>
      </c>
      <c r="M15" s="41"/>
      <c r="N15" s="42"/>
      <c r="O15" s="27">
        <f t="shared" si="1"/>
        <v>0</v>
      </c>
      <c r="P15" s="27">
        <f t="shared" si="3"/>
        <v>289.33333333333331</v>
      </c>
      <c r="Q15" s="19">
        <v>43153</v>
      </c>
      <c r="R15" s="68">
        <v>0.04</v>
      </c>
      <c r="S15" s="38" t="s">
        <v>39</v>
      </c>
    </row>
    <row r="16" spans="1:20" s="22" customFormat="1" ht="17.25" customHeight="1">
      <c r="A16" s="33">
        <f t="shared" si="0"/>
        <v>13</v>
      </c>
      <c r="B16" s="23" t="s">
        <v>72</v>
      </c>
      <c r="C16" s="40">
        <v>43091</v>
      </c>
      <c r="D16" s="24">
        <v>43273</v>
      </c>
      <c r="E16" s="42"/>
      <c r="F16" s="41">
        <v>92500</v>
      </c>
      <c r="G16" s="42"/>
      <c r="H16" s="40"/>
      <c r="I16" s="41"/>
      <c r="J16" s="41"/>
      <c r="K16" s="21"/>
      <c r="L16" s="20">
        <f t="shared" si="2"/>
        <v>92500</v>
      </c>
      <c r="M16" s="41"/>
      <c r="N16" s="42"/>
      <c r="O16" s="27">
        <f t="shared" si="1"/>
        <v>0</v>
      </c>
      <c r="P16" s="27">
        <f t="shared" si="3"/>
        <v>318.61111111111109</v>
      </c>
      <c r="Q16" s="19">
        <v>43153</v>
      </c>
      <c r="R16" s="68">
        <v>0.04</v>
      </c>
      <c r="S16" s="38" t="s">
        <v>39</v>
      </c>
    </row>
    <row r="17" spans="1:19" s="22" customFormat="1" ht="17.25" customHeight="1">
      <c r="A17" s="33"/>
      <c r="B17" s="23"/>
      <c r="C17" s="40"/>
      <c r="D17" s="24"/>
      <c r="E17" s="41"/>
      <c r="F17" s="41"/>
      <c r="G17" s="42"/>
      <c r="H17" s="40"/>
      <c r="I17" s="41"/>
      <c r="J17" s="41"/>
      <c r="K17" s="20"/>
      <c r="L17" s="20"/>
      <c r="M17" s="41"/>
      <c r="N17" s="41"/>
      <c r="O17" s="25"/>
      <c r="P17" s="25"/>
      <c r="Q17" s="19"/>
      <c r="R17" s="64"/>
      <c r="S17" s="38"/>
    </row>
    <row r="18" spans="1:19" s="46" customFormat="1" ht="17.25" customHeight="1">
      <c r="A18" s="115" t="s">
        <v>37</v>
      </c>
      <c r="B18" s="115"/>
      <c r="C18" s="43"/>
      <c r="D18" s="43"/>
      <c r="E18" s="30">
        <f>SUM(E4:E17)</f>
        <v>0</v>
      </c>
      <c r="F18" s="31">
        <f>SUM(F4:F17)</f>
        <v>1275300</v>
      </c>
      <c r="G18" s="30">
        <f>SUM(G14:G14)</f>
        <v>0</v>
      </c>
      <c r="H18" s="29"/>
      <c r="I18" s="31">
        <f t="shared" ref="I18:P18" si="4">SUM(I4:I17)</f>
        <v>0</v>
      </c>
      <c r="J18" s="31">
        <f t="shared" si="4"/>
        <v>0</v>
      </c>
      <c r="K18" s="31">
        <f t="shared" si="4"/>
        <v>0</v>
      </c>
      <c r="L18" s="31">
        <f t="shared" si="4"/>
        <v>1275300</v>
      </c>
      <c r="M18" s="31">
        <f t="shared" si="4"/>
        <v>0</v>
      </c>
      <c r="N18" s="31">
        <f t="shared" si="4"/>
        <v>0</v>
      </c>
      <c r="O18" s="31">
        <f t="shared" si="4"/>
        <v>0</v>
      </c>
      <c r="P18" s="31">
        <f t="shared" si="4"/>
        <v>4123.8215</v>
      </c>
      <c r="Q18" s="44"/>
      <c r="R18" s="45"/>
      <c r="S18" s="32"/>
    </row>
    <row r="19" spans="1:19" s="34" customFormat="1" ht="17.25" customHeight="1">
      <c r="A19" s="33">
        <f>ROW()-19</f>
        <v>0</v>
      </c>
      <c r="B19" s="35" t="s">
        <v>20</v>
      </c>
      <c r="C19" s="36">
        <v>41870</v>
      </c>
      <c r="D19" s="36">
        <v>46253</v>
      </c>
      <c r="E19" s="37">
        <v>858220000</v>
      </c>
      <c r="F19" s="27"/>
      <c r="G19" s="37"/>
      <c r="H19" s="36">
        <v>43150</v>
      </c>
      <c r="I19" s="37">
        <v>8340000</v>
      </c>
      <c r="J19" s="27"/>
      <c r="K19" s="37">
        <f t="shared" ref="K19:K33" si="5">E19-I19</f>
        <v>849880000</v>
      </c>
      <c r="L19" s="27"/>
      <c r="M19" s="37">
        <f>IF((LEFT(B19,4)="1402"),E19*R19*DATEDIF(DATE(YEAR(Q19),MONTH(Q19)-1,IF(MONTH(C19)=(MONTH(Q19)-1),DAY(C19),16)),Q19,"d")/360,0)</f>
        <v>6484328.888888889</v>
      </c>
      <c r="N19" s="27"/>
      <c r="O19" s="27">
        <f>IF((LEFT(B19,4)="1402"),F19*R19*DATEDIF(DATE(YEAR(Q19),MONTH(Q19)-1,IF(MONTH(C19)=(MONTH(Q19)-1),DAY(C19),16)),Q19,"d")/360,0)</f>
        <v>0</v>
      </c>
      <c r="P19" s="27">
        <f t="shared" ref="P19:P33" si="6">IF((LEFT(B19,4)="1015"),F19*R19*DATEDIF(Q19,Q$1,"d")/360,0)</f>
        <v>0</v>
      </c>
      <c r="Q19" s="66">
        <f>H19</f>
        <v>43150</v>
      </c>
      <c r="R19" s="65">
        <v>0.08</v>
      </c>
      <c r="S19" s="47" t="s">
        <v>21</v>
      </c>
    </row>
    <row r="20" spans="1:19" s="34" customFormat="1" ht="17.25" customHeight="1">
      <c r="A20" s="33">
        <f t="shared" ref="A20:A33" si="7">ROW()-19</f>
        <v>1</v>
      </c>
      <c r="B20" s="35" t="s">
        <v>22</v>
      </c>
      <c r="C20" s="36">
        <v>41905</v>
      </c>
      <c r="D20" s="36">
        <v>46253</v>
      </c>
      <c r="E20" s="37">
        <v>1716610000</v>
      </c>
      <c r="F20" s="27"/>
      <c r="G20" s="37"/>
      <c r="H20" s="36">
        <v>43150</v>
      </c>
      <c r="I20" s="37">
        <v>16670000</v>
      </c>
      <c r="J20" s="27"/>
      <c r="K20" s="37">
        <f t="shared" si="5"/>
        <v>1699940000</v>
      </c>
      <c r="L20" s="27"/>
      <c r="M20" s="37">
        <f t="shared" ref="M20:M33" si="8">IF((LEFT(B20,4)="1402"),E20*R20*DATEDIF(DATE(YEAR(Q20),MONTH(Q20)-1,IF(MONTH(C20)=(MONTH(Q20)-1),DAY(C20),16)),Q20,"d")/360,0)</f>
        <v>12969942.222222222</v>
      </c>
      <c r="N20" s="27"/>
      <c r="O20" s="27">
        <f t="shared" ref="O20:O33" si="9">IF((LEFT(B20,4)="1402"),F20*R20*DATEDIF(DATE(YEAR(Q20),MONTH(Q20)-1,IF(MONTH(C20)=(MONTH(Q20)-1),DAY(C20),16)),Q20,"d")/360,0)</f>
        <v>0</v>
      </c>
      <c r="P20" s="27">
        <f t="shared" si="6"/>
        <v>0</v>
      </c>
      <c r="Q20" s="66">
        <f t="shared" ref="Q20:Q32" si="10">H20</f>
        <v>43150</v>
      </c>
      <c r="R20" s="65">
        <v>0.08</v>
      </c>
      <c r="S20" s="38" t="s">
        <v>21</v>
      </c>
    </row>
    <row r="21" spans="1:19" s="34" customFormat="1" ht="17.25" customHeight="1">
      <c r="A21" s="33">
        <f t="shared" si="7"/>
        <v>2</v>
      </c>
      <c r="B21" s="35" t="s">
        <v>23</v>
      </c>
      <c r="C21" s="48">
        <v>41934</v>
      </c>
      <c r="D21" s="36">
        <v>46253</v>
      </c>
      <c r="E21" s="37">
        <v>1373220000</v>
      </c>
      <c r="F21" s="50"/>
      <c r="G21" s="49"/>
      <c r="H21" s="36">
        <v>43150</v>
      </c>
      <c r="I21" s="49">
        <v>13340000</v>
      </c>
      <c r="J21" s="50"/>
      <c r="K21" s="37">
        <f t="shared" si="5"/>
        <v>1359880000</v>
      </c>
      <c r="L21" s="50"/>
      <c r="M21" s="37">
        <f t="shared" si="8"/>
        <v>10375440</v>
      </c>
      <c r="N21" s="50"/>
      <c r="O21" s="27">
        <f t="shared" si="9"/>
        <v>0</v>
      </c>
      <c r="P21" s="27">
        <f t="shared" si="6"/>
        <v>0</v>
      </c>
      <c r="Q21" s="66">
        <f t="shared" si="10"/>
        <v>43150</v>
      </c>
      <c r="R21" s="65">
        <v>0.08</v>
      </c>
      <c r="S21" s="38" t="s">
        <v>21</v>
      </c>
    </row>
    <row r="22" spans="1:19" s="34" customFormat="1" ht="17.25" customHeight="1">
      <c r="A22" s="33">
        <f t="shared" si="7"/>
        <v>3</v>
      </c>
      <c r="B22" s="35" t="s">
        <v>24</v>
      </c>
      <c r="C22" s="48">
        <v>41963</v>
      </c>
      <c r="D22" s="36">
        <v>46253</v>
      </c>
      <c r="E22" s="37">
        <v>1287500000</v>
      </c>
      <c r="F22" s="50"/>
      <c r="G22" s="49"/>
      <c r="H22" s="36">
        <v>43150</v>
      </c>
      <c r="I22" s="49">
        <v>12500000</v>
      </c>
      <c r="J22" s="50"/>
      <c r="K22" s="37">
        <f t="shared" si="5"/>
        <v>1275000000</v>
      </c>
      <c r="L22" s="50"/>
      <c r="M22" s="37">
        <f t="shared" si="8"/>
        <v>9727777.777777778</v>
      </c>
      <c r="N22" s="50"/>
      <c r="O22" s="27">
        <f t="shared" si="9"/>
        <v>0</v>
      </c>
      <c r="P22" s="27">
        <f t="shared" si="6"/>
        <v>0</v>
      </c>
      <c r="Q22" s="66">
        <f t="shared" si="10"/>
        <v>43150</v>
      </c>
      <c r="R22" s="65">
        <v>0.08</v>
      </c>
      <c r="S22" s="38" t="s">
        <v>21</v>
      </c>
    </row>
    <row r="23" spans="1:19" s="34" customFormat="1" ht="17.25" customHeight="1">
      <c r="A23" s="33">
        <f t="shared" si="7"/>
        <v>4</v>
      </c>
      <c r="B23" s="35" t="s">
        <v>25</v>
      </c>
      <c r="C23" s="48">
        <v>41984</v>
      </c>
      <c r="D23" s="36">
        <v>46253</v>
      </c>
      <c r="E23" s="37">
        <v>858220000</v>
      </c>
      <c r="F23" s="50"/>
      <c r="G23" s="49"/>
      <c r="H23" s="36">
        <v>43150</v>
      </c>
      <c r="I23" s="49">
        <v>8330000</v>
      </c>
      <c r="J23" s="50"/>
      <c r="K23" s="49">
        <f t="shared" si="5"/>
        <v>849890000</v>
      </c>
      <c r="L23" s="50"/>
      <c r="M23" s="37">
        <f t="shared" si="8"/>
        <v>6484328.888888889</v>
      </c>
      <c r="N23" s="50"/>
      <c r="O23" s="27">
        <f t="shared" si="9"/>
        <v>0</v>
      </c>
      <c r="P23" s="27">
        <f t="shared" si="6"/>
        <v>0</v>
      </c>
      <c r="Q23" s="66">
        <f t="shared" si="10"/>
        <v>43150</v>
      </c>
      <c r="R23" s="65">
        <v>0.08</v>
      </c>
      <c r="S23" s="38" t="s">
        <v>21</v>
      </c>
    </row>
    <row r="24" spans="1:19" s="34" customFormat="1" ht="17.25" customHeight="1">
      <c r="A24" s="33">
        <f t="shared" si="7"/>
        <v>5</v>
      </c>
      <c r="B24" s="35" t="s">
        <v>26</v>
      </c>
      <c r="C24" s="48">
        <v>42033</v>
      </c>
      <c r="D24" s="36">
        <v>46253</v>
      </c>
      <c r="E24" s="37">
        <v>1287500000</v>
      </c>
      <c r="F24" s="50"/>
      <c r="G24" s="49"/>
      <c r="H24" s="36">
        <v>43150</v>
      </c>
      <c r="I24" s="49">
        <v>12500000</v>
      </c>
      <c r="J24" s="50"/>
      <c r="K24" s="49">
        <f t="shared" si="5"/>
        <v>1275000000</v>
      </c>
      <c r="L24" s="50"/>
      <c r="M24" s="37">
        <f t="shared" si="8"/>
        <v>6008333.333333333</v>
      </c>
      <c r="N24" s="50"/>
      <c r="O24" s="27">
        <f t="shared" si="9"/>
        <v>0</v>
      </c>
      <c r="P24" s="27">
        <f t="shared" si="6"/>
        <v>0</v>
      </c>
      <c r="Q24" s="66">
        <f t="shared" si="10"/>
        <v>43150</v>
      </c>
      <c r="R24" s="65">
        <v>0.08</v>
      </c>
      <c r="S24" s="38" t="s">
        <v>21</v>
      </c>
    </row>
    <row r="25" spans="1:19" s="34" customFormat="1" ht="17.25" customHeight="1">
      <c r="A25" s="33">
        <f t="shared" si="7"/>
        <v>6</v>
      </c>
      <c r="B25" s="35" t="s">
        <v>27</v>
      </c>
      <c r="C25" s="48">
        <v>42088</v>
      </c>
      <c r="D25" s="36">
        <v>46253</v>
      </c>
      <c r="E25" s="37">
        <v>1716610000</v>
      </c>
      <c r="F25" s="50"/>
      <c r="G25" s="49"/>
      <c r="H25" s="36">
        <v>43150</v>
      </c>
      <c r="I25" s="49">
        <v>16670000</v>
      </c>
      <c r="J25" s="50"/>
      <c r="K25" s="49">
        <f t="shared" si="5"/>
        <v>1699940000</v>
      </c>
      <c r="L25" s="50"/>
      <c r="M25" s="37">
        <f t="shared" si="8"/>
        <v>12969942.222222222</v>
      </c>
      <c r="N25" s="50"/>
      <c r="O25" s="27">
        <f t="shared" si="9"/>
        <v>0</v>
      </c>
      <c r="P25" s="27">
        <f t="shared" si="6"/>
        <v>0</v>
      </c>
      <c r="Q25" s="66">
        <f t="shared" si="10"/>
        <v>43150</v>
      </c>
      <c r="R25" s="65">
        <v>0.08</v>
      </c>
      <c r="S25" s="38" t="s">
        <v>21</v>
      </c>
    </row>
    <row r="26" spans="1:19" s="34" customFormat="1" ht="17.25" customHeight="1">
      <c r="A26" s="33">
        <f t="shared" si="7"/>
        <v>7</v>
      </c>
      <c r="B26" s="35" t="s">
        <v>28</v>
      </c>
      <c r="C26" s="48">
        <v>42114</v>
      </c>
      <c r="D26" s="36">
        <v>46253</v>
      </c>
      <c r="E26" s="37">
        <v>1201610000</v>
      </c>
      <c r="F26" s="50"/>
      <c r="G26" s="49"/>
      <c r="H26" s="36">
        <v>43150</v>
      </c>
      <c r="I26" s="49">
        <v>11670000</v>
      </c>
      <c r="J26" s="50"/>
      <c r="K26" s="49">
        <f t="shared" si="5"/>
        <v>1189940000</v>
      </c>
      <c r="L26" s="50"/>
      <c r="M26" s="37">
        <f t="shared" si="8"/>
        <v>9078831.1111111119</v>
      </c>
      <c r="N26" s="50"/>
      <c r="O26" s="27">
        <f t="shared" si="9"/>
        <v>0</v>
      </c>
      <c r="P26" s="27">
        <f t="shared" si="6"/>
        <v>0</v>
      </c>
      <c r="Q26" s="66">
        <f t="shared" si="10"/>
        <v>43150</v>
      </c>
      <c r="R26" s="65">
        <v>0.08</v>
      </c>
      <c r="S26" s="38" t="s">
        <v>21</v>
      </c>
    </row>
    <row r="27" spans="1:19" s="34" customFormat="1" ht="17.25" customHeight="1">
      <c r="A27" s="33">
        <f t="shared" si="7"/>
        <v>8</v>
      </c>
      <c r="B27" s="35" t="s">
        <v>29</v>
      </c>
      <c r="C27" s="48">
        <v>42138</v>
      </c>
      <c r="D27" s="36">
        <v>46253</v>
      </c>
      <c r="E27" s="37">
        <v>1287500000</v>
      </c>
      <c r="F27" s="50"/>
      <c r="G27" s="49"/>
      <c r="H27" s="36">
        <v>43150</v>
      </c>
      <c r="I27" s="49">
        <v>12500000</v>
      </c>
      <c r="J27" s="50"/>
      <c r="K27" s="49">
        <f t="shared" si="5"/>
        <v>1275000000</v>
      </c>
      <c r="L27" s="50"/>
      <c r="M27" s="37">
        <f t="shared" si="8"/>
        <v>9727777.777777778</v>
      </c>
      <c r="N27" s="50"/>
      <c r="O27" s="27">
        <f t="shared" si="9"/>
        <v>0</v>
      </c>
      <c r="P27" s="27">
        <f t="shared" si="6"/>
        <v>0</v>
      </c>
      <c r="Q27" s="66">
        <f t="shared" si="10"/>
        <v>43150</v>
      </c>
      <c r="R27" s="65">
        <v>0.08</v>
      </c>
      <c r="S27" s="38" t="s">
        <v>21</v>
      </c>
    </row>
    <row r="28" spans="1:19" s="34" customFormat="1" ht="17.25" customHeight="1">
      <c r="A28" s="33">
        <f t="shared" si="7"/>
        <v>9</v>
      </c>
      <c r="B28" s="35" t="s">
        <v>30</v>
      </c>
      <c r="C28" s="48">
        <v>42164</v>
      </c>
      <c r="D28" s="36">
        <v>46253</v>
      </c>
      <c r="E28" s="37">
        <v>1287500000</v>
      </c>
      <c r="F28" s="50"/>
      <c r="G28" s="49"/>
      <c r="H28" s="36">
        <v>43150</v>
      </c>
      <c r="I28" s="49">
        <v>12500000</v>
      </c>
      <c r="J28" s="50"/>
      <c r="K28" s="49">
        <f t="shared" si="5"/>
        <v>1275000000</v>
      </c>
      <c r="L28" s="50"/>
      <c r="M28" s="37">
        <f t="shared" si="8"/>
        <v>9727777.777777778</v>
      </c>
      <c r="N28" s="50"/>
      <c r="O28" s="27">
        <f t="shared" si="9"/>
        <v>0</v>
      </c>
      <c r="P28" s="27">
        <f t="shared" si="6"/>
        <v>0</v>
      </c>
      <c r="Q28" s="66">
        <f t="shared" si="10"/>
        <v>43150</v>
      </c>
      <c r="R28" s="65">
        <v>0.08</v>
      </c>
      <c r="S28" s="38" t="s">
        <v>21</v>
      </c>
    </row>
    <row r="29" spans="1:19" s="34" customFormat="1" ht="17.25" customHeight="1">
      <c r="A29" s="33">
        <f t="shared" si="7"/>
        <v>10</v>
      </c>
      <c r="B29" s="35" t="s">
        <v>31</v>
      </c>
      <c r="C29" s="48">
        <v>42187</v>
      </c>
      <c r="D29" s="36">
        <v>46253</v>
      </c>
      <c r="E29" s="37">
        <v>1287500000</v>
      </c>
      <c r="F29" s="50"/>
      <c r="G29" s="49"/>
      <c r="H29" s="36">
        <v>43150</v>
      </c>
      <c r="I29" s="49">
        <v>12500000</v>
      </c>
      <c r="J29" s="50"/>
      <c r="K29" s="49">
        <f t="shared" si="5"/>
        <v>1275000000</v>
      </c>
      <c r="L29" s="50"/>
      <c r="M29" s="37">
        <f t="shared" si="8"/>
        <v>9727777.777777778</v>
      </c>
      <c r="N29" s="50"/>
      <c r="O29" s="27">
        <f t="shared" si="9"/>
        <v>0</v>
      </c>
      <c r="P29" s="27">
        <f t="shared" si="6"/>
        <v>0</v>
      </c>
      <c r="Q29" s="66">
        <f t="shared" si="10"/>
        <v>43150</v>
      </c>
      <c r="R29" s="65">
        <v>0.08</v>
      </c>
      <c r="S29" s="38" t="s">
        <v>21</v>
      </c>
    </row>
    <row r="30" spans="1:19" s="34" customFormat="1" ht="17.25" customHeight="1">
      <c r="A30" s="33">
        <f t="shared" si="7"/>
        <v>11</v>
      </c>
      <c r="B30" s="35" t="s">
        <v>32</v>
      </c>
      <c r="C30" s="48">
        <v>42195</v>
      </c>
      <c r="D30" s="36">
        <v>46253</v>
      </c>
      <c r="E30" s="37">
        <v>1287500000</v>
      </c>
      <c r="F30" s="50"/>
      <c r="G30" s="49"/>
      <c r="H30" s="36">
        <v>43150</v>
      </c>
      <c r="I30" s="49">
        <v>12500000</v>
      </c>
      <c r="J30" s="50"/>
      <c r="K30" s="49">
        <f t="shared" si="5"/>
        <v>1275000000</v>
      </c>
      <c r="L30" s="50"/>
      <c r="M30" s="37">
        <f t="shared" si="8"/>
        <v>9727777.777777778</v>
      </c>
      <c r="N30" s="50"/>
      <c r="O30" s="27">
        <f t="shared" si="9"/>
        <v>0</v>
      </c>
      <c r="P30" s="27">
        <f t="shared" si="6"/>
        <v>0</v>
      </c>
      <c r="Q30" s="66">
        <f t="shared" si="10"/>
        <v>43150</v>
      </c>
      <c r="R30" s="65">
        <v>0.08</v>
      </c>
      <c r="S30" s="38" t="s">
        <v>21</v>
      </c>
    </row>
    <row r="31" spans="1:19" s="34" customFormat="1" ht="17.25" customHeight="1">
      <c r="A31" s="33">
        <f t="shared" si="7"/>
        <v>12</v>
      </c>
      <c r="B31" s="35" t="s">
        <v>33</v>
      </c>
      <c r="C31" s="48">
        <v>42215</v>
      </c>
      <c r="D31" s="36">
        <v>46253</v>
      </c>
      <c r="E31" s="37">
        <v>858220000</v>
      </c>
      <c r="F31" s="50"/>
      <c r="G31" s="49"/>
      <c r="H31" s="36">
        <v>43150</v>
      </c>
      <c r="I31" s="49">
        <v>8330000</v>
      </c>
      <c r="J31" s="50"/>
      <c r="K31" s="49">
        <f t="shared" si="5"/>
        <v>849890000</v>
      </c>
      <c r="L31" s="50"/>
      <c r="M31" s="37">
        <f t="shared" si="8"/>
        <v>6484328.888888889</v>
      </c>
      <c r="N31" s="50"/>
      <c r="O31" s="27">
        <f t="shared" si="9"/>
        <v>0</v>
      </c>
      <c r="P31" s="27">
        <f t="shared" si="6"/>
        <v>0</v>
      </c>
      <c r="Q31" s="66">
        <f t="shared" si="10"/>
        <v>43150</v>
      </c>
      <c r="R31" s="65">
        <v>0.08</v>
      </c>
      <c r="S31" s="38" t="s">
        <v>21</v>
      </c>
    </row>
    <row r="32" spans="1:19" s="34" customFormat="1" ht="17.25" customHeight="1">
      <c r="A32" s="33">
        <f t="shared" si="7"/>
        <v>13</v>
      </c>
      <c r="B32" s="35" t="s">
        <v>34</v>
      </c>
      <c r="C32" s="48">
        <v>42229</v>
      </c>
      <c r="D32" s="36">
        <v>46253</v>
      </c>
      <c r="E32" s="37">
        <v>858220000</v>
      </c>
      <c r="F32" s="50"/>
      <c r="G32" s="49"/>
      <c r="H32" s="36">
        <v>43150</v>
      </c>
      <c r="I32" s="49">
        <v>8330000</v>
      </c>
      <c r="J32" s="50"/>
      <c r="K32" s="49">
        <f t="shared" si="5"/>
        <v>849890000</v>
      </c>
      <c r="L32" s="50"/>
      <c r="M32" s="37">
        <f t="shared" si="8"/>
        <v>6484328.888888889</v>
      </c>
      <c r="N32" s="50"/>
      <c r="O32" s="27">
        <f t="shared" si="9"/>
        <v>0</v>
      </c>
      <c r="P32" s="27">
        <f t="shared" si="6"/>
        <v>0</v>
      </c>
      <c r="Q32" s="66">
        <f t="shared" si="10"/>
        <v>43150</v>
      </c>
      <c r="R32" s="65">
        <v>0.08</v>
      </c>
      <c r="S32" s="38" t="s">
        <v>21</v>
      </c>
    </row>
    <row r="33" spans="1:19" s="34" customFormat="1" ht="17.25" customHeight="1">
      <c r="A33" s="33">
        <f t="shared" si="7"/>
        <v>14</v>
      </c>
      <c r="B33" s="35" t="s">
        <v>76</v>
      </c>
      <c r="C33" s="48">
        <v>43130</v>
      </c>
      <c r="D33" s="48">
        <v>43311</v>
      </c>
      <c r="E33" s="49">
        <v>0</v>
      </c>
      <c r="F33" s="50">
        <v>87000</v>
      </c>
      <c r="G33" s="49"/>
      <c r="H33" s="48"/>
      <c r="I33" s="49"/>
      <c r="J33" s="50"/>
      <c r="K33" s="49">
        <f t="shared" si="5"/>
        <v>0</v>
      </c>
      <c r="L33" s="50">
        <f>F33</f>
        <v>87000</v>
      </c>
      <c r="M33" s="37">
        <f t="shared" si="8"/>
        <v>0</v>
      </c>
      <c r="N33" s="50"/>
      <c r="O33" s="27">
        <f t="shared" si="9"/>
        <v>164.33333333333334</v>
      </c>
      <c r="P33" s="27">
        <f t="shared" si="6"/>
        <v>0</v>
      </c>
      <c r="Q33" s="66">
        <v>43147</v>
      </c>
      <c r="R33" s="65">
        <v>0.04</v>
      </c>
      <c r="S33" s="38" t="s">
        <v>39</v>
      </c>
    </row>
    <row r="34" spans="1:19" s="22" customFormat="1" ht="17.25" customHeight="1">
      <c r="A34" s="18"/>
      <c r="B34" s="23"/>
      <c r="C34" s="40"/>
      <c r="D34" s="40"/>
      <c r="E34" s="42"/>
      <c r="F34" s="41"/>
      <c r="G34" s="42"/>
      <c r="H34" s="40"/>
      <c r="I34" s="42"/>
      <c r="J34" s="41"/>
      <c r="K34" s="42"/>
      <c r="L34" s="41"/>
      <c r="M34" s="42"/>
      <c r="N34" s="41"/>
      <c r="O34" s="41"/>
      <c r="P34" s="41"/>
      <c r="Q34" s="19"/>
      <c r="R34" s="39"/>
      <c r="S34" s="28"/>
    </row>
    <row r="35" spans="1:19" s="46" customFormat="1" ht="17.25" customHeight="1">
      <c r="A35" s="115" t="s">
        <v>35</v>
      </c>
      <c r="B35" s="115"/>
      <c r="C35" s="43"/>
      <c r="D35" s="43"/>
      <c r="E35" s="30">
        <f>SUM(E19:E34)</f>
        <v>17165930000</v>
      </c>
      <c r="F35" s="31">
        <f>SUM(F19:F34)</f>
        <v>87000</v>
      </c>
      <c r="G35" s="30">
        <f>SUM(G19:G34)</f>
        <v>0</v>
      </c>
      <c r="H35" s="31"/>
      <c r="I35" s="30">
        <f t="shared" ref="I35:P35" si="11">SUM(I19:I34)</f>
        <v>166680000</v>
      </c>
      <c r="J35" s="31">
        <f t="shared" si="11"/>
        <v>0</v>
      </c>
      <c r="K35" s="30">
        <f t="shared" si="11"/>
        <v>16999250000</v>
      </c>
      <c r="L35" s="31">
        <f t="shared" si="11"/>
        <v>87000</v>
      </c>
      <c r="M35" s="30">
        <f t="shared" si="11"/>
        <v>125978693.33333334</v>
      </c>
      <c r="N35" s="31">
        <f t="shared" si="11"/>
        <v>0</v>
      </c>
      <c r="O35" s="31">
        <f t="shared" si="11"/>
        <v>164.33333333333334</v>
      </c>
      <c r="P35" s="31">
        <f t="shared" si="11"/>
        <v>0</v>
      </c>
      <c r="Q35" s="44"/>
      <c r="R35" s="45"/>
      <c r="S35" s="32"/>
    </row>
    <row r="36" spans="1:19" ht="17.25" customHeight="1">
      <c r="F36" s="55"/>
    </row>
    <row r="37" spans="1:19" ht="17.25" customHeight="1">
      <c r="F37" s="52"/>
      <c r="K37" s="69"/>
    </row>
    <row r="38" spans="1:19" ht="17.25" customHeight="1">
      <c r="F38" s="52"/>
    </row>
    <row r="39" spans="1:19" ht="17.25" customHeight="1">
      <c r="F39" s="52"/>
    </row>
    <row r="41" spans="1:19" ht="17.25" customHeight="1">
      <c r="F41" s="55"/>
    </row>
    <row r="49" spans="1:19" s="60" customFormat="1" ht="17.25" customHeight="1">
      <c r="A49" s="51"/>
      <c r="B49" s="52"/>
      <c r="C49" s="53"/>
      <c r="D49" s="53"/>
      <c r="E49" s="54"/>
      <c r="F49" s="58"/>
      <c r="G49" s="54"/>
      <c r="H49" s="56"/>
      <c r="I49" s="57"/>
      <c r="J49" s="57"/>
      <c r="K49" s="54"/>
      <c r="L49" s="58"/>
      <c r="M49" s="62"/>
      <c r="N49" s="62"/>
      <c r="O49" s="62"/>
      <c r="Q49" s="61"/>
      <c r="R49" s="61"/>
      <c r="S49" s="51"/>
    </row>
  </sheetData>
  <autoFilter ref="A3:S18"/>
  <mergeCells count="11">
    <mergeCell ref="M2:Q2"/>
    <mergeCell ref="R2:R3"/>
    <mergeCell ref="S2:S3"/>
    <mergeCell ref="A18:B18"/>
    <mergeCell ref="A35:B35"/>
    <mergeCell ref="A2:A3"/>
    <mergeCell ref="B2:B3"/>
    <mergeCell ref="C2:D2"/>
    <mergeCell ref="E2:G2"/>
    <mergeCell ref="H2:J2"/>
    <mergeCell ref="K2:L2"/>
  </mergeCells>
  <pageMargins left="0.18" right="0" top="0.12" bottom="0" header="0" footer="0"/>
  <pageSetup paperSize="9" scale="9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X38"/>
  <sheetViews>
    <sheetView tabSelected="1" workbookViewId="0">
      <selection activeCell="F18" sqref="F18"/>
    </sheetView>
  </sheetViews>
  <sheetFormatPr defaultColWidth="17.140625" defaultRowHeight="20.25" customHeight="1"/>
  <cols>
    <col min="1" max="1" width="4.7109375" style="72" customWidth="1"/>
    <col min="2" max="3" width="9.7109375" style="70" customWidth="1"/>
    <col min="4" max="4" width="7.140625" style="70" customWidth="1"/>
    <col min="5" max="5" width="13.28515625" style="70" customWidth="1"/>
    <col min="6" max="6" width="14.85546875" style="70" customWidth="1"/>
    <col min="7" max="8" width="9.5703125" style="70" customWidth="1"/>
    <col min="9" max="9" width="8.140625" style="70" customWidth="1"/>
    <col min="10" max="10" width="12.7109375" style="70" customWidth="1"/>
    <col min="11" max="11" width="14" style="70" customWidth="1"/>
    <col min="12" max="12" width="14.42578125" style="70" customWidth="1"/>
    <col min="13" max="13" width="13.28515625" style="70" customWidth="1"/>
    <col min="14" max="14" width="3.28515625" style="70" customWidth="1"/>
    <col min="15" max="16" width="9.42578125" style="70" customWidth="1"/>
    <col min="17" max="17" width="7.7109375" style="70" customWidth="1"/>
    <col min="18" max="18" width="7" style="70" customWidth="1"/>
    <col min="19" max="19" width="11" style="70" customWidth="1"/>
    <col min="20" max="20" width="11.7109375" style="70" customWidth="1"/>
    <col min="21" max="21" width="10" style="70" customWidth="1"/>
    <col min="22" max="22" width="9.5703125" style="70" customWidth="1"/>
    <col min="23" max="23" width="11.42578125" style="70" customWidth="1"/>
    <col min="24" max="24" width="8.28515625" style="70" customWidth="1"/>
    <col min="25" max="16384" width="17.140625" style="70"/>
  </cols>
  <sheetData>
    <row r="1" spans="1:24" ht="20.25" customHeight="1">
      <c r="A1" s="92" t="s">
        <v>78</v>
      </c>
      <c r="F1" s="103" t="s">
        <v>70</v>
      </c>
      <c r="P1" s="103" t="s">
        <v>69</v>
      </c>
    </row>
    <row r="2" spans="1:24" s="75" customFormat="1" ht="20.25" customHeight="1">
      <c r="A2" s="122" t="s">
        <v>44</v>
      </c>
      <c r="B2" s="125" t="s">
        <v>48</v>
      </c>
      <c r="C2" s="125"/>
      <c r="D2" s="125"/>
      <c r="E2" s="125"/>
      <c r="F2" s="125"/>
      <c r="G2" s="125" t="s">
        <v>45</v>
      </c>
      <c r="H2" s="125"/>
      <c r="I2" s="125"/>
      <c r="J2" s="125"/>
      <c r="K2" s="125"/>
      <c r="L2" s="125"/>
      <c r="M2" s="125" t="s">
        <v>51</v>
      </c>
      <c r="O2" s="128" t="s">
        <v>63</v>
      </c>
      <c r="P2" s="130"/>
      <c r="Q2" s="130"/>
      <c r="R2" s="130"/>
      <c r="S2" s="130"/>
      <c r="T2" s="130"/>
      <c r="U2" s="130"/>
      <c r="V2" s="130"/>
      <c r="W2" s="129"/>
      <c r="X2" s="125" t="s">
        <v>51</v>
      </c>
    </row>
    <row r="3" spans="1:24" s="75" customFormat="1" ht="20.25" customHeight="1">
      <c r="A3" s="123"/>
      <c r="B3" s="126" t="s">
        <v>46</v>
      </c>
      <c r="C3" s="126" t="s">
        <v>52</v>
      </c>
      <c r="D3" s="126" t="s">
        <v>53</v>
      </c>
      <c r="E3" s="126" t="s">
        <v>56</v>
      </c>
      <c r="F3" s="126" t="s">
        <v>47</v>
      </c>
      <c r="G3" s="126" t="s">
        <v>49</v>
      </c>
      <c r="H3" s="126" t="s">
        <v>52</v>
      </c>
      <c r="I3" s="126" t="s">
        <v>53</v>
      </c>
      <c r="J3" s="122" t="s">
        <v>56</v>
      </c>
      <c r="K3" s="126" t="s">
        <v>0</v>
      </c>
      <c r="L3" s="126" t="s">
        <v>13</v>
      </c>
      <c r="M3" s="125"/>
      <c r="O3" s="126" t="s">
        <v>49</v>
      </c>
      <c r="P3" s="126" t="s">
        <v>62</v>
      </c>
      <c r="Q3" s="126" t="s">
        <v>53</v>
      </c>
      <c r="R3" s="126" t="s">
        <v>77</v>
      </c>
      <c r="S3" s="126" t="s">
        <v>61</v>
      </c>
      <c r="T3" s="131" t="s">
        <v>68</v>
      </c>
      <c r="U3" s="132"/>
      <c r="V3" s="132"/>
      <c r="W3" s="133"/>
      <c r="X3" s="125"/>
    </row>
    <row r="4" spans="1:24" s="95" customFormat="1" ht="34.5" customHeight="1">
      <c r="A4" s="124"/>
      <c r="B4" s="127"/>
      <c r="C4" s="127"/>
      <c r="D4" s="127"/>
      <c r="E4" s="127"/>
      <c r="F4" s="127"/>
      <c r="G4" s="127"/>
      <c r="H4" s="127"/>
      <c r="I4" s="127"/>
      <c r="J4" s="124"/>
      <c r="K4" s="127"/>
      <c r="L4" s="127"/>
      <c r="M4" s="125"/>
      <c r="O4" s="127"/>
      <c r="P4" s="127"/>
      <c r="Q4" s="127"/>
      <c r="R4" s="127"/>
      <c r="S4" s="127"/>
      <c r="T4" s="94" t="s">
        <v>64</v>
      </c>
      <c r="U4" s="94" t="s">
        <v>66</v>
      </c>
      <c r="V4" s="94" t="s">
        <v>67</v>
      </c>
      <c r="W4" s="94" t="s">
        <v>65</v>
      </c>
      <c r="X4" s="125"/>
    </row>
    <row r="5" spans="1:24" ht="20.25" customHeight="1">
      <c r="A5" s="73">
        <v>1</v>
      </c>
      <c r="B5" s="84">
        <v>43157</v>
      </c>
      <c r="C5" s="84">
        <v>43338</v>
      </c>
      <c r="D5" s="87">
        <v>8.7499999999999994E-2</v>
      </c>
      <c r="E5" s="91">
        <f>F5*D5/2</f>
        <v>430062500</v>
      </c>
      <c r="F5" s="81">
        <v>9830000000</v>
      </c>
      <c r="G5" s="84">
        <v>43076</v>
      </c>
      <c r="H5" s="84">
        <v>43227</v>
      </c>
      <c r="I5" s="87">
        <v>2.8000000000000001E-2</v>
      </c>
      <c r="J5" s="96">
        <f>K5*I5/12</f>
        <v>1683.1733333333334</v>
      </c>
      <c r="K5" s="78">
        <v>721360</v>
      </c>
      <c r="L5" s="81">
        <f>K5*22728</f>
        <v>16395070080</v>
      </c>
      <c r="M5" s="71" t="s">
        <v>54</v>
      </c>
      <c r="O5" s="84">
        <v>42912</v>
      </c>
      <c r="P5" s="84">
        <v>43277</v>
      </c>
      <c r="Q5" s="87">
        <v>9.1999999999999998E-2</v>
      </c>
      <c r="R5" s="111">
        <f ca="1">DATEDIF(O5,TODAY(),"M")</f>
        <v>9</v>
      </c>
      <c r="S5" s="78">
        <v>44000</v>
      </c>
      <c r="T5" s="78">
        <f ca="1">S5-U5*R5</f>
        <v>10700</v>
      </c>
      <c r="U5" s="78">
        <v>3700</v>
      </c>
      <c r="V5" s="78">
        <f ca="1">T5*Q5/365*30</f>
        <v>80.909589041095899</v>
      </c>
      <c r="W5" s="78">
        <f ca="1">T5-U5</f>
        <v>7000</v>
      </c>
      <c r="X5" s="71"/>
    </row>
    <row r="6" spans="1:24" ht="20.25" customHeight="1">
      <c r="A6" s="74">
        <v>2</v>
      </c>
      <c r="B6" s="85">
        <v>43159</v>
      </c>
      <c r="C6" s="85">
        <v>43340</v>
      </c>
      <c r="D6" s="87">
        <v>8.7499999999999994E-2</v>
      </c>
      <c r="E6" s="91">
        <f t="shared" ref="E6:E7" si="0">F6*D6/2</f>
        <v>424375000</v>
      </c>
      <c r="F6" s="82">
        <v>9700000000</v>
      </c>
      <c r="G6" s="85">
        <v>43085</v>
      </c>
      <c r="H6" s="85">
        <v>43236</v>
      </c>
      <c r="I6" s="88">
        <v>2.8000000000000001E-2</v>
      </c>
      <c r="J6" s="96">
        <f>K6*I6/12</f>
        <v>1083.1333333333334</v>
      </c>
      <c r="K6" s="79">
        <v>464200</v>
      </c>
      <c r="L6" s="82">
        <f>K6*22727</f>
        <v>10549873400</v>
      </c>
      <c r="M6" s="71" t="s">
        <v>54</v>
      </c>
      <c r="O6" s="84">
        <v>43007</v>
      </c>
      <c r="P6" s="84">
        <v>43372</v>
      </c>
      <c r="Q6" s="88">
        <v>9.7000000000000003E-2</v>
      </c>
      <c r="R6" s="111">
        <f t="shared" ref="R6:R8" ca="1" si="1">DATEDIF(O6,TODAY(),"M")</f>
        <v>6</v>
      </c>
      <c r="S6" s="78">
        <v>98840</v>
      </c>
      <c r="T6" s="78">
        <f t="shared" ref="T6:T8" ca="1" si="2">S6-U6*R6</f>
        <v>49400</v>
      </c>
      <c r="U6" s="79">
        <v>8240</v>
      </c>
      <c r="V6" s="78">
        <f t="shared" ref="V6:V11" ca="1" si="3">T6*Q6/365*30</f>
        <v>393.84657534246577</v>
      </c>
      <c r="W6" s="78">
        <f t="shared" ref="W6:W8" ca="1" si="4">T6-U6</f>
        <v>41160</v>
      </c>
      <c r="X6" s="71"/>
    </row>
    <row r="7" spans="1:24" ht="20.25" customHeight="1">
      <c r="A7" s="74">
        <v>3</v>
      </c>
      <c r="B7" s="85">
        <v>43171</v>
      </c>
      <c r="C7" s="85">
        <v>43324</v>
      </c>
      <c r="D7" s="87">
        <v>8.7499999999999994E-2</v>
      </c>
      <c r="E7" s="91">
        <f t="shared" si="0"/>
        <v>440562500</v>
      </c>
      <c r="F7" s="82">
        <v>10070000000</v>
      </c>
      <c r="G7" s="85">
        <v>43090</v>
      </c>
      <c r="H7" s="85">
        <v>43241</v>
      </c>
      <c r="I7" s="88">
        <v>2.8000000000000001E-2</v>
      </c>
      <c r="J7" s="96">
        <f>K7*I7/12</f>
        <v>206.15</v>
      </c>
      <c r="K7" s="79">
        <v>88350</v>
      </c>
      <c r="L7" s="82">
        <f>K7*22726</f>
        <v>2007842100</v>
      </c>
      <c r="M7" s="71" t="s">
        <v>54</v>
      </c>
      <c r="O7" s="84">
        <v>43038</v>
      </c>
      <c r="P7" s="84">
        <v>43434</v>
      </c>
      <c r="Q7" s="88">
        <v>9.7000000000000003E-2</v>
      </c>
      <c r="R7" s="111">
        <f t="shared" ca="1" si="1"/>
        <v>4</v>
      </c>
      <c r="S7" s="78">
        <v>23890</v>
      </c>
      <c r="T7" s="78">
        <f t="shared" ca="1" si="2"/>
        <v>15890</v>
      </c>
      <c r="U7" s="79">
        <v>2000</v>
      </c>
      <c r="V7" s="78">
        <f t="shared" ca="1" si="3"/>
        <v>126.68465753424658</v>
      </c>
      <c r="W7" s="78">
        <f t="shared" ca="1" si="4"/>
        <v>13890</v>
      </c>
      <c r="X7" s="71"/>
    </row>
    <row r="8" spans="1:24" ht="20.25" customHeight="1">
      <c r="A8" s="74">
        <v>4</v>
      </c>
      <c r="B8" s="85">
        <v>43053</v>
      </c>
      <c r="C8" s="85">
        <v>43234</v>
      </c>
      <c r="D8" s="88">
        <v>8.3799999999999999E-2</v>
      </c>
      <c r="E8" s="90">
        <v>487897567</v>
      </c>
      <c r="F8" s="82">
        <v>11580000000</v>
      </c>
      <c r="G8" s="85">
        <v>43182</v>
      </c>
      <c r="H8" s="85">
        <v>43335</v>
      </c>
      <c r="I8" s="88">
        <v>2.8000000000000001E-2</v>
      </c>
      <c r="J8" s="96">
        <f>K8*I8/12</f>
        <v>1026.6666666666667</v>
      </c>
      <c r="K8" s="79">
        <v>440000</v>
      </c>
      <c r="L8" s="82">
        <f>K8*22705</f>
        <v>9990200000</v>
      </c>
      <c r="M8" s="71" t="s">
        <v>55</v>
      </c>
      <c r="O8" s="84">
        <v>43140</v>
      </c>
      <c r="P8" s="84">
        <v>43505</v>
      </c>
      <c r="Q8" s="88">
        <v>0.105</v>
      </c>
      <c r="R8" s="111">
        <f t="shared" ca="1" si="1"/>
        <v>1</v>
      </c>
      <c r="S8" s="78">
        <v>27900</v>
      </c>
      <c r="T8" s="78">
        <f t="shared" ca="1" si="2"/>
        <v>25550</v>
      </c>
      <c r="U8" s="79">
        <v>2350</v>
      </c>
      <c r="V8" s="78">
        <f t="shared" ca="1" si="3"/>
        <v>220.5</v>
      </c>
      <c r="W8" s="78">
        <f t="shared" ca="1" si="4"/>
        <v>23200</v>
      </c>
      <c r="X8" s="71"/>
    </row>
    <row r="9" spans="1:24" ht="20.25" customHeight="1">
      <c r="A9" s="74"/>
      <c r="B9" s="85"/>
      <c r="C9" s="85"/>
      <c r="D9" s="88"/>
      <c r="E9" s="90"/>
      <c r="F9" s="82"/>
      <c r="G9" s="85">
        <v>43055</v>
      </c>
      <c r="H9" s="85">
        <v>43206</v>
      </c>
      <c r="I9" s="88">
        <v>2.8000000000000001E-2</v>
      </c>
      <c r="J9" s="96">
        <f>K9*I9/12</f>
        <v>206.26666666666668</v>
      </c>
      <c r="K9" s="79">
        <f>534400-446000</f>
        <v>88400</v>
      </c>
      <c r="L9" s="82">
        <f>K9*22705</f>
        <v>2007122000</v>
      </c>
      <c r="M9" s="71" t="s">
        <v>55</v>
      </c>
      <c r="O9" s="84"/>
      <c r="P9" s="84"/>
      <c r="Q9" s="88"/>
      <c r="R9" s="87"/>
      <c r="S9" s="78"/>
      <c r="T9" s="78">
        <f t="shared" ref="T9:T11" ca="1" si="5">S9-(MONTH(TODAY())-MONTH(O9)-1)*U9</f>
        <v>0</v>
      </c>
      <c r="U9" s="79"/>
      <c r="V9" s="78">
        <f t="shared" ca="1" si="3"/>
        <v>0</v>
      </c>
      <c r="W9" s="78">
        <f t="shared" ref="W9:W11" ca="1" si="6">S9-(MONTH(TODAY())-MONTH(O9))*U9</f>
        <v>0</v>
      </c>
      <c r="X9" s="71"/>
    </row>
    <row r="10" spans="1:24" ht="20.25" customHeight="1">
      <c r="A10" s="74">
        <v>5</v>
      </c>
      <c r="B10" s="85">
        <v>43061</v>
      </c>
      <c r="C10" s="85">
        <v>43242</v>
      </c>
      <c r="D10" s="88">
        <v>8.3799999999999999E-2</v>
      </c>
      <c r="E10" s="90">
        <v>353494006</v>
      </c>
      <c r="F10" s="82">
        <v>8390000000</v>
      </c>
      <c r="G10" s="85">
        <v>43066</v>
      </c>
      <c r="H10" s="85">
        <v>43217</v>
      </c>
      <c r="I10" s="88">
        <v>2.8000000000000001E-2</v>
      </c>
      <c r="J10" s="96">
        <f>K10*I10/12</f>
        <v>859.6</v>
      </c>
      <c r="K10" s="79">
        <v>368400</v>
      </c>
      <c r="L10" s="82">
        <f>K10*22719</f>
        <v>8369679600</v>
      </c>
      <c r="M10" s="71" t="s">
        <v>55</v>
      </c>
      <c r="O10" s="84"/>
      <c r="P10" s="84"/>
      <c r="Q10" s="88"/>
      <c r="R10" s="87"/>
      <c r="S10" s="78"/>
      <c r="T10" s="78">
        <f t="shared" ca="1" si="5"/>
        <v>0</v>
      </c>
      <c r="U10" s="79"/>
      <c r="V10" s="78">
        <f t="shared" ca="1" si="3"/>
        <v>0</v>
      </c>
      <c r="W10" s="78">
        <f t="shared" ca="1" si="6"/>
        <v>0</v>
      </c>
      <c r="X10" s="71"/>
    </row>
    <row r="11" spans="1:24" ht="20.25" customHeight="1">
      <c r="A11" s="74">
        <v>6</v>
      </c>
      <c r="B11" s="85">
        <v>43068</v>
      </c>
      <c r="C11" s="85">
        <v>43249</v>
      </c>
      <c r="D11" s="88">
        <v>8.3799999999999999E-2</v>
      </c>
      <c r="E11" s="90">
        <v>442394167</v>
      </c>
      <c r="F11" s="82">
        <v>10500000000</v>
      </c>
      <c r="G11" s="85">
        <v>43069</v>
      </c>
      <c r="H11" s="85">
        <v>43220</v>
      </c>
      <c r="I11" s="88">
        <v>2.8000000000000001E-2</v>
      </c>
      <c r="J11" s="96">
        <f>K11*I11/12</f>
        <v>1069.3666666666666</v>
      </c>
      <c r="K11" s="79">
        <v>458300</v>
      </c>
      <c r="L11" s="82">
        <f>K11*22714</f>
        <v>10409826200</v>
      </c>
      <c r="M11" s="71" t="s">
        <v>55</v>
      </c>
      <c r="O11" s="84"/>
      <c r="P11" s="84"/>
      <c r="Q11" s="77"/>
      <c r="R11" s="110"/>
      <c r="S11" s="78"/>
      <c r="T11" s="78">
        <f t="shared" ca="1" si="5"/>
        <v>0</v>
      </c>
      <c r="U11" s="80"/>
      <c r="V11" s="78">
        <f t="shared" ca="1" si="3"/>
        <v>0</v>
      </c>
      <c r="W11" s="78">
        <f t="shared" ca="1" si="6"/>
        <v>0</v>
      </c>
      <c r="X11" s="77"/>
    </row>
    <row r="12" spans="1:24" s="100" customFormat="1" ht="20.25" customHeight="1">
      <c r="A12" s="76"/>
      <c r="B12" s="86"/>
      <c r="C12" s="86"/>
      <c r="D12" s="89"/>
      <c r="E12" s="89"/>
      <c r="F12" s="83"/>
      <c r="G12" s="86"/>
      <c r="H12" s="86"/>
      <c r="I12" s="89"/>
      <c r="J12" s="89"/>
      <c r="K12" s="80"/>
      <c r="L12" s="83"/>
      <c r="M12" s="77"/>
      <c r="N12" s="93"/>
      <c r="O12" s="120" t="s">
        <v>50</v>
      </c>
      <c r="P12" s="134"/>
      <c r="Q12" s="121"/>
      <c r="R12" s="109"/>
      <c r="S12" s="101">
        <f>SUM(S5:S11)</f>
        <v>194630</v>
      </c>
      <c r="T12" s="101">
        <f t="shared" ref="T12:W12" ca="1" si="7">SUM(T5:T11)</f>
        <v>101540</v>
      </c>
      <c r="U12" s="101">
        <f t="shared" si="7"/>
        <v>16290</v>
      </c>
      <c r="V12" s="101">
        <f t="shared" ca="1" si="7"/>
        <v>821.94082191780831</v>
      </c>
      <c r="W12" s="101">
        <f t="shared" ca="1" si="7"/>
        <v>85250</v>
      </c>
      <c r="X12" s="99"/>
    </row>
    <row r="13" spans="1:24" s="100" customFormat="1" ht="20.25" customHeight="1">
      <c r="A13" s="120" t="s">
        <v>50</v>
      </c>
      <c r="B13" s="121"/>
      <c r="C13" s="109"/>
      <c r="D13" s="109"/>
      <c r="E13" s="97">
        <f>SUM(E5:E12)</f>
        <v>2578785740</v>
      </c>
      <c r="F13" s="97">
        <f>SUM(F5:F12)</f>
        <v>60070000000</v>
      </c>
      <c r="G13" s="97"/>
      <c r="H13" s="97"/>
      <c r="I13" s="97"/>
      <c r="J13" s="98">
        <f>SUM(J5:J12)</f>
        <v>6134.3566666666675</v>
      </c>
      <c r="K13" s="98">
        <f>SUM(K5:K12)</f>
        <v>2629010</v>
      </c>
      <c r="L13" s="97">
        <f>SUM(L5:L12)</f>
        <v>59729613380</v>
      </c>
      <c r="M13" s="99"/>
      <c r="T13" s="102"/>
    </row>
    <row r="15" spans="1:24" s="75" customFormat="1" ht="20.25" customHeight="1">
      <c r="A15" s="72"/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U15" s="104"/>
    </row>
    <row r="16" spans="1:24" s="75" customFormat="1" ht="20.25" customHeight="1">
      <c r="A16" s="72"/>
      <c r="B16" s="70"/>
      <c r="C16" s="70"/>
      <c r="D16" s="70"/>
      <c r="E16" s="70"/>
      <c r="F16" s="70"/>
      <c r="G16" s="70"/>
      <c r="H16" s="70"/>
      <c r="I16" s="70"/>
      <c r="J16" s="70"/>
      <c r="K16" s="70"/>
      <c r="L16" s="70"/>
      <c r="M16" s="70"/>
    </row>
    <row r="17" spans="1:21" s="95" customFormat="1" ht="34.5" customHeight="1">
      <c r="A17" s="72"/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70"/>
      <c r="M17" s="70"/>
    </row>
    <row r="25" spans="1:21" s="100" customFormat="1" ht="20.25" customHeight="1">
      <c r="A25" s="72"/>
      <c r="B25" s="70"/>
      <c r="C25" s="70"/>
      <c r="D25" s="70"/>
      <c r="E25" s="70"/>
      <c r="F25" s="70"/>
      <c r="G25" s="70"/>
      <c r="H25" s="70"/>
      <c r="I25" s="70"/>
      <c r="J25" s="70"/>
      <c r="K25" s="70"/>
      <c r="L25" s="70"/>
      <c r="M25" s="70"/>
      <c r="N25" s="93">
        <f t="shared" ref="N25" si="8">SUM(N18:N24)</f>
        <v>0</v>
      </c>
    </row>
    <row r="28" spans="1:21" s="75" customFormat="1" ht="20.25" customHeight="1">
      <c r="A28" s="72"/>
      <c r="B28" s="70"/>
      <c r="C28" s="70"/>
      <c r="D28" s="70"/>
      <c r="E28" s="70"/>
      <c r="F28" s="70"/>
      <c r="G28" s="70"/>
      <c r="H28" s="70"/>
      <c r="I28" s="70"/>
      <c r="J28" s="70"/>
      <c r="K28" s="70"/>
      <c r="L28" s="70"/>
      <c r="M28" s="70"/>
      <c r="U28" s="104"/>
    </row>
    <row r="29" spans="1:21" s="75" customFormat="1" ht="20.25" customHeight="1">
      <c r="A29" s="72"/>
      <c r="B29" s="70"/>
      <c r="C29" s="70"/>
      <c r="D29" s="70"/>
      <c r="E29" s="70"/>
      <c r="F29" s="70"/>
      <c r="G29" s="70"/>
      <c r="H29" s="70"/>
      <c r="I29" s="70"/>
      <c r="J29" s="70"/>
      <c r="K29" s="70"/>
      <c r="L29" s="70"/>
      <c r="M29" s="70"/>
    </row>
    <row r="30" spans="1:21" s="95" customFormat="1" ht="34.5" customHeight="1">
      <c r="A30" s="72"/>
      <c r="B30" s="70"/>
      <c r="C30" s="70"/>
      <c r="D30" s="70"/>
      <c r="E30" s="70"/>
      <c r="F30" s="70"/>
      <c r="G30" s="70"/>
      <c r="H30" s="70"/>
      <c r="I30" s="70"/>
      <c r="J30" s="70"/>
      <c r="K30" s="70"/>
      <c r="L30" s="70"/>
      <c r="M30" s="70"/>
    </row>
    <row r="38" spans="1:14" s="100" customFormat="1" ht="20.25" customHeight="1">
      <c r="A38" s="72"/>
      <c r="B38" s="70"/>
      <c r="C38" s="70"/>
      <c r="D38" s="70"/>
      <c r="E38" s="70"/>
      <c r="F38" s="70"/>
      <c r="G38" s="70"/>
      <c r="H38" s="70"/>
      <c r="I38" s="70"/>
      <c r="J38" s="70"/>
      <c r="K38" s="70"/>
      <c r="L38" s="70"/>
      <c r="M38" s="70"/>
      <c r="N38" s="93">
        <f t="shared" ref="N38" si="9">SUM(N31:N37)</f>
        <v>0</v>
      </c>
    </row>
  </sheetData>
  <mergeCells count="25">
    <mergeCell ref="O12:Q12"/>
    <mergeCell ref="J3:J4"/>
    <mergeCell ref="X2:X4"/>
    <mergeCell ref="O2:W2"/>
    <mergeCell ref="O3:O4"/>
    <mergeCell ref="P3:P4"/>
    <mergeCell ref="Q3:Q4"/>
    <mergeCell ref="S3:S4"/>
    <mergeCell ref="T3:W3"/>
    <mergeCell ref="R3:R4"/>
    <mergeCell ref="A13:B13"/>
    <mergeCell ref="A2:A4"/>
    <mergeCell ref="B2:F2"/>
    <mergeCell ref="G2:L2"/>
    <mergeCell ref="M2:M4"/>
    <mergeCell ref="B3:B4"/>
    <mergeCell ref="C3:C4"/>
    <mergeCell ref="D3:D4"/>
    <mergeCell ref="E3:E4"/>
    <mergeCell ref="F3:F4"/>
    <mergeCell ref="G3:G4"/>
    <mergeCell ref="H3:H4"/>
    <mergeCell ref="I3:I4"/>
    <mergeCell ref="K3:K4"/>
    <mergeCell ref="L3:L4"/>
  </mergeCells>
  <pageMargins left="0.16" right="0.16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01-18</vt:lpstr>
      <vt:lpstr>VPBANK - 2018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cp:lastPrinted>2018-03-29T04:37:14Z</cp:lastPrinted>
  <dcterms:created xsi:type="dcterms:W3CDTF">2016-07-02T08:51:17Z</dcterms:created>
  <dcterms:modified xsi:type="dcterms:W3CDTF">2018-03-29T06:17:52Z</dcterms:modified>
</cp:coreProperties>
</file>