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21840" windowHeight="9615" activeTab="9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</sheets>
  <externalReferences>
    <externalReference r:id="rId11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0" hidden="1">TH!$B$3:$X$92</definedName>
    <definedName name="Dong">IF(Loai="p1",ROW(Loai)-1,"")</definedName>
    <definedName name="DS">TH!$A$4:$Q$91</definedName>
    <definedName name="Loai">OFFSET(TH!$R$4,,,COUNTA(TH!$R$4:$R$39662))</definedName>
    <definedName name="N_1">TH!$R$4:$R$91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</definedNames>
  <calcPr calcId="144525"/>
</workbook>
</file>

<file path=xl/calcChain.xml><?xml version="1.0" encoding="utf-8"?>
<calcChain xmlns="http://schemas.openxmlformats.org/spreadsheetml/2006/main"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R62" i="5" l="1"/>
  <c r="B62" i="5"/>
  <c r="A62" i="5"/>
  <c r="R61" i="5"/>
  <c r="B61" i="5"/>
  <c r="A61" i="5"/>
  <c r="R60" i="5"/>
  <c r="B60" i="5"/>
  <c r="A60" i="5"/>
  <c r="R59" i="5"/>
  <c r="B59" i="5"/>
  <c r="A59" i="5"/>
  <c r="R58" i="5"/>
  <c r="B58" i="5"/>
  <c r="A58" i="5"/>
  <c r="R57" i="5"/>
  <c r="B57" i="5"/>
  <c r="A57" i="5"/>
  <c r="R56" i="5"/>
  <c r="B56" i="5"/>
  <c r="A56" i="5"/>
  <c r="R55" i="5"/>
  <c r="B55" i="5"/>
  <c r="A55" i="5"/>
  <c r="R70" i="5"/>
  <c r="B70" i="5"/>
  <c r="A70" i="5"/>
  <c r="R69" i="5"/>
  <c r="B69" i="5"/>
  <c r="A69" i="5"/>
  <c r="R68" i="5"/>
  <c r="B68" i="5"/>
  <c r="A68" i="5"/>
  <c r="R67" i="5"/>
  <c r="B67" i="5"/>
  <c r="A67" i="5"/>
  <c r="R66" i="5"/>
  <c r="B66" i="5"/>
  <c r="A66" i="5"/>
  <c r="R65" i="5"/>
  <c r="B65" i="5"/>
  <c r="A65" i="5"/>
  <c r="R64" i="5"/>
  <c r="B64" i="5"/>
  <c r="A64" i="5"/>
  <c r="R63" i="5"/>
  <c r="B63" i="5"/>
  <c r="A63" i="5"/>
  <c r="R78" i="5"/>
  <c r="B78" i="5"/>
  <c r="A78" i="5"/>
  <c r="R77" i="5"/>
  <c r="B77" i="5"/>
  <c r="A77" i="5"/>
  <c r="R76" i="5"/>
  <c r="B76" i="5"/>
  <c r="A76" i="5"/>
  <c r="R75" i="5"/>
  <c r="B75" i="5"/>
  <c r="A75" i="5"/>
  <c r="R74" i="5"/>
  <c r="B74" i="5"/>
  <c r="A74" i="5"/>
  <c r="R73" i="5"/>
  <c r="B73" i="5"/>
  <c r="A73" i="5"/>
  <c r="R72" i="5"/>
  <c r="B72" i="5"/>
  <c r="A72" i="5"/>
  <c r="R71" i="5"/>
  <c r="B71" i="5"/>
  <c r="A71" i="5"/>
  <c r="R82" i="5"/>
  <c r="B82" i="5"/>
  <c r="A82" i="5"/>
  <c r="R81" i="5"/>
  <c r="B81" i="5"/>
  <c r="A81" i="5"/>
  <c r="R80" i="5"/>
  <c r="B80" i="5"/>
  <c r="A80" i="5"/>
  <c r="R79" i="5"/>
  <c r="B79" i="5"/>
  <c r="A79" i="5"/>
  <c r="R86" i="5"/>
  <c r="B86" i="5"/>
  <c r="A86" i="5"/>
  <c r="R85" i="5"/>
  <c r="B85" i="5"/>
  <c r="A85" i="5"/>
  <c r="R84" i="5"/>
  <c r="B84" i="5"/>
  <c r="A84" i="5"/>
  <c r="R83" i="5"/>
  <c r="B83" i="5"/>
  <c r="A83" i="5"/>
  <c r="P25" i="5" l="1"/>
  <c r="R5" i="5" l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87" i="5"/>
  <c r="R88" i="5"/>
  <c r="R89" i="5"/>
  <c r="R90" i="5"/>
  <c r="R91" i="5"/>
  <c r="R92" i="5"/>
  <c r="R4" i="5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87" i="5"/>
  <c r="A88" i="5"/>
  <c r="A89" i="5"/>
  <c r="A90" i="5"/>
  <c r="A91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C24" i="7" l="1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E17" i="2"/>
  <c r="F11" i="2"/>
  <c r="G13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88" i="5"/>
  <c r="B89" i="5"/>
  <c r="B90" i="5"/>
  <c r="B91" i="5"/>
  <c r="B4" i="5"/>
  <c r="A1" i="2"/>
  <c r="K8" i="2"/>
  <c r="L8" i="2"/>
  <c r="E7" i="2"/>
  <c r="F9" i="2"/>
  <c r="F9" i="4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<sst xmlns="http://schemas.openxmlformats.org/spreadsheetml/2006/main" count="1008" uniqueCount="354">
  <si>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</si>
  <si>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</si>
  <si>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</si>
  <si>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</si>
  <si>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</si>
  <si>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</si>
  <si>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</si>
  <si>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</si>
  <si>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</si>
  <si>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</si>
  <si>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</si>
  <si>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</si>
  <si>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</si>
  <si>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</si>
  <si>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</si>
  <si>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</si>
  <si>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</si>
  <si>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</si>
  <si>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</si>
  <si>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</si>
  <si>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</si>
  <si>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</si>
  <si>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</si>
  <si>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</si>
  <si>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</si>
  <si>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</si>
  <si>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</si>
  <si>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</si>
  <si>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</si>
  <si>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</si>
  <si>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</si>
  <si>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</si>
  <si>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</si>
  <si>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</si>
  <si>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</si>
  <si>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</si>
  <si>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</si>
  <si>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</si>
  <si>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</si>
  <si>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</si>
  <si>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</si>
  <si>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</si>
  <si>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</si>
  <si>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</si>
  <si>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</si>
  <si>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</si>
  <si>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</si>
  <si>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</si>
  <si>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</si>
  <si>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</si>
  <si>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</si>
  <si>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</si>
  <si>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</si>
  <si>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</si>
  <si>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</si>
  <si>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</si>
  <si>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</si>
  <si>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</si>
  <si>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</si>
  <si>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</si>
  <si>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</si>
  <si>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</si>
  <si>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</si>
  <si>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</si>
  <si>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</si>
  <si>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</si>
  <si>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</si>
  <si>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</si>
  <si>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</si>
  <si>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</si>
  <si>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</si>
  <si>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</si>
  <si>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</si>
  <si>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</si>
  <si>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</si>
  <si>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</si>
  <si>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</si>
  <si>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</si>
  <si>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</si>
  <si>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</si>
  <si>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</si>
  <si>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</si>
  <si>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</si>
  <si>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</si>
  <si>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</si>
  <si>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</si>
  <si>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</si>
  <si>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</si>
  <si>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</si>
  <si>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</si>
  <si>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</si>
  <si>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</si>
  <si>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</si>
  <si>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</si>
  <si>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</si>
  <si>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</si>
  <si>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</si>
  <si>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</si>
  <si>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</si>
  <si>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</si>
  <si>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</si>
  <si>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</si>
  <si>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</si>
  <si>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</si>
  <si>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</si>
  <si>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</si>
  <si>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</si>
  <si>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</si>
  <si>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</si>
  <si>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</si>
  <si>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</si>
  <si>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</si>
  <si>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</si>
  <si>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</si>
  <si>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</si>
  <si>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</si>
  <si>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</si>
  <si>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</si>
  <si>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</si>
  <si>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</si>
  <si>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</si>
  <si>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</si>
  <si>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</si>
  <si>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</si>
  <si>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</si>
  <si>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</si>
  <si>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</si>
  <si>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</si>
  <si>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</si>
  <si>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</si>
  <si>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</si>
  <si>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</si>
  <si>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</si>
  <si>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</si>
  <si>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</si>
  <si>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</si>
  <si>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</si>
  <si>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</si>
  <si>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</si>
  <si>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</si>
  <si>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</si>
  <si>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</si>
  <si>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</si>
  <si>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</si>
  <si>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</si>
  <si>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</si>
  <si>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</si>
  <si>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</si>
  <si>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</si>
  <si>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</si>
  <si>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</si>
  <si>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</si>
  <si>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</si>
  <si>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</si>
  <si>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</si>
  <si>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</si>
  <si>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</si>
  <si>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</si>
  <si>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</si>
  <si>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</si>
  <si>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</si>
  <si>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</si>
  <si>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</si>
  <si>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</si>
  <si>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</si>
  <si>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</si>
  <si>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</si>
  <si>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</si>
  <si>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</si>
  <si>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</si>
  <si>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</si>
  <si>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</si>
  <si>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</si>
  <si>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</si>
  <si>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</si>
  <si>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</si>
  <si>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</si>
  <si>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</si>
  <si>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</si>
  <si>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</si>
  <si>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</si>
  <si>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</si>
  <si>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</si>
  <si>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</si>
  <si>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</si>
  <si>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</si>
  <si>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</si>
  <si>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</si>
  <si>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</si>
  <si>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</si>
  <si>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</si>
  <si>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</si>
  <si>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</si>
  <si>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</si>
  <si>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</si>
  <si>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</si>
  <si>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</si>
  <si>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</si>
  <si>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</si>
  <si>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</si>
  <si>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</si>
  <si>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</si>
  <si>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</si>
  <si>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</si>
  <si>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</si>
  <si>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</si>
  <si>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</si>
  <si>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</si>
  <si>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</si>
  <si>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</si>
  <si>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</si>
  <si>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</si>
  <si>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</si>
  <si>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</si>
  <si>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</si>
  <si>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</si>
  <si>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</si>
  <si>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</si>
  <si>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</si>
  <si>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</si>
  <si>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</si>
  <si>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</si>
  <si>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</si>
  <si>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</si>
  <si>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</si>
  <si>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</si>
  <si>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</si>
  <si>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</si>
  <si>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</si>
  <si>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</si>
  <si>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</si>
  <si>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</si>
  <si>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</si>
  <si>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</si>
  <si>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</si>
  <si>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</si>
  <si>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</si>
  <si>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</si>
  <si>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</si>
  <si>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</si>
  <si>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</si>
  <si>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</si>
  <si>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</si>
  <si>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</si>
  <si>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</si>
  <si>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</si>
  <si>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</si>
  <si>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</si>
  <si>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</si>
  <si>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</si>
  <si>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</si>
  <si>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</si>
  <si>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</si>
  <si>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</si>
  <si>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</si>
  <si>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</si>
  <si>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</si>
  <si>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</si>
  <si>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</si>
  <si>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</si>
  <si>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</si>
  <si>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</si>
  <si>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</si>
  <si>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</si>
  <si>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</si>
  <si>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</si>
  <si>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</si>
  <si>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</si>
  <si>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</si>
  <si>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</si>
  <si>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</si>
  <si>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</si>
  <si>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</si>
  <si>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</si>
  <si>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</si>
  <si>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</si>
  <si>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</si>
  <si>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</si>
  <si>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</si>
  <si>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</si>
  <si>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</si>
  <si>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</si>
  <si>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</si>
  <si>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</si>
  <si>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</si>
  <si>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</si>
  <si>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</si>
  <si>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</si>
  <si>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</si>
  <si>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</si>
  <si>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</si>
  <si>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</si>
  <si>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</si>
  <si>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</si>
  <si>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</si>
  <si>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</si>
  <si>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</si>
  <si>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</si>
  <si>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</si>
  <si>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</si>
  <si>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</si>
  <si>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</si>
  <si>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</si>
  <si>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</si>
  <si>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</si>
  <si>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</si>
  <si>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</si>
  <si>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</si>
  <si>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</si>
  <si>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</si>
  <si>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</si>
  <si>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</si>
  <si>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</si>
  <si>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</si>
  <si>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</si>
  <si>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</si>
  <si>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</si>
  <si>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</si>
  <si>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</si>
  <si>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</si>
  <si>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</si>
  <si>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</si>
  <si>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</si>
  <si>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</si>
  <si>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</si>
  <si>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</si>
  <si>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</si>
  <si>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</si>
  <si>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</si>
  <si>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</si>
  <si>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</si>
  <si>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</si>
  <si>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</si>
  <si>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</si>
  <si>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</si>
  <si>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</si>
  <si>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</si>
  <si>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</si>
  <si>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</si>
  <si>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</si>
  <si>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MKH: PB06030022841- Tiền điện kỳ 2 tháng 08 năm 2016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</si>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</sst>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0" xfId="0" applyFont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7030A0"/>
  </sheetPr>
  <dimension ref="A1:R92"/>
  <sheetViews>
    <sheetView topLeftCell="B1" workbookViewId="0">
      <pane xSplit="5" ySplit="3" topLeftCell="G38" activePane="bottomRight" state="frozen"/>
      <selection activeCell="B1" sqref="B1"/>
      <selection pane="topRight" activeCell="G1" sqref="G1"/>
      <selection pane="bottomLeft" activeCell="B4" sqref="B4"/>
      <selection pane="bottomRight" activeCell="P53" sqref="P53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1.425781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106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53" t="s">
        <v>1</v>
      </c>
      <c r="C2" s="250" t="s">
        <v>12</v>
      </c>
      <c r="D2" s="251"/>
      <c r="E2" s="252"/>
      <c r="F2" s="250" t="s">
        <v>20</v>
      </c>
      <c r="G2" s="251"/>
      <c r="H2" s="251"/>
      <c r="I2" s="251"/>
      <c r="J2" s="251"/>
      <c r="K2" s="251"/>
      <c r="L2" s="251"/>
      <c r="M2" s="252"/>
      <c r="N2" s="245" t="s">
        <v>0</v>
      </c>
      <c r="O2" s="249" t="s">
        <v>21</v>
      </c>
      <c r="P2" s="249"/>
      <c r="Q2" s="247" t="s">
        <v>22</v>
      </c>
      <c r="R2" s="58"/>
    </row>
    <row r="3" spans="1:18" s="59" customFormat="1" ht="36.75" customHeight="1">
      <c r="A3" s="58"/>
      <c r="B3" s="246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46"/>
      <c r="O3" s="61" t="s">
        <v>28</v>
      </c>
      <c r="P3" s="61" t="s">
        <v>29</v>
      </c>
      <c r="Q3" s="248"/>
      <c r="R3" s="58"/>
    </row>
    <row r="4" spans="1:18" ht="18.75" hidden="1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106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hidden="1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91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106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hidden="1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106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hidden="1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106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hidden="1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106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hidden="1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106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hidden="1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106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hidden="1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106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hidden="1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106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hidden="1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7">
        <f t="shared" si="0"/>
        <v>10</v>
      </c>
      <c r="C13" s="107" t="s">
        <v>128</v>
      </c>
      <c r="D13" s="108">
        <v>42559</v>
      </c>
      <c r="E13" s="107" t="s">
        <v>23</v>
      </c>
      <c r="F13" s="109" t="s">
        <v>132</v>
      </c>
      <c r="G13" s="109" t="s">
        <v>131</v>
      </c>
      <c r="H13" s="109" t="s">
        <v>130</v>
      </c>
      <c r="I13" s="107" t="s">
        <v>10</v>
      </c>
      <c r="J13" s="110"/>
      <c r="K13" s="111"/>
      <c r="L13" s="112"/>
      <c r="M13" s="112"/>
      <c r="N13" s="109" t="s">
        <v>129</v>
      </c>
      <c r="O13" s="113">
        <v>39600</v>
      </c>
      <c r="P13" s="114"/>
      <c r="Q13" s="115" t="s">
        <v>147</v>
      </c>
      <c r="R13" s="106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hidden="1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7">
        <f t="shared" si="0"/>
        <v>11</v>
      </c>
      <c r="C14" s="107" t="s">
        <v>128</v>
      </c>
      <c r="D14" s="108">
        <v>42562</v>
      </c>
      <c r="E14" s="107" t="s">
        <v>23</v>
      </c>
      <c r="F14" s="109" t="s">
        <v>133</v>
      </c>
      <c r="G14" s="109" t="s">
        <v>134</v>
      </c>
      <c r="H14" s="109" t="s">
        <v>130</v>
      </c>
      <c r="I14" s="107" t="s">
        <v>10</v>
      </c>
      <c r="J14" s="110"/>
      <c r="K14" s="111"/>
      <c r="L14" s="112"/>
      <c r="M14" s="112"/>
      <c r="N14" s="109" t="s">
        <v>135</v>
      </c>
      <c r="O14" s="113"/>
      <c r="P14" s="114">
        <v>100000000</v>
      </c>
      <c r="Q14" s="115" t="s">
        <v>148</v>
      </c>
      <c r="R14" s="106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hidden="1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7">
        <f t="shared" si="0"/>
        <v>12</v>
      </c>
      <c r="C15" s="107" t="s">
        <v>104</v>
      </c>
      <c r="D15" s="108">
        <v>42562</v>
      </c>
      <c r="E15" s="107" t="s">
        <v>24</v>
      </c>
      <c r="F15" s="109" t="s">
        <v>136</v>
      </c>
      <c r="G15" s="109" t="s">
        <v>137</v>
      </c>
      <c r="H15" s="109" t="s">
        <v>139</v>
      </c>
      <c r="I15" s="112" t="s">
        <v>138</v>
      </c>
      <c r="J15" s="110"/>
      <c r="K15" s="111"/>
      <c r="L15" s="112"/>
      <c r="M15" s="112"/>
      <c r="N15" s="109" t="s">
        <v>140</v>
      </c>
      <c r="O15" s="113"/>
      <c r="P15" s="114">
        <v>100000000</v>
      </c>
      <c r="Q15" s="115" t="s">
        <v>147</v>
      </c>
      <c r="R15" s="106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hidden="1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7">
        <f t="shared" si="0"/>
        <v>13</v>
      </c>
      <c r="C16" s="107" t="s">
        <v>128</v>
      </c>
      <c r="D16" s="108">
        <v>42562</v>
      </c>
      <c r="E16" s="107" t="s">
        <v>25</v>
      </c>
      <c r="F16" s="109" t="s">
        <v>143</v>
      </c>
      <c r="G16" s="109" t="s">
        <v>142</v>
      </c>
      <c r="H16" s="109" t="s">
        <v>141</v>
      </c>
      <c r="I16" s="107" t="s">
        <v>10</v>
      </c>
      <c r="J16" s="110"/>
      <c r="K16" s="111"/>
      <c r="L16" s="112"/>
      <c r="M16" s="112"/>
      <c r="N16" s="109" t="s">
        <v>144</v>
      </c>
      <c r="O16" s="113"/>
      <c r="P16" s="114">
        <v>77480000</v>
      </c>
      <c r="Q16" s="115" t="s">
        <v>148</v>
      </c>
      <c r="R16" s="106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hidden="1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7">
        <f t="shared" si="0"/>
        <v>14</v>
      </c>
      <c r="C17" s="107" t="s">
        <v>82</v>
      </c>
      <c r="D17" s="108">
        <v>42564</v>
      </c>
      <c r="E17" s="107" t="s">
        <v>23</v>
      </c>
      <c r="F17" s="109" t="s">
        <v>153</v>
      </c>
      <c r="G17" s="116" t="s">
        <v>150</v>
      </c>
      <c r="H17" s="109" t="s">
        <v>151</v>
      </c>
      <c r="I17" s="112" t="s">
        <v>10</v>
      </c>
      <c r="J17" s="110"/>
      <c r="K17" s="111"/>
      <c r="L17" s="112"/>
      <c r="M17" s="112"/>
      <c r="N17" s="109" t="s">
        <v>152</v>
      </c>
      <c r="O17" s="113"/>
      <c r="P17" s="114">
        <v>11852379</v>
      </c>
      <c r="Q17" s="115" t="s">
        <v>147</v>
      </c>
      <c r="R17" s="106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hidden="1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7">
        <f t="shared" si="0"/>
        <v>15</v>
      </c>
      <c r="C18" s="107" t="s">
        <v>82</v>
      </c>
      <c r="D18" s="108">
        <v>42566</v>
      </c>
      <c r="E18" s="107" t="s">
        <v>23</v>
      </c>
      <c r="F18" s="109" t="s">
        <v>154</v>
      </c>
      <c r="G18" s="109" t="s">
        <v>155</v>
      </c>
      <c r="H18" s="109" t="s">
        <v>156</v>
      </c>
      <c r="I18" s="112" t="s">
        <v>10</v>
      </c>
      <c r="J18" s="110"/>
      <c r="K18" s="111"/>
      <c r="L18" s="112"/>
      <c r="M18" s="112"/>
      <c r="N18" s="109" t="s">
        <v>157</v>
      </c>
      <c r="O18" s="113"/>
      <c r="P18" s="114">
        <v>50000000</v>
      </c>
      <c r="Q18" s="115" t="s">
        <v>147</v>
      </c>
      <c r="R18" s="106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hidden="1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7">
        <f t="shared" si="0"/>
        <v>16</v>
      </c>
      <c r="C19" s="107" t="s">
        <v>82</v>
      </c>
      <c r="D19" s="108">
        <v>42566</v>
      </c>
      <c r="E19" s="107" t="s">
        <v>24</v>
      </c>
      <c r="F19" s="109" t="s">
        <v>133</v>
      </c>
      <c r="G19" s="109" t="s">
        <v>134</v>
      </c>
      <c r="H19" s="109" t="s">
        <v>130</v>
      </c>
      <c r="I19" s="107" t="s">
        <v>10</v>
      </c>
      <c r="J19" s="110"/>
      <c r="K19" s="111"/>
      <c r="L19" s="112"/>
      <c r="M19" s="112"/>
      <c r="N19" s="109" t="s">
        <v>135</v>
      </c>
      <c r="O19" s="113"/>
      <c r="P19" s="114">
        <v>29000000</v>
      </c>
      <c r="Q19" s="115" t="s">
        <v>147</v>
      </c>
      <c r="R19" s="106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hidden="1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7">
        <f t="shared" si="0"/>
        <v>17</v>
      </c>
      <c r="C20" s="107" t="s">
        <v>104</v>
      </c>
      <c r="D20" s="108">
        <v>42566</v>
      </c>
      <c r="E20" s="107" t="s">
        <v>25</v>
      </c>
      <c r="F20" s="109" t="s">
        <v>158</v>
      </c>
      <c r="G20" s="109" t="s">
        <v>159</v>
      </c>
      <c r="H20" s="109" t="s">
        <v>160</v>
      </c>
      <c r="I20" s="112" t="s">
        <v>161</v>
      </c>
      <c r="J20" s="110"/>
      <c r="K20" s="111"/>
      <c r="L20" s="112"/>
      <c r="M20" s="112"/>
      <c r="N20" s="109" t="s">
        <v>162</v>
      </c>
      <c r="O20" s="113"/>
      <c r="P20" s="114">
        <v>28700000</v>
      </c>
      <c r="Q20" s="115" t="s">
        <v>147</v>
      </c>
      <c r="R20" s="106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hidden="1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7" t="s">
        <v>23</v>
      </c>
      <c r="F21" s="109" t="s">
        <v>132</v>
      </c>
      <c r="G21" s="71" t="s">
        <v>163</v>
      </c>
      <c r="H21" s="64" t="s">
        <v>164</v>
      </c>
      <c r="I21" s="107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5" t="s">
        <v>147</v>
      </c>
      <c r="R21" s="106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hidden="1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7" t="s">
        <v>24</v>
      </c>
      <c r="F22" s="109" t="s">
        <v>133</v>
      </c>
      <c r="G22" s="109" t="s">
        <v>134</v>
      </c>
      <c r="H22" s="109" t="s">
        <v>130</v>
      </c>
      <c r="I22" s="107" t="s">
        <v>10</v>
      </c>
      <c r="J22" s="66"/>
      <c r="K22" s="67"/>
      <c r="L22" s="65"/>
      <c r="M22" s="65"/>
      <c r="N22" s="109" t="s">
        <v>135</v>
      </c>
      <c r="O22" s="68"/>
      <c r="P22" s="69">
        <v>160000000</v>
      </c>
      <c r="Q22" s="115" t="s">
        <v>147</v>
      </c>
      <c r="R22" s="106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hidden="1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7" t="s">
        <v>25</v>
      </c>
      <c r="F23" s="109" t="s">
        <v>143</v>
      </c>
      <c r="G23" s="109" t="s">
        <v>142</v>
      </c>
      <c r="H23" s="109" t="s">
        <v>141</v>
      </c>
      <c r="I23" s="107" t="s">
        <v>10</v>
      </c>
      <c r="J23" s="110"/>
      <c r="K23" s="111"/>
      <c r="L23" s="112"/>
      <c r="M23" s="112"/>
      <c r="N23" s="109" t="s">
        <v>144</v>
      </c>
      <c r="O23" s="113"/>
      <c r="P23" s="114">
        <v>40000000</v>
      </c>
      <c r="Q23" s="115" t="s">
        <v>147</v>
      </c>
      <c r="R23" s="106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hidden="1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7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5" t="s">
        <v>147</v>
      </c>
      <c r="R24" s="106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hidden="1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7" t="s">
        <v>23</v>
      </c>
      <c r="F25" s="64" t="s">
        <v>167</v>
      </c>
      <c r="G25" s="64" t="s">
        <v>203</v>
      </c>
      <c r="H25" s="64" t="s">
        <v>168</v>
      </c>
      <c r="I25" s="112" t="s">
        <v>161</v>
      </c>
      <c r="J25" s="66"/>
      <c r="K25" s="67"/>
      <c r="L25" s="65"/>
      <c r="M25" s="65"/>
      <c r="N25" s="117" t="s">
        <v>193</v>
      </c>
      <c r="O25" s="68"/>
      <c r="P25" s="69">
        <f>26959790+26175600</f>
        <v>53135390</v>
      </c>
      <c r="Q25" s="115" t="s">
        <v>194</v>
      </c>
      <c r="R25" s="106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7" t="s">
        <v>23</v>
      </c>
      <c r="F26" s="109" t="s">
        <v>132</v>
      </c>
      <c r="G26" s="71" t="s">
        <v>170</v>
      </c>
      <c r="H26" s="64" t="s">
        <v>169</v>
      </c>
      <c r="I26" s="107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5" t="s">
        <v>195</v>
      </c>
      <c r="R26" s="106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7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5" t="s">
        <v>195</v>
      </c>
      <c r="R27" s="106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7" t="s">
        <v>24</v>
      </c>
      <c r="F28" s="64" t="s">
        <v>174</v>
      </c>
      <c r="G28" s="71" t="s">
        <v>175</v>
      </c>
      <c r="H28" s="64" t="s">
        <v>176</v>
      </c>
      <c r="I28" s="107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5" t="s">
        <v>195</v>
      </c>
      <c r="R28" s="106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7" t="s">
        <v>25</v>
      </c>
      <c r="F29" s="64" t="s">
        <v>178</v>
      </c>
      <c r="G29" s="71" t="s">
        <v>179</v>
      </c>
      <c r="H29" s="64" t="s">
        <v>180</v>
      </c>
      <c r="I29" s="107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5" t="s">
        <v>195</v>
      </c>
      <c r="R29" s="106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7" t="s">
        <v>26</v>
      </c>
      <c r="F30" s="64" t="s">
        <v>178</v>
      </c>
      <c r="G30" s="71" t="s">
        <v>181</v>
      </c>
      <c r="H30" s="64" t="s">
        <v>182</v>
      </c>
      <c r="I30" s="107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5" t="s">
        <v>195</v>
      </c>
      <c r="R30" s="106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7" t="s">
        <v>84</v>
      </c>
      <c r="F31" s="109" t="s">
        <v>133</v>
      </c>
      <c r="G31" s="109" t="s">
        <v>134</v>
      </c>
      <c r="H31" s="109" t="s">
        <v>130</v>
      </c>
      <c r="I31" s="107" t="s">
        <v>10</v>
      </c>
      <c r="J31" s="66"/>
      <c r="K31" s="67"/>
      <c r="L31" s="65"/>
      <c r="M31" s="65"/>
      <c r="N31" s="109" t="s">
        <v>135</v>
      </c>
      <c r="O31" s="68"/>
      <c r="P31" s="69">
        <v>61000000</v>
      </c>
      <c r="Q31" s="115" t="s">
        <v>195</v>
      </c>
      <c r="R31" s="106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hidden="1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7" t="s">
        <v>85</v>
      </c>
      <c r="F32" s="64" t="s">
        <v>190</v>
      </c>
      <c r="G32" s="64" t="s">
        <v>196</v>
      </c>
      <c r="H32" s="64" t="s">
        <v>191</v>
      </c>
      <c r="I32" s="107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5" t="s">
        <v>195</v>
      </c>
      <c r="R32" s="106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hidden="1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7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5" t="s">
        <v>195</v>
      </c>
      <c r="R33" s="106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hidden="1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7" t="s">
        <v>23</v>
      </c>
      <c r="F34" s="64" t="s">
        <v>197</v>
      </c>
      <c r="G34" s="64" t="s">
        <v>198</v>
      </c>
      <c r="H34" s="64" t="s">
        <v>199</v>
      </c>
      <c r="I34" s="112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5" t="s">
        <v>195</v>
      </c>
      <c r="R34" s="106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hidden="1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7" t="s">
        <v>24</v>
      </c>
      <c r="F35" s="64" t="s">
        <v>201</v>
      </c>
      <c r="G35" s="64" t="s">
        <v>202</v>
      </c>
      <c r="H35" s="64" t="s">
        <v>168</v>
      </c>
      <c r="I35" s="112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5" t="s">
        <v>195</v>
      </c>
      <c r="R35" s="106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hidden="1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7" t="s">
        <v>23</v>
      </c>
      <c r="F36" s="64" t="s">
        <v>205</v>
      </c>
      <c r="G36" s="64" t="s">
        <v>206</v>
      </c>
      <c r="H36" s="64" t="s">
        <v>168</v>
      </c>
      <c r="I36" s="112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5" t="s">
        <v>195</v>
      </c>
      <c r="R36" s="106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hidden="1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7" t="s">
        <v>24</v>
      </c>
      <c r="F37" s="109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5" t="s">
        <v>195</v>
      </c>
      <c r="R37" s="106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7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5" t="s">
        <v>195</v>
      </c>
      <c r="R38" s="106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hidden="1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7" t="s">
        <v>26</v>
      </c>
      <c r="F39" s="64" t="s">
        <v>212</v>
      </c>
      <c r="G39" s="64" t="s">
        <v>213</v>
      </c>
      <c r="H39" s="64" t="s">
        <v>214</v>
      </c>
      <c r="I39" s="112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5" t="s">
        <v>195</v>
      </c>
      <c r="R39" s="106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7" t="s">
        <v>23</v>
      </c>
      <c r="F40" s="109" t="s">
        <v>132</v>
      </c>
      <c r="G40" s="109" t="s">
        <v>131</v>
      </c>
      <c r="H40" s="109" t="s">
        <v>130</v>
      </c>
      <c r="I40" s="107" t="s">
        <v>10</v>
      </c>
      <c r="J40" s="110"/>
      <c r="K40" s="111"/>
      <c r="L40" s="112"/>
      <c r="M40" s="112"/>
      <c r="N40" s="109" t="s">
        <v>129</v>
      </c>
      <c r="O40" s="113">
        <v>1600</v>
      </c>
      <c r="P40" s="69"/>
      <c r="Q40" s="115" t="s">
        <v>195</v>
      </c>
      <c r="R40" s="106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7" t="s">
        <v>23</v>
      </c>
      <c r="F41" s="109" t="s">
        <v>132</v>
      </c>
      <c r="G41" s="64" t="s">
        <v>211</v>
      </c>
      <c r="H41" s="109" t="s">
        <v>208</v>
      </c>
      <c r="I41" s="107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106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7" t="s">
        <v>24</v>
      </c>
      <c r="F42" s="109" t="s">
        <v>133</v>
      </c>
      <c r="G42" s="109" t="s">
        <v>134</v>
      </c>
      <c r="H42" s="109" t="s">
        <v>130</v>
      </c>
      <c r="I42" s="107" t="s">
        <v>10</v>
      </c>
      <c r="J42" s="66"/>
      <c r="K42" s="67"/>
      <c r="L42" s="65"/>
      <c r="M42" s="65"/>
      <c r="N42" s="109" t="s">
        <v>135</v>
      </c>
      <c r="O42" s="68"/>
      <c r="P42" s="69">
        <v>20000000</v>
      </c>
      <c r="Q42" s="104" t="s">
        <v>194</v>
      </c>
      <c r="R42" s="106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7" t="s">
        <v>23</v>
      </c>
      <c r="F43" s="109" t="s">
        <v>154</v>
      </c>
      <c r="G43" s="109" t="s">
        <v>155</v>
      </c>
      <c r="H43" s="109" t="s">
        <v>156</v>
      </c>
      <c r="I43" s="112" t="s">
        <v>10</v>
      </c>
      <c r="J43" s="110"/>
      <c r="K43" s="111"/>
      <c r="L43" s="112"/>
      <c r="M43" s="112"/>
      <c r="N43" s="109" t="s">
        <v>157</v>
      </c>
      <c r="O43" s="113"/>
      <c r="P43" s="114">
        <v>59355400</v>
      </c>
      <c r="Q43" s="115" t="s">
        <v>195</v>
      </c>
      <c r="R43" s="106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7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5" t="s">
        <v>195</v>
      </c>
      <c r="R44" s="106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7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5" t="s">
        <v>195</v>
      </c>
      <c r="R45" s="106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7" t="s">
        <v>26</v>
      </c>
      <c r="F46" s="109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5" t="s">
        <v>195</v>
      </c>
      <c r="R46" s="106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7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5" t="s">
        <v>195</v>
      </c>
      <c r="R47" s="106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7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5" t="s">
        <v>195</v>
      </c>
      <c r="R48" s="106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hidden="1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7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5" t="s">
        <v>195</v>
      </c>
      <c r="R49" s="106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hidden="1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7" t="s">
        <v>222</v>
      </c>
      <c r="F50" s="64" t="s">
        <v>227</v>
      </c>
      <c r="G50" s="64" t="s">
        <v>228</v>
      </c>
      <c r="H50" s="64" t="s">
        <v>229</v>
      </c>
      <c r="I50" s="112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5" t="s">
        <v>195</v>
      </c>
      <c r="R50" s="106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7" t="s">
        <v>232</v>
      </c>
      <c r="F51" s="109" t="s">
        <v>133</v>
      </c>
      <c r="G51" s="109" t="s">
        <v>134</v>
      </c>
      <c r="H51" s="109" t="s">
        <v>130</v>
      </c>
      <c r="I51" s="107" t="s">
        <v>10</v>
      </c>
      <c r="J51" s="66"/>
      <c r="K51" s="67"/>
      <c r="L51" s="65"/>
      <c r="M51" s="65"/>
      <c r="N51" s="109" t="s">
        <v>135</v>
      </c>
      <c r="O51" s="68"/>
      <c r="P51" s="69">
        <v>30000000</v>
      </c>
      <c r="Q51" s="115" t="s">
        <v>195</v>
      </c>
      <c r="R51" s="106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hidden="1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7" t="s">
        <v>233</v>
      </c>
      <c r="F52" s="64" t="s">
        <v>167</v>
      </c>
      <c r="G52" s="64" t="s">
        <v>203</v>
      </c>
      <c r="H52" s="64" t="s">
        <v>168</v>
      </c>
      <c r="I52" s="112" t="s">
        <v>161</v>
      </c>
      <c r="J52" s="66"/>
      <c r="K52" s="67"/>
      <c r="L52" s="65"/>
      <c r="M52" s="65"/>
      <c r="N52" s="117" t="s">
        <v>231</v>
      </c>
      <c r="O52" s="68"/>
      <c r="P52" s="69">
        <v>30533800</v>
      </c>
      <c r="Q52" s="115" t="s">
        <v>195</v>
      </c>
      <c r="R52" s="106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7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106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7" t="s">
        <v>23</v>
      </c>
      <c r="F54" s="109" t="s">
        <v>132</v>
      </c>
      <c r="G54" s="109" t="s">
        <v>131</v>
      </c>
      <c r="H54" s="109" t="s">
        <v>130</v>
      </c>
      <c r="I54" s="107" t="s">
        <v>10</v>
      </c>
      <c r="J54" s="110"/>
      <c r="K54" s="111"/>
      <c r="L54" s="112"/>
      <c r="M54" s="112"/>
      <c r="N54" s="109" t="s">
        <v>129</v>
      </c>
      <c r="O54" s="113">
        <v>8600</v>
      </c>
      <c r="P54" s="69"/>
      <c r="Q54" s="115" t="s">
        <v>195</v>
      </c>
      <c r="R54" s="106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2" si="2">IF(C55&lt;&gt;"",ROW()-3,"")</f>
        <v>52</v>
      </c>
      <c r="C55" s="62" t="s">
        <v>128</v>
      </c>
      <c r="D55" s="67">
        <v>42611</v>
      </c>
      <c r="E55" s="107" t="s">
        <v>24</v>
      </c>
      <c r="F55" s="109" t="s">
        <v>132</v>
      </c>
      <c r="G55" s="71" t="s">
        <v>163</v>
      </c>
      <c r="H55" s="64" t="s">
        <v>164</v>
      </c>
      <c r="I55" s="107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5" t="s">
        <v>195</v>
      </c>
      <c r="R55" s="106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7" t="s">
        <v>25</v>
      </c>
      <c r="F56" s="109" t="s">
        <v>132</v>
      </c>
      <c r="G56" s="109" t="s">
        <v>329</v>
      </c>
      <c r="H56" s="109" t="s">
        <v>130</v>
      </c>
      <c r="I56" s="107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5" t="s">
        <v>195</v>
      </c>
      <c r="R56" s="106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7" t="s">
        <v>23</v>
      </c>
      <c r="F57" s="109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9" t="s">
        <v>129</v>
      </c>
      <c r="O57" s="68">
        <v>6700</v>
      </c>
      <c r="P57" s="69"/>
      <c r="Q57" s="115" t="s">
        <v>195</v>
      </c>
      <c r="R57" s="106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7" t="s">
        <v>24</v>
      </c>
      <c r="F58" s="109" t="s">
        <v>133</v>
      </c>
      <c r="G58" s="109" t="s">
        <v>134</v>
      </c>
      <c r="H58" s="109" t="s">
        <v>130</v>
      </c>
      <c r="I58" s="107" t="s">
        <v>10</v>
      </c>
      <c r="J58" s="66"/>
      <c r="K58" s="67"/>
      <c r="L58" s="65"/>
      <c r="M58" s="65"/>
      <c r="N58" s="109" t="s">
        <v>135</v>
      </c>
      <c r="O58" s="68"/>
      <c r="P58" s="69">
        <v>23000000</v>
      </c>
      <c r="Q58" s="115" t="s">
        <v>195</v>
      </c>
      <c r="R58" s="106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82</v>
      </c>
      <c r="D59" s="67">
        <v>42613</v>
      </c>
      <c r="E59" s="107" t="s">
        <v>25</v>
      </c>
      <c r="F59" s="64" t="s">
        <v>36</v>
      </c>
      <c r="G59" s="64" t="s">
        <v>32</v>
      </c>
      <c r="H59" s="64" t="s">
        <v>33</v>
      </c>
      <c r="I59" s="65" t="s">
        <v>35</v>
      </c>
      <c r="J59" s="66"/>
      <c r="K59" s="67"/>
      <c r="L59" s="65"/>
      <c r="M59" s="65"/>
      <c r="N59" s="64" t="s">
        <v>340</v>
      </c>
      <c r="O59" s="68"/>
      <c r="P59" s="69">
        <v>24124980</v>
      </c>
      <c r="Q59" s="115" t="s">
        <v>195</v>
      </c>
      <c r="R59" s="106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hidden="1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104</v>
      </c>
      <c r="D60" s="67">
        <v>42613</v>
      </c>
      <c r="E60" s="107" t="s">
        <v>26</v>
      </c>
      <c r="F60" s="64" t="s">
        <v>167</v>
      </c>
      <c r="G60" s="64" t="s">
        <v>352</v>
      </c>
      <c r="H60" s="64" t="s">
        <v>229</v>
      </c>
      <c r="I60" s="112" t="s">
        <v>161</v>
      </c>
      <c r="J60" s="66"/>
      <c r="K60" s="67"/>
      <c r="L60" s="65"/>
      <c r="M60" s="65"/>
      <c r="N60" s="117" t="s">
        <v>341</v>
      </c>
      <c r="O60" s="68"/>
      <c r="P60" s="69">
        <v>22821810</v>
      </c>
      <c r="Q60" s="115" t="s">
        <v>195</v>
      </c>
      <c r="R60" s="106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243" customFormat="1" ht="18.75" hidden="1" customHeight="1">
      <c r="A61" s="234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235" t="str">
        <f t="shared" si="2"/>
        <v/>
      </c>
      <c r="C61" s="235"/>
      <c r="D61" s="236"/>
      <c r="E61" s="237"/>
      <c r="F61" s="238" t="s">
        <v>348</v>
      </c>
      <c r="G61" s="238" t="s">
        <v>349</v>
      </c>
      <c r="H61" s="238" t="s">
        <v>350</v>
      </c>
      <c r="I61" s="237" t="s">
        <v>10</v>
      </c>
      <c r="J61" s="239"/>
      <c r="K61" s="236"/>
      <c r="L61" s="237"/>
      <c r="M61" s="237"/>
      <c r="N61" s="238" t="s">
        <v>351</v>
      </c>
      <c r="O61" s="240"/>
      <c r="P61" s="241">
        <v>84566900</v>
      </c>
      <c r="Q61" s="242"/>
      <c r="R61" s="243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hidden="1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>x</v>
      </c>
      <c r="B62" s="62">
        <f t="shared" si="2"/>
        <v>59</v>
      </c>
      <c r="C62" s="62" t="s">
        <v>145</v>
      </c>
      <c r="D62" s="67">
        <v>42627</v>
      </c>
      <c r="E62" s="107" t="s">
        <v>23</v>
      </c>
      <c r="F62" s="64" t="s">
        <v>36</v>
      </c>
      <c r="G62" s="64" t="s">
        <v>32</v>
      </c>
      <c r="H62" s="64" t="s">
        <v>33</v>
      </c>
      <c r="I62" s="65" t="s">
        <v>35</v>
      </c>
      <c r="J62" s="66"/>
      <c r="K62" s="67"/>
      <c r="L62" s="65"/>
      <c r="M62" s="65"/>
      <c r="N62" s="64" t="s">
        <v>353</v>
      </c>
      <c r="O62" s="68"/>
      <c r="P62" s="69">
        <v>24068550</v>
      </c>
      <c r="Q62" s="104" t="s">
        <v>194</v>
      </c>
      <c r="R62" s="106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>p</v>
      </c>
    </row>
    <row r="63" spans="1:18" ht="18.75" hidden="1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 t="str">
        <f t="shared" si="0"/>
        <v/>
      </c>
      <c r="C63" s="62"/>
      <c r="D63" s="67"/>
      <c r="E63" s="65"/>
      <c r="F63" s="64"/>
      <c r="G63" s="64"/>
      <c r="H63" s="64"/>
      <c r="I63" s="65"/>
      <c r="J63" s="66"/>
      <c r="K63" s="67"/>
      <c r="L63" s="65"/>
      <c r="M63" s="65"/>
      <c r="N63" s="64"/>
      <c r="O63" s="68"/>
      <c r="P63" s="69"/>
      <c r="Q63" s="104"/>
      <c r="R63" s="106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hidden="1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 t="str">
        <f t="shared" si="0"/>
        <v/>
      </c>
      <c r="C64" s="62"/>
      <c r="D64" s="67"/>
      <c r="E64" s="65"/>
      <c r="F64" s="64"/>
      <c r="G64" s="64"/>
      <c r="H64" s="64"/>
      <c r="I64" s="65"/>
      <c r="J64" s="66"/>
      <c r="K64" s="67"/>
      <c r="L64" s="65"/>
      <c r="M64" s="65"/>
      <c r="N64" s="64"/>
      <c r="O64" s="68"/>
      <c r="P64" s="69"/>
      <c r="Q64" s="104"/>
      <c r="R64" s="106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hidden="1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 t="str">
        <f t="shared" si="0"/>
        <v/>
      </c>
      <c r="C65" s="62"/>
      <c r="D65" s="67"/>
      <c r="E65" s="65"/>
      <c r="F65" s="64"/>
      <c r="G65" s="64"/>
      <c r="H65" s="64"/>
      <c r="I65" s="65"/>
      <c r="J65" s="66"/>
      <c r="K65" s="67"/>
      <c r="L65" s="65"/>
      <c r="M65" s="65"/>
      <c r="N65" s="64"/>
      <c r="O65" s="68"/>
      <c r="P65" s="69"/>
      <c r="Q65" s="104"/>
      <c r="R65" s="106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hidden="1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 t="str">
        <f t="shared" si="0"/>
        <v/>
      </c>
      <c r="C66" s="62"/>
      <c r="D66" s="67"/>
      <c r="E66" s="65"/>
      <c r="F66" s="64"/>
      <c r="G66" s="64"/>
      <c r="H66" s="64"/>
      <c r="I66" s="65"/>
      <c r="J66" s="66"/>
      <c r="K66" s="67"/>
      <c r="L66" s="65"/>
      <c r="M66" s="65"/>
      <c r="N66" s="64"/>
      <c r="O66" s="68"/>
      <c r="P66" s="69"/>
      <c r="Q66" s="104"/>
      <c r="R66" s="106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hidden="1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 t="str">
        <f t="shared" si="0"/>
        <v/>
      </c>
      <c r="C67" s="62"/>
      <c r="D67" s="67"/>
      <c r="E67" s="65"/>
      <c r="F67" s="64"/>
      <c r="G67" s="64"/>
      <c r="H67" s="64"/>
      <c r="I67" s="65"/>
      <c r="J67" s="66"/>
      <c r="K67" s="67"/>
      <c r="L67" s="65"/>
      <c r="M67" s="65"/>
      <c r="N67" s="64"/>
      <c r="O67" s="68"/>
      <c r="P67" s="69"/>
      <c r="Q67" s="104"/>
      <c r="R67" s="106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hidden="1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 t="str">
        <f t="shared" si="0"/>
        <v/>
      </c>
      <c r="C68" s="62"/>
      <c r="D68" s="67"/>
      <c r="E68" s="65"/>
      <c r="F68" s="64"/>
      <c r="G68" s="64"/>
      <c r="H68" s="64"/>
      <c r="I68" s="65"/>
      <c r="J68" s="66"/>
      <c r="K68" s="67"/>
      <c r="L68" s="65"/>
      <c r="M68" s="65"/>
      <c r="N68" s="64"/>
      <c r="O68" s="68"/>
      <c r="P68" s="69"/>
      <c r="Q68" s="104"/>
      <c r="R68" s="106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hidden="1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 t="str">
        <f t="shared" si="0"/>
        <v/>
      </c>
      <c r="C69" s="62"/>
      <c r="D69" s="67"/>
      <c r="E69" s="65"/>
      <c r="F69" s="64"/>
      <c r="G69" s="64"/>
      <c r="H69" s="64"/>
      <c r="I69" s="65"/>
      <c r="J69" s="66"/>
      <c r="K69" s="67"/>
      <c r="L69" s="65"/>
      <c r="M69" s="65"/>
      <c r="N69" s="64"/>
      <c r="O69" s="68"/>
      <c r="P69" s="69"/>
      <c r="Q69" s="104"/>
      <c r="R69" s="106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hidden="1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 t="str">
        <f t="shared" si="0"/>
        <v/>
      </c>
      <c r="C70" s="62"/>
      <c r="D70" s="67"/>
      <c r="E70" s="65"/>
      <c r="F70" s="64"/>
      <c r="G70" s="64"/>
      <c r="H70" s="64"/>
      <c r="I70" s="65"/>
      <c r="J70" s="66"/>
      <c r="K70" s="67"/>
      <c r="L70" s="65"/>
      <c r="M70" s="65"/>
      <c r="N70" s="64"/>
      <c r="O70" s="68"/>
      <c r="P70" s="69"/>
      <c r="Q70" s="104"/>
      <c r="R70" s="106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hidden="1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 t="str">
        <f t="shared" ref="B71:B78" si="3">IF(C71&lt;&gt;"",ROW()-3,"")</f>
        <v/>
      </c>
      <c r="C71" s="62"/>
      <c r="D71" s="67"/>
      <c r="E71" s="65"/>
      <c r="F71" s="64"/>
      <c r="G71" s="64"/>
      <c r="H71" s="64"/>
      <c r="I71" s="65"/>
      <c r="J71" s="66"/>
      <c r="K71" s="67"/>
      <c r="L71" s="65"/>
      <c r="M71" s="65"/>
      <c r="N71" s="64"/>
      <c r="O71" s="68"/>
      <c r="P71" s="69"/>
      <c r="Q71" s="104"/>
      <c r="R71" s="106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hidden="1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 t="str">
        <f t="shared" si="3"/>
        <v/>
      </c>
      <c r="C72" s="62"/>
      <c r="D72" s="67"/>
      <c r="E72" s="65"/>
      <c r="F72" s="64"/>
      <c r="G72" s="64"/>
      <c r="H72" s="64"/>
      <c r="I72" s="65"/>
      <c r="J72" s="66"/>
      <c r="K72" s="67"/>
      <c r="L72" s="65"/>
      <c r="M72" s="65"/>
      <c r="N72" s="64"/>
      <c r="O72" s="68"/>
      <c r="P72" s="69"/>
      <c r="Q72" s="104"/>
      <c r="R72" s="106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hidden="1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 t="str">
        <f t="shared" si="3"/>
        <v/>
      </c>
      <c r="C73" s="62"/>
      <c r="D73" s="67"/>
      <c r="E73" s="65"/>
      <c r="F73" s="64"/>
      <c r="G73" s="64"/>
      <c r="H73" s="64"/>
      <c r="I73" s="65"/>
      <c r="J73" s="66"/>
      <c r="K73" s="67"/>
      <c r="L73" s="65"/>
      <c r="M73" s="65"/>
      <c r="N73" s="64"/>
      <c r="O73" s="68"/>
      <c r="P73" s="69"/>
      <c r="Q73" s="104"/>
      <c r="R73" s="106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hidden="1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 t="str">
        <f t="shared" si="3"/>
        <v/>
      </c>
      <c r="C74" s="62"/>
      <c r="D74" s="67"/>
      <c r="E74" s="65"/>
      <c r="F74" s="64"/>
      <c r="G74" s="64"/>
      <c r="H74" s="64"/>
      <c r="I74" s="65"/>
      <c r="J74" s="66"/>
      <c r="K74" s="67"/>
      <c r="L74" s="65"/>
      <c r="M74" s="65"/>
      <c r="N74" s="64"/>
      <c r="O74" s="68"/>
      <c r="P74" s="69"/>
      <c r="Q74" s="104"/>
      <c r="R74" s="106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hidden="1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 t="str">
        <f t="shared" si="3"/>
        <v/>
      </c>
      <c r="C75" s="62"/>
      <c r="D75" s="67"/>
      <c r="E75" s="65"/>
      <c r="F75" s="64"/>
      <c r="G75" s="64"/>
      <c r="H75" s="64"/>
      <c r="I75" s="65"/>
      <c r="J75" s="66"/>
      <c r="K75" s="67"/>
      <c r="L75" s="65"/>
      <c r="M75" s="65"/>
      <c r="N75" s="64"/>
      <c r="O75" s="68"/>
      <c r="P75" s="69"/>
      <c r="Q75" s="104"/>
      <c r="R75" s="106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hidden="1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 t="str">
        <f t="shared" si="3"/>
        <v/>
      </c>
      <c r="C76" s="62"/>
      <c r="D76" s="67"/>
      <c r="E76" s="65"/>
      <c r="F76" s="64"/>
      <c r="G76" s="64"/>
      <c r="H76" s="64"/>
      <c r="I76" s="65"/>
      <c r="J76" s="66"/>
      <c r="K76" s="67"/>
      <c r="L76" s="65"/>
      <c r="M76" s="65"/>
      <c r="N76" s="64"/>
      <c r="O76" s="68"/>
      <c r="P76" s="69"/>
      <c r="Q76" s="104"/>
      <c r="R76" s="106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hidden="1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 t="str">
        <f t="shared" si="3"/>
        <v/>
      </c>
      <c r="C77" s="62"/>
      <c r="D77" s="67"/>
      <c r="E77" s="65"/>
      <c r="F77" s="64"/>
      <c r="G77" s="64"/>
      <c r="H77" s="64"/>
      <c r="I77" s="65"/>
      <c r="J77" s="66"/>
      <c r="K77" s="67"/>
      <c r="L77" s="65"/>
      <c r="M77" s="65"/>
      <c r="N77" s="64"/>
      <c r="O77" s="68"/>
      <c r="P77" s="69"/>
      <c r="Q77" s="104"/>
      <c r="R77" s="106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hidden="1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 t="str">
        <f t="shared" si="3"/>
        <v/>
      </c>
      <c r="C78" s="62"/>
      <c r="D78" s="67"/>
      <c r="E78" s="65"/>
      <c r="F78" s="64"/>
      <c r="G78" s="64"/>
      <c r="H78" s="64"/>
      <c r="I78" s="65"/>
      <c r="J78" s="66"/>
      <c r="K78" s="67"/>
      <c r="L78" s="65"/>
      <c r="M78" s="65"/>
      <c r="N78" s="64"/>
      <c r="O78" s="68"/>
      <c r="P78" s="69"/>
      <c r="Q78" s="104"/>
      <c r="R78" s="106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hidden="1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 t="str">
        <f t="shared" si="0"/>
        <v/>
      </c>
      <c r="C79" s="62"/>
      <c r="D79" s="67"/>
      <c r="E79" s="65"/>
      <c r="F79" s="64"/>
      <c r="G79" s="64"/>
      <c r="H79" s="64"/>
      <c r="I79" s="65"/>
      <c r="J79" s="66"/>
      <c r="K79" s="67"/>
      <c r="L79" s="65"/>
      <c r="M79" s="65"/>
      <c r="N79" s="64"/>
      <c r="O79" s="68"/>
      <c r="P79" s="69"/>
      <c r="Q79" s="104"/>
      <c r="R79" s="106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hidden="1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 t="str">
        <f t="shared" si="0"/>
        <v/>
      </c>
      <c r="C80" s="62"/>
      <c r="D80" s="67"/>
      <c r="E80" s="65"/>
      <c r="F80" s="64"/>
      <c r="G80" s="64"/>
      <c r="H80" s="64"/>
      <c r="I80" s="65"/>
      <c r="J80" s="66"/>
      <c r="K80" s="67"/>
      <c r="L80" s="65"/>
      <c r="M80" s="65"/>
      <c r="N80" s="64"/>
      <c r="O80" s="68"/>
      <c r="P80" s="69"/>
      <c r="Q80" s="104"/>
      <c r="R80" s="106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hidden="1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 t="str">
        <f t="shared" si="0"/>
        <v/>
      </c>
      <c r="C81" s="62"/>
      <c r="D81" s="67"/>
      <c r="E81" s="65"/>
      <c r="F81" s="64"/>
      <c r="G81" s="64"/>
      <c r="H81" s="64"/>
      <c r="I81" s="65"/>
      <c r="J81" s="66"/>
      <c r="K81" s="67"/>
      <c r="L81" s="65"/>
      <c r="M81" s="65"/>
      <c r="N81" s="64"/>
      <c r="O81" s="68"/>
      <c r="P81" s="69"/>
      <c r="Q81" s="104"/>
      <c r="R81" s="106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hidden="1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 t="str">
        <f t="shared" si="0"/>
        <v/>
      </c>
      <c r="C82" s="62"/>
      <c r="D82" s="67"/>
      <c r="E82" s="65"/>
      <c r="F82" s="64"/>
      <c r="G82" s="64"/>
      <c r="H82" s="64"/>
      <c r="I82" s="65"/>
      <c r="J82" s="66"/>
      <c r="K82" s="67"/>
      <c r="L82" s="65"/>
      <c r="M82" s="65"/>
      <c r="N82" s="64"/>
      <c r="O82" s="68"/>
      <c r="P82" s="69"/>
      <c r="Q82" s="104"/>
      <c r="R82" s="106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hidden="1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 t="str">
        <f t="shared" ref="B83:B86" si="4">IF(C83&lt;&gt;"",ROW()-3,"")</f>
        <v/>
      </c>
      <c r="C83" s="62"/>
      <c r="D83" s="67"/>
      <c r="E83" s="65"/>
      <c r="F83" s="64"/>
      <c r="G83" s="64"/>
      <c r="H83" s="64"/>
      <c r="I83" s="65"/>
      <c r="J83" s="66"/>
      <c r="K83" s="67"/>
      <c r="L83" s="65"/>
      <c r="M83" s="65"/>
      <c r="N83" s="64"/>
      <c r="O83" s="68"/>
      <c r="P83" s="69"/>
      <c r="Q83" s="104"/>
      <c r="R83" s="106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hidden="1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 t="str">
        <f t="shared" si="4"/>
        <v/>
      </c>
      <c r="C84" s="62"/>
      <c r="D84" s="67"/>
      <c r="E84" s="65"/>
      <c r="F84" s="64"/>
      <c r="G84" s="64"/>
      <c r="H84" s="64"/>
      <c r="I84" s="65"/>
      <c r="J84" s="66"/>
      <c r="K84" s="67"/>
      <c r="L84" s="65"/>
      <c r="M84" s="65"/>
      <c r="N84" s="64"/>
      <c r="O84" s="68"/>
      <c r="P84" s="69"/>
      <c r="Q84" s="104"/>
      <c r="R84" s="106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hidden="1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 t="str">
        <f t="shared" si="4"/>
        <v/>
      </c>
      <c r="C85" s="62"/>
      <c r="D85" s="67"/>
      <c r="E85" s="65"/>
      <c r="F85" s="64"/>
      <c r="G85" s="64"/>
      <c r="H85" s="64"/>
      <c r="I85" s="65"/>
      <c r="J85" s="66"/>
      <c r="K85" s="67"/>
      <c r="L85" s="65"/>
      <c r="M85" s="65"/>
      <c r="N85" s="64"/>
      <c r="O85" s="68"/>
      <c r="P85" s="69"/>
      <c r="Q85" s="104"/>
      <c r="R85" s="106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hidden="1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 t="str">
        <f t="shared" si="4"/>
        <v/>
      </c>
      <c r="C86" s="62"/>
      <c r="D86" s="67"/>
      <c r="E86" s="65"/>
      <c r="F86" s="64"/>
      <c r="G86" s="64"/>
      <c r="H86" s="64"/>
      <c r="I86" s="65"/>
      <c r="J86" s="66"/>
      <c r="K86" s="67"/>
      <c r="L86" s="65"/>
      <c r="M86" s="65"/>
      <c r="N86" s="64"/>
      <c r="O86" s="68"/>
      <c r="P86" s="69"/>
      <c r="Q86" s="104"/>
      <c r="R86" s="106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hidden="1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 t="str">
        <f t="shared" si="0"/>
        <v/>
      </c>
      <c r="C87" s="62"/>
      <c r="D87" s="67"/>
      <c r="E87" s="65"/>
      <c r="F87" s="64"/>
      <c r="G87" s="64"/>
      <c r="H87" s="64"/>
      <c r="I87" s="65"/>
      <c r="J87" s="66"/>
      <c r="K87" s="67"/>
      <c r="L87" s="65"/>
      <c r="M87" s="65"/>
      <c r="N87" s="64"/>
      <c r="O87" s="68"/>
      <c r="P87" s="69"/>
      <c r="Q87" s="104"/>
      <c r="R87" s="106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hidden="1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 t="str">
        <f t="shared" si="0"/>
        <v/>
      </c>
      <c r="C88" s="62"/>
      <c r="D88" s="67"/>
      <c r="E88" s="65"/>
      <c r="F88" s="64"/>
      <c r="G88" s="64"/>
      <c r="H88" s="64"/>
      <c r="I88" s="65"/>
      <c r="J88" s="66"/>
      <c r="K88" s="67"/>
      <c r="L88" s="65"/>
      <c r="M88" s="65"/>
      <c r="N88" s="64"/>
      <c r="O88" s="68"/>
      <c r="P88" s="69"/>
      <c r="Q88" s="104"/>
      <c r="R88" s="106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hidden="1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 t="str">
        <f t="shared" si="0"/>
        <v/>
      </c>
      <c r="C89" s="62"/>
      <c r="D89" s="67"/>
      <c r="E89" s="65"/>
      <c r="F89" s="64"/>
      <c r="G89" s="64"/>
      <c r="H89" s="64"/>
      <c r="I89" s="65"/>
      <c r="J89" s="66"/>
      <c r="K89" s="67"/>
      <c r="L89" s="65"/>
      <c r="M89" s="65"/>
      <c r="N89" s="64"/>
      <c r="O89" s="68"/>
      <c r="P89" s="69"/>
      <c r="Q89" s="104"/>
      <c r="R89" s="106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hidden="1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 t="str">
        <f t="shared" si="0"/>
        <v/>
      </c>
      <c r="C90" s="62"/>
      <c r="D90" s="67"/>
      <c r="E90" s="65"/>
      <c r="F90" s="64"/>
      <c r="G90" s="64"/>
      <c r="H90" s="64"/>
      <c r="I90" s="65"/>
      <c r="J90" s="66"/>
      <c r="K90" s="67"/>
      <c r="L90" s="65"/>
      <c r="M90" s="65"/>
      <c r="N90" s="64"/>
      <c r="O90" s="68"/>
      <c r="P90" s="69"/>
      <c r="Q90" s="104"/>
      <c r="R90" s="106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hidden="1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 t="str">
        <f t="shared" si="0"/>
        <v/>
      </c>
      <c r="C91" s="62"/>
      <c r="D91" s="67"/>
      <c r="E91" s="65"/>
      <c r="F91" s="64"/>
      <c r="G91" s="64"/>
      <c r="H91" s="64"/>
      <c r="I91" s="65"/>
      <c r="J91" s="66"/>
      <c r="K91" s="67"/>
      <c r="L91" s="65"/>
      <c r="M91" s="65"/>
      <c r="N91" s="64"/>
      <c r="O91" s="68"/>
      <c r="P91" s="69"/>
      <c r="Q91" s="104"/>
      <c r="R91" s="106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hidden="1" customHeight="1">
      <c r="R92" s="106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</sheetData>
  <autoFilter ref="B3:X92">
    <filterColumn colId="1">
      <filters>
        <filter val="EIB-Q11"/>
        <filter val="EIB-Q4"/>
        <filter val="PV"/>
      </filters>
    </filterColumn>
    <filterColumn colId="2">
      <filters>
        <dateGroupItem year="2016" month="8" dateTimeGrouping="month"/>
      </filters>
    </filterColumn>
  </autoFilter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91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tabSelected="1"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10" sqref="B10:B14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1.7109375" style="222" customWidth="1"/>
    <col min="7" max="7" width="8" style="218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10" style="223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20" width="15.85546875" style="216" customWidth="1"/>
    <col min="21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/>
      <c r="N1" s="132"/>
      <c r="O1" s="132"/>
      <c r="P1" s="132"/>
      <c r="Q1" s="132"/>
      <c r="R1" s="133"/>
      <c r="S1" s="124"/>
    </row>
    <row r="2" spans="1:20" s="135" customFormat="1" ht="16.5" customHeight="1">
      <c r="A2" s="264" t="s">
        <v>264</v>
      </c>
      <c r="B2" s="264" t="s">
        <v>265</v>
      </c>
      <c r="C2" s="266" t="s">
        <v>266</v>
      </c>
      <c r="D2" s="266"/>
      <c r="E2" s="267" t="s">
        <v>267</v>
      </c>
      <c r="F2" s="267"/>
      <c r="G2" s="267"/>
      <c r="H2" s="268" t="s">
        <v>268</v>
      </c>
      <c r="I2" s="268"/>
      <c r="J2" s="268"/>
      <c r="K2" s="269" t="s">
        <v>269</v>
      </c>
      <c r="L2" s="269"/>
      <c r="M2" s="262" t="s">
        <v>270</v>
      </c>
      <c r="N2" s="262"/>
      <c r="O2" s="262"/>
      <c r="P2" s="262"/>
      <c r="Q2" s="262"/>
      <c r="R2" s="263" t="s">
        <v>271</v>
      </c>
      <c r="S2" s="264" t="s">
        <v>272</v>
      </c>
    </row>
    <row r="3" spans="1:20" s="135" customFormat="1" ht="33" customHeight="1">
      <c r="A3" s="264"/>
      <c r="B3" s="264"/>
      <c r="C3" s="136" t="s">
        <v>273</v>
      </c>
      <c r="D3" s="136" t="s">
        <v>274</v>
      </c>
      <c r="E3" s="137" t="s">
        <v>275</v>
      </c>
      <c r="F3" s="138" t="s">
        <v>28</v>
      </c>
      <c r="G3" s="227" t="s">
        <v>330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230" t="s">
        <v>347</v>
      </c>
      <c r="Q3" s="144" t="s">
        <v>282</v>
      </c>
      <c r="R3" s="263"/>
      <c r="S3" s="264"/>
    </row>
    <row r="4" spans="1:20" s="187" customFormat="1" ht="17.25" customHeight="1">
      <c r="A4" s="181">
        <f>ROW()-3</f>
        <v>1</v>
      </c>
      <c r="B4" s="188" t="s">
        <v>343</v>
      </c>
      <c r="C4" s="189">
        <v>42552</v>
      </c>
      <c r="D4" s="189">
        <v>42736</v>
      </c>
      <c r="E4" s="162"/>
      <c r="F4" s="162">
        <v>43000</v>
      </c>
      <c r="G4" s="190"/>
      <c r="H4" s="189"/>
      <c r="I4" s="162"/>
      <c r="J4" s="162"/>
      <c r="K4" s="151"/>
      <c r="L4" s="151">
        <f>F4-J4</f>
        <v>43000</v>
      </c>
      <c r="M4" s="162"/>
      <c r="N4" s="162"/>
      <c r="O4" s="162">
        <f>IF((LEFT(B4,4)="1402"),F4*R4*DATEDIF(DATE(YEAR(Q4),MONTH(Q4)-1,IF(MONTH(C4)=(MONTH(Q4)-1),DAY(C4),16)),Q4,"d")/360,0)</f>
        <v>111.08333333333333</v>
      </c>
      <c r="P4" s="162">
        <f>IF((LEFT(B4,4)="1025"),F4*R4*DATEDIF(DATE(YEAR(Q4),MONTH(Q4)-1,IF(MONTH(C4)=(MONTH($O$1)-1),DAY(C4),16)),Q4,"d")/360,0)</f>
        <v>0</v>
      </c>
      <c r="Q4" s="147">
        <v>42629</v>
      </c>
      <c r="R4" s="229">
        <v>0.03</v>
      </c>
      <c r="S4" s="192" t="s">
        <v>290</v>
      </c>
      <c r="T4" s="155"/>
    </row>
    <row r="5" spans="1:20" s="187" customFormat="1" ht="17.25" customHeight="1">
      <c r="A5" s="181">
        <f t="shared" ref="A5:A7" si="0">ROW()-3</f>
        <v>2</v>
      </c>
      <c r="B5" s="188" t="s">
        <v>342</v>
      </c>
      <c r="C5" s="189">
        <v>42586</v>
      </c>
      <c r="D5" s="189">
        <v>42770</v>
      </c>
      <c r="E5" s="162"/>
      <c r="F5" s="162">
        <v>52300</v>
      </c>
      <c r="G5" s="190"/>
      <c r="H5" s="189"/>
      <c r="I5" s="162"/>
      <c r="J5" s="162"/>
      <c r="K5" s="151"/>
      <c r="L5" s="151">
        <f>F5-J5</f>
        <v>52300</v>
      </c>
      <c r="M5" s="162"/>
      <c r="N5" s="162"/>
      <c r="O5" s="162">
        <f t="shared" ref="O5:O7" si="1">IF((LEFT(B5,4)="1402"),F5*R5*DATEDIF(DATE(YEAR(Q5),MONTH(Q5)-1,IF(MONTH(C5)=(MONTH(Q5)-1),DAY(C5),16)),Q5,"d")/360,0)</f>
        <v>187.40833333333333</v>
      </c>
      <c r="P5" s="162">
        <f t="shared" ref="P5:P7" si="2">IF((LEFT(B5,4)="1025"),F5*R5*DATEDIF(DATE(YEAR(Q5),MONTH(Q5)-1,IF(MONTH(C5)=(MONTH($O$1)-1),DAY(C5),16)),Q5,"d")/360,0)</f>
        <v>0</v>
      </c>
      <c r="Q5" s="147">
        <v>42629</v>
      </c>
      <c r="R5" s="229">
        <v>0.03</v>
      </c>
      <c r="S5" s="192" t="s">
        <v>295</v>
      </c>
      <c r="T5" s="155"/>
    </row>
    <row r="6" spans="1:20" s="155" customFormat="1" ht="17.25" customHeight="1">
      <c r="A6" s="181">
        <f t="shared" si="0"/>
        <v>3</v>
      </c>
      <c r="B6" s="188" t="s">
        <v>327</v>
      </c>
      <c r="C6" s="189">
        <v>42529</v>
      </c>
      <c r="D6" s="189">
        <v>42712</v>
      </c>
      <c r="E6" s="162"/>
      <c r="F6" s="162">
        <v>95000</v>
      </c>
      <c r="G6" s="190"/>
      <c r="H6" s="189"/>
      <c r="I6" s="162"/>
      <c r="J6" s="162"/>
      <c r="K6" s="151"/>
      <c r="L6" s="151">
        <f>F6-J6</f>
        <v>95000</v>
      </c>
      <c r="M6" s="162"/>
      <c r="N6" s="162"/>
      <c r="O6" s="162">
        <f t="shared" si="1"/>
        <v>245.41666666666666</v>
      </c>
      <c r="P6" s="162">
        <f t="shared" si="2"/>
        <v>0</v>
      </c>
      <c r="Q6" s="147">
        <v>42629</v>
      </c>
      <c r="R6" s="229">
        <v>0.03</v>
      </c>
      <c r="S6" s="192" t="s">
        <v>290</v>
      </c>
    </row>
    <row r="7" spans="1:20" s="155" customFormat="1" ht="17.25" customHeight="1">
      <c r="A7" s="181">
        <f t="shared" si="0"/>
        <v>4</v>
      </c>
      <c r="B7" s="182" t="s">
        <v>328</v>
      </c>
      <c r="C7" s="189">
        <v>42529</v>
      </c>
      <c r="D7" s="189">
        <v>42712</v>
      </c>
      <c r="E7" s="162"/>
      <c r="F7" s="162">
        <v>70900</v>
      </c>
      <c r="G7" s="190"/>
      <c r="H7" s="189"/>
      <c r="I7" s="162"/>
      <c r="J7" s="162"/>
      <c r="K7" s="151"/>
      <c r="L7" s="151">
        <f>F7-J7</f>
        <v>70900</v>
      </c>
      <c r="M7" s="162"/>
      <c r="N7" s="162"/>
      <c r="O7" s="162">
        <f t="shared" si="1"/>
        <v>183.15833333333333</v>
      </c>
      <c r="P7" s="162">
        <f t="shared" si="2"/>
        <v>0</v>
      </c>
      <c r="Q7" s="147">
        <v>42629</v>
      </c>
      <c r="R7" s="229">
        <v>0.03</v>
      </c>
      <c r="S7" s="192" t="s">
        <v>290</v>
      </c>
    </row>
    <row r="8" spans="1:20" s="155" customFormat="1" ht="17.25" customHeight="1">
      <c r="A8" s="193"/>
      <c r="B8" s="194"/>
      <c r="C8" s="195"/>
      <c r="D8" s="195"/>
      <c r="E8" s="196"/>
      <c r="F8" s="196"/>
      <c r="G8" s="197"/>
      <c r="H8" s="195"/>
      <c r="I8" s="196"/>
      <c r="J8" s="196"/>
      <c r="K8" s="196"/>
      <c r="L8" s="196"/>
      <c r="M8" s="196"/>
      <c r="N8" s="196"/>
      <c r="O8" s="196"/>
      <c r="P8" s="196"/>
      <c r="Q8" s="198"/>
      <c r="R8" s="199"/>
      <c r="S8" s="200"/>
    </row>
    <row r="9" spans="1:20" s="180" customFormat="1" ht="17.25" customHeight="1">
      <c r="A9" s="265" t="s">
        <v>296</v>
      </c>
      <c r="B9" s="265"/>
      <c r="C9" s="175"/>
      <c r="D9" s="175"/>
      <c r="E9" s="176"/>
      <c r="F9" s="177">
        <f>SUM(F4:F8)</f>
        <v>261200</v>
      </c>
      <c r="G9" s="176">
        <f>SUM(G4:G6)</f>
        <v>0</v>
      </c>
      <c r="H9" s="177"/>
      <c r="I9" s="176"/>
      <c r="J9" s="177">
        <f>SUM(J4:J8)</f>
        <v>0</v>
      </c>
      <c r="K9" s="176"/>
      <c r="L9" s="177">
        <f>SUM(L4:L8)</f>
        <v>261200</v>
      </c>
      <c r="M9" s="176"/>
      <c r="N9" s="176">
        <f>SUM(N4:N6)</f>
        <v>0</v>
      </c>
      <c r="O9" s="177">
        <f>SUM(O4:O8)</f>
        <v>727.06666666666661</v>
      </c>
      <c r="P9" s="177">
        <f>SUM(P4:P8)</f>
        <v>0</v>
      </c>
      <c r="Q9" s="175"/>
      <c r="R9" s="178"/>
      <c r="S9" s="179"/>
      <c r="T9" s="155"/>
    </row>
    <row r="10" spans="1:20" s="155" customFormat="1" ht="17.25" customHeight="1">
      <c r="A10" s="181">
        <f t="shared" ref="A10:A19" si="3">ROW()-9</f>
        <v>1</v>
      </c>
      <c r="B10" s="157" t="s">
        <v>335</v>
      </c>
      <c r="C10" s="158">
        <v>42543</v>
      </c>
      <c r="D10" s="158">
        <v>42712</v>
      </c>
      <c r="E10" s="160">
        <v>2007720000</v>
      </c>
      <c r="F10" s="159">
        <f>E10/G10</f>
        <v>90000</v>
      </c>
      <c r="G10" s="160">
        <v>22308</v>
      </c>
      <c r="H10" s="158"/>
      <c r="I10" s="159"/>
      <c r="J10" s="159"/>
      <c r="K10" s="151"/>
      <c r="L10" s="148">
        <f t="shared" ref="L10:L19" si="4">F10-J10</f>
        <v>90000</v>
      </c>
      <c r="M10" s="159"/>
      <c r="N10" s="159"/>
      <c r="O10" s="162">
        <f>IF((LEFT(B10,4)="1402"),F10*R10*DATEDIF(DATE(YEAR(Q10),MONTH(Q10)-1,IF(MONTH(C10)=(MONTH(Q10)-1),DAY(C10),16)),Q10,"d")/360,0)</f>
        <v>0</v>
      </c>
      <c r="P10" s="162">
        <f>IF((LEFT(B10,4)="1025"),F10*R10*DATEDIF(DATE(YEAR(Q10),MONTH(Q10)-1,DAY(Q10)),Q10,"d")/360,0)</f>
        <v>278.99999999999994</v>
      </c>
      <c r="Q10" s="147">
        <v>42635</v>
      </c>
      <c r="R10" s="228">
        <v>3.5999999999999997E-2</v>
      </c>
      <c r="S10" s="192"/>
      <c r="T10" s="232"/>
    </row>
    <row r="11" spans="1:20" s="155" customFormat="1" ht="17.25" customHeight="1">
      <c r="A11" s="181">
        <f t="shared" si="3"/>
        <v>2</v>
      </c>
      <c r="B11" s="157" t="s">
        <v>333</v>
      </c>
      <c r="C11" s="158">
        <v>42543</v>
      </c>
      <c r="D11" s="158">
        <v>42711</v>
      </c>
      <c r="E11" s="160">
        <v>1829256000</v>
      </c>
      <c r="F11" s="159">
        <f>E11/G11</f>
        <v>82000</v>
      </c>
      <c r="G11" s="160">
        <v>22308</v>
      </c>
      <c r="H11" s="158"/>
      <c r="I11" s="159"/>
      <c r="J11" s="159"/>
      <c r="K11" s="151"/>
      <c r="L11" s="148">
        <f t="shared" si="4"/>
        <v>82000</v>
      </c>
      <c r="M11" s="159"/>
      <c r="N11" s="159"/>
      <c r="O11" s="162">
        <f>IF((LEFT(B11,4)="1402"),F11*R11*DATEDIF(DATE(YEAR(Q11),MONTH(Q11)-1,IF(MONTH(C11)=(MONTH(Q11)-1),DAY(C11),16)),Q11,"d")/360,0)</f>
        <v>0</v>
      </c>
      <c r="P11" s="162">
        <f>IF((LEFT(B11,4)="1025"),F11*R11*DATEDIF(DATE(YEAR(Q11),MONTH(Q11)-1,DAY(Q11)),Q11,"d")/360,0)</f>
        <v>254.2</v>
      </c>
      <c r="Q11" s="147">
        <v>42635</v>
      </c>
      <c r="R11" s="228">
        <v>3.5999999999999997E-2</v>
      </c>
      <c r="S11" s="164"/>
    </row>
    <row r="12" spans="1:20" s="155" customFormat="1" ht="17.25" customHeight="1">
      <c r="A12" s="181">
        <f t="shared" si="3"/>
        <v>3</v>
      </c>
      <c r="B12" s="157" t="s">
        <v>332</v>
      </c>
      <c r="C12" s="158">
        <v>42543</v>
      </c>
      <c r="D12" s="158">
        <v>42668</v>
      </c>
      <c r="E12" s="160">
        <v>2163876000</v>
      </c>
      <c r="F12" s="159">
        <f>E12/G12</f>
        <v>97000</v>
      </c>
      <c r="G12" s="160">
        <v>22308</v>
      </c>
      <c r="H12" s="158"/>
      <c r="I12" s="159"/>
      <c r="J12" s="159"/>
      <c r="K12" s="151"/>
      <c r="L12" s="148">
        <f t="shared" si="4"/>
        <v>97000</v>
      </c>
      <c r="M12" s="159"/>
      <c r="N12" s="159"/>
      <c r="O12" s="162">
        <f>IF((LEFT(B12,4)="1402"),F12*R12*DATEDIF(DATE(YEAR(Q12),MONTH(Q12)-1,IF(MONTH(C12)=(MONTH(Q12)-1),DAY(C12),16)),Q12,"d")/360,0)</f>
        <v>0</v>
      </c>
      <c r="P12" s="162">
        <f>IF((LEFT(B12,4)="1025"),F12*R12*DATEDIF(DATE(YEAR(Q12),MONTH(Q12)-1,DAY(Q12)),Q12,"d")/360,0)</f>
        <v>300.69999999999993</v>
      </c>
      <c r="Q12" s="147">
        <v>42635</v>
      </c>
      <c r="R12" s="228">
        <v>3.5999999999999997E-2</v>
      </c>
      <c r="S12" s="164"/>
    </row>
    <row r="13" spans="1:20" s="155" customFormat="1" ht="17.25" customHeight="1">
      <c r="A13" s="181">
        <f t="shared" si="3"/>
        <v>4</v>
      </c>
      <c r="B13" s="157" t="s">
        <v>334</v>
      </c>
      <c r="C13" s="158">
        <v>42543</v>
      </c>
      <c r="D13" s="158">
        <v>42649</v>
      </c>
      <c r="E13" s="160">
        <v>2152046737</v>
      </c>
      <c r="F13" s="159">
        <f>E13/G13</f>
        <v>96469.730007172315</v>
      </c>
      <c r="G13" s="160">
        <v>22308</v>
      </c>
      <c r="H13" s="158"/>
      <c r="I13" s="159"/>
      <c r="J13" s="159"/>
      <c r="K13" s="151"/>
      <c r="L13" s="148">
        <f t="shared" si="4"/>
        <v>96469.730007172315</v>
      </c>
      <c r="M13" s="159"/>
      <c r="N13" s="159"/>
      <c r="O13" s="162">
        <f>IF((LEFT(B13,4)="1402"),F13*R13*DATEDIF(DATE(YEAR(Q13),MONTH(Q13)-1,IF(MONTH(C13)=(MONTH(Q13)-1),DAY(C13),16)),Q13,"d")/360,0)</f>
        <v>0</v>
      </c>
      <c r="P13" s="162">
        <f>IF((LEFT(B13,4)="1025"),F13*R13*DATEDIF(DATE(YEAR(Q13),MONTH(Q13)-1,DAY(Q13)),Q13,"d")/360,0)</f>
        <v>299.0561630222341</v>
      </c>
      <c r="Q13" s="147">
        <v>42635</v>
      </c>
      <c r="R13" s="228">
        <v>3.5999999999999997E-2</v>
      </c>
      <c r="S13" s="164"/>
      <c r="T13" s="233"/>
    </row>
    <row r="14" spans="1:20" s="187" customFormat="1" ht="17.25" customHeight="1">
      <c r="A14" s="181">
        <f t="shared" si="3"/>
        <v>5</v>
      </c>
      <c r="B14" s="157" t="s">
        <v>331</v>
      </c>
      <c r="C14" s="158">
        <v>42543</v>
      </c>
      <c r="D14" s="158">
        <v>42635</v>
      </c>
      <c r="E14" s="160">
        <v>1963104000</v>
      </c>
      <c r="F14" s="159">
        <f>E14/G14</f>
        <v>88000</v>
      </c>
      <c r="G14" s="160">
        <v>22308</v>
      </c>
      <c r="H14" s="158"/>
      <c r="I14" s="159"/>
      <c r="J14" s="159"/>
      <c r="K14" s="151"/>
      <c r="L14" s="148">
        <f t="shared" si="4"/>
        <v>88000</v>
      </c>
      <c r="M14" s="159"/>
      <c r="N14" s="160">
        <f>P14*G14</f>
        <v>6085622.3999999994</v>
      </c>
      <c r="O14" s="162">
        <f>IF((LEFT(B14,4)="1402"),F14*R14*DATEDIF(DATE(YEAR(Q14),MONTH(Q14)-1,IF(MONTH(C14)=(MONTH(Q14)-1),DAY(C14),16)),Q14,"d")/360,0)</f>
        <v>0</v>
      </c>
      <c r="P14" s="162">
        <f>IF((LEFT(B14,4)="1025"),F14*R14*DATEDIF(DATE(YEAR(Q14),MONTH(Q14)-1,DAY(Q14)),Q14,"d")/360,0)</f>
        <v>272.79999999999995</v>
      </c>
      <c r="Q14" s="147">
        <v>42635</v>
      </c>
      <c r="R14" s="228">
        <v>3.5999999999999997E-2</v>
      </c>
      <c r="S14" s="192"/>
      <c r="T14" s="155"/>
    </row>
    <row r="15" spans="1:20" s="155" customFormat="1" ht="17.25" customHeight="1">
      <c r="A15" s="181">
        <f t="shared" si="3"/>
        <v>6</v>
      </c>
      <c r="B15" s="157" t="s">
        <v>336</v>
      </c>
      <c r="C15" s="158">
        <v>42545</v>
      </c>
      <c r="D15" s="158">
        <v>42728</v>
      </c>
      <c r="E15" s="160"/>
      <c r="F15" s="159">
        <v>150000</v>
      </c>
      <c r="G15" s="160"/>
      <c r="H15" s="158"/>
      <c r="I15" s="159"/>
      <c r="J15" s="159"/>
      <c r="K15" s="148"/>
      <c r="L15" s="148">
        <f t="shared" si="4"/>
        <v>150000</v>
      </c>
      <c r="M15" s="159"/>
      <c r="N15" s="159"/>
      <c r="O15" s="162">
        <f t="shared" ref="O15:O19" si="5">IF((LEFT(B15,4)="1402"),F15*R15*DATEDIF(DATE(YEAR(Q15),MONTH(Q15)-1,IF(MONTH(C15)=(MONTH(Q15)-1),DAY(C15),16)),Q15,"d")/360,0)</f>
        <v>0</v>
      </c>
      <c r="P15" s="162">
        <f t="shared" ref="P15:P19" si="6">IF((LEFT(B15,4)="1025"),F15*R15*DATEDIF(DATE(YEAR(Q15),MONTH(Q15)-1,DAY(Q15)),Q15,"d")/360,0)</f>
        <v>387.5</v>
      </c>
      <c r="Q15" s="147">
        <v>42637</v>
      </c>
      <c r="R15" s="228">
        <v>0.03</v>
      </c>
      <c r="S15" s="164"/>
      <c r="T15" s="244">
        <f>E14*R14/12</f>
        <v>5889312</v>
      </c>
    </row>
    <row r="16" spans="1:20" s="155" customFormat="1" ht="17.25" customHeight="1">
      <c r="A16" s="181">
        <f t="shared" si="3"/>
        <v>7</v>
      </c>
      <c r="B16" s="157" t="s">
        <v>337</v>
      </c>
      <c r="C16" s="158">
        <v>42552</v>
      </c>
      <c r="D16" s="158">
        <v>42737</v>
      </c>
      <c r="E16" s="160">
        <f>F16*G16</f>
        <v>1996566000</v>
      </c>
      <c r="F16" s="159">
        <v>89500</v>
      </c>
      <c r="G16" s="160">
        <v>22308</v>
      </c>
      <c r="H16" s="158"/>
      <c r="I16" s="159"/>
      <c r="J16" s="159"/>
      <c r="K16" s="148"/>
      <c r="L16" s="148">
        <f t="shared" si="4"/>
        <v>89500</v>
      </c>
      <c r="M16" s="159"/>
      <c r="N16" s="159"/>
      <c r="O16" s="162">
        <f t="shared" si="5"/>
        <v>0</v>
      </c>
      <c r="P16" s="162">
        <f t="shared" si="6"/>
        <v>223.75</v>
      </c>
      <c r="Q16" s="147">
        <v>42644</v>
      </c>
      <c r="R16" s="228">
        <v>0.03</v>
      </c>
      <c r="S16" s="192"/>
      <c r="T16" s="233"/>
    </row>
    <row r="17" spans="1:20" s="155" customFormat="1" ht="17.25" customHeight="1">
      <c r="A17" s="181">
        <f t="shared" si="3"/>
        <v>8</v>
      </c>
      <c r="B17" s="157" t="s">
        <v>338</v>
      </c>
      <c r="C17" s="202">
        <v>42556</v>
      </c>
      <c r="D17" s="158">
        <v>42740</v>
      </c>
      <c r="E17" s="160">
        <f>F17*G17</f>
        <v>1985412000</v>
      </c>
      <c r="F17" s="203">
        <v>89000</v>
      </c>
      <c r="G17" s="160">
        <v>22308</v>
      </c>
      <c r="H17" s="202"/>
      <c r="I17" s="203"/>
      <c r="J17" s="203"/>
      <c r="K17" s="148"/>
      <c r="L17" s="148">
        <f t="shared" si="4"/>
        <v>89000</v>
      </c>
      <c r="M17" s="203"/>
      <c r="N17" s="203"/>
      <c r="O17" s="162">
        <f t="shared" si="5"/>
        <v>0</v>
      </c>
      <c r="P17" s="162">
        <f t="shared" si="6"/>
        <v>222.5</v>
      </c>
      <c r="Q17" s="147">
        <v>42648</v>
      </c>
      <c r="R17" s="228">
        <v>0.03</v>
      </c>
      <c r="S17" s="192"/>
      <c r="T17" s="233"/>
    </row>
    <row r="18" spans="1:20" s="155" customFormat="1" ht="17.25" customHeight="1">
      <c r="A18" s="181">
        <f t="shared" si="3"/>
        <v>9</v>
      </c>
      <c r="B18" s="157" t="s">
        <v>339</v>
      </c>
      <c r="C18" s="202">
        <v>42600</v>
      </c>
      <c r="D18" s="158">
        <v>42784</v>
      </c>
      <c r="E18" s="204"/>
      <c r="F18" s="203">
        <v>63000</v>
      </c>
      <c r="G18" s="160">
        <v>22308</v>
      </c>
      <c r="H18" s="202"/>
      <c r="I18" s="203"/>
      <c r="J18" s="203"/>
      <c r="K18" s="148"/>
      <c r="L18" s="148">
        <f t="shared" si="4"/>
        <v>63000</v>
      </c>
      <c r="M18" s="203"/>
      <c r="N18" s="203"/>
      <c r="O18" s="162">
        <f t="shared" si="5"/>
        <v>0</v>
      </c>
      <c r="P18" s="162">
        <f t="shared" si="6"/>
        <v>162.75</v>
      </c>
      <c r="Q18" s="147">
        <v>42631</v>
      </c>
      <c r="R18" s="228">
        <v>0.03</v>
      </c>
      <c r="S18" s="192"/>
      <c r="T18" s="233"/>
    </row>
    <row r="19" spans="1:20" s="155" customFormat="1" ht="17.25" customHeight="1">
      <c r="A19" s="181">
        <f t="shared" si="3"/>
        <v>10</v>
      </c>
      <c r="B19" s="157" t="s">
        <v>346</v>
      </c>
      <c r="C19" s="202">
        <v>42612</v>
      </c>
      <c r="D19" s="158">
        <v>42794</v>
      </c>
      <c r="E19" s="204"/>
      <c r="F19" s="203">
        <v>89500</v>
      </c>
      <c r="G19" s="160">
        <v>22308</v>
      </c>
      <c r="H19" s="202"/>
      <c r="I19" s="203"/>
      <c r="J19" s="203"/>
      <c r="K19" s="148"/>
      <c r="L19" s="148">
        <f t="shared" si="4"/>
        <v>89500</v>
      </c>
      <c r="M19" s="203"/>
      <c r="N19" s="203"/>
      <c r="O19" s="162">
        <f t="shared" si="5"/>
        <v>0</v>
      </c>
      <c r="P19" s="162">
        <f t="shared" si="6"/>
        <v>231.20833333333334</v>
      </c>
      <c r="Q19" s="147">
        <v>42635</v>
      </c>
      <c r="R19" s="228">
        <v>0.03</v>
      </c>
      <c r="S19" s="164"/>
      <c r="T19" s="233"/>
    </row>
    <row r="20" spans="1:20" s="155" customFormat="1" ht="17.25" customHeight="1">
      <c r="A20" s="181"/>
      <c r="B20" s="157"/>
      <c r="C20" s="202"/>
      <c r="D20" s="158"/>
      <c r="E20" s="203"/>
      <c r="F20" s="203"/>
      <c r="G20" s="204"/>
      <c r="H20" s="202"/>
      <c r="I20" s="203"/>
      <c r="J20" s="203"/>
      <c r="K20" s="148"/>
      <c r="L20" s="148"/>
      <c r="M20" s="203"/>
      <c r="N20" s="203"/>
      <c r="O20" s="159"/>
      <c r="P20" s="159"/>
      <c r="Q20" s="147"/>
      <c r="R20" s="228"/>
      <c r="S20" s="192"/>
    </row>
    <row r="21" spans="1:20" s="209" customFormat="1" ht="17.25" customHeight="1">
      <c r="A21" s="261" t="s">
        <v>344</v>
      </c>
      <c r="B21" s="261"/>
      <c r="C21" s="206"/>
      <c r="D21" s="206"/>
      <c r="E21" s="176">
        <f>SUM(E4:E20)</f>
        <v>14097980737</v>
      </c>
      <c r="F21" s="177">
        <f>SUM(F10:F20)</f>
        <v>934469.73000717233</v>
      </c>
      <c r="G21" s="176">
        <f>SUM(G4:G16)</f>
        <v>133848</v>
      </c>
      <c r="H21" s="175"/>
      <c r="I21" s="177">
        <f>SUM(I10:I20)</f>
        <v>0</v>
      </c>
      <c r="J21" s="177">
        <f>SUM(J10:J20)</f>
        <v>0</v>
      </c>
      <c r="K21" s="177">
        <f>SUM(K10:K20)</f>
        <v>0</v>
      </c>
      <c r="L21" s="177">
        <f>SUM(L10:L20)</f>
        <v>934469.73000717233</v>
      </c>
      <c r="M21" s="177">
        <f>SUM(M4:M14)</f>
        <v>0</v>
      </c>
      <c r="N21" s="177"/>
      <c r="O21" s="177">
        <f>SUM(O10:O20)</f>
        <v>0</v>
      </c>
      <c r="P21" s="177">
        <f>SUM(P10:P20)</f>
        <v>2633.4644963555675</v>
      </c>
      <c r="Q21" s="207"/>
      <c r="R21" s="208"/>
      <c r="S21" s="179"/>
    </row>
    <row r="22" spans="1:20" s="187" customFormat="1" ht="17.25" customHeight="1">
      <c r="A22" s="181">
        <f>ROW()-26</f>
        <v>-4</v>
      </c>
      <c r="B22" s="188" t="s">
        <v>310</v>
      </c>
      <c r="C22" s="189">
        <v>41870</v>
      </c>
      <c r="D22" s="189">
        <v>46253</v>
      </c>
      <c r="E22" s="190">
        <v>1000000000</v>
      </c>
      <c r="F22" s="162"/>
      <c r="G22" s="190"/>
      <c r="H22" s="189">
        <v>42632</v>
      </c>
      <c r="I22" s="190">
        <v>8340000</v>
      </c>
      <c r="J22" s="162"/>
      <c r="K22" s="190">
        <f t="shared" ref="K22:K36" si="7">E22-I22</f>
        <v>991660000</v>
      </c>
      <c r="L22" s="162"/>
      <c r="M22" s="190">
        <f>IF((LEFT(B22,4)="1402"),E22*R22*DATEDIF(DATE(YEAR(Q22),MONTH(Q22)-1,IF(MONTH(C22)=(MONTH(Q22)-1),DAY(C22),16)),Q22,"d")/360,0)</f>
        <v>8180555.555555556</v>
      </c>
      <c r="N22" s="162"/>
      <c r="O22" s="162">
        <f>IF((LEFT(B22,4)="1402"),F22*R22*DATEDIF(DATE(YEAR(Q22),MONTH(Q22)-1,IF(MONTH(C22)=(MONTH(Q22)-1),DAY(C22),16)),Q22,"d")/360,0)</f>
        <v>0</v>
      </c>
      <c r="P22" s="162">
        <f t="shared" ref="P22:P36" si="8">IF((LEFT(B22,4)="1015"),F22*R22*DATEDIF(Q22,Q$1,"d")/360,0)</f>
        <v>0</v>
      </c>
      <c r="Q22" s="231">
        <v>42632</v>
      </c>
      <c r="R22" s="229">
        <v>9.5000000000000001E-2</v>
      </c>
      <c r="S22" s="211" t="s">
        <v>311</v>
      </c>
    </row>
    <row r="23" spans="1:20" s="187" customFormat="1" ht="17.25" customHeight="1">
      <c r="A23" s="181">
        <f t="shared" ref="A23:A36" si="9">ROW()-26</f>
        <v>-3</v>
      </c>
      <c r="B23" s="188" t="s">
        <v>312</v>
      </c>
      <c r="C23" s="189">
        <v>41905</v>
      </c>
      <c r="D23" s="189">
        <v>46253</v>
      </c>
      <c r="E23" s="190">
        <v>2000000000</v>
      </c>
      <c r="F23" s="162"/>
      <c r="G23" s="190"/>
      <c r="H23" s="189">
        <v>42632</v>
      </c>
      <c r="I23" s="190">
        <v>16670000</v>
      </c>
      <c r="J23" s="162"/>
      <c r="K23" s="190">
        <f t="shared" si="7"/>
        <v>1983330000</v>
      </c>
      <c r="L23" s="162"/>
      <c r="M23" s="190">
        <f t="shared" ref="M23:M35" si="10">IF((LEFT(B23,4)="1402"),E23*R23*DATEDIF(DATE(YEAR(Q23),MONTH(Q23)-1,IF(MONTH(C23)=(MONTH(Q23)-1),DAY(C23),16)),Q23,"d")/360,0)</f>
        <v>17944444.444444444</v>
      </c>
      <c r="N23" s="162"/>
      <c r="O23" s="162">
        <f t="shared" ref="O23:O36" si="11">IF((LEFT(B23,4)="1402"),F23*R23*DATEDIF(DATE(YEAR(Q23),MONTH(Q23)-1,IF(MONTH(C23)=(MONTH(Q23)-1),DAY(C23),16)),Q23,"d")/360,0)</f>
        <v>0</v>
      </c>
      <c r="P23" s="162">
        <f t="shared" si="8"/>
        <v>0</v>
      </c>
      <c r="Q23" s="231">
        <v>42632</v>
      </c>
      <c r="R23" s="229">
        <v>9.5000000000000001E-2</v>
      </c>
      <c r="S23" s="192" t="s">
        <v>311</v>
      </c>
    </row>
    <row r="24" spans="1:20" s="187" customFormat="1" ht="17.25" customHeight="1">
      <c r="A24" s="181">
        <f t="shared" si="9"/>
        <v>-2</v>
      </c>
      <c r="B24" s="188" t="s">
        <v>313</v>
      </c>
      <c r="C24" s="212">
        <v>41934</v>
      </c>
      <c r="D24" s="189">
        <v>46253</v>
      </c>
      <c r="E24" s="213">
        <v>1600000000</v>
      </c>
      <c r="F24" s="214"/>
      <c r="G24" s="213"/>
      <c r="H24" s="189">
        <v>42632</v>
      </c>
      <c r="I24" s="213">
        <v>13340000</v>
      </c>
      <c r="J24" s="214"/>
      <c r="K24" s="190">
        <f t="shared" si="7"/>
        <v>1586660000</v>
      </c>
      <c r="L24" s="214"/>
      <c r="M24" s="190">
        <f t="shared" si="10"/>
        <v>14355555.555555556</v>
      </c>
      <c r="N24" s="214"/>
      <c r="O24" s="162">
        <f t="shared" si="11"/>
        <v>0</v>
      </c>
      <c r="P24" s="162">
        <f t="shared" si="8"/>
        <v>0</v>
      </c>
      <c r="Q24" s="231">
        <v>42632</v>
      </c>
      <c r="R24" s="229">
        <v>9.5000000000000001E-2</v>
      </c>
      <c r="S24" s="192" t="s">
        <v>311</v>
      </c>
    </row>
    <row r="25" spans="1:20" s="187" customFormat="1" ht="17.25" customHeight="1">
      <c r="A25" s="181">
        <f t="shared" si="9"/>
        <v>-1</v>
      </c>
      <c r="B25" s="188" t="s">
        <v>314</v>
      </c>
      <c r="C25" s="212">
        <v>41963</v>
      </c>
      <c r="D25" s="189">
        <v>46253</v>
      </c>
      <c r="E25" s="213">
        <v>1500000000</v>
      </c>
      <c r="F25" s="214"/>
      <c r="G25" s="213"/>
      <c r="H25" s="189">
        <v>42632</v>
      </c>
      <c r="I25" s="213">
        <v>12500000</v>
      </c>
      <c r="J25" s="214"/>
      <c r="K25" s="190">
        <f t="shared" si="7"/>
        <v>1487500000</v>
      </c>
      <c r="L25" s="214"/>
      <c r="M25" s="190">
        <f t="shared" si="10"/>
        <v>13458333.333333334</v>
      </c>
      <c r="N25" s="214"/>
      <c r="O25" s="162">
        <f t="shared" si="11"/>
        <v>0</v>
      </c>
      <c r="P25" s="162">
        <f t="shared" si="8"/>
        <v>0</v>
      </c>
      <c r="Q25" s="231">
        <v>42632</v>
      </c>
      <c r="R25" s="229">
        <v>9.5000000000000001E-2</v>
      </c>
      <c r="S25" s="192" t="s">
        <v>311</v>
      </c>
    </row>
    <row r="26" spans="1:20" s="187" customFormat="1" ht="17.25" customHeight="1">
      <c r="A26" s="181">
        <f t="shared" si="9"/>
        <v>0</v>
      </c>
      <c r="B26" s="188" t="s">
        <v>315</v>
      </c>
      <c r="C26" s="212">
        <v>41984</v>
      </c>
      <c r="D26" s="189">
        <v>46253</v>
      </c>
      <c r="E26" s="213">
        <v>1000000000</v>
      </c>
      <c r="F26" s="214"/>
      <c r="G26" s="213"/>
      <c r="H26" s="189">
        <v>42632</v>
      </c>
      <c r="I26" s="213">
        <v>8330000</v>
      </c>
      <c r="J26" s="214"/>
      <c r="K26" s="213">
        <f t="shared" si="7"/>
        <v>991670000</v>
      </c>
      <c r="L26" s="214"/>
      <c r="M26" s="190">
        <f t="shared" si="10"/>
        <v>8972222.222222222</v>
      </c>
      <c r="N26" s="214"/>
      <c r="O26" s="162">
        <f t="shared" si="11"/>
        <v>0</v>
      </c>
      <c r="P26" s="162">
        <f t="shared" si="8"/>
        <v>0</v>
      </c>
      <c r="Q26" s="231">
        <v>42632</v>
      </c>
      <c r="R26" s="229">
        <v>9.5000000000000001E-2</v>
      </c>
      <c r="S26" s="192" t="s">
        <v>311</v>
      </c>
    </row>
    <row r="27" spans="1:20" s="187" customFormat="1" ht="17.25" customHeight="1">
      <c r="A27" s="181">
        <f t="shared" si="9"/>
        <v>1</v>
      </c>
      <c r="B27" s="188" t="s">
        <v>316</v>
      </c>
      <c r="C27" s="212">
        <v>42033</v>
      </c>
      <c r="D27" s="189">
        <v>46253</v>
      </c>
      <c r="E27" s="213">
        <v>1500000000</v>
      </c>
      <c r="F27" s="214"/>
      <c r="G27" s="213"/>
      <c r="H27" s="212">
        <v>42632</v>
      </c>
      <c r="I27" s="213">
        <v>12500000</v>
      </c>
      <c r="J27" s="214"/>
      <c r="K27" s="213">
        <f t="shared" si="7"/>
        <v>1487500000</v>
      </c>
      <c r="L27" s="214"/>
      <c r="M27" s="190">
        <f t="shared" si="10"/>
        <v>13458333.333333334</v>
      </c>
      <c r="N27" s="214"/>
      <c r="O27" s="162">
        <f t="shared" si="11"/>
        <v>0</v>
      </c>
      <c r="P27" s="162">
        <f t="shared" si="8"/>
        <v>0</v>
      </c>
      <c r="Q27" s="231">
        <v>42632</v>
      </c>
      <c r="R27" s="229">
        <v>9.5000000000000001E-2</v>
      </c>
      <c r="S27" s="192" t="s">
        <v>311</v>
      </c>
    </row>
    <row r="28" spans="1:20" s="187" customFormat="1" ht="17.25" customHeight="1">
      <c r="A28" s="181">
        <f t="shared" si="9"/>
        <v>2</v>
      </c>
      <c r="B28" s="188" t="s">
        <v>317</v>
      </c>
      <c r="C28" s="212">
        <v>42088</v>
      </c>
      <c r="D28" s="189">
        <v>46253</v>
      </c>
      <c r="E28" s="213">
        <v>2000000000</v>
      </c>
      <c r="F28" s="214"/>
      <c r="G28" s="213"/>
      <c r="H28" s="189">
        <v>42632</v>
      </c>
      <c r="I28" s="213">
        <v>16670000</v>
      </c>
      <c r="J28" s="214"/>
      <c r="K28" s="213">
        <f t="shared" si="7"/>
        <v>1983330000</v>
      </c>
      <c r="L28" s="214"/>
      <c r="M28" s="190">
        <f t="shared" si="10"/>
        <v>17944444.444444444</v>
      </c>
      <c r="N28" s="214"/>
      <c r="O28" s="162">
        <f t="shared" si="11"/>
        <v>0</v>
      </c>
      <c r="P28" s="162">
        <f t="shared" si="8"/>
        <v>0</v>
      </c>
      <c r="Q28" s="231">
        <v>42632</v>
      </c>
      <c r="R28" s="229">
        <v>9.5000000000000001E-2</v>
      </c>
      <c r="S28" s="192" t="s">
        <v>311</v>
      </c>
    </row>
    <row r="29" spans="1:20" s="187" customFormat="1" ht="17.25" customHeight="1">
      <c r="A29" s="181">
        <f t="shared" si="9"/>
        <v>3</v>
      </c>
      <c r="B29" s="188" t="s">
        <v>318</v>
      </c>
      <c r="C29" s="212">
        <v>42114</v>
      </c>
      <c r="D29" s="189">
        <v>46253</v>
      </c>
      <c r="E29" s="213">
        <v>1400000000</v>
      </c>
      <c r="F29" s="214"/>
      <c r="G29" s="213"/>
      <c r="H29" s="212">
        <v>42632</v>
      </c>
      <c r="I29" s="213">
        <v>11670000</v>
      </c>
      <c r="J29" s="214"/>
      <c r="K29" s="213">
        <f t="shared" si="7"/>
        <v>1388330000</v>
      </c>
      <c r="L29" s="214"/>
      <c r="M29" s="190">
        <f t="shared" si="10"/>
        <v>12561111.111111112</v>
      </c>
      <c r="N29" s="214"/>
      <c r="O29" s="162">
        <f t="shared" si="11"/>
        <v>0</v>
      </c>
      <c r="P29" s="162">
        <f t="shared" si="8"/>
        <v>0</v>
      </c>
      <c r="Q29" s="231">
        <v>42632</v>
      </c>
      <c r="R29" s="229">
        <v>9.5000000000000001E-2</v>
      </c>
      <c r="S29" s="192" t="s">
        <v>311</v>
      </c>
    </row>
    <row r="30" spans="1:20" s="187" customFormat="1" ht="17.25" customHeight="1">
      <c r="A30" s="181">
        <f t="shared" si="9"/>
        <v>4</v>
      </c>
      <c r="B30" s="188" t="s">
        <v>319</v>
      </c>
      <c r="C30" s="212">
        <v>42138</v>
      </c>
      <c r="D30" s="189">
        <v>46253</v>
      </c>
      <c r="E30" s="213">
        <v>1500000000</v>
      </c>
      <c r="F30" s="214"/>
      <c r="G30" s="213"/>
      <c r="H30" s="212">
        <v>42632</v>
      </c>
      <c r="I30" s="213">
        <v>12500000</v>
      </c>
      <c r="J30" s="214"/>
      <c r="K30" s="213">
        <f t="shared" si="7"/>
        <v>1487500000</v>
      </c>
      <c r="L30" s="214"/>
      <c r="M30" s="190">
        <f t="shared" si="10"/>
        <v>13458333.333333334</v>
      </c>
      <c r="N30" s="214"/>
      <c r="O30" s="162">
        <f t="shared" si="11"/>
        <v>0</v>
      </c>
      <c r="P30" s="162">
        <f t="shared" si="8"/>
        <v>0</v>
      </c>
      <c r="Q30" s="231">
        <v>42632</v>
      </c>
      <c r="R30" s="229">
        <v>9.5000000000000001E-2</v>
      </c>
      <c r="S30" s="192" t="s">
        <v>311</v>
      </c>
    </row>
    <row r="31" spans="1:20" s="187" customFormat="1" ht="17.25" customHeight="1">
      <c r="A31" s="181">
        <f t="shared" si="9"/>
        <v>5</v>
      </c>
      <c r="B31" s="188" t="s">
        <v>320</v>
      </c>
      <c r="C31" s="212">
        <v>42164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7"/>
        <v>1487500000</v>
      </c>
      <c r="L31" s="214"/>
      <c r="M31" s="190">
        <f t="shared" si="10"/>
        <v>13458333.333333334</v>
      </c>
      <c r="N31" s="214"/>
      <c r="O31" s="162">
        <f t="shared" si="11"/>
        <v>0</v>
      </c>
      <c r="P31" s="162">
        <f t="shared" si="8"/>
        <v>0</v>
      </c>
      <c r="Q31" s="231">
        <v>42632</v>
      </c>
      <c r="R31" s="229">
        <v>9.5000000000000001E-2</v>
      </c>
      <c r="S31" s="192" t="s">
        <v>311</v>
      </c>
    </row>
    <row r="32" spans="1:20" s="187" customFormat="1" ht="17.25" customHeight="1">
      <c r="A32" s="181">
        <f t="shared" si="9"/>
        <v>6</v>
      </c>
      <c r="B32" s="188" t="s">
        <v>321</v>
      </c>
      <c r="C32" s="212">
        <v>42187</v>
      </c>
      <c r="D32" s="189">
        <v>46253</v>
      </c>
      <c r="E32" s="213">
        <v>1500000000</v>
      </c>
      <c r="F32" s="214"/>
      <c r="G32" s="213"/>
      <c r="H32" s="212">
        <v>42632</v>
      </c>
      <c r="I32" s="213">
        <v>12500000</v>
      </c>
      <c r="J32" s="214"/>
      <c r="K32" s="213">
        <f t="shared" si="7"/>
        <v>1487500000</v>
      </c>
      <c r="L32" s="214"/>
      <c r="M32" s="190">
        <f t="shared" si="10"/>
        <v>13458333.333333334</v>
      </c>
      <c r="N32" s="214"/>
      <c r="O32" s="162">
        <f t="shared" si="11"/>
        <v>0</v>
      </c>
      <c r="P32" s="162">
        <f t="shared" si="8"/>
        <v>0</v>
      </c>
      <c r="Q32" s="231">
        <v>42632</v>
      </c>
      <c r="R32" s="229">
        <v>9.5000000000000001E-2</v>
      </c>
      <c r="S32" s="192" t="s">
        <v>311</v>
      </c>
    </row>
    <row r="33" spans="1:19" s="187" customFormat="1" ht="17.25" customHeight="1">
      <c r="A33" s="181">
        <f t="shared" si="9"/>
        <v>7</v>
      </c>
      <c r="B33" s="188" t="s">
        <v>322</v>
      </c>
      <c r="C33" s="212">
        <v>42195</v>
      </c>
      <c r="D33" s="189">
        <v>46253</v>
      </c>
      <c r="E33" s="213">
        <v>1500000000</v>
      </c>
      <c r="F33" s="214"/>
      <c r="G33" s="213"/>
      <c r="H33" s="212">
        <v>42632</v>
      </c>
      <c r="I33" s="213">
        <v>12500000</v>
      </c>
      <c r="J33" s="214"/>
      <c r="K33" s="213">
        <f t="shared" si="7"/>
        <v>1487500000</v>
      </c>
      <c r="L33" s="214"/>
      <c r="M33" s="190">
        <f t="shared" si="10"/>
        <v>13458333.333333334</v>
      </c>
      <c r="N33" s="214"/>
      <c r="O33" s="162">
        <f t="shared" si="11"/>
        <v>0</v>
      </c>
      <c r="P33" s="162">
        <f t="shared" si="8"/>
        <v>0</v>
      </c>
      <c r="Q33" s="231">
        <v>42632</v>
      </c>
      <c r="R33" s="229">
        <v>9.5000000000000001E-2</v>
      </c>
      <c r="S33" s="192" t="s">
        <v>311</v>
      </c>
    </row>
    <row r="34" spans="1:19" s="187" customFormat="1" ht="17.25" customHeight="1">
      <c r="A34" s="181">
        <f t="shared" si="9"/>
        <v>8</v>
      </c>
      <c r="B34" s="188" t="s">
        <v>323</v>
      </c>
      <c r="C34" s="212">
        <v>42215</v>
      </c>
      <c r="D34" s="189">
        <v>46253</v>
      </c>
      <c r="E34" s="213">
        <v>1000000000</v>
      </c>
      <c r="F34" s="214"/>
      <c r="G34" s="213"/>
      <c r="H34" s="212">
        <v>42632</v>
      </c>
      <c r="I34" s="213">
        <v>8330000</v>
      </c>
      <c r="J34" s="214"/>
      <c r="K34" s="213">
        <f t="shared" si="7"/>
        <v>991670000</v>
      </c>
      <c r="L34" s="214"/>
      <c r="M34" s="190">
        <f t="shared" si="10"/>
        <v>8972222.222222222</v>
      </c>
      <c r="N34" s="214"/>
      <c r="O34" s="162">
        <f t="shared" si="11"/>
        <v>0</v>
      </c>
      <c r="P34" s="162">
        <f t="shared" si="8"/>
        <v>0</v>
      </c>
      <c r="Q34" s="231">
        <v>42632</v>
      </c>
      <c r="R34" s="229">
        <v>9.5000000000000001E-2</v>
      </c>
      <c r="S34" s="192" t="s">
        <v>311</v>
      </c>
    </row>
    <row r="35" spans="1:19" s="187" customFormat="1" ht="17.25" customHeight="1">
      <c r="A35" s="181">
        <f t="shared" si="9"/>
        <v>9</v>
      </c>
      <c r="B35" s="188" t="s">
        <v>324</v>
      </c>
      <c r="C35" s="212">
        <v>42229</v>
      </c>
      <c r="D35" s="189">
        <v>46253</v>
      </c>
      <c r="E35" s="213">
        <v>1000000000</v>
      </c>
      <c r="F35" s="214"/>
      <c r="G35" s="213"/>
      <c r="H35" s="212">
        <v>42632</v>
      </c>
      <c r="I35" s="213">
        <v>8330000</v>
      </c>
      <c r="J35" s="214"/>
      <c r="K35" s="213">
        <f t="shared" si="7"/>
        <v>991670000</v>
      </c>
      <c r="L35" s="214"/>
      <c r="M35" s="190">
        <f t="shared" si="10"/>
        <v>9763888.8888888881</v>
      </c>
      <c r="N35" s="214"/>
      <c r="O35" s="162">
        <f t="shared" si="11"/>
        <v>0</v>
      </c>
      <c r="P35" s="162">
        <f t="shared" si="8"/>
        <v>0</v>
      </c>
      <c r="Q35" s="231">
        <v>42632</v>
      </c>
      <c r="R35" s="229">
        <v>9.5000000000000001E-2</v>
      </c>
      <c r="S35" s="192" t="s">
        <v>311</v>
      </c>
    </row>
    <row r="36" spans="1:19" s="187" customFormat="1" ht="17.25" customHeight="1">
      <c r="A36" s="181">
        <f t="shared" si="9"/>
        <v>10</v>
      </c>
      <c r="B36" s="188" t="s">
        <v>345</v>
      </c>
      <c r="C36" s="212">
        <v>42543</v>
      </c>
      <c r="D36" s="212">
        <v>42726</v>
      </c>
      <c r="E36" s="213"/>
      <c r="F36" s="214">
        <v>88000</v>
      </c>
      <c r="G36" s="213"/>
      <c r="H36" s="212"/>
      <c r="I36" s="213"/>
      <c r="J36" s="214"/>
      <c r="K36" s="213">
        <f t="shared" si="7"/>
        <v>0</v>
      </c>
      <c r="L36" s="214">
        <f>F36</f>
        <v>88000</v>
      </c>
      <c r="M36" s="190"/>
      <c r="N36" s="214"/>
      <c r="O36" s="162">
        <f t="shared" si="11"/>
        <v>293.33333333333331</v>
      </c>
      <c r="P36" s="162">
        <f t="shared" si="8"/>
        <v>0</v>
      </c>
      <c r="Q36" s="231">
        <v>42628</v>
      </c>
      <c r="R36" s="229">
        <v>0.04</v>
      </c>
      <c r="S36" s="192"/>
    </row>
    <row r="37" spans="1:19" s="187" customFormat="1" ht="17.25" hidden="1" customHeight="1">
      <c r="A37" s="181"/>
      <c r="B37" s="188"/>
      <c r="C37" s="212"/>
      <c r="D37" s="212"/>
      <c r="E37" s="213"/>
      <c r="F37" s="214"/>
      <c r="G37" s="213"/>
      <c r="H37" s="212"/>
      <c r="I37" s="213"/>
      <c r="J37" s="214"/>
      <c r="K37" s="213"/>
      <c r="L37" s="214"/>
      <c r="M37" s="213"/>
      <c r="N37" s="214"/>
      <c r="O37" s="214"/>
      <c r="P37" s="214"/>
      <c r="Q37" s="210"/>
      <c r="R37" s="191"/>
      <c r="S37" s="192"/>
    </row>
    <row r="38" spans="1:19" s="155" customFormat="1" ht="17.25" customHeight="1">
      <c r="A38" s="145"/>
      <c r="B38" s="157"/>
      <c r="C38" s="202"/>
      <c r="D38" s="202"/>
      <c r="E38" s="204"/>
      <c r="F38" s="203"/>
      <c r="G38" s="204"/>
      <c r="H38" s="202"/>
      <c r="I38" s="204"/>
      <c r="J38" s="203"/>
      <c r="K38" s="204"/>
      <c r="L38" s="203"/>
      <c r="M38" s="204"/>
      <c r="N38" s="203"/>
      <c r="O38" s="203"/>
      <c r="P38" s="203"/>
      <c r="Q38" s="147"/>
      <c r="R38" s="201"/>
      <c r="S38" s="164"/>
    </row>
    <row r="39" spans="1:19" s="209" customFormat="1" ht="17.25" customHeight="1">
      <c r="A39" s="261" t="s">
        <v>326</v>
      </c>
      <c r="B39" s="261"/>
      <c r="C39" s="206"/>
      <c r="D39" s="206"/>
      <c r="E39" s="176">
        <f>SUM(E22:E38)</f>
        <v>20000000000</v>
      </c>
      <c r="F39" s="177">
        <f>SUM(F22:F38)</f>
        <v>88000</v>
      </c>
      <c r="G39" s="176">
        <f>SUM(G22:G38)</f>
        <v>0</v>
      </c>
      <c r="H39" s="177"/>
      <c r="I39" s="176">
        <f t="shared" ref="I39:P39" si="12">SUM(I22:I38)</f>
        <v>166680000</v>
      </c>
      <c r="J39" s="177">
        <f t="shared" si="12"/>
        <v>0</v>
      </c>
      <c r="K39" s="176">
        <f t="shared" si="12"/>
        <v>19833320000</v>
      </c>
      <c r="L39" s="177">
        <f t="shared" si="12"/>
        <v>88000</v>
      </c>
      <c r="M39" s="176">
        <f t="shared" si="12"/>
        <v>179444444.44444445</v>
      </c>
      <c r="N39" s="177">
        <f t="shared" si="12"/>
        <v>0</v>
      </c>
      <c r="O39" s="177">
        <f t="shared" si="12"/>
        <v>293.33333333333331</v>
      </c>
      <c r="P39" s="177">
        <f t="shared" si="12"/>
        <v>0</v>
      </c>
      <c r="Q39" s="207"/>
      <c r="R39" s="208"/>
      <c r="S39" s="179"/>
    </row>
    <row r="40" spans="1:19" ht="17.25" customHeight="1">
      <c r="F40" s="219"/>
    </row>
    <row r="41" spans="1:19" ht="17.25" customHeight="1">
      <c r="F41" s="216"/>
    </row>
    <row r="42" spans="1:19" ht="17.25" customHeight="1">
      <c r="F42" s="216"/>
    </row>
    <row r="43" spans="1:19" ht="17.25" customHeight="1">
      <c r="F43" s="216"/>
    </row>
    <row r="45" spans="1:19" ht="17.25" customHeight="1">
      <c r="F45" s="219"/>
    </row>
    <row r="53" spans="1:19" s="224" customFormat="1" ht="17.25" customHeight="1">
      <c r="A53" s="215"/>
      <c r="B53" s="216"/>
      <c r="C53" s="217"/>
      <c r="D53" s="217"/>
      <c r="E53" s="218"/>
      <c r="F53" s="222"/>
      <c r="G53" s="218"/>
      <c r="H53" s="220"/>
      <c r="I53" s="221"/>
      <c r="J53" s="221"/>
      <c r="K53" s="218"/>
      <c r="L53" s="222"/>
      <c r="M53" s="226"/>
      <c r="N53" s="226"/>
      <c r="O53" s="226"/>
      <c r="Q53" s="225"/>
      <c r="R53" s="225"/>
      <c r="S53" s="215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42612</v>
      </c>
      <c r="U2" s="11"/>
      <c r="V2" s="12" t="s">
        <v>25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e">
        <f>"CTY TNHH HẢI SẢN AN LẠC "&amp;IF(RIGHT(VLOOKUP("X1",DS,3,0),1)="V","TRÀ VINH","")</f>
        <v>#N/A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e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#N/A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e">
        <f>IF(RIGHT(VLOOKUP("X1",DS,3,0),1)="1","CHI NHÁNH QUẬN 11",IF(RIGHT(VLOOKUP("X1",DS,3,0),1)="4","CHI NHÁNH QUẬN 4",IF(RIGHT(VLOOKUP("X1",DS,3,0),1)="V","CHI NHÁNH QUẬN 4","")))</f>
        <v>#N/A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e">
        <f>VLOOKUP("X1",DS,6,0)</f>
        <v>#N/A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e">
        <f>VLOOKUP("X1",DS,7,0)</f>
        <v>#N/A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e">
        <f>VLOOKUP("X1",DS,8,0)</f>
        <v>#N/A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e">
        <f>VLOOKUP("X1",DS,9,0)</f>
        <v>#N/A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Error: Đối số của hàm không hợp lệ.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54" t="s">
        <v>63</v>
      </c>
      <c r="O20" s="254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55" t="s">
        <v>64</v>
      </c>
      <c r="O21" s="255"/>
      <c r="P21" s="32"/>
    </row>
    <row r="22" spans="1:16">
      <c r="A22" s="18"/>
      <c r="B22" s="18"/>
      <c r="M22" s="31"/>
      <c r="N22" s="50" t="e">
        <f>IF($R$2="VNĐ",VLOOKUP("X1",DS,16,0),VLOOKUP("X1",DS,15,0))</f>
        <v>#N/A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e">
        <f>VLOOKUP("X1",DS,14,0)</f>
        <v>#N/A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140625" style="6"/>
    <col min="18" max="18" width="2.85546875" style="9" customWidth="1"/>
    <col min="19" max="19" width="9.140625" style="6"/>
    <col min="20" max="16384" width="9.140625" style="1"/>
  </cols>
  <sheetData>
    <row r="1" spans="1:19" ht="18" customHeight="1" thickBot="1">
      <c r="A1" s="8" t="str">
        <f>IF($O$2="vnđ","p","p1")</f>
        <v>p</v>
      </c>
      <c r="N1" s="8"/>
    </row>
    <row r="2" spans="1:19" ht="21.75" customHeight="1" thickBot="1">
      <c r="O2" s="13" t="s">
        <v>29</v>
      </c>
      <c r="Q2" s="10">
        <v>42627</v>
      </c>
      <c r="R2" s="11"/>
      <c r="S2" s="12" t="s">
        <v>23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56">
        <f>IF($O$2="VNĐ",VLOOKUP("X",DS,16,0),VLOOKUP("X",DS,15,0))</f>
        <v>24068550</v>
      </c>
      <c r="G8" s="256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Hai mươi bốn triệu, không trăm sáu mươi tám ngàn, năm trăm năm mươi đồng.</v>
      </c>
    </row>
    <row r="10" spans="1:19" ht="16.5" customHeight="1">
      <c r="E10" s="1" t="s">
        <v>3</v>
      </c>
    </row>
    <row r="11" spans="1:19" ht="17.25" customHeight="1">
      <c r="F11" s="1" t="str">
        <f>VLOOKUP("X",DS,14,0)</f>
        <v>MKH: PB06030022841- Tiền điện kỳ 3 tháng 08 năm 2016</v>
      </c>
    </row>
    <row r="13" spans="1:19" ht="25.5" customHeight="1">
      <c r="G13" s="14" t="str">
        <f>VLOOKUP("X",DS,6,0)</f>
        <v>CTY CP GIẢI PHÁP THANH TOÁN ĐIỆN LỰC VÀ VIỄN THÔNG</v>
      </c>
    </row>
    <row r="14" spans="1:19" ht="17.25" customHeight="1"/>
    <row r="16" spans="1:19" ht="24" customHeight="1">
      <c r="C16" s="1" t="s">
        <v>3</v>
      </c>
      <c r="E16" s="1" t="str">
        <f>VLOOKUP("X",DS,7,0)</f>
        <v>6801 0000 318 995</v>
      </c>
    </row>
    <row r="17" spans="5:5" ht="15" customHeight="1">
      <c r="E17" s="1" t="str">
        <f>VLOOKUP("X",DS,8,0)</f>
        <v>BIDV – CHI NHÁNH LONG AN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56">
        <f>VLOOKUP("X2",DS,16,0)</f>
        <v>1100000000</v>
      </c>
      <c r="F8" s="256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60">
        <f>VLOOKUP("X3",DS,11,0)</f>
        <v>41051</v>
      </c>
      <c r="M17" s="260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57" t="s">
        <v>63</v>
      </c>
      <c r="O21" s="258"/>
      <c r="P21" s="258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59" t="s">
        <v>64</v>
      </c>
      <c r="O22" s="255"/>
      <c r="P22" s="255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3" customWidth="1"/>
    <col min="2" max="2" width="35.28515625" style="123" customWidth="1"/>
    <col min="3" max="4" width="35.5703125" style="123" customWidth="1"/>
    <col min="5" max="16384" width="9.140625" style="123"/>
  </cols>
  <sheetData>
    <row r="1" spans="1:4" s="119" customFormat="1" ht="23.25" customHeight="1">
      <c r="A1" s="118" t="s">
        <v>237</v>
      </c>
      <c r="B1" s="118" t="s">
        <v>238</v>
      </c>
      <c r="C1" s="118" t="s">
        <v>239</v>
      </c>
      <c r="D1" s="118"/>
    </row>
    <row r="2" spans="1:4" s="119" customFormat="1" ht="23.25" customHeight="1">
      <c r="A2" s="120" t="s">
        <v>240</v>
      </c>
      <c r="B2" s="120" t="s">
        <v>241</v>
      </c>
      <c r="C2" s="120" t="s">
        <v>241</v>
      </c>
      <c r="D2" s="120" t="s">
        <v>242</v>
      </c>
    </row>
    <row r="3" spans="1:4" s="119" customFormat="1" ht="23.25" customHeight="1">
      <c r="A3" s="121" t="s">
        <v>243</v>
      </c>
      <c r="B3" s="121" t="s">
        <v>244</v>
      </c>
      <c r="C3" s="121" t="s">
        <v>245</v>
      </c>
      <c r="D3" s="121" t="s">
        <v>246</v>
      </c>
    </row>
    <row r="4" spans="1:4" s="119" customFormat="1" ht="23.25" customHeight="1">
      <c r="A4" s="122" t="s">
        <v>247</v>
      </c>
      <c r="B4" s="122" t="s">
        <v>248</v>
      </c>
      <c r="C4" s="122" t="s">
        <v>249</v>
      </c>
      <c r="D4" s="122" t="s">
        <v>250</v>
      </c>
    </row>
    <row r="5" spans="1:4" s="119" customFormat="1" ht="23.25" customHeight="1">
      <c r="A5" s="118"/>
      <c r="B5" s="118" t="s">
        <v>251</v>
      </c>
      <c r="C5" s="118" t="s">
        <v>252</v>
      </c>
      <c r="D5" s="118"/>
    </row>
    <row r="6" spans="1:4" s="119" customFormat="1" ht="23.25" customHeight="1">
      <c r="A6" s="120" t="s">
        <v>242</v>
      </c>
      <c r="B6" s="120" t="s">
        <v>253</v>
      </c>
      <c r="C6" s="120" t="s">
        <v>253</v>
      </c>
      <c r="D6" s="120" t="s">
        <v>242</v>
      </c>
    </row>
    <row r="7" spans="1:4" s="119" customFormat="1" ht="23.25" customHeight="1">
      <c r="A7" s="121" t="s">
        <v>246</v>
      </c>
      <c r="B7" s="121" t="s">
        <v>254</v>
      </c>
      <c r="C7" s="121" t="s">
        <v>255</v>
      </c>
      <c r="D7" s="121" t="s">
        <v>246</v>
      </c>
    </row>
    <row r="8" spans="1:4" s="119" customFormat="1" ht="23.25" customHeight="1">
      <c r="A8" s="122" t="s">
        <v>250</v>
      </c>
      <c r="B8" s="122" t="s">
        <v>256</v>
      </c>
      <c r="C8" s="122" t="s">
        <v>257</v>
      </c>
      <c r="D8" s="122" t="s">
        <v>250</v>
      </c>
    </row>
    <row r="9" spans="1:4" s="119" customFormat="1" ht="23.25" customHeight="1">
      <c r="A9" s="118"/>
      <c r="B9" s="118" t="s">
        <v>258</v>
      </c>
      <c r="C9" s="118" t="s">
        <v>259</v>
      </c>
      <c r="D9" s="118"/>
    </row>
    <row r="10" spans="1:4" s="119" customFormat="1" ht="23.25" customHeight="1">
      <c r="A10" s="120" t="s">
        <v>242</v>
      </c>
      <c r="B10" s="120" t="s">
        <v>260</v>
      </c>
      <c r="C10" s="120" t="s">
        <v>260</v>
      </c>
      <c r="D10" s="120" t="s">
        <v>242</v>
      </c>
    </row>
    <row r="11" spans="1:4" s="119" customFormat="1" ht="23.25" customHeight="1">
      <c r="A11" s="121" t="s">
        <v>246</v>
      </c>
      <c r="B11" s="121" t="s">
        <v>261</v>
      </c>
      <c r="C11" s="121" t="s">
        <v>262</v>
      </c>
      <c r="D11" s="121" t="s">
        <v>246</v>
      </c>
    </row>
    <row r="12" spans="1:4" s="119" customFormat="1" ht="23.25" customHeight="1">
      <c r="A12" s="122" t="s">
        <v>250</v>
      </c>
      <c r="B12" s="122" t="s">
        <v>256</v>
      </c>
      <c r="C12" s="122" t="s">
        <v>257</v>
      </c>
      <c r="D12" s="122" t="s">
        <v>250</v>
      </c>
    </row>
    <row r="13" spans="1:4" s="119" customFormat="1" ht="23.25" customHeight="1">
      <c r="A13" s="118"/>
      <c r="B13" s="118"/>
      <c r="C13" s="118"/>
      <c r="D13" s="118"/>
    </row>
    <row r="14" spans="1:4" s="119" customFormat="1" ht="23.25" customHeight="1">
      <c r="A14" s="120" t="s">
        <v>242</v>
      </c>
      <c r="B14" s="120" t="s">
        <v>242</v>
      </c>
      <c r="C14" s="120" t="s">
        <v>242</v>
      </c>
      <c r="D14" s="120" t="s">
        <v>242</v>
      </c>
    </row>
    <row r="15" spans="1:4" s="119" customFormat="1" ht="23.25" customHeight="1">
      <c r="A15" s="121" t="s">
        <v>246</v>
      </c>
      <c r="B15" s="121" t="s">
        <v>246</v>
      </c>
      <c r="C15" s="121" t="s">
        <v>246</v>
      </c>
      <c r="D15" s="121" t="s">
        <v>246</v>
      </c>
    </row>
    <row r="16" spans="1:4" s="119" customFormat="1" ht="23.25" customHeight="1">
      <c r="A16" s="122" t="s">
        <v>250</v>
      </c>
      <c r="B16" s="122" t="s">
        <v>250</v>
      </c>
      <c r="C16" s="122" t="s">
        <v>250</v>
      </c>
      <c r="D16" s="122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0.5703125" style="222" customWidth="1"/>
    <col min="7" max="7" width="13.42578125" style="218" hidden="1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9.42578125" style="223" hidden="1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>
        <v>42509</v>
      </c>
      <c r="N1" s="132"/>
      <c r="O1" s="132">
        <v>42506</v>
      </c>
      <c r="P1" s="132">
        <v>42496</v>
      </c>
      <c r="Q1" s="132">
        <v>42508</v>
      </c>
      <c r="R1" s="133"/>
      <c r="S1" s="124"/>
    </row>
    <row r="2" spans="1:20" s="135" customFormat="1" ht="16.5" customHeight="1">
      <c r="A2" s="264" t="s">
        <v>264</v>
      </c>
      <c r="B2" s="264" t="s">
        <v>265</v>
      </c>
      <c r="C2" s="266" t="s">
        <v>266</v>
      </c>
      <c r="D2" s="266"/>
      <c r="E2" s="267" t="s">
        <v>267</v>
      </c>
      <c r="F2" s="267"/>
      <c r="G2" s="267"/>
      <c r="H2" s="268" t="s">
        <v>268</v>
      </c>
      <c r="I2" s="268"/>
      <c r="J2" s="268"/>
      <c r="K2" s="269" t="s">
        <v>269</v>
      </c>
      <c r="L2" s="269"/>
      <c r="M2" s="262" t="s">
        <v>270</v>
      </c>
      <c r="N2" s="262"/>
      <c r="O2" s="262"/>
      <c r="P2" s="262"/>
      <c r="Q2" s="262"/>
      <c r="R2" s="263" t="s">
        <v>271</v>
      </c>
      <c r="S2" s="264" t="s">
        <v>272</v>
      </c>
    </row>
    <row r="3" spans="1:20" s="135" customFormat="1" ht="33" customHeight="1">
      <c r="A3" s="264"/>
      <c r="B3" s="264"/>
      <c r="C3" s="136" t="s">
        <v>273</v>
      </c>
      <c r="D3" s="136" t="s">
        <v>274</v>
      </c>
      <c r="E3" s="137" t="s">
        <v>275</v>
      </c>
      <c r="F3" s="138" t="s">
        <v>28</v>
      </c>
      <c r="G3" s="137" t="s">
        <v>276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143" t="s">
        <v>278</v>
      </c>
      <c r="Q3" s="144" t="s">
        <v>282</v>
      </c>
      <c r="R3" s="263"/>
      <c r="S3" s="264"/>
    </row>
    <row r="4" spans="1:20" s="155" customFormat="1" ht="17.25" customHeight="1">
      <c r="A4" s="145">
        <f>ROW()-3</f>
        <v>1</v>
      </c>
      <c r="B4" s="146" t="s">
        <v>283</v>
      </c>
      <c r="C4" s="147">
        <v>40200</v>
      </c>
      <c r="D4" s="147">
        <v>42649</v>
      </c>
      <c r="E4" s="148"/>
      <c r="F4" s="148">
        <v>13915</v>
      </c>
      <c r="G4" s="149"/>
      <c r="H4" s="147">
        <v>42649</v>
      </c>
      <c r="I4" s="150"/>
      <c r="J4" s="151">
        <v>13915</v>
      </c>
      <c r="K4" s="148"/>
      <c r="L4" s="148">
        <f>F4-J4</f>
        <v>0</v>
      </c>
      <c r="M4" s="152"/>
      <c r="N4" s="152"/>
      <c r="O4" s="152">
        <f>IF((LEFT(B4,4)="1402"),E4*Q4*DATEDIF(P4,$P$1,"d")/360,0)</f>
        <v>0</v>
      </c>
      <c r="P4" s="152">
        <f>IF((LEFT(B4,4)="1015"),F4*R4*DATEDIF(Q4,$P$1,"d")/360,0)</f>
        <v>52.181249999999999</v>
      </c>
      <c r="Q4" s="147">
        <f>DATEVALUE("6/"&amp;(MONTH($P$1)-1)&amp;"/16")</f>
        <v>42466</v>
      </c>
      <c r="R4" s="153">
        <v>4.4999999999999998E-2</v>
      </c>
      <c r="S4" s="154" t="s">
        <v>284</v>
      </c>
    </row>
    <row r="5" spans="1:20" s="155" customFormat="1" ht="17.25" customHeight="1">
      <c r="A5" s="156">
        <f>ROW()-3</f>
        <v>2</v>
      </c>
      <c r="B5" s="157" t="s">
        <v>285</v>
      </c>
      <c r="C5" s="158">
        <v>40234</v>
      </c>
      <c r="D5" s="158">
        <v>42649</v>
      </c>
      <c r="E5" s="159"/>
      <c r="F5" s="159">
        <v>33319.39</v>
      </c>
      <c r="G5" s="160"/>
      <c r="H5" s="147">
        <v>42649</v>
      </c>
      <c r="I5" s="161"/>
      <c r="J5" s="162">
        <v>33319.39</v>
      </c>
      <c r="K5" s="159"/>
      <c r="L5" s="159">
        <f>F5-J5</f>
        <v>0</v>
      </c>
      <c r="M5" s="163"/>
      <c r="N5" s="163"/>
      <c r="O5" s="163">
        <f>IF((LEFT(B5,4)="1402"),E5*Q5*DATEDIF(P5,$P$1,"d")/360,0)</f>
        <v>0</v>
      </c>
      <c r="P5" s="163">
        <f>IF((LEFT(B5,4)="1015"),F5*R5*DATEDIF(Q5,$P$1,"d")/360,0)</f>
        <v>124.94771249999998</v>
      </c>
      <c r="Q5" s="147">
        <f t="shared" ref="Q5:Q7" si="0">DATEVALUE("6/"&amp;(MONTH($P$1)-1)&amp;"/16")</f>
        <v>42466</v>
      </c>
      <c r="R5" s="153">
        <v>4.4999999999999998E-2</v>
      </c>
      <c r="S5" s="164" t="s">
        <v>284</v>
      </c>
    </row>
    <row r="6" spans="1:20" s="155" customFormat="1" ht="17.25" customHeight="1">
      <c r="A6" s="156">
        <f>ROW()-3</f>
        <v>3</v>
      </c>
      <c r="B6" s="157" t="s">
        <v>286</v>
      </c>
      <c r="C6" s="158">
        <v>40234</v>
      </c>
      <c r="D6" s="158">
        <v>42649</v>
      </c>
      <c r="E6" s="159"/>
      <c r="F6" s="159">
        <v>20515.96</v>
      </c>
      <c r="G6" s="160"/>
      <c r="H6" s="147">
        <v>42649</v>
      </c>
      <c r="I6" s="161"/>
      <c r="J6" s="162">
        <v>20515.96</v>
      </c>
      <c r="K6" s="159"/>
      <c r="L6" s="159">
        <f>F6-J6</f>
        <v>0</v>
      </c>
      <c r="M6" s="163"/>
      <c r="N6" s="163"/>
      <c r="O6" s="163">
        <f>IF((LEFT(B6,4)="1402"),E6*Q6*DATEDIF(P6,$P$1,"d")/360,0)</f>
        <v>0</v>
      </c>
      <c r="P6" s="163">
        <f>IF((LEFT(B6,4)="1015"),F6*R6*DATEDIF(Q6,$P$1,"d")/360,0)</f>
        <v>76.934849999999997</v>
      </c>
      <c r="Q6" s="147">
        <f t="shared" si="0"/>
        <v>42466</v>
      </c>
      <c r="R6" s="153">
        <v>4.4999999999999998E-2</v>
      </c>
      <c r="S6" s="164" t="s">
        <v>284</v>
      </c>
    </row>
    <row r="7" spans="1:20" s="155" customFormat="1" ht="17.25" customHeight="1">
      <c r="A7" s="156">
        <f>ROW()-3</f>
        <v>4</v>
      </c>
      <c r="B7" s="157" t="s">
        <v>287</v>
      </c>
      <c r="C7" s="158">
        <v>40234</v>
      </c>
      <c r="D7" s="158">
        <v>42649</v>
      </c>
      <c r="E7" s="159"/>
      <c r="F7" s="159">
        <v>28719.379999999997</v>
      </c>
      <c r="G7" s="160"/>
      <c r="H7" s="147">
        <v>42649</v>
      </c>
      <c r="I7" s="161"/>
      <c r="J7" s="162">
        <v>28719.379999999997</v>
      </c>
      <c r="K7" s="159"/>
      <c r="L7" s="159">
        <f>F7-J7</f>
        <v>0</v>
      </c>
      <c r="M7" s="163"/>
      <c r="N7" s="163"/>
      <c r="O7" s="163">
        <f>IF((LEFT(B7,4)="1402"),E7*Q7*DATEDIF(P7,$P$1,"d")/360,0)</f>
        <v>0</v>
      </c>
      <c r="P7" s="163">
        <f>IF((LEFT(B7,4)="1015"),F7*R7*DATEDIF(Q7,$P$1,"d")/360,0)</f>
        <v>107.69767499999998</v>
      </c>
      <c r="Q7" s="147">
        <f t="shared" si="0"/>
        <v>42466</v>
      </c>
      <c r="R7" s="153">
        <v>4.4999999999999998E-2</v>
      </c>
      <c r="S7" s="164" t="s">
        <v>284</v>
      </c>
    </row>
    <row r="8" spans="1:20" s="155" customFormat="1" ht="17.25" customHeight="1">
      <c r="A8" s="165"/>
      <c r="B8" s="166"/>
      <c r="C8" s="167"/>
      <c r="D8" s="167"/>
      <c r="E8" s="168"/>
      <c r="F8" s="168"/>
      <c r="G8" s="169"/>
      <c r="H8" s="167"/>
      <c r="I8" s="170"/>
      <c r="J8" s="171"/>
      <c r="K8" s="168"/>
      <c r="L8" s="168"/>
      <c r="M8" s="172"/>
      <c r="N8" s="172"/>
      <c r="O8" s="172"/>
      <c r="P8" s="172"/>
      <c r="Q8" s="167"/>
      <c r="R8" s="173"/>
      <c r="S8" s="174"/>
    </row>
    <row r="9" spans="1:20" s="180" customFormat="1" ht="17.25" customHeight="1">
      <c r="A9" s="265" t="s">
        <v>288</v>
      </c>
      <c r="B9" s="265"/>
      <c r="C9" s="175"/>
      <c r="D9" s="175"/>
      <c r="E9" s="176"/>
      <c r="F9" s="177">
        <f>SUM(F4:F8)</f>
        <v>96469.73000000001</v>
      </c>
      <c r="G9" s="176">
        <f>SUM(G4:G7)</f>
        <v>0</v>
      </c>
      <c r="H9" s="177"/>
      <c r="I9" s="176"/>
      <c r="J9" s="177">
        <f>SUM(J4:J7)</f>
        <v>96469.73000000001</v>
      </c>
      <c r="K9" s="176"/>
      <c r="L9" s="177">
        <f>SUM(L4:L7)</f>
        <v>0</v>
      </c>
      <c r="M9" s="176"/>
      <c r="N9" s="176">
        <f>SUM(N4:N7)</f>
        <v>0</v>
      </c>
      <c r="O9" s="176">
        <f>SUM(O4:O7)</f>
        <v>0</v>
      </c>
      <c r="P9" s="177">
        <f>SUM(P4:P7)</f>
        <v>361.76148749999993</v>
      </c>
      <c r="Q9" s="175"/>
      <c r="R9" s="178"/>
      <c r="S9" s="179"/>
    </row>
    <row r="10" spans="1:20" s="155" customFormat="1" ht="17.25" customHeight="1">
      <c r="A10" s="181">
        <f>ROW()-9</f>
        <v>1</v>
      </c>
      <c r="B10" s="182" t="s">
        <v>289</v>
      </c>
      <c r="C10" s="183">
        <v>42340</v>
      </c>
      <c r="D10" s="183">
        <v>42523</v>
      </c>
      <c r="E10" s="151"/>
      <c r="F10" s="151">
        <v>70900</v>
      </c>
      <c r="G10" s="184">
        <v>2019360000</v>
      </c>
      <c r="H10" s="183"/>
      <c r="I10" s="151"/>
      <c r="J10" s="151"/>
      <c r="K10" s="151"/>
      <c r="L10" s="151">
        <f>F10-J10</f>
        <v>70900</v>
      </c>
      <c r="M10" s="151"/>
      <c r="N10" s="151"/>
      <c r="O10" s="151">
        <f>IF((LEFT(B10,4)="1402"),F10*R10*DATEDIF(Q10,O$1,"d")/360,0)</f>
        <v>236.33333333333334</v>
      </c>
      <c r="P10" s="151">
        <f>IF((LEFT(B10,4)="1015"),F10*R10*DATEDIF(Q10,Q$1,"d")/360,0)</f>
        <v>0</v>
      </c>
      <c r="Q10" s="147">
        <f>DATEVALUE("16/"&amp;(MONTH($P$1)-1)&amp;"/16")</f>
        <v>42476</v>
      </c>
      <c r="R10" s="185">
        <v>0.04</v>
      </c>
      <c r="S10" s="186" t="s">
        <v>290</v>
      </c>
      <c r="T10" s="187"/>
    </row>
    <row r="11" spans="1:20" s="187" customFormat="1" ht="17.25" customHeight="1">
      <c r="A11" s="181">
        <f>ROW()-9</f>
        <v>2</v>
      </c>
      <c r="B11" s="188" t="s">
        <v>291</v>
      </c>
      <c r="C11" s="189">
        <v>42346</v>
      </c>
      <c r="D11" s="189">
        <v>42529</v>
      </c>
      <c r="E11" s="162"/>
      <c r="F11" s="162">
        <v>62000</v>
      </c>
      <c r="G11" s="190">
        <v>1737190000</v>
      </c>
      <c r="H11" s="189"/>
      <c r="I11" s="162"/>
      <c r="J11" s="162"/>
      <c r="K11" s="151"/>
      <c r="L11" s="151">
        <f>F11-J11</f>
        <v>62000</v>
      </c>
      <c r="M11" s="162"/>
      <c r="N11" s="162"/>
      <c r="O11" s="162">
        <f>IF((LEFT(B11,4)="1402"),F11*R11*DATEDIF(Q11,O$1,"d")/360,0)</f>
        <v>206.66666666666666</v>
      </c>
      <c r="P11" s="162">
        <f>IF((LEFT(B11,4)="1015"),F11*R11*DATEDIF(Q11,Q$1,"d")/360,0)</f>
        <v>0</v>
      </c>
      <c r="Q11" s="147">
        <f>DATEVALUE("16/"&amp;(MONTH($P$1)-1)&amp;"/16")</f>
        <v>42476</v>
      </c>
      <c r="R11" s="191">
        <v>0.04</v>
      </c>
      <c r="S11" s="192" t="s">
        <v>290</v>
      </c>
      <c r="T11" s="155"/>
    </row>
    <row r="12" spans="1:20" s="187" customFormat="1" ht="17.25" customHeight="1">
      <c r="A12" s="181">
        <f>ROW()-9</f>
        <v>3</v>
      </c>
      <c r="B12" s="188" t="s">
        <v>292</v>
      </c>
      <c r="C12" s="189">
        <v>42348</v>
      </c>
      <c r="D12" s="189">
        <v>42531</v>
      </c>
      <c r="E12" s="162"/>
      <c r="F12" s="162">
        <v>33000</v>
      </c>
      <c r="G12" s="190">
        <v>1737190000</v>
      </c>
      <c r="H12" s="189"/>
      <c r="I12" s="162"/>
      <c r="J12" s="162"/>
      <c r="K12" s="151"/>
      <c r="L12" s="151">
        <f>F12-J12</f>
        <v>33000</v>
      </c>
      <c r="M12" s="162"/>
      <c r="N12" s="162"/>
      <c r="O12" s="162">
        <f>IF((LEFT(B12,4)="1402"),F12*R12*DATEDIF(Q12,O$1,"d")/360,0)</f>
        <v>110</v>
      </c>
      <c r="P12" s="162">
        <f>IF((LEFT(B12,4)="1015"),F12*R12*DATEDIF(Q12,Q$1,"d")/360,0)</f>
        <v>0</v>
      </c>
      <c r="Q12" s="147">
        <f>DATEVALUE("16/"&amp;(MONTH($P$1)-1)&amp;"/16")</f>
        <v>42476</v>
      </c>
      <c r="R12" s="191">
        <v>0.04</v>
      </c>
      <c r="S12" s="192" t="s">
        <v>290</v>
      </c>
      <c r="T12" s="155"/>
    </row>
    <row r="13" spans="1:20" s="155" customFormat="1" ht="17.25" customHeight="1">
      <c r="A13" s="181">
        <f>ROW()-9</f>
        <v>4</v>
      </c>
      <c r="B13" s="188" t="s">
        <v>293</v>
      </c>
      <c r="C13" s="189">
        <v>42363</v>
      </c>
      <c r="D13" s="189">
        <v>42546</v>
      </c>
      <c r="E13" s="162"/>
      <c r="F13" s="162">
        <v>43000</v>
      </c>
      <c r="G13" s="190">
        <v>926064000</v>
      </c>
      <c r="H13" s="189"/>
      <c r="I13" s="162"/>
      <c r="J13" s="162"/>
      <c r="K13" s="151"/>
      <c r="L13" s="151">
        <f>F13-J13</f>
        <v>43000</v>
      </c>
      <c r="M13" s="162"/>
      <c r="N13" s="162"/>
      <c r="O13" s="162">
        <f>IF((LEFT(B13,4)="1402"),F13*R13*DATEDIF(Q13,O$1,"d")/360,0)</f>
        <v>143.33333333333334</v>
      </c>
      <c r="P13" s="162">
        <f>IF((LEFT(B13,4)="1015"),F13*R13*DATEDIF(Q13,Q$1,"d")/360,0)</f>
        <v>0</v>
      </c>
      <c r="Q13" s="147">
        <f>DATEVALUE("16/"&amp;(MONTH($P$1)-1)&amp;"/16")</f>
        <v>42476</v>
      </c>
      <c r="R13" s="191">
        <v>0.04</v>
      </c>
      <c r="S13" s="192" t="s">
        <v>290</v>
      </c>
    </row>
    <row r="14" spans="1:20" s="155" customFormat="1" ht="17.25" customHeight="1">
      <c r="A14" s="181">
        <f>ROW()-9</f>
        <v>5</v>
      </c>
      <c r="B14" s="182" t="s">
        <v>294</v>
      </c>
      <c r="C14" s="189">
        <v>42398</v>
      </c>
      <c r="D14" s="189">
        <v>42580</v>
      </c>
      <c r="E14" s="162"/>
      <c r="F14" s="162">
        <v>52300</v>
      </c>
      <c r="G14" s="190">
        <v>1151700000</v>
      </c>
      <c r="H14" s="189"/>
      <c r="I14" s="162"/>
      <c r="J14" s="162"/>
      <c r="K14" s="151"/>
      <c r="L14" s="151">
        <f>F14-J14</f>
        <v>52300</v>
      </c>
      <c r="M14" s="162"/>
      <c r="N14" s="162"/>
      <c r="O14" s="162">
        <f>IF((LEFT(B14,4)="1402"),F14*R14*DATEDIF(Q14,O$1,"d")/360,0)</f>
        <v>174.33333333333334</v>
      </c>
      <c r="P14" s="162">
        <f>IF((LEFT(B14,4)="1015"),F14*R14*DATEDIF(Q14,Q$1,"d")/360,0)</f>
        <v>0</v>
      </c>
      <c r="Q14" s="147">
        <f>DATEVALUE("16/"&amp;(MONTH($P$1)-1)&amp;"/16")</f>
        <v>42476</v>
      </c>
      <c r="R14" s="191">
        <v>0.04</v>
      </c>
      <c r="S14" s="192" t="s">
        <v>295</v>
      </c>
    </row>
    <row r="15" spans="1:20" s="155" customFormat="1" ht="17.25" customHeight="1">
      <c r="A15" s="193"/>
      <c r="B15" s="194"/>
      <c r="C15" s="195"/>
      <c r="D15" s="195"/>
      <c r="E15" s="196"/>
      <c r="F15" s="196"/>
      <c r="G15" s="197"/>
      <c r="H15" s="195"/>
      <c r="I15" s="196"/>
      <c r="J15" s="196"/>
      <c r="K15" s="196"/>
      <c r="L15" s="196"/>
      <c r="M15" s="196"/>
      <c r="N15" s="196"/>
      <c r="O15" s="196"/>
      <c r="P15" s="196"/>
      <c r="Q15" s="198"/>
      <c r="R15" s="199"/>
      <c r="S15" s="200"/>
    </row>
    <row r="16" spans="1:20" s="180" customFormat="1" ht="17.25" customHeight="1">
      <c r="A16" s="265" t="s">
        <v>296</v>
      </c>
      <c r="B16" s="265"/>
      <c r="C16" s="175"/>
      <c r="D16" s="175"/>
      <c r="E16" s="176"/>
      <c r="F16" s="177">
        <f>SUM(F10:F15)</f>
        <v>261200</v>
      </c>
      <c r="G16" s="176">
        <f>SUM(G9:G13)</f>
        <v>6419804000</v>
      </c>
      <c r="H16" s="177"/>
      <c r="I16" s="176"/>
      <c r="J16" s="177">
        <f>SUM(J10:J15)</f>
        <v>0</v>
      </c>
      <c r="K16" s="176"/>
      <c r="L16" s="177">
        <f>SUM(L10:L15)</f>
        <v>261200</v>
      </c>
      <c r="M16" s="176"/>
      <c r="N16" s="176">
        <f>SUM(N9:N13)</f>
        <v>0</v>
      </c>
      <c r="O16" s="177">
        <f>SUM(O10:O15)</f>
        <v>870.66666666666674</v>
      </c>
      <c r="P16" s="177">
        <f>SUM(P10:P15)</f>
        <v>0</v>
      </c>
      <c r="Q16" s="175"/>
      <c r="R16" s="178"/>
      <c r="S16" s="179"/>
    </row>
    <row r="17" spans="1:20" s="155" customFormat="1" ht="17.25" customHeight="1">
      <c r="A17" s="181">
        <f>ROW()-16</f>
        <v>1</v>
      </c>
      <c r="B17" s="157" t="s">
        <v>297</v>
      </c>
      <c r="C17" s="158">
        <v>42278</v>
      </c>
      <c r="D17" s="158">
        <v>42552</v>
      </c>
      <c r="E17" s="159"/>
      <c r="F17" s="159">
        <v>89500</v>
      </c>
      <c r="G17" s="160">
        <v>1894165000</v>
      </c>
      <c r="H17" s="158"/>
      <c r="I17" s="159"/>
      <c r="J17" s="159"/>
      <c r="K17" s="151"/>
      <c r="L17" s="148">
        <f t="shared" ref="L17:L24" si="1">F17-J17</f>
        <v>89500</v>
      </c>
      <c r="M17" s="159"/>
      <c r="N17" s="159"/>
      <c r="O17" s="159">
        <f t="shared" ref="O17:O24" si="2">IF((LEFT(B17,4)="1402"),F17*R17*DATEDIF(Q17,O$1,"d")/360,0)</f>
        <v>0</v>
      </c>
      <c r="P17" s="159">
        <f t="shared" ref="P17:P24" si="3">IF((LEFT(B17,4)="1015"),F17*R17*DATEDIF(Q17,Q$1,"d")/360,0)</f>
        <v>298.33333333333331</v>
      </c>
      <c r="Q17" s="147">
        <f>DATEVALUE("18/"&amp;(MONTH($P$1)-1)&amp;"/16")</f>
        <v>42478</v>
      </c>
      <c r="R17" s="201">
        <v>0.04</v>
      </c>
      <c r="S17" s="192" t="s">
        <v>298</v>
      </c>
      <c r="T17" s="187"/>
    </row>
    <row r="18" spans="1:20" s="155" customFormat="1" ht="17.25" customHeight="1">
      <c r="A18" s="181">
        <f t="shared" ref="A18:A24" si="4">ROW()-16</f>
        <v>2</v>
      </c>
      <c r="B18" s="157" t="s">
        <v>299</v>
      </c>
      <c r="C18" s="158">
        <v>42279</v>
      </c>
      <c r="D18" s="158">
        <v>42553</v>
      </c>
      <c r="E18" s="159"/>
      <c r="F18" s="159">
        <v>89000</v>
      </c>
      <c r="G18" s="160"/>
      <c r="H18" s="158"/>
      <c r="I18" s="159"/>
      <c r="J18" s="159"/>
      <c r="K18" s="151"/>
      <c r="L18" s="148">
        <f t="shared" si="1"/>
        <v>89000</v>
      </c>
      <c r="M18" s="159"/>
      <c r="N18" s="159"/>
      <c r="O18" s="159">
        <f t="shared" si="2"/>
        <v>0</v>
      </c>
      <c r="P18" s="159">
        <f t="shared" si="3"/>
        <v>296.66666666666669</v>
      </c>
      <c r="Q18" s="147">
        <f>DATEVALUE("18/"&amp;(MONTH($P$1)-1)&amp;"/16")</f>
        <v>42478</v>
      </c>
      <c r="R18" s="201">
        <v>0.04</v>
      </c>
      <c r="S18" s="164"/>
    </row>
    <row r="19" spans="1:20" s="155" customFormat="1" ht="17.25" customHeight="1">
      <c r="A19" s="181">
        <f t="shared" si="4"/>
        <v>3</v>
      </c>
      <c r="B19" s="157" t="s">
        <v>300</v>
      </c>
      <c r="C19" s="158">
        <v>42328</v>
      </c>
      <c r="D19" s="158">
        <v>42602</v>
      </c>
      <c r="E19" s="159"/>
      <c r="F19" s="159">
        <v>61000</v>
      </c>
      <c r="G19" s="160"/>
      <c r="H19" s="158"/>
      <c r="I19" s="159"/>
      <c r="J19" s="159"/>
      <c r="K19" s="151"/>
      <c r="L19" s="148">
        <f t="shared" si="1"/>
        <v>61000</v>
      </c>
      <c r="M19" s="159"/>
      <c r="N19" s="159"/>
      <c r="O19" s="159">
        <f t="shared" si="2"/>
        <v>0</v>
      </c>
      <c r="P19" s="159">
        <f t="shared" si="3"/>
        <v>203.33333333333334</v>
      </c>
      <c r="Q19" s="147">
        <f>DATEVALUE("18/"&amp;(MONTH($P$1)-1)&amp;"/16")</f>
        <v>42478</v>
      </c>
      <c r="R19" s="201">
        <v>0.04</v>
      </c>
      <c r="S19" s="164"/>
    </row>
    <row r="20" spans="1:20" s="155" customFormat="1" ht="17.25" customHeight="1">
      <c r="A20" s="181">
        <f t="shared" si="4"/>
        <v>4</v>
      </c>
      <c r="B20" s="157" t="s">
        <v>301</v>
      </c>
      <c r="C20" s="158">
        <v>42339</v>
      </c>
      <c r="D20" s="158">
        <v>42614</v>
      </c>
      <c r="E20" s="159"/>
      <c r="F20" s="159">
        <v>89000</v>
      </c>
      <c r="G20" s="160"/>
      <c r="H20" s="158"/>
      <c r="I20" s="159"/>
      <c r="J20" s="159"/>
      <c r="K20" s="151"/>
      <c r="L20" s="148">
        <f t="shared" si="1"/>
        <v>89000</v>
      </c>
      <c r="M20" s="159"/>
      <c r="N20" s="159"/>
      <c r="O20" s="159">
        <f t="shared" si="2"/>
        <v>0</v>
      </c>
      <c r="P20" s="159">
        <f t="shared" si="3"/>
        <v>296.66666666666669</v>
      </c>
      <c r="Q20" s="147">
        <f>DATEVALUE("18/"&amp;(MONTH($P$1)-1)&amp;"/16")</f>
        <v>42478</v>
      </c>
      <c r="R20" s="201">
        <v>0.04</v>
      </c>
      <c r="S20" s="164"/>
    </row>
    <row r="21" spans="1:20" s="187" customFormat="1" ht="17.25" customHeight="1">
      <c r="A21" s="181">
        <f t="shared" si="4"/>
        <v>5</v>
      </c>
      <c r="B21" s="157" t="s">
        <v>302</v>
      </c>
      <c r="C21" s="158">
        <v>42360</v>
      </c>
      <c r="D21" s="158">
        <v>42635</v>
      </c>
      <c r="E21" s="159"/>
      <c r="F21" s="159">
        <v>88000</v>
      </c>
      <c r="G21" s="160">
        <v>2015900000</v>
      </c>
      <c r="H21" s="158"/>
      <c r="I21" s="159"/>
      <c r="J21" s="159"/>
      <c r="K21" s="151"/>
      <c r="L21" s="148">
        <f t="shared" si="1"/>
        <v>88000</v>
      </c>
      <c r="M21" s="159"/>
      <c r="N21" s="159"/>
      <c r="O21" s="159">
        <f t="shared" si="2"/>
        <v>0</v>
      </c>
      <c r="P21" s="159">
        <f t="shared" si="3"/>
        <v>293.33333333333331</v>
      </c>
      <c r="Q21" s="147">
        <f t="shared" ref="Q21:Q24" si="5">DATEVALUE("18/"&amp;(MONTH($P$1)-1)&amp;"/16")</f>
        <v>42478</v>
      </c>
      <c r="R21" s="201">
        <v>0.04</v>
      </c>
      <c r="S21" s="192" t="s">
        <v>303</v>
      </c>
    </row>
    <row r="22" spans="1:20" s="155" customFormat="1" ht="17.25" customHeight="1">
      <c r="A22" s="181">
        <f t="shared" si="4"/>
        <v>6</v>
      </c>
      <c r="B22" s="157" t="s">
        <v>304</v>
      </c>
      <c r="C22" s="158">
        <v>42394</v>
      </c>
      <c r="D22" s="158">
        <v>42668</v>
      </c>
      <c r="E22" s="159"/>
      <c r="F22" s="159">
        <v>97000</v>
      </c>
      <c r="G22" s="160">
        <v>1965255000</v>
      </c>
      <c r="H22" s="158"/>
      <c r="I22" s="159"/>
      <c r="J22" s="159"/>
      <c r="K22" s="148"/>
      <c r="L22" s="148">
        <f t="shared" si="1"/>
        <v>97000</v>
      </c>
      <c r="M22" s="159"/>
      <c r="N22" s="159"/>
      <c r="O22" s="159">
        <f t="shared" si="2"/>
        <v>0</v>
      </c>
      <c r="P22" s="159">
        <f t="shared" si="3"/>
        <v>323.33333333333331</v>
      </c>
      <c r="Q22" s="147">
        <f t="shared" si="5"/>
        <v>42478</v>
      </c>
      <c r="R22" s="201">
        <v>0.04</v>
      </c>
      <c r="S22" s="164" t="s">
        <v>305</v>
      </c>
    </row>
    <row r="23" spans="1:20" s="155" customFormat="1" ht="17.25" customHeight="1">
      <c r="A23" s="181">
        <f t="shared" si="4"/>
        <v>7</v>
      </c>
      <c r="B23" s="157" t="s">
        <v>306</v>
      </c>
      <c r="C23" s="158">
        <v>42436</v>
      </c>
      <c r="D23" s="158">
        <v>42711</v>
      </c>
      <c r="E23" s="159"/>
      <c r="F23" s="159">
        <v>82000</v>
      </c>
      <c r="G23" s="160">
        <v>1894165000</v>
      </c>
      <c r="H23" s="158"/>
      <c r="I23" s="159"/>
      <c r="J23" s="159"/>
      <c r="K23" s="148"/>
      <c r="L23" s="148">
        <f t="shared" si="1"/>
        <v>82000</v>
      </c>
      <c r="M23" s="159"/>
      <c r="N23" s="159"/>
      <c r="O23" s="159">
        <f t="shared" si="2"/>
        <v>0</v>
      </c>
      <c r="P23" s="159">
        <f t="shared" si="3"/>
        <v>273.33333333333331</v>
      </c>
      <c r="Q23" s="147">
        <f t="shared" si="5"/>
        <v>42478</v>
      </c>
      <c r="R23" s="201">
        <v>0.04</v>
      </c>
      <c r="S23" s="164" t="s">
        <v>307</v>
      </c>
    </row>
    <row r="24" spans="1:20" s="155" customFormat="1" ht="17.25" customHeight="1">
      <c r="A24" s="181">
        <f t="shared" si="4"/>
        <v>8</v>
      </c>
      <c r="B24" s="157" t="s">
        <v>308</v>
      </c>
      <c r="C24" s="202">
        <v>42437</v>
      </c>
      <c r="D24" s="158">
        <v>42712</v>
      </c>
      <c r="E24" s="203"/>
      <c r="F24" s="203">
        <v>90000</v>
      </c>
      <c r="G24" s="204">
        <v>1997238540</v>
      </c>
      <c r="H24" s="202"/>
      <c r="I24" s="203"/>
      <c r="J24" s="203"/>
      <c r="K24" s="148"/>
      <c r="L24" s="148">
        <f t="shared" si="1"/>
        <v>90000</v>
      </c>
      <c r="M24" s="203"/>
      <c r="N24" s="203"/>
      <c r="O24" s="159">
        <f t="shared" si="2"/>
        <v>0</v>
      </c>
      <c r="P24" s="159">
        <f t="shared" si="3"/>
        <v>300</v>
      </c>
      <c r="Q24" s="147">
        <f t="shared" si="5"/>
        <v>42478</v>
      </c>
      <c r="R24" s="201">
        <v>0.04</v>
      </c>
      <c r="S24" s="192" t="s">
        <v>309</v>
      </c>
    </row>
    <row r="25" spans="1:20" s="155" customFormat="1" ht="17.25" customHeight="1">
      <c r="A25" s="165"/>
      <c r="B25" s="166"/>
      <c r="C25" s="167"/>
      <c r="D25" s="167"/>
      <c r="E25" s="168"/>
      <c r="F25" s="168"/>
      <c r="G25" s="169"/>
      <c r="H25" s="167"/>
      <c r="I25" s="168"/>
      <c r="J25" s="168"/>
      <c r="K25" s="168"/>
      <c r="L25" s="168"/>
      <c r="M25" s="168"/>
      <c r="N25" s="168"/>
      <c r="O25" s="168"/>
      <c r="P25" s="168"/>
      <c r="Q25" s="167"/>
      <c r="R25" s="205"/>
      <c r="S25" s="174"/>
    </row>
    <row r="26" spans="1:20" s="209" customFormat="1" ht="17.25" customHeight="1">
      <c r="A26" s="261" t="s">
        <v>288</v>
      </c>
      <c r="B26" s="261"/>
      <c r="C26" s="206"/>
      <c r="D26" s="206"/>
      <c r="E26" s="177">
        <f>SUM(E10:E25)</f>
        <v>0</v>
      </c>
      <c r="F26" s="177">
        <f>SUM(F17:F25)</f>
        <v>685500</v>
      </c>
      <c r="G26" s="176">
        <f>SUM(G10:G23)</f>
        <v>21760793000</v>
      </c>
      <c r="H26" s="175"/>
      <c r="I26" s="177">
        <f>SUM(I17:I25)</f>
        <v>0</v>
      </c>
      <c r="J26" s="177">
        <f>SUM(J17:J25)</f>
        <v>0</v>
      </c>
      <c r="K26" s="177">
        <f>SUM(K17:K25)</f>
        <v>0</v>
      </c>
      <c r="L26" s="177">
        <f>SUM(L17:L25)</f>
        <v>685500</v>
      </c>
      <c r="M26" s="177">
        <f>SUM(M10:M21)</f>
        <v>0</v>
      </c>
      <c r="N26" s="177"/>
      <c r="O26" s="177">
        <f>SUM(O17:O25)</f>
        <v>0</v>
      </c>
      <c r="P26" s="177">
        <f>SUM(P17:P25)</f>
        <v>2285</v>
      </c>
      <c r="Q26" s="207"/>
      <c r="R26" s="208"/>
      <c r="S26" s="179"/>
    </row>
    <row r="27" spans="1:20" s="187" customFormat="1" ht="17.25" customHeight="1">
      <c r="A27" s="181">
        <f>ROW()-26</f>
        <v>1</v>
      </c>
      <c r="B27" s="188" t="s">
        <v>310</v>
      </c>
      <c r="C27" s="189">
        <v>41870</v>
      </c>
      <c r="D27" s="189">
        <v>46253</v>
      </c>
      <c r="E27" s="190">
        <v>1000000000</v>
      </c>
      <c r="F27" s="162"/>
      <c r="G27" s="190">
        <v>1151700000</v>
      </c>
      <c r="H27" s="189">
        <v>42632</v>
      </c>
      <c r="I27" s="190">
        <v>8340000</v>
      </c>
      <c r="J27" s="162"/>
      <c r="K27" s="190">
        <f t="shared" ref="K27:K41" si="6">E27-I27</f>
        <v>991660000</v>
      </c>
      <c r="L27" s="162"/>
      <c r="M27" s="190">
        <f t="shared" ref="M27:M41" si="7">IF((LEFT(B27,4)="1402"),E27*R27*DATEDIF(Q27,$M$1,"d")/360,0)</f>
        <v>7916666.666666667</v>
      </c>
      <c r="N27" s="162"/>
      <c r="O27" s="162">
        <f t="shared" ref="O27:O40" si="8">IF((LEFT(B27,4)="1402"),F27*R27*DATEDIF(Q27,O$1,"d")/360,0)</f>
        <v>0</v>
      </c>
      <c r="P27" s="162">
        <f t="shared" ref="P27:P41" si="9">IF((LEFT(B27,4)="1015"),F27*R27*DATEDIF(Q27,Q$1,"d")/360,0)</f>
        <v>0</v>
      </c>
      <c r="Q27" s="210">
        <f>DATEVALUE("19/"&amp;(MONTH($P$1)-1)&amp;"/16")</f>
        <v>42479</v>
      </c>
      <c r="R27" s="191">
        <v>9.5000000000000001E-2</v>
      </c>
      <c r="S27" s="211" t="s">
        <v>311</v>
      </c>
    </row>
    <row r="28" spans="1:20" s="187" customFormat="1" ht="17.25" customHeight="1">
      <c r="A28" s="181">
        <f t="shared" ref="A28:A41" si="10">ROW()-26</f>
        <v>2</v>
      </c>
      <c r="B28" s="188" t="s">
        <v>312</v>
      </c>
      <c r="C28" s="189">
        <v>41905</v>
      </c>
      <c r="D28" s="189">
        <v>46253</v>
      </c>
      <c r="E28" s="190">
        <v>2000000000</v>
      </c>
      <c r="F28" s="162"/>
      <c r="G28" s="190">
        <v>1894165000</v>
      </c>
      <c r="H28" s="189">
        <v>42632</v>
      </c>
      <c r="I28" s="190">
        <v>16670000</v>
      </c>
      <c r="J28" s="162"/>
      <c r="K28" s="190">
        <f t="shared" si="6"/>
        <v>1983330000</v>
      </c>
      <c r="L28" s="162"/>
      <c r="M28" s="190">
        <f t="shared" si="7"/>
        <v>15833333.333333334</v>
      </c>
      <c r="N28" s="162"/>
      <c r="O28" s="162">
        <f t="shared" si="8"/>
        <v>0</v>
      </c>
      <c r="P28" s="162">
        <f t="shared" si="9"/>
        <v>0</v>
      </c>
      <c r="Q28" s="210">
        <f t="shared" ref="Q28:Q40" si="11">DATEVALUE("19/"&amp;(MONTH($P$1)-1)&amp;"/16")</f>
        <v>42479</v>
      </c>
      <c r="R28" s="191">
        <v>9.5000000000000001E-2</v>
      </c>
      <c r="S28" s="192" t="s">
        <v>311</v>
      </c>
    </row>
    <row r="29" spans="1:20" s="187" customFormat="1" ht="17.25" customHeight="1">
      <c r="A29" s="181">
        <f t="shared" si="10"/>
        <v>3</v>
      </c>
      <c r="B29" s="188" t="s">
        <v>313</v>
      </c>
      <c r="C29" s="212">
        <v>41934</v>
      </c>
      <c r="D29" s="189">
        <v>46253</v>
      </c>
      <c r="E29" s="213">
        <v>1600000000</v>
      </c>
      <c r="F29" s="214"/>
      <c r="G29" s="213"/>
      <c r="H29" s="189">
        <v>42632</v>
      </c>
      <c r="I29" s="213">
        <v>13340000</v>
      </c>
      <c r="J29" s="214"/>
      <c r="K29" s="190">
        <f t="shared" si="6"/>
        <v>1586660000</v>
      </c>
      <c r="L29" s="214"/>
      <c r="M29" s="190">
        <f t="shared" si="7"/>
        <v>12666666.666666666</v>
      </c>
      <c r="N29" s="214"/>
      <c r="O29" s="162">
        <f t="shared" si="8"/>
        <v>0</v>
      </c>
      <c r="P29" s="162">
        <f t="shared" si="9"/>
        <v>0</v>
      </c>
      <c r="Q29" s="210">
        <f t="shared" si="11"/>
        <v>42479</v>
      </c>
      <c r="R29" s="191">
        <v>9.5000000000000001E-2</v>
      </c>
      <c r="S29" s="192" t="s">
        <v>311</v>
      </c>
    </row>
    <row r="30" spans="1:20" s="187" customFormat="1" ht="17.25" customHeight="1">
      <c r="A30" s="181">
        <f t="shared" si="10"/>
        <v>4</v>
      </c>
      <c r="B30" s="188" t="s">
        <v>314</v>
      </c>
      <c r="C30" s="212">
        <v>41963</v>
      </c>
      <c r="D30" s="189">
        <v>46253</v>
      </c>
      <c r="E30" s="213">
        <v>1500000000</v>
      </c>
      <c r="F30" s="214"/>
      <c r="G30" s="213"/>
      <c r="H30" s="189">
        <v>42632</v>
      </c>
      <c r="I30" s="213">
        <v>12500000</v>
      </c>
      <c r="J30" s="214"/>
      <c r="K30" s="190">
        <f t="shared" si="6"/>
        <v>1487500000</v>
      </c>
      <c r="L30" s="214"/>
      <c r="M30" s="190">
        <f t="shared" si="7"/>
        <v>11875000</v>
      </c>
      <c r="N30" s="214"/>
      <c r="O30" s="162">
        <f t="shared" si="8"/>
        <v>0</v>
      </c>
      <c r="P30" s="162">
        <f t="shared" si="9"/>
        <v>0</v>
      </c>
      <c r="Q30" s="210">
        <f t="shared" si="11"/>
        <v>42479</v>
      </c>
      <c r="R30" s="191">
        <v>9.5000000000000001E-2</v>
      </c>
      <c r="S30" s="192" t="s">
        <v>311</v>
      </c>
    </row>
    <row r="31" spans="1:20" s="187" customFormat="1" ht="17.25" customHeight="1">
      <c r="A31" s="181">
        <f t="shared" si="10"/>
        <v>5</v>
      </c>
      <c r="B31" s="188" t="s">
        <v>315</v>
      </c>
      <c r="C31" s="212">
        <v>41984</v>
      </c>
      <c r="D31" s="189">
        <v>46253</v>
      </c>
      <c r="E31" s="213">
        <v>1000000000</v>
      </c>
      <c r="F31" s="214"/>
      <c r="G31" s="213"/>
      <c r="H31" s="189">
        <v>42632</v>
      </c>
      <c r="I31" s="213">
        <v>8330000</v>
      </c>
      <c r="J31" s="214"/>
      <c r="K31" s="213">
        <f t="shared" si="6"/>
        <v>991670000</v>
      </c>
      <c r="L31" s="214"/>
      <c r="M31" s="190">
        <f t="shared" si="7"/>
        <v>7916666.666666667</v>
      </c>
      <c r="N31" s="214"/>
      <c r="O31" s="162">
        <f t="shared" si="8"/>
        <v>0</v>
      </c>
      <c r="P31" s="162">
        <f t="shared" si="9"/>
        <v>0</v>
      </c>
      <c r="Q31" s="210">
        <f t="shared" si="11"/>
        <v>42479</v>
      </c>
      <c r="R31" s="191">
        <v>9.5000000000000001E-2</v>
      </c>
      <c r="S31" s="192" t="s">
        <v>311</v>
      </c>
    </row>
    <row r="32" spans="1:20" s="187" customFormat="1" ht="17.25" customHeight="1">
      <c r="A32" s="181">
        <f t="shared" si="10"/>
        <v>6</v>
      </c>
      <c r="B32" s="188" t="s">
        <v>316</v>
      </c>
      <c r="C32" s="212">
        <v>42033</v>
      </c>
      <c r="D32" s="189">
        <v>46253</v>
      </c>
      <c r="E32" s="213">
        <v>1500000000</v>
      </c>
      <c r="F32" s="214"/>
      <c r="G32" s="213"/>
      <c r="H32" s="212">
        <v>42632</v>
      </c>
      <c r="I32" s="213">
        <v>12500000</v>
      </c>
      <c r="J32" s="214"/>
      <c r="K32" s="213">
        <f t="shared" si="6"/>
        <v>1487500000</v>
      </c>
      <c r="L32" s="214"/>
      <c r="M32" s="190">
        <f t="shared" si="7"/>
        <v>11875000</v>
      </c>
      <c r="N32" s="214"/>
      <c r="O32" s="162">
        <f t="shared" si="8"/>
        <v>0</v>
      </c>
      <c r="P32" s="162">
        <f t="shared" si="9"/>
        <v>0</v>
      </c>
      <c r="Q32" s="210">
        <f t="shared" si="11"/>
        <v>42479</v>
      </c>
      <c r="R32" s="191">
        <v>9.5000000000000001E-2</v>
      </c>
      <c r="S32" s="192" t="s">
        <v>311</v>
      </c>
    </row>
    <row r="33" spans="1:19" s="187" customFormat="1" ht="17.25" customHeight="1">
      <c r="A33" s="181">
        <f t="shared" si="10"/>
        <v>7</v>
      </c>
      <c r="B33" s="188" t="s">
        <v>317</v>
      </c>
      <c r="C33" s="212">
        <v>42088</v>
      </c>
      <c r="D33" s="189">
        <v>46253</v>
      </c>
      <c r="E33" s="213">
        <v>2000000000</v>
      </c>
      <c r="F33" s="214"/>
      <c r="G33" s="213"/>
      <c r="H33" s="189">
        <v>42632</v>
      </c>
      <c r="I33" s="213">
        <v>16670000</v>
      </c>
      <c r="J33" s="214"/>
      <c r="K33" s="213">
        <f t="shared" si="6"/>
        <v>1983330000</v>
      </c>
      <c r="L33" s="214"/>
      <c r="M33" s="190">
        <f t="shared" si="7"/>
        <v>15833333.333333334</v>
      </c>
      <c r="N33" s="214"/>
      <c r="O33" s="162">
        <f t="shared" si="8"/>
        <v>0</v>
      </c>
      <c r="P33" s="162">
        <f t="shared" si="9"/>
        <v>0</v>
      </c>
      <c r="Q33" s="210">
        <f t="shared" si="11"/>
        <v>42479</v>
      </c>
      <c r="R33" s="191">
        <v>9.5000000000000001E-2</v>
      </c>
      <c r="S33" s="192" t="s">
        <v>311</v>
      </c>
    </row>
    <row r="34" spans="1:19" s="187" customFormat="1" ht="17.25" customHeight="1">
      <c r="A34" s="181">
        <f t="shared" si="10"/>
        <v>8</v>
      </c>
      <c r="B34" s="188" t="s">
        <v>318</v>
      </c>
      <c r="C34" s="212">
        <v>42114</v>
      </c>
      <c r="D34" s="189">
        <v>46253</v>
      </c>
      <c r="E34" s="213">
        <v>1400000000</v>
      </c>
      <c r="F34" s="214"/>
      <c r="G34" s="213"/>
      <c r="H34" s="212">
        <v>42632</v>
      </c>
      <c r="I34" s="213">
        <v>11670000</v>
      </c>
      <c r="J34" s="214"/>
      <c r="K34" s="213">
        <f t="shared" si="6"/>
        <v>1388330000</v>
      </c>
      <c r="L34" s="214"/>
      <c r="M34" s="190">
        <f t="shared" si="7"/>
        <v>11083333.333333334</v>
      </c>
      <c r="N34" s="214"/>
      <c r="O34" s="162">
        <f t="shared" si="8"/>
        <v>0</v>
      </c>
      <c r="P34" s="162">
        <f t="shared" si="9"/>
        <v>0</v>
      </c>
      <c r="Q34" s="210">
        <f t="shared" si="11"/>
        <v>42479</v>
      </c>
      <c r="R34" s="191">
        <v>9.5000000000000001E-2</v>
      </c>
      <c r="S34" s="192" t="s">
        <v>311</v>
      </c>
    </row>
    <row r="35" spans="1:19" s="187" customFormat="1" ht="17.25" customHeight="1">
      <c r="A35" s="181">
        <f t="shared" si="10"/>
        <v>9</v>
      </c>
      <c r="B35" s="188" t="s">
        <v>319</v>
      </c>
      <c r="C35" s="212">
        <v>42138</v>
      </c>
      <c r="D35" s="189">
        <v>46253</v>
      </c>
      <c r="E35" s="213">
        <v>1500000000</v>
      </c>
      <c r="F35" s="214"/>
      <c r="G35" s="213"/>
      <c r="H35" s="212">
        <v>42632</v>
      </c>
      <c r="I35" s="213">
        <v>12500000</v>
      </c>
      <c r="J35" s="214"/>
      <c r="K35" s="213">
        <f t="shared" si="6"/>
        <v>1487500000</v>
      </c>
      <c r="L35" s="214"/>
      <c r="M35" s="190">
        <f t="shared" si="7"/>
        <v>11875000</v>
      </c>
      <c r="N35" s="214"/>
      <c r="O35" s="162">
        <f t="shared" si="8"/>
        <v>0</v>
      </c>
      <c r="P35" s="162">
        <f t="shared" si="9"/>
        <v>0</v>
      </c>
      <c r="Q35" s="210">
        <f t="shared" si="11"/>
        <v>42479</v>
      </c>
      <c r="R35" s="191">
        <v>9.5000000000000001E-2</v>
      </c>
      <c r="S35" s="192" t="s">
        <v>311</v>
      </c>
    </row>
    <row r="36" spans="1:19" s="187" customFormat="1" ht="17.25" customHeight="1">
      <c r="A36" s="181">
        <f t="shared" si="10"/>
        <v>10</v>
      </c>
      <c r="B36" s="188" t="s">
        <v>320</v>
      </c>
      <c r="C36" s="212">
        <v>42164</v>
      </c>
      <c r="D36" s="189">
        <v>46253</v>
      </c>
      <c r="E36" s="213">
        <v>1500000000</v>
      </c>
      <c r="F36" s="214"/>
      <c r="G36" s="213"/>
      <c r="H36" s="212">
        <v>42632</v>
      </c>
      <c r="I36" s="213">
        <v>12500000</v>
      </c>
      <c r="J36" s="214"/>
      <c r="K36" s="213">
        <f t="shared" si="6"/>
        <v>1487500000</v>
      </c>
      <c r="L36" s="214"/>
      <c r="M36" s="190">
        <f t="shared" si="7"/>
        <v>11875000</v>
      </c>
      <c r="N36" s="214"/>
      <c r="O36" s="162">
        <f t="shared" si="8"/>
        <v>0</v>
      </c>
      <c r="P36" s="162">
        <f t="shared" si="9"/>
        <v>0</v>
      </c>
      <c r="Q36" s="210">
        <f t="shared" si="11"/>
        <v>42479</v>
      </c>
      <c r="R36" s="191">
        <v>9.5000000000000001E-2</v>
      </c>
      <c r="S36" s="192" t="s">
        <v>311</v>
      </c>
    </row>
    <row r="37" spans="1:19" s="187" customFormat="1" ht="17.25" customHeight="1">
      <c r="A37" s="181">
        <f t="shared" si="10"/>
        <v>11</v>
      </c>
      <c r="B37" s="188" t="s">
        <v>321</v>
      </c>
      <c r="C37" s="212">
        <v>42187</v>
      </c>
      <c r="D37" s="189">
        <v>46253</v>
      </c>
      <c r="E37" s="213">
        <v>1500000000</v>
      </c>
      <c r="F37" s="214"/>
      <c r="G37" s="213"/>
      <c r="H37" s="212">
        <v>42632</v>
      </c>
      <c r="I37" s="213">
        <v>12500000</v>
      </c>
      <c r="J37" s="214"/>
      <c r="K37" s="213">
        <f t="shared" si="6"/>
        <v>1487500000</v>
      </c>
      <c r="L37" s="214"/>
      <c r="M37" s="190">
        <f t="shared" si="7"/>
        <v>11875000</v>
      </c>
      <c r="N37" s="214"/>
      <c r="O37" s="162">
        <f t="shared" si="8"/>
        <v>0</v>
      </c>
      <c r="P37" s="162">
        <f t="shared" si="9"/>
        <v>0</v>
      </c>
      <c r="Q37" s="210">
        <f t="shared" si="11"/>
        <v>42479</v>
      </c>
      <c r="R37" s="191">
        <v>9.5000000000000001E-2</v>
      </c>
      <c r="S37" s="192" t="s">
        <v>311</v>
      </c>
    </row>
    <row r="38" spans="1:19" s="187" customFormat="1" ht="17.25" customHeight="1">
      <c r="A38" s="181">
        <f t="shared" si="10"/>
        <v>12</v>
      </c>
      <c r="B38" s="188" t="s">
        <v>322</v>
      </c>
      <c r="C38" s="212">
        <v>42195</v>
      </c>
      <c r="D38" s="189">
        <v>46253</v>
      </c>
      <c r="E38" s="213">
        <v>1500000000</v>
      </c>
      <c r="F38" s="214"/>
      <c r="G38" s="213"/>
      <c r="H38" s="212">
        <v>42632</v>
      </c>
      <c r="I38" s="213">
        <v>12500000</v>
      </c>
      <c r="J38" s="214"/>
      <c r="K38" s="213">
        <f t="shared" si="6"/>
        <v>1487500000</v>
      </c>
      <c r="L38" s="214"/>
      <c r="M38" s="190">
        <f t="shared" si="7"/>
        <v>11875000</v>
      </c>
      <c r="N38" s="214"/>
      <c r="O38" s="162">
        <f t="shared" si="8"/>
        <v>0</v>
      </c>
      <c r="P38" s="162">
        <f t="shared" si="9"/>
        <v>0</v>
      </c>
      <c r="Q38" s="210">
        <f t="shared" si="11"/>
        <v>42479</v>
      </c>
      <c r="R38" s="191">
        <v>9.5000000000000001E-2</v>
      </c>
      <c r="S38" s="192" t="s">
        <v>311</v>
      </c>
    </row>
    <row r="39" spans="1:19" s="187" customFormat="1" ht="17.25" customHeight="1">
      <c r="A39" s="181">
        <f t="shared" si="10"/>
        <v>13</v>
      </c>
      <c r="B39" s="188" t="s">
        <v>323</v>
      </c>
      <c r="C39" s="212">
        <v>42215</v>
      </c>
      <c r="D39" s="189">
        <v>46253</v>
      </c>
      <c r="E39" s="213">
        <v>1000000000</v>
      </c>
      <c r="F39" s="214"/>
      <c r="G39" s="213"/>
      <c r="H39" s="212">
        <v>42632</v>
      </c>
      <c r="I39" s="213">
        <v>8330000</v>
      </c>
      <c r="J39" s="214"/>
      <c r="K39" s="213">
        <f t="shared" si="6"/>
        <v>991670000</v>
      </c>
      <c r="L39" s="214"/>
      <c r="M39" s="190">
        <f t="shared" si="7"/>
        <v>7916666.666666667</v>
      </c>
      <c r="N39" s="214"/>
      <c r="O39" s="162">
        <f t="shared" si="8"/>
        <v>0</v>
      </c>
      <c r="P39" s="162">
        <f t="shared" si="9"/>
        <v>0</v>
      </c>
      <c r="Q39" s="210">
        <f t="shared" si="11"/>
        <v>42479</v>
      </c>
      <c r="R39" s="191">
        <v>9.5000000000000001E-2</v>
      </c>
      <c r="S39" s="192" t="s">
        <v>311</v>
      </c>
    </row>
    <row r="40" spans="1:19" s="187" customFormat="1" ht="17.25" customHeight="1">
      <c r="A40" s="181">
        <f t="shared" si="10"/>
        <v>14</v>
      </c>
      <c r="B40" s="188" t="s">
        <v>324</v>
      </c>
      <c r="C40" s="212">
        <v>42229</v>
      </c>
      <c r="D40" s="189">
        <v>46253</v>
      </c>
      <c r="E40" s="213">
        <v>1000000000</v>
      </c>
      <c r="F40" s="214"/>
      <c r="G40" s="213"/>
      <c r="H40" s="212">
        <v>42632</v>
      </c>
      <c r="I40" s="213">
        <v>8330000</v>
      </c>
      <c r="J40" s="214"/>
      <c r="K40" s="213">
        <f t="shared" si="6"/>
        <v>991670000</v>
      </c>
      <c r="L40" s="214"/>
      <c r="M40" s="190">
        <f t="shared" si="7"/>
        <v>7916666.666666667</v>
      </c>
      <c r="N40" s="214"/>
      <c r="O40" s="162">
        <f t="shared" si="8"/>
        <v>0</v>
      </c>
      <c r="P40" s="162">
        <f t="shared" si="9"/>
        <v>0</v>
      </c>
      <c r="Q40" s="210">
        <f t="shared" si="11"/>
        <v>42479</v>
      </c>
      <c r="R40" s="191">
        <v>9.5000000000000001E-2</v>
      </c>
      <c r="S40" s="192" t="s">
        <v>311</v>
      </c>
    </row>
    <row r="41" spans="1:19" s="187" customFormat="1" ht="17.25" customHeight="1">
      <c r="A41" s="181">
        <f t="shared" si="10"/>
        <v>15</v>
      </c>
      <c r="B41" s="188" t="s">
        <v>325</v>
      </c>
      <c r="C41" s="212">
        <v>42362</v>
      </c>
      <c r="D41" s="212">
        <v>42545</v>
      </c>
      <c r="E41" s="213"/>
      <c r="F41" s="214">
        <v>88000</v>
      </c>
      <c r="G41" s="213"/>
      <c r="H41" s="212"/>
      <c r="I41" s="213"/>
      <c r="J41" s="214"/>
      <c r="K41" s="213">
        <f t="shared" si="6"/>
        <v>0</v>
      </c>
      <c r="L41" s="214">
        <f>F41</f>
        <v>88000</v>
      </c>
      <c r="M41" s="190">
        <f t="shared" si="7"/>
        <v>0</v>
      </c>
      <c r="N41" s="214"/>
      <c r="O41" s="162">
        <f>IF((LEFT(B41,4)="1402"),F41*R41*DATEDIF(Q41,O$1,"d")/360,0)</f>
        <v>293.33333333333331</v>
      </c>
      <c r="P41" s="162">
        <f t="shared" si="9"/>
        <v>0</v>
      </c>
      <c r="Q41" s="210">
        <f>DATEVALUE("16/"&amp;(MONTH($P$1)-1)&amp;"/16")</f>
        <v>42476</v>
      </c>
      <c r="R41" s="191">
        <v>0.04</v>
      </c>
      <c r="S41" s="192"/>
    </row>
    <row r="42" spans="1:19" s="187" customFormat="1" ht="17.25" hidden="1" customHeight="1">
      <c r="A42" s="181"/>
      <c r="B42" s="188"/>
      <c r="C42" s="212"/>
      <c r="D42" s="212"/>
      <c r="E42" s="213"/>
      <c r="F42" s="214"/>
      <c r="G42" s="213"/>
      <c r="H42" s="212"/>
      <c r="I42" s="213"/>
      <c r="J42" s="214"/>
      <c r="K42" s="213"/>
      <c r="L42" s="214"/>
      <c r="M42" s="213"/>
      <c r="N42" s="214"/>
      <c r="O42" s="214"/>
      <c r="P42" s="214"/>
      <c r="Q42" s="210"/>
      <c r="R42" s="191"/>
      <c r="S42" s="192"/>
    </row>
    <row r="43" spans="1:19" s="155" customFormat="1" ht="17.25" customHeight="1">
      <c r="A43" s="145"/>
      <c r="B43" s="157"/>
      <c r="C43" s="202"/>
      <c r="D43" s="202"/>
      <c r="E43" s="204"/>
      <c r="F43" s="203"/>
      <c r="G43" s="204"/>
      <c r="H43" s="202"/>
      <c r="I43" s="204"/>
      <c r="J43" s="203"/>
      <c r="K43" s="204"/>
      <c r="L43" s="203"/>
      <c r="M43" s="204"/>
      <c r="N43" s="203"/>
      <c r="O43" s="203"/>
      <c r="P43" s="203"/>
      <c r="Q43" s="147"/>
      <c r="R43" s="201"/>
      <c r="S43" s="164"/>
    </row>
    <row r="44" spans="1:19" s="209" customFormat="1" ht="17.25" customHeight="1">
      <c r="A44" s="261" t="s">
        <v>326</v>
      </c>
      <c r="B44" s="261"/>
      <c r="C44" s="206"/>
      <c r="D44" s="206"/>
      <c r="E44" s="176">
        <f>SUM(E27:E43)</f>
        <v>20000000000</v>
      </c>
      <c r="F44" s="177">
        <f>SUM(F27:F43)</f>
        <v>88000</v>
      </c>
      <c r="G44" s="176">
        <f>SUM(G27:G43)</f>
        <v>3045865000</v>
      </c>
      <c r="H44" s="177"/>
      <c r="I44" s="176">
        <f t="shared" ref="I44:P44" si="12">SUM(I27:I43)</f>
        <v>166680000</v>
      </c>
      <c r="J44" s="177">
        <f t="shared" si="12"/>
        <v>0</v>
      </c>
      <c r="K44" s="176">
        <f t="shared" si="12"/>
        <v>19833320000</v>
      </c>
      <c r="L44" s="177">
        <f t="shared" si="12"/>
        <v>88000</v>
      </c>
      <c r="M44" s="176">
        <f t="shared" si="12"/>
        <v>158333333.33333331</v>
      </c>
      <c r="N44" s="177">
        <f t="shared" si="12"/>
        <v>0</v>
      </c>
      <c r="O44" s="177">
        <f t="shared" si="12"/>
        <v>293.33333333333331</v>
      </c>
      <c r="P44" s="177">
        <f t="shared" si="12"/>
        <v>0</v>
      </c>
      <c r="Q44" s="207"/>
      <c r="R44" s="208"/>
      <c r="S44" s="179"/>
    </row>
    <row r="45" spans="1:19" ht="17.25" customHeight="1">
      <c r="F45" s="219"/>
    </row>
    <row r="46" spans="1:19" ht="17.25" customHeight="1">
      <c r="F46" s="216"/>
    </row>
    <row r="47" spans="1:19" ht="17.25" customHeight="1">
      <c r="F47" s="216"/>
    </row>
    <row r="48" spans="1:19" ht="17.25" customHeight="1">
      <c r="F48" s="216"/>
    </row>
    <row r="50" spans="1:19" ht="17.25" customHeight="1">
      <c r="F50" s="219"/>
    </row>
    <row r="58" spans="1:19" s="224" customFormat="1" ht="17.25" customHeight="1">
      <c r="A58" s="215"/>
      <c r="B58" s="216"/>
      <c r="C58" s="217"/>
      <c r="D58" s="217"/>
      <c r="E58" s="218"/>
      <c r="F58" s="222"/>
      <c r="G58" s="218"/>
      <c r="H58" s="220"/>
      <c r="I58" s="221"/>
      <c r="J58" s="221"/>
      <c r="K58" s="218"/>
      <c r="L58" s="222"/>
      <c r="M58" s="226"/>
      <c r="N58" s="226"/>
      <c r="O58" s="226"/>
      <c r="Q58" s="225"/>
      <c r="R58" s="225"/>
      <c r="S58" s="215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0.5703125" style="222" customWidth="1"/>
    <col min="7" max="7" width="13.42578125" style="218" hidden="1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9.42578125" style="223" hidden="1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>
        <v>42540</v>
      </c>
      <c r="N1" s="132"/>
      <c r="O1" s="132">
        <v>42537</v>
      </c>
      <c r="P1" s="132">
        <v>42527</v>
      </c>
      <c r="Q1" s="132">
        <v>42539</v>
      </c>
      <c r="R1" s="133"/>
      <c r="S1" s="124"/>
    </row>
    <row r="2" spans="1:20" s="135" customFormat="1" ht="16.5" customHeight="1">
      <c r="A2" s="264" t="s">
        <v>264</v>
      </c>
      <c r="B2" s="264" t="s">
        <v>265</v>
      </c>
      <c r="C2" s="266" t="s">
        <v>266</v>
      </c>
      <c r="D2" s="266"/>
      <c r="E2" s="267" t="s">
        <v>267</v>
      </c>
      <c r="F2" s="267"/>
      <c r="G2" s="267"/>
      <c r="H2" s="268" t="s">
        <v>268</v>
      </c>
      <c r="I2" s="268"/>
      <c r="J2" s="268"/>
      <c r="K2" s="269" t="s">
        <v>269</v>
      </c>
      <c r="L2" s="269"/>
      <c r="M2" s="262" t="s">
        <v>270</v>
      </c>
      <c r="N2" s="262"/>
      <c r="O2" s="262"/>
      <c r="P2" s="262"/>
      <c r="Q2" s="262"/>
      <c r="R2" s="263" t="s">
        <v>271</v>
      </c>
      <c r="S2" s="264" t="s">
        <v>272</v>
      </c>
    </row>
    <row r="3" spans="1:20" s="135" customFormat="1" ht="33" customHeight="1">
      <c r="A3" s="264"/>
      <c r="B3" s="264"/>
      <c r="C3" s="136" t="s">
        <v>273</v>
      </c>
      <c r="D3" s="136" t="s">
        <v>274</v>
      </c>
      <c r="E3" s="137" t="s">
        <v>275</v>
      </c>
      <c r="F3" s="138" t="s">
        <v>28</v>
      </c>
      <c r="G3" s="137" t="s">
        <v>276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143" t="s">
        <v>278</v>
      </c>
      <c r="Q3" s="144" t="s">
        <v>282</v>
      </c>
      <c r="R3" s="263"/>
      <c r="S3" s="264"/>
    </row>
    <row r="4" spans="1:20" s="155" customFormat="1" ht="17.25" customHeight="1">
      <c r="A4" s="145">
        <f>ROW()-3</f>
        <v>1</v>
      </c>
      <c r="B4" s="146" t="s">
        <v>283</v>
      </c>
      <c r="C4" s="147">
        <v>40200</v>
      </c>
      <c r="D4" s="147">
        <v>42649</v>
      </c>
      <c r="E4" s="148"/>
      <c r="F4" s="148">
        <v>13915</v>
      </c>
      <c r="G4" s="149"/>
      <c r="H4" s="147">
        <v>42649</v>
      </c>
      <c r="I4" s="150"/>
      <c r="J4" s="151">
        <v>13915</v>
      </c>
      <c r="K4" s="148"/>
      <c r="L4" s="148">
        <f>F4-J4</f>
        <v>0</v>
      </c>
      <c r="M4" s="152"/>
      <c r="N4" s="152"/>
      <c r="O4" s="152">
        <f>IF((LEFT(B4,4)="1402"),E4*Q4*DATEDIF(P4,$P$1,"d")/360,0)</f>
        <v>0</v>
      </c>
      <c r="P4" s="152">
        <f>IF((LEFT(B4,4)="1015"),F4*R4*DATEDIF(Q4,$P$1,"d")/360,0)</f>
        <v>53.920625000000001</v>
      </c>
      <c r="Q4" s="147">
        <f>DATEVALUE("6/"&amp;(MONTH($P$1)-1)&amp;"/16")</f>
        <v>42496</v>
      </c>
      <c r="R4" s="153">
        <v>4.4999999999999998E-2</v>
      </c>
      <c r="S4" s="154" t="s">
        <v>284</v>
      </c>
    </row>
    <row r="5" spans="1:20" s="155" customFormat="1" ht="17.25" customHeight="1">
      <c r="A5" s="156">
        <f>ROW()-3</f>
        <v>2</v>
      </c>
      <c r="B5" s="157" t="s">
        <v>285</v>
      </c>
      <c r="C5" s="158">
        <v>40234</v>
      </c>
      <c r="D5" s="158">
        <v>42649</v>
      </c>
      <c r="E5" s="159"/>
      <c r="F5" s="159">
        <v>33319.39</v>
      </c>
      <c r="G5" s="160"/>
      <c r="H5" s="147">
        <v>42649</v>
      </c>
      <c r="I5" s="161"/>
      <c r="J5" s="162">
        <v>33319.39</v>
      </c>
      <c r="K5" s="159"/>
      <c r="L5" s="159">
        <f>F5-J5</f>
        <v>0</v>
      </c>
      <c r="M5" s="163"/>
      <c r="N5" s="163"/>
      <c r="O5" s="163">
        <f>IF((LEFT(B5,4)="1402"),E5*Q5*DATEDIF(P5,$P$1,"d")/360,0)</f>
        <v>0</v>
      </c>
      <c r="P5" s="163">
        <f>IF((LEFT(B5,4)="1015"),F5*R5*DATEDIF(Q5,$P$1,"d")/360,0)</f>
        <v>129.11263624999998</v>
      </c>
      <c r="Q5" s="147">
        <f t="shared" ref="Q5:Q7" si="0">DATEVALUE("6/"&amp;(MONTH($P$1)-1)&amp;"/16")</f>
        <v>42496</v>
      </c>
      <c r="R5" s="153">
        <v>4.4999999999999998E-2</v>
      </c>
      <c r="S5" s="164" t="s">
        <v>284</v>
      </c>
    </row>
    <row r="6" spans="1:20" s="155" customFormat="1" ht="17.25" customHeight="1">
      <c r="A6" s="156">
        <f>ROW()-3</f>
        <v>3</v>
      </c>
      <c r="B6" s="157" t="s">
        <v>286</v>
      </c>
      <c r="C6" s="158">
        <v>40234</v>
      </c>
      <c r="D6" s="158">
        <v>42649</v>
      </c>
      <c r="E6" s="159"/>
      <c r="F6" s="159">
        <v>20515.96</v>
      </c>
      <c r="G6" s="160"/>
      <c r="H6" s="147">
        <v>42649</v>
      </c>
      <c r="I6" s="161"/>
      <c r="J6" s="162">
        <v>20515.96</v>
      </c>
      <c r="K6" s="159"/>
      <c r="L6" s="159">
        <f>F6-J6</f>
        <v>0</v>
      </c>
      <c r="M6" s="163"/>
      <c r="N6" s="163"/>
      <c r="O6" s="163">
        <f>IF((LEFT(B6,4)="1402"),E6*Q6*DATEDIF(P6,$P$1,"d")/360,0)</f>
        <v>0</v>
      </c>
      <c r="P6" s="163">
        <f>IF((LEFT(B6,4)="1015"),F6*R6*DATEDIF(Q6,$P$1,"d")/360,0)</f>
        <v>79.499344999999991</v>
      </c>
      <c r="Q6" s="147">
        <f t="shared" si="0"/>
        <v>42496</v>
      </c>
      <c r="R6" s="153">
        <v>4.4999999999999998E-2</v>
      </c>
      <c r="S6" s="164" t="s">
        <v>284</v>
      </c>
    </row>
    <row r="7" spans="1:20" s="155" customFormat="1" ht="17.25" customHeight="1">
      <c r="A7" s="156">
        <f>ROW()-3</f>
        <v>4</v>
      </c>
      <c r="B7" s="157" t="s">
        <v>287</v>
      </c>
      <c r="C7" s="158">
        <v>40234</v>
      </c>
      <c r="D7" s="158">
        <v>42649</v>
      </c>
      <c r="E7" s="159"/>
      <c r="F7" s="159">
        <v>28719.379999999997</v>
      </c>
      <c r="G7" s="160"/>
      <c r="H7" s="147">
        <v>42649</v>
      </c>
      <c r="I7" s="161"/>
      <c r="J7" s="162">
        <v>28719.379999999997</v>
      </c>
      <c r="K7" s="159"/>
      <c r="L7" s="159">
        <f>F7-J7</f>
        <v>0</v>
      </c>
      <c r="M7" s="163"/>
      <c r="N7" s="163"/>
      <c r="O7" s="163">
        <f>IF((LEFT(B7,4)="1402"),E7*Q7*DATEDIF(P7,$P$1,"d")/360,0)</f>
        <v>0</v>
      </c>
      <c r="P7" s="163">
        <f>IF((LEFT(B7,4)="1015"),F7*R7*DATEDIF(Q7,$P$1,"d")/360,0)</f>
        <v>111.28759749999998</v>
      </c>
      <c r="Q7" s="147">
        <f t="shared" si="0"/>
        <v>42496</v>
      </c>
      <c r="R7" s="153">
        <v>4.4999999999999998E-2</v>
      </c>
      <c r="S7" s="164" t="s">
        <v>284</v>
      </c>
    </row>
    <row r="8" spans="1:20" s="155" customFormat="1" ht="17.25" customHeight="1">
      <c r="A8" s="165"/>
      <c r="B8" s="166"/>
      <c r="C8" s="167"/>
      <c r="D8" s="167"/>
      <c r="E8" s="168"/>
      <c r="F8" s="168"/>
      <c r="G8" s="169"/>
      <c r="H8" s="167"/>
      <c r="I8" s="170"/>
      <c r="J8" s="171"/>
      <c r="K8" s="168"/>
      <c r="L8" s="168"/>
      <c r="M8" s="172"/>
      <c r="N8" s="172"/>
      <c r="O8" s="172"/>
      <c r="P8" s="172"/>
      <c r="Q8" s="167"/>
      <c r="R8" s="173"/>
      <c r="S8" s="174"/>
    </row>
    <row r="9" spans="1:20" s="180" customFormat="1" ht="17.25" customHeight="1">
      <c r="A9" s="265" t="s">
        <v>288</v>
      </c>
      <c r="B9" s="265"/>
      <c r="C9" s="175"/>
      <c r="D9" s="175"/>
      <c r="E9" s="176"/>
      <c r="F9" s="177">
        <f>SUM(F4:F8)</f>
        <v>96469.73000000001</v>
      </c>
      <c r="G9" s="176">
        <f>SUM(G4:G7)</f>
        <v>0</v>
      </c>
      <c r="H9" s="177"/>
      <c r="I9" s="176"/>
      <c r="J9" s="177">
        <f>SUM(J4:J7)</f>
        <v>96469.73000000001</v>
      </c>
      <c r="K9" s="176"/>
      <c r="L9" s="177">
        <f>SUM(L4:L7)</f>
        <v>0</v>
      </c>
      <c r="M9" s="176"/>
      <c r="N9" s="176">
        <f>SUM(N4:N7)</f>
        <v>0</v>
      </c>
      <c r="O9" s="176">
        <f>SUM(O4:O7)</f>
        <v>0</v>
      </c>
      <c r="P9" s="177">
        <f>SUM(P4:P7)</f>
        <v>373.82020374999991</v>
      </c>
      <c r="Q9" s="175"/>
      <c r="R9" s="178"/>
      <c r="S9" s="179"/>
    </row>
    <row r="10" spans="1:20" s="187" customFormat="1" ht="17.25" customHeight="1">
      <c r="A10" s="181">
        <f>ROW()-9</f>
        <v>1</v>
      </c>
      <c r="B10" s="188" t="s">
        <v>293</v>
      </c>
      <c r="C10" s="189">
        <v>42363</v>
      </c>
      <c r="D10" s="189">
        <v>42546</v>
      </c>
      <c r="E10" s="162"/>
      <c r="F10" s="162">
        <v>43000</v>
      </c>
      <c r="G10" s="190">
        <v>926064000</v>
      </c>
      <c r="H10" s="189"/>
      <c r="I10" s="162"/>
      <c r="J10" s="162"/>
      <c r="K10" s="151"/>
      <c r="L10" s="151">
        <f>F10-J10</f>
        <v>43000</v>
      </c>
      <c r="M10" s="162"/>
      <c r="N10" s="162"/>
      <c r="O10" s="162">
        <f>IF((LEFT(B10,4)="1402"),F10*R10*DATEDIF(Q10,O$1,"d")/360,0)</f>
        <v>148.11111111111111</v>
      </c>
      <c r="P10" s="162">
        <f>IF((LEFT(B10,4)="1015"),F10*R10*DATEDIF(Q10,Q$1,"d")/360,0)</f>
        <v>0</v>
      </c>
      <c r="Q10" s="147">
        <f>DATEVALUE("16/"&amp;(MONTH($P$1)-1)&amp;"/16")</f>
        <v>42506</v>
      </c>
      <c r="R10" s="191">
        <v>0.04</v>
      </c>
      <c r="S10" s="192" t="s">
        <v>290</v>
      </c>
      <c r="T10" s="155"/>
    </row>
    <row r="11" spans="1:20" s="187" customFormat="1" ht="17.25" customHeight="1">
      <c r="A11" s="181">
        <f>ROW()-9</f>
        <v>2</v>
      </c>
      <c r="B11" s="188" t="s">
        <v>294</v>
      </c>
      <c r="C11" s="189">
        <v>42398</v>
      </c>
      <c r="D11" s="189">
        <v>42580</v>
      </c>
      <c r="E11" s="162"/>
      <c r="F11" s="162">
        <v>52300</v>
      </c>
      <c r="G11" s="190">
        <v>1151700000</v>
      </c>
      <c r="H11" s="189"/>
      <c r="I11" s="162"/>
      <c r="J11" s="162"/>
      <c r="K11" s="151"/>
      <c r="L11" s="151">
        <f>F11-J11</f>
        <v>52300</v>
      </c>
      <c r="M11" s="162"/>
      <c r="N11" s="162"/>
      <c r="O11" s="162">
        <f>IF((LEFT(B11,4)="1402"),F11*R11*DATEDIF(Q11,O$1,"d")/360,0)</f>
        <v>180.14444444444445</v>
      </c>
      <c r="P11" s="162">
        <f>IF((LEFT(B11,4)="1015"),F11*R11*DATEDIF(Q11,Q$1,"d")/360,0)</f>
        <v>0</v>
      </c>
      <c r="Q11" s="147">
        <f>DATEVALUE("16/"&amp;(MONTH($P$1)-1)&amp;"/16")</f>
        <v>42506</v>
      </c>
      <c r="R11" s="191">
        <v>0.04</v>
      </c>
      <c r="S11" s="192" t="s">
        <v>295</v>
      </c>
      <c r="T11" s="155"/>
    </row>
    <row r="12" spans="1:20" s="155" customFormat="1" ht="17.25" customHeight="1">
      <c r="A12" s="181">
        <f>ROW()-9</f>
        <v>3</v>
      </c>
      <c r="B12" s="188" t="s">
        <v>327</v>
      </c>
      <c r="C12" s="189">
        <v>42529</v>
      </c>
      <c r="D12" s="189">
        <v>42712</v>
      </c>
      <c r="E12" s="162"/>
      <c r="F12" s="162">
        <v>95000</v>
      </c>
      <c r="G12" s="190">
        <v>1737190000</v>
      </c>
      <c r="H12" s="189"/>
      <c r="I12" s="162"/>
      <c r="J12" s="162"/>
      <c r="K12" s="151"/>
      <c r="L12" s="151">
        <f>F12-J12</f>
        <v>95000</v>
      </c>
      <c r="M12" s="162"/>
      <c r="N12" s="162"/>
      <c r="O12" s="162">
        <f>IF((LEFT(B12,4)="1402"),F12*R12*DATEDIF(Q12,O$1,"d")/360,0)</f>
        <v>327.22222222222223</v>
      </c>
      <c r="P12" s="162">
        <f>IF((LEFT(B12,4)="1015"),F12*R12*DATEDIF(Q12,Q$1,"d")/360,0)</f>
        <v>0</v>
      </c>
      <c r="Q12" s="147">
        <f>DATEVALUE("16/"&amp;(MONTH($P$1)-1)&amp;"/16")</f>
        <v>42506</v>
      </c>
      <c r="R12" s="191">
        <v>0.04</v>
      </c>
      <c r="S12" s="192" t="s">
        <v>290</v>
      </c>
    </row>
    <row r="13" spans="1:20" s="155" customFormat="1" ht="17.25" customHeight="1">
      <c r="A13" s="181">
        <f>ROW()-9</f>
        <v>4</v>
      </c>
      <c r="B13" s="182" t="s">
        <v>328</v>
      </c>
      <c r="C13" s="189">
        <v>42529</v>
      </c>
      <c r="D13" s="189">
        <v>42712</v>
      </c>
      <c r="E13" s="162"/>
      <c r="F13" s="162">
        <v>70900</v>
      </c>
      <c r="G13" s="190">
        <v>1737190000</v>
      </c>
      <c r="H13" s="189"/>
      <c r="I13" s="162"/>
      <c r="J13" s="162"/>
      <c r="K13" s="151"/>
      <c r="L13" s="151">
        <f>F13-J13</f>
        <v>70900</v>
      </c>
      <c r="M13" s="162"/>
      <c r="N13" s="162"/>
      <c r="O13" s="162">
        <f>IF((LEFT(B13,4)="1402"),F13*R13*DATEDIF(Q13,O$1,"d")/360,0)</f>
        <v>244.21111111111111</v>
      </c>
      <c r="P13" s="162">
        <f>IF((LEFT(B13,4)="1015"),F13*R13*DATEDIF(Q13,Q$1,"d")/360,0)</f>
        <v>0</v>
      </c>
      <c r="Q13" s="147">
        <f>DATEVALUE("16/"&amp;(MONTH($P$1)-1)&amp;"/16")</f>
        <v>42506</v>
      </c>
      <c r="R13" s="191">
        <v>0.04</v>
      </c>
      <c r="S13" s="192" t="s">
        <v>290</v>
      </c>
    </row>
    <row r="14" spans="1:20" s="155" customFormat="1" ht="17.25" customHeight="1">
      <c r="A14" s="193"/>
      <c r="B14" s="194"/>
      <c r="C14" s="195"/>
      <c r="D14" s="195"/>
      <c r="E14" s="196"/>
      <c r="F14" s="196"/>
      <c r="G14" s="197"/>
      <c r="H14" s="195"/>
      <c r="I14" s="196"/>
      <c r="J14" s="196"/>
      <c r="K14" s="196"/>
      <c r="L14" s="196"/>
      <c r="M14" s="196"/>
      <c r="N14" s="196"/>
      <c r="O14" s="196"/>
      <c r="P14" s="196"/>
      <c r="Q14" s="198"/>
      <c r="R14" s="199"/>
      <c r="S14" s="200"/>
    </row>
    <row r="15" spans="1:20" s="180" customFormat="1" ht="17.25" customHeight="1">
      <c r="A15" s="265" t="s">
        <v>296</v>
      </c>
      <c r="B15" s="265"/>
      <c r="C15" s="175"/>
      <c r="D15" s="175"/>
      <c r="E15" s="176"/>
      <c r="F15" s="177">
        <f>SUM(F10:F14)</f>
        <v>261200</v>
      </c>
      <c r="G15" s="176">
        <f>SUM(G9:G12)</f>
        <v>3814954000</v>
      </c>
      <c r="H15" s="177"/>
      <c r="I15" s="176"/>
      <c r="J15" s="177">
        <f>SUM(J10:J14)</f>
        <v>0</v>
      </c>
      <c r="K15" s="176"/>
      <c r="L15" s="177">
        <f>SUM(L10:L14)</f>
        <v>261200</v>
      </c>
      <c r="M15" s="176"/>
      <c r="N15" s="176">
        <f>SUM(N9:N12)</f>
        <v>0</v>
      </c>
      <c r="O15" s="177">
        <f>SUM(O10:O14)</f>
        <v>899.68888888888898</v>
      </c>
      <c r="P15" s="177">
        <f>SUM(P10:P14)</f>
        <v>0</v>
      </c>
      <c r="Q15" s="175"/>
      <c r="R15" s="178"/>
      <c r="S15" s="179"/>
    </row>
    <row r="16" spans="1:20" s="155" customFormat="1" ht="17.25" customHeight="1">
      <c r="A16" s="181">
        <f>ROW()-15</f>
        <v>1</v>
      </c>
      <c r="B16" s="157" t="s">
        <v>297</v>
      </c>
      <c r="C16" s="158">
        <v>42278</v>
      </c>
      <c r="D16" s="158">
        <v>42552</v>
      </c>
      <c r="E16" s="159"/>
      <c r="F16" s="159">
        <v>89500</v>
      </c>
      <c r="G16" s="160">
        <v>1894165000</v>
      </c>
      <c r="H16" s="158"/>
      <c r="I16" s="159"/>
      <c r="J16" s="159"/>
      <c r="K16" s="151"/>
      <c r="L16" s="148">
        <f t="shared" ref="L16:L23" si="1">F16-J16</f>
        <v>89500</v>
      </c>
      <c r="M16" s="159"/>
      <c r="N16" s="159"/>
      <c r="O16" s="159">
        <f t="shared" ref="O16:O23" si="2">IF((LEFT(B16,4)="1402"),F16*R16*DATEDIF(Q16,O$1,"d")/360,0)</f>
        <v>0</v>
      </c>
      <c r="P16" s="159">
        <f t="shared" ref="P16:P23" si="3">IF((LEFT(B16,4)="1015"),F16*R16*DATEDIF(Q16,Q$1,"d")/360,0)</f>
        <v>308.27777777777777</v>
      </c>
      <c r="Q16" s="147">
        <f t="shared" ref="Q16:Q23" si="4">DATEVALUE("18/"&amp;(MONTH($P$1)-1)&amp;"/16")</f>
        <v>42508</v>
      </c>
      <c r="R16" s="201">
        <v>0.04</v>
      </c>
      <c r="S16" s="192" t="s">
        <v>298</v>
      </c>
      <c r="T16" s="187"/>
    </row>
    <row r="17" spans="1:19" s="155" customFormat="1" ht="17.25" customHeight="1">
      <c r="A17" s="181">
        <f t="shared" ref="A17:A23" si="5">ROW()-15</f>
        <v>2</v>
      </c>
      <c r="B17" s="157" t="s">
        <v>299</v>
      </c>
      <c r="C17" s="158">
        <v>42279</v>
      </c>
      <c r="D17" s="158">
        <v>42553</v>
      </c>
      <c r="E17" s="159"/>
      <c r="F17" s="159">
        <v>89000</v>
      </c>
      <c r="G17" s="160"/>
      <c r="H17" s="158"/>
      <c r="I17" s="159"/>
      <c r="J17" s="159"/>
      <c r="K17" s="151"/>
      <c r="L17" s="148">
        <f t="shared" si="1"/>
        <v>89000</v>
      </c>
      <c r="M17" s="159"/>
      <c r="N17" s="159"/>
      <c r="O17" s="159">
        <f t="shared" si="2"/>
        <v>0</v>
      </c>
      <c r="P17" s="159">
        <f t="shared" si="3"/>
        <v>306.55555555555554</v>
      </c>
      <c r="Q17" s="147">
        <f t="shared" si="4"/>
        <v>42508</v>
      </c>
      <c r="R17" s="201">
        <v>0.04</v>
      </c>
      <c r="S17" s="164"/>
    </row>
    <row r="18" spans="1:19" s="155" customFormat="1" ht="17.25" customHeight="1">
      <c r="A18" s="181">
        <f t="shared" si="5"/>
        <v>3</v>
      </c>
      <c r="B18" s="157" t="s">
        <v>300</v>
      </c>
      <c r="C18" s="158">
        <v>42328</v>
      </c>
      <c r="D18" s="158">
        <v>42602</v>
      </c>
      <c r="E18" s="159"/>
      <c r="F18" s="159">
        <v>61000</v>
      </c>
      <c r="G18" s="160"/>
      <c r="H18" s="158"/>
      <c r="I18" s="159"/>
      <c r="J18" s="159"/>
      <c r="K18" s="151"/>
      <c r="L18" s="148">
        <f t="shared" si="1"/>
        <v>61000</v>
      </c>
      <c r="M18" s="159"/>
      <c r="N18" s="159"/>
      <c r="O18" s="159">
        <f t="shared" si="2"/>
        <v>0</v>
      </c>
      <c r="P18" s="159">
        <f t="shared" si="3"/>
        <v>210.11111111111111</v>
      </c>
      <c r="Q18" s="147">
        <f t="shared" si="4"/>
        <v>42508</v>
      </c>
      <c r="R18" s="201">
        <v>0.04</v>
      </c>
      <c r="S18" s="164"/>
    </row>
    <row r="19" spans="1:19" s="155" customFormat="1" ht="17.25" customHeight="1">
      <c r="A19" s="181">
        <f t="shared" si="5"/>
        <v>4</v>
      </c>
      <c r="B19" s="157" t="s">
        <v>301</v>
      </c>
      <c r="C19" s="158">
        <v>42339</v>
      </c>
      <c r="D19" s="158">
        <v>42614</v>
      </c>
      <c r="E19" s="159"/>
      <c r="F19" s="159">
        <v>89000</v>
      </c>
      <c r="G19" s="160"/>
      <c r="H19" s="158"/>
      <c r="I19" s="159"/>
      <c r="J19" s="159"/>
      <c r="K19" s="151"/>
      <c r="L19" s="148">
        <f t="shared" si="1"/>
        <v>89000</v>
      </c>
      <c r="M19" s="159"/>
      <c r="N19" s="159"/>
      <c r="O19" s="159">
        <f t="shared" si="2"/>
        <v>0</v>
      </c>
      <c r="P19" s="159">
        <f t="shared" si="3"/>
        <v>306.55555555555554</v>
      </c>
      <c r="Q19" s="147">
        <f t="shared" si="4"/>
        <v>42508</v>
      </c>
      <c r="R19" s="201">
        <v>0.04</v>
      </c>
      <c r="S19" s="164"/>
    </row>
    <row r="20" spans="1:19" s="187" customFormat="1" ht="17.25" customHeight="1">
      <c r="A20" s="181">
        <f t="shared" si="5"/>
        <v>5</v>
      </c>
      <c r="B20" s="157" t="s">
        <v>302</v>
      </c>
      <c r="C20" s="158">
        <v>42360</v>
      </c>
      <c r="D20" s="158">
        <v>42635</v>
      </c>
      <c r="E20" s="159"/>
      <c r="F20" s="159">
        <v>88000</v>
      </c>
      <c r="G20" s="160">
        <v>2015900000</v>
      </c>
      <c r="H20" s="158"/>
      <c r="I20" s="159"/>
      <c r="J20" s="159"/>
      <c r="K20" s="151"/>
      <c r="L20" s="148">
        <f t="shared" si="1"/>
        <v>88000</v>
      </c>
      <c r="M20" s="159"/>
      <c r="N20" s="159"/>
      <c r="O20" s="159">
        <f t="shared" si="2"/>
        <v>0</v>
      </c>
      <c r="P20" s="159">
        <f t="shared" si="3"/>
        <v>303.11111111111109</v>
      </c>
      <c r="Q20" s="147">
        <f t="shared" si="4"/>
        <v>42508</v>
      </c>
      <c r="R20" s="201">
        <v>0.04</v>
      </c>
      <c r="S20" s="192" t="s">
        <v>303</v>
      </c>
    </row>
    <row r="21" spans="1:19" s="155" customFormat="1" ht="17.25" customHeight="1">
      <c r="A21" s="181">
        <f t="shared" si="5"/>
        <v>6</v>
      </c>
      <c r="B21" s="157" t="s">
        <v>304</v>
      </c>
      <c r="C21" s="158">
        <v>42394</v>
      </c>
      <c r="D21" s="158">
        <v>42668</v>
      </c>
      <c r="E21" s="159"/>
      <c r="F21" s="159">
        <v>97000</v>
      </c>
      <c r="G21" s="160">
        <v>1965255000</v>
      </c>
      <c r="H21" s="158"/>
      <c r="I21" s="159"/>
      <c r="J21" s="159"/>
      <c r="K21" s="148"/>
      <c r="L21" s="148">
        <f t="shared" si="1"/>
        <v>97000</v>
      </c>
      <c r="M21" s="159"/>
      <c r="N21" s="159"/>
      <c r="O21" s="159">
        <f t="shared" si="2"/>
        <v>0</v>
      </c>
      <c r="P21" s="159">
        <f t="shared" si="3"/>
        <v>334.11111111111109</v>
      </c>
      <c r="Q21" s="147">
        <f t="shared" si="4"/>
        <v>42508</v>
      </c>
      <c r="R21" s="201">
        <v>0.04</v>
      </c>
      <c r="S21" s="164" t="s">
        <v>305</v>
      </c>
    </row>
    <row r="22" spans="1:19" s="155" customFormat="1" ht="17.25" customHeight="1">
      <c r="A22" s="181">
        <f t="shared" si="5"/>
        <v>7</v>
      </c>
      <c r="B22" s="157" t="s">
        <v>306</v>
      </c>
      <c r="C22" s="158">
        <v>42436</v>
      </c>
      <c r="D22" s="158">
        <v>42711</v>
      </c>
      <c r="E22" s="159"/>
      <c r="F22" s="159">
        <v>82000</v>
      </c>
      <c r="G22" s="160">
        <v>1894165000</v>
      </c>
      <c r="H22" s="158"/>
      <c r="I22" s="159"/>
      <c r="J22" s="159"/>
      <c r="K22" s="148"/>
      <c r="L22" s="148">
        <f t="shared" si="1"/>
        <v>82000</v>
      </c>
      <c r="M22" s="159"/>
      <c r="N22" s="159"/>
      <c r="O22" s="159">
        <f t="shared" si="2"/>
        <v>0</v>
      </c>
      <c r="P22" s="159">
        <f t="shared" si="3"/>
        <v>282.44444444444446</v>
      </c>
      <c r="Q22" s="147">
        <f t="shared" si="4"/>
        <v>42508</v>
      </c>
      <c r="R22" s="201">
        <v>0.04</v>
      </c>
      <c r="S22" s="164" t="s">
        <v>307</v>
      </c>
    </row>
    <row r="23" spans="1:19" s="155" customFormat="1" ht="17.25" customHeight="1">
      <c r="A23" s="181">
        <f t="shared" si="5"/>
        <v>8</v>
      </c>
      <c r="B23" s="157" t="s">
        <v>308</v>
      </c>
      <c r="C23" s="202">
        <v>42437</v>
      </c>
      <c r="D23" s="158">
        <v>42712</v>
      </c>
      <c r="E23" s="203"/>
      <c r="F23" s="203">
        <v>90000</v>
      </c>
      <c r="G23" s="204">
        <v>1997238540</v>
      </c>
      <c r="H23" s="202"/>
      <c r="I23" s="203"/>
      <c r="J23" s="203"/>
      <c r="K23" s="148"/>
      <c r="L23" s="148">
        <f t="shared" si="1"/>
        <v>90000</v>
      </c>
      <c r="M23" s="203"/>
      <c r="N23" s="203"/>
      <c r="O23" s="159">
        <f t="shared" si="2"/>
        <v>0</v>
      </c>
      <c r="P23" s="159">
        <f t="shared" si="3"/>
        <v>310</v>
      </c>
      <c r="Q23" s="147">
        <f t="shared" si="4"/>
        <v>42508</v>
      </c>
      <c r="R23" s="201">
        <v>0.04</v>
      </c>
      <c r="S23" s="192" t="s">
        <v>309</v>
      </c>
    </row>
    <row r="24" spans="1:19" s="155" customFormat="1" ht="17.25" customHeight="1">
      <c r="A24" s="165"/>
      <c r="B24" s="166"/>
      <c r="C24" s="167"/>
      <c r="D24" s="167"/>
      <c r="E24" s="168"/>
      <c r="F24" s="168"/>
      <c r="G24" s="169"/>
      <c r="H24" s="167"/>
      <c r="I24" s="168"/>
      <c r="J24" s="168"/>
      <c r="K24" s="168"/>
      <c r="L24" s="168"/>
      <c r="M24" s="168"/>
      <c r="N24" s="168"/>
      <c r="O24" s="168"/>
      <c r="P24" s="168"/>
      <c r="Q24" s="167"/>
      <c r="R24" s="205"/>
      <c r="S24" s="174"/>
    </row>
    <row r="25" spans="1:19" s="209" customFormat="1" ht="17.25" customHeight="1">
      <c r="A25" s="261" t="s">
        <v>288</v>
      </c>
      <c r="B25" s="261"/>
      <c r="C25" s="206"/>
      <c r="D25" s="206"/>
      <c r="E25" s="177">
        <f>SUM(E10:E24)</f>
        <v>0</v>
      </c>
      <c r="F25" s="177">
        <f>SUM(F16:F24)</f>
        <v>685500</v>
      </c>
      <c r="G25" s="176">
        <f>SUM(G10:G22)</f>
        <v>17136583000</v>
      </c>
      <c r="H25" s="175"/>
      <c r="I25" s="177">
        <f>SUM(I16:I24)</f>
        <v>0</v>
      </c>
      <c r="J25" s="177">
        <f>SUM(J16:J24)</f>
        <v>0</v>
      </c>
      <c r="K25" s="177">
        <f>SUM(K16:K24)</f>
        <v>0</v>
      </c>
      <c r="L25" s="177">
        <f>SUM(L16:L24)</f>
        <v>685500</v>
      </c>
      <c r="M25" s="177">
        <f>SUM(M10:M20)</f>
        <v>0</v>
      </c>
      <c r="N25" s="177"/>
      <c r="O25" s="177">
        <f>SUM(O16:O24)</f>
        <v>0</v>
      </c>
      <c r="P25" s="177">
        <f>SUM(P16:P24)</f>
        <v>2361.1666666666665</v>
      </c>
      <c r="Q25" s="207"/>
      <c r="R25" s="208"/>
      <c r="S25" s="179"/>
    </row>
    <row r="26" spans="1:19" s="187" customFormat="1" ht="17.25" customHeight="1">
      <c r="A26" s="181">
        <f>ROW()-25</f>
        <v>1</v>
      </c>
      <c r="B26" s="188" t="s">
        <v>310</v>
      </c>
      <c r="C26" s="189">
        <v>41870</v>
      </c>
      <c r="D26" s="189">
        <v>46253</v>
      </c>
      <c r="E26" s="190">
        <v>1000000000</v>
      </c>
      <c r="F26" s="162"/>
      <c r="G26" s="190">
        <v>1151700000</v>
      </c>
      <c r="H26" s="189">
        <v>42632</v>
      </c>
      <c r="I26" s="190">
        <v>8340000</v>
      </c>
      <c r="J26" s="162"/>
      <c r="K26" s="190">
        <f t="shared" ref="K26:K40" si="6">E26-I26</f>
        <v>991660000</v>
      </c>
      <c r="L26" s="162"/>
      <c r="M26" s="190">
        <f t="shared" ref="M26:M40" si="7">IF((LEFT(B26,4)="1402"),E26*R26*DATEDIF(Q26,$M$1,"d")/360,0)</f>
        <v>8180555.555555556</v>
      </c>
      <c r="N26" s="162"/>
      <c r="O26" s="162">
        <f t="shared" ref="O26:O39" si="8">IF((LEFT(B26,4)="1402"),F26*R26*DATEDIF(Q26,O$1,"d")/360,0)</f>
        <v>0</v>
      </c>
      <c r="P26" s="162">
        <f t="shared" ref="P26:P40" si="9">IF((LEFT(B26,4)="1015"),F26*R26*DATEDIF(Q26,Q$1,"d")/360,0)</f>
        <v>0</v>
      </c>
      <c r="Q26" s="210">
        <f>DATEVALUE("19/"&amp;(MONTH($P$1)-1)&amp;"/16")</f>
        <v>42509</v>
      </c>
      <c r="R26" s="191">
        <v>9.5000000000000001E-2</v>
      </c>
      <c r="S26" s="211" t="s">
        <v>311</v>
      </c>
    </row>
    <row r="27" spans="1:19" s="187" customFormat="1" ht="17.25" customHeight="1">
      <c r="A27" s="181">
        <f t="shared" ref="A27:A40" si="10">ROW()-25</f>
        <v>2</v>
      </c>
      <c r="B27" s="188" t="s">
        <v>312</v>
      </c>
      <c r="C27" s="189">
        <v>41905</v>
      </c>
      <c r="D27" s="189">
        <v>46253</v>
      </c>
      <c r="E27" s="190">
        <v>2000000000</v>
      </c>
      <c r="F27" s="162"/>
      <c r="G27" s="190">
        <v>1894165000</v>
      </c>
      <c r="H27" s="189">
        <v>42632</v>
      </c>
      <c r="I27" s="190">
        <v>16670000</v>
      </c>
      <c r="J27" s="162"/>
      <c r="K27" s="190">
        <f t="shared" si="6"/>
        <v>1983330000</v>
      </c>
      <c r="L27" s="162"/>
      <c r="M27" s="190">
        <f t="shared" si="7"/>
        <v>16361111.111111112</v>
      </c>
      <c r="N27" s="162"/>
      <c r="O27" s="162">
        <f t="shared" si="8"/>
        <v>0</v>
      </c>
      <c r="P27" s="162">
        <f t="shared" si="9"/>
        <v>0</v>
      </c>
      <c r="Q27" s="210">
        <f t="shared" ref="Q27:Q39" si="11">DATEVALUE("19/"&amp;(MONTH($P$1)-1)&amp;"/16")</f>
        <v>42509</v>
      </c>
      <c r="R27" s="191">
        <v>9.5000000000000001E-2</v>
      </c>
      <c r="S27" s="192" t="s">
        <v>311</v>
      </c>
    </row>
    <row r="28" spans="1:19" s="187" customFormat="1" ht="17.25" customHeight="1">
      <c r="A28" s="181">
        <f t="shared" si="10"/>
        <v>3</v>
      </c>
      <c r="B28" s="188" t="s">
        <v>313</v>
      </c>
      <c r="C28" s="212">
        <v>41934</v>
      </c>
      <c r="D28" s="189">
        <v>46253</v>
      </c>
      <c r="E28" s="213">
        <v>1600000000</v>
      </c>
      <c r="F28" s="214"/>
      <c r="G28" s="213"/>
      <c r="H28" s="189">
        <v>42632</v>
      </c>
      <c r="I28" s="213">
        <v>13340000</v>
      </c>
      <c r="J28" s="214"/>
      <c r="K28" s="190">
        <f t="shared" si="6"/>
        <v>1586660000</v>
      </c>
      <c r="L28" s="214"/>
      <c r="M28" s="190">
        <f t="shared" si="7"/>
        <v>13088888.888888888</v>
      </c>
      <c r="N28" s="214"/>
      <c r="O28" s="162">
        <f t="shared" si="8"/>
        <v>0</v>
      </c>
      <c r="P28" s="162">
        <f t="shared" si="9"/>
        <v>0</v>
      </c>
      <c r="Q28" s="210">
        <f t="shared" si="11"/>
        <v>42509</v>
      </c>
      <c r="R28" s="191">
        <v>9.5000000000000001E-2</v>
      </c>
      <c r="S28" s="192" t="s">
        <v>311</v>
      </c>
    </row>
    <row r="29" spans="1:19" s="187" customFormat="1" ht="17.25" customHeight="1">
      <c r="A29" s="181">
        <f t="shared" si="10"/>
        <v>4</v>
      </c>
      <c r="B29" s="188" t="s">
        <v>314</v>
      </c>
      <c r="C29" s="212">
        <v>41963</v>
      </c>
      <c r="D29" s="189">
        <v>46253</v>
      </c>
      <c r="E29" s="213">
        <v>1500000000</v>
      </c>
      <c r="F29" s="214"/>
      <c r="G29" s="213"/>
      <c r="H29" s="189">
        <v>42632</v>
      </c>
      <c r="I29" s="213">
        <v>12500000</v>
      </c>
      <c r="J29" s="214"/>
      <c r="K29" s="190">
        <f t="shared" si="6"/>
        <v>1487500000</v>
      </c>
      <c r="L29" s="214"/>
      <c r="M29" s="190">
        <f t="shared" si="7"/>
        <v>12270833.333333334</v>
      </c>
      <c r="N29" s="214"/>
      <c r="O29" s="162">
        <f t="shared" si="8"/>
        <v>0</v>
      </c>
      <c r="P29" s="162">
        <f t="shared" si="9"/>
        <v>0</v>
      </c>
      <c r="Q29" s="210">
        <f t="shared" si="11"/>
        <v>42509</v>
      </c>
      <c r="R29" s="191">
        <v>9.5000000000000001E-2</v>
      </c>
      <c r="S29" s="192" t="s">
        <v>311</v>
      </c>
    </row>
    <row r="30" spans="1:19" s="187" customFormat="1" ht="17.25" customHeight="1">
      <c r="A30" s="181">
        <f t="shared" si="10"/>
        <v>5</v>
      </c>
      <c r="B30" s="188" t="s">
        <v>315</v>
      </c>
      <c r="C30" s="212">
        <v>41984</v>
      </c>
      <c r="D30" s="189">
        <v>46253</v>
      </c>
      <c r="E30" s="213">
        <v>1000000000</v>
      </c>
      <c r="F30" s="214"/>
      <c r="G30" s="213"/>
      <c r="H30" s="189">
        <v>42632</v>
      </c>
      <c r="I30" s="213">
        <v>8330000</v>
      </c>
      <c r="J30" s="214"/>
      <c r="K30" s="213">
        <f t="shared" si="6"/>
        <v>991670000</v>
      </c>
      <c r="L30" s="214"/>
      <c r="M30" s="190">
        <f t="shared" si="7"/>
        <v>8180555.555555556</v>
      </c>
      <c r="N30" s="214"/>
      <c r="O30" s="162">
        <f t="shared" si="8"/>
        <v>0</v>
      </c>
      <c r="P30" s="162">
        <f t="shared" si="9"/>
        <v>0</v>
      </c>
      <c r="Q30" s="210">
        <f t="shared" si="11"/>
        <v>42509</v>
      </c>
      <c r="R30" s="191">
        <v>9.5000000000000001E-2</v>
      </c>
      <c r="S30" s="192" t="s">
        <v>311</v>
      </c>
    </row>
    <row r="31" spans="1:19" s="187" customFormat="1" ht="17.25" customHeight="1">
      <c r="A31" s="181">
        <f t="shared" si="10"/>
        <v>6</v>
      </c>
      <c r="B31" s="188" t="s">
        <v>316</v>
      </c>
      <c r="C31" s="212">
        <v>42033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6"/>
        <v>1487500000</v>
      </c>
      <c r="L31" s="214"/>
      <c r="M31" s="190">
        <f t="shared" si="7"/>
        <v>12270833.333333334</v>
      </c>
      <c r="N31" s="214"/>
      <c r="O31" s="162">
        <f t="shared" si="8"/>
        <v>0</v>
      </c>
      <c r="P31" s="162">
        <f t="shared" si="9"/>
        <v>0</v>
      </c>
      <c r="Q31" s="210">
        <f t="shared" si="11"/>
        <v>42509</v>
      </c>
      <c r="R31" s="191">
        <v>9.5000000000000001E-2</v>
      </c>
      <c r="S31" s="192" t="s">
        <v>311</v>
      </c>
    </row>
    <row r="32" spans="1:19" s="187" customFormat="1" ht="17.25" customHeight="1">
      <c r="A32" s="181">
        <f t="shared" si="10"/>
        <v>7</v>
      </c>
      <c r="B32" s="188" t="s">
        <v>317</v>
      </c>
      <c r="C32" s="212">
        <v>42088</v>
      </c>
      <c r="D32" s="189">
        <v>46253</v>
      </c>
      <c r="E32" s="213">
        <v>2000000000</v>
      </c>
      <c r="F32" s="214"/>
      <c r="G32" s="213"/>
      <c r="H32" s="189">
        <v>42632</v>
      </c>
      <c r="I32" s="213">
        <v>16670000</v>
      </c>
      <c r="J32" s="214"/>
      <c r="K32" s="213">
        <f t="shared" si="6"/>
        <v>1983330000</v>
      </c>
      <c r="L32" s="214"/>
      <c r="M32" s="190">
        <f t="shared" si="7"/>
        <v>16361111.111111112</v>
      </c>
      <c r="N32" s="214"/>
      <c r="O32" s="162">
        <f t="shared" si="8"/>
        <v>0</v>
      </c>
      <c r="P32" s="162">
        <f t="shared" si="9"/>
        <v>0</v>
      </c>
      <c r="Q32" s="210">
        <f t="shared" si="11"/>
        <v>42509</v>
      </c>
      <c r="R32" s="191">
        <v>9.5000000000000001E-2</v>
      </c>
      <c r="S32" s="192" t="s">
        <v>311</v>
      </c>
    </row>
    <row r="33" spans="1:19" s="187" customFormat="1" ht="17.25" customHeight="1">
      <c r="A33" s="181">
        <f t="shared" si="10"/>
        <v>8</v>
      </c>
      <c r="B33" s="188" t="s">
        <v>318</v>
      </c>
      <c r="C33" s="212">
        <v>42114</v>
      </c>
      <c r="D33" s="189">
        <v>46253</v>
      </c>
      <c r="E33" s="213">
        <v>1400000000</v>
      </c>
      <c r="F33" s="214"/>
      <c r="G33" s="213"/>
      <c r="H33" s="212">
        <v>42632</v>
      </c>
      <c r="I33" s="213">
        <v>11670000</v>
      </c>
      <c r="J33" s="214"/>
      <c r="K33" s="213">
        <f t="shared" si="6"/>
        <v>1388330000</v>
      </c>
      <c r="L33" s="214"/>
      <c r="M33" s="190">
        <f t="shared" si="7"/>
        <v>11452777.777777778</v>
      </c>
      <c r="N33" s="214"/>
      <c r="O33" s="162">
        <f t="shared" si="8"/>
        <v>0</v>
      </c>
      <c r="P33" s="162">
        <f t="shared" si="9"/>
        <v>0</v>
      </c>
      <c r="Q33" s="210">
        <f t="shared" si="11"/>
        <v>42509</v>
      </c>
      <c r="R33" s="191">
        <v>9.5000000000000001E-2</v>
      </c>
      <c r="S33" s="192" t="s">
        <v>311</v>
      </c>
    </row>
    <row r="34" spans="1:19" s="187" customFormat="1" ht="17.25" customHeight="1">
      <c r="A34" s="181">
        <f t="shared" si="10"/>
        <v>9</v>
      </c>
      <c r="B34" s="188" t="s">
        <v>319</v>
      </c>
      <c r="C34" s="212">
        <v>42138</v>
      </c>
      <c r="D34" s="189">
        <v>46253</v>
      </c>
      <c r="E34" s="213">
        <v>1500000000</v>
      </c>
      <c r="F34" s="214"/>
      <c r="G34" s="213"/>
      <c r="H34" s="212">
        <v>42632</v>
      </c>
      <c r="I34" s="213">
        <v>12500000</v>
      </c>
      <c r="J34" s="214"/>
      <c r="K34" s="213">
        <f t="shared" si="6"/>
        <v>1487500000</v>
      </c>
      <c r="L34" s="214"/>
      <c r="M34" s="190">
        <f t="shared" si="7"/>
        <v>12270833.333333334</v>
      </c>
      <c r="N34" s="214"/>
      <c r="O34" s="162">
        <f t="shared" si="8"/>
        <v>0</v>
      </c>
      <c r="P34" s="162">
        <f t="shared" si="9"/>
        <v>0</v>
      </c>
      <c r="Q34" s="210">
        <f t="shared" si="11"/>
        <v>42509</v>
      </c>
      <c r="R34" s="191">
        <v>9.5000000000000001E-2</v>
      </c>
      <c r="S34" s="192" t="s">
        <v>311</v>
      </c>
    </row>
    <row r="35" spans="1:19" s="187" customFormat="1" ht="17.25" customHeight="1">
      <c r="A35" s="181">
        <f t="shared" si="10"/>
        <v>10</v>
      </c>
      <c r="B35" s="188" t="s">
        <v>320</v>
      </c>
      <c r="C35" s="212">
        <v>42164</v>
      </c>
      <c r="D35" s="189">
        <v>46253</v>
      </c>
      <c r="E35" s="213">
        <v>1500000000</v>
      </c>
      <c r="F35" s="214"/>
      <c r="G35" s="213"/>
      <c r="H35" s="212">
        <v>42632</v>
      </c>
      <c r="I35" s="213">
        <v>12500000</v>
      </c>
      <c r="J35" s="214"/>
      <c r="K35" s="213">
        <f t="shared" si="6"/>
        <v>1487500000</v>
      </c>
      <c r="L35" s="214"/>
      <c r="M35" s="190">
        <f t="shared" si="7"/>
        <v>12270833.333333334</v>
      </c>
      <c r="N35" s="214"/>
      <c r="O35" s="162">
        <f t="shared" si="8"/>
        <v>0</v>
      </c>
      <c r="P35" s="162">
        <f t="shared" si="9"/>
        <v>0</v>
      </c>
      <c r="Q35" s="210">
        <f t="shared" si="11"/>
        <v>42509</v>
      </c>
      <c r="R35" s="191">
        <v>9.5000000000000001E-2</v>
      </c>
      <c r="S35" s="192" t="s">
        <v>311</v>
      </c>
    </row>
    <row r="36" spans="1:19" s="187" customFormat="1" ht="17.25" customHeight="1">
      <c r="A36" s="181">
        <f t="shared" si="10"/>
        <v>11</v>
      </c>
      <c r="B36" s="188" t="s">
        <v>321</v>
      </c>
      <c r="C36" s="212">
        <v>42187</v>
      </c>
      <c r="D36" s="189">
        <v>46253</v>
      </c>
      <c r="E36" s="213">
        <v>1500000000</v>
      </c>
      <c r="F36" s="214"/>
      <c r="G36" s="213"/>
      <c r="H36" s="212">
        <v>42632</v>
      </c>
      <c r="I36" s="213">
        <v>12500000</v>
      </c>
      <c r="J36" s="214"/>
      <c r="K36" s="213">
        <f t="shared" si="6"/>
        <v>1487500000</v>
      </c>
      <c r="L36" s="214"/>
      <c r="M36" s="190">
        <f t="shared" si="7"/>
        <v>12270833.333333334</v>
      </c>
      <c r="N36" s="214"/>
      <c r="O36" s="162">
        <f t="shared" si="8"/>
        <v>0</v>
      </c>
      <c r="P36" s="162">
        <f t="shared" si="9"/>
        <v>0</v>
      </c>
      <c r="Q36" s="210">
        <f t="shared" si="11"/>
        <v>42509</v>
      </c>
      <c r="R36" s="191">
        <v>9.5000000000000001E-2</v>
      </c>
      <c r="S36" s="192" t="s">
        <v>311</v>
      </c>
    </row>
    <row r="37" spans="1:19" s="187" customFormat="1" ht="17.25" customHeight="1">
      <c r="A37" s="181">
        <f t="shared" si="10"/>
        <v>12</v>
      </c>
      <c r="B37" s="188" t="s">
        <v>322</v>
      </c>
      <c r="C37" s="212">
        <v>42195</v>
      </c>
      <c r="D37" s="189">
        <v>46253</v>
      </c>
      <c r="E37" s="213">
        <v>1500000000</v>
      </c>
      <c r="F37" s="214"/>
      <c r="G37" s="213"/>
      <c r="H37" s="212">
        <v>42632</v>
      </c>
      <c r="I37" s="213">
        <v>12500000</v>
      </c>
      <c r="J37" s="214"/>
      <c r="K37" s="213">
        <f t="shared" si="6"/>
        <v>1487500000</v>
      </c>
      <c r="L37" s="214"/>
      <c r="M37" s="190">
        <f t="shared" si="7"/>
        <v>12270833.333333334</v>
      </c>
      <c r="N37" s="214"/>
      <c r="O37" s="162">
        <f t="shared" si="8"/>
        <v>0</v>
      </c>
      <c r="P37" s="162">
        <f t="shared" si="9"/>
        <v>0</v>
      </c>
      <c r="Q37" s="210">
        <f t="shared" si="11"/>
        <v>42509</v>
      </c>
      <c r="R37" s="191">
        <v>9.5000000000000001E-2</v>
      </c>
      <c r="S37" s="192" t="s">
        <v>311</v>
      </c>
    </row>
    <row r="38" spans="1:19" s="187" customFormat="1" ht="17.25" customHeight="1">
      <c r="A38" s="181">
        <f t="shared" si="10"/>
        <v>13</v>
      </c>
      <c r="B38" s="188" t="s">
        <v>323</v>
      </c>
      <c r="C38" s="212">
        <v>42215</v>
      </c>
      <c r="D38" s="189">
        <v>46253</v>
      </c>
      <c r="E38" s="213">
        <v>1000000000</v>
      </c>
      <c r="F38" s="214"/>
      <c r="G38" s="213"/>
      <c r="H38" s="212">
        <v>42632</v>
      </c>
      <c r="I38" s="213">
        <v>8330000</v>
      </c>
      <c r="J38" s="214"/>
      <c r="K38" s="213">
        <f t="shared" si="6"/>
        <v>991670000</v>
      </c>
      <c r="L38" s="214"/>
      <c r="M38" s="190">
        <f t="shared" si="7"/>
        <v>8180555.555555556</v>
      </c>
      <c r="N38" s="214"/>
      <c r="O38" s="162">
        <f t="shared" si="8"/>
        <v>0</v>
      </c>
      <c r="P38" s="162">
        <f t="shared" si="9"/>
        <v>0</v>
      </c>
      <c r="Q38" s="210">
        <f t="shared" si="11"/>
        <v>42509</v>
      </c>
      <c r="R38" s="191">
        <v>9.5000000000000001E-2</v>
      </c>
      <c r="S38" s="192" t="s">
        <v>311</v>
      </c>
    </row>
    <row r="39" spans="1:19" s="187" customFormat="1" ht="17.25" customHeight="1">
      <c r="A39" s="181">
        <f t="shared" si="10"/>
        <v>14</v>
      </c>
      <c r="B39" s="188" t="s">
        <v>324</v>
      </c>
      <c r="C39" s="212">
        <v>42229</v>
      </c>
      <c r="D39" s="189">
        <v>46253</v>
      </c>
      <c r="E39" s="213">
        <v>1000000000</v>
      </c>
      <c r="F39" s="214"/>
      <c r="G39" s="213"/>
      <c r="H39" s="212">
        <v>42632</v>
      </c>
      <c r="I39" s="213">
        <v>8330000</v>
      </c>
      <c r="J39" s="214"/>
      <c r="K39" s="213">
        <f t="shared" si="6"/>
        <v>991670000</v>
      </c>
      <c r="L39" s="214"/>
      <c r="M39" s="190">
        <f t="shared" si="7"/>
        <v>8180555.555555556</v>
      </c>
      <c r="N39" s="214"/>
      <c r="O39" s="162">
        <f t="shared" si="8"/>
        <v>0</v>
      </c>
      <c r="P39" s="162">
        <f t="shared" si="9"/>
        <v>0</v>
      </c>
      <c r="Q39" s="210">
        <f t="shared" si="11"/>
        <v>42509</v>
      </c>
      <c r="R39" s="191">
        <v>9.5000000000000001E-2</v>
      </c>
      <c r="S39" s="192" t="s">
        <v>311</v>
      </c>
    </row>
    <row r="40" spans="1:19" s="187" customFormat="1" ht="17.25" customHeight="1">
      <c r="A40" s="181">
        <f t="shared" si="10"/>
        <v>15</v>
      </c>
      <c r="B40" s="188" t="s">
        <v>325</v>
      </c>
      <c r="C40" s="212">
        <v>42362</v>
      </c>
      <c r="D40" s="212">
        <v>42545</v>
      </c>
      <c r="E40" s="213"/>
      <c r="F40" s="214">
        <v>88000</v>
      </c>
      <c r="G40" s="213"/>
      <c r="H40" s="212"/>
      <c r="I40" s="213"/>
      <c r="J40" s="214"/>
      <c r="K40" s="213">
        <f t="shared" si="6"/>
        <v>0</v>
      </c>
      <c r="L40" s="214">
        <f>F40</f>
        <v>88000</v>
      </c>
      <c r="M40" s="190">
        <f t="shared" si="7"/>
        <v>0</v>
      </c>
      <c r="N40" s="214"/>
      <c r="O40" s="162">
        <f>IF((LEFT(B40,4)="1402"),F40*R40*DATEDIF(Q40,O$1,"d")/360,0)</f>
        <v>303.11111111111109</v>
      </c>
      <c r="P40" s="162">
        <f t="shared" si="9"/>
        <v>0</v>
      </c>
      <c r="Q40" s="210">
        <f>DATEVALUE("16/"&amp;(MONTH($P$1)-1)&amp;"/16")</f>
        <v>42506</v>
      </c>
      <c r="R40" s="191">
        <v>0.04</v>
      </c>
      <c r="S40" s="192"/>
    </row>
    <row r="41" spans="1:19" s="187" customFormat="1" ht="17.25" hidden="1" customHeight="1">
      <c r="A41" s="181"/>
      <c r="B41" s="188"/>
      <c r="C41" s="212"/>
      <c r="D41" s="212"/>
      <c r="E41" s="213"/>
      <c r="F41" s="214"/>
      <c r="G41" s="213"/>
      <c r="H41" s="212"/>
      <c r="I41" s="213"/>
      <c r="J41" s="214"/>
      <c r="K41" s="213"/>
      <c r="L41" s="214"/>
      <c r="M41" s="213"/>
      <c r="N41" s="214"/>
      <c r="O41" s="214"/>
      <c r="P41" s="214"/>
      <c r="Q41" s="210"/>
      <c r="R41" s="191"/>
      <c r="S41" s="192"/>
    </row>
    <row r="42" spans="1:19" s="155" customFormat="1" ht="17.25" customHeight="1">
      <c r="A42" s="145"/>
      <c r="B42" s="157"/>
      <c r="C42" s="202"/>
      <c r="D42" s="202"/>
      <c r="E42" s="204"/>
      <c r="F42" s="203"/>
      <c r="G42" s="204"/>
      <c r="H42" s="202"/>
      <c r="I42" s="204"/>
      <c r="J42" s="203"/>
      <c r="K42" s="204"/>
      <c r="L42" s="203"/>
      <c r="M42" s="204"/>
      <c r="N42" s="203"/>
      <c r="O42" s="203"/>
      <c r="P42" s="203"/>
      <c r="Q42" s="147"/>
      <c r="R42" s="201"/>
      <c r="S42" s="164"/>
    </row>
    <row r="43" spans="1:19" s="209" customFormat="1" ht="17.25" customHeight="1">
      <c r="A43" s="261" t="s">
        <v>326</v>
      </c>
      <c r="B43" s="261"/>
      <c r="C43" s="206"/>
      <c r="D43" s="206"/>
      <c r="E43" s="176">
        <f>SUM(E26:E42)</f>
        <v>20000000000</v>
      </c>
      <c r="F43" s="177">
        <f>SUM(F26:F42)</f>
        <v>88000</v>
      </c>
      <c r="G43" s="176">
        <f>SUM(G26:G42)</f>
        <v>3045865000</v>
      </c>
      <c r="H43" s="177"/>
      <c r="I43" s="176">
        <f t="shared" ref="I43:P43" si="12">SUM(I26:I42)</f>
        <v>166680000</v>
      </c>
      <c r="J43" s="177">
        <f t="shared" si="12"/>
        <v>0</v>
      </c>
      <c r="K43" s="176">
        <f t="shared" si="12"/>
        <v>19833320000</v>
      </c>
      <c r="L43" s="177">
        <f t="shared" si="12"/>
        <v>88000</v>
      </c>
      <c r="M43" s="176">
        <f t="shared" si="12"/>
        <v>163611111.1111111</v>
      </c>
      <c r="N43" s="177">
        <f t="shared" si="12"/>
        <v>0</v>
      </c>
      <c r="O43" s="177">
        <f t="shared" si="12"/>
        <v>303.11111111111109</v>
      </c>
      <c r="P43" s="177">
        <f t="shared" si="12"/>
        <v>0</v>
      </c>
      <c r="Q43" s="207"/>
      <c r="R43" s="208"/>
      <c r="S43" s="179"/>
    </row>
    <row r="44" spans="1:19" ht="17.25" customHeight="1">
      <c r="F44" s="219"/>
    </row>
    <row r="45" spans="1:19" ht="17.25" customHeight="1">
      <c r="F45" s="216"/>
    </row>
    <row r="46" spans="1:19" ht="17.25" customHeight="1">
      <c r="F46" s="216"/>
    </row>
    <row r="47" spans="1:19" ht="17.25" customHeight="1">
      <c r="F47" s="216"/>
    </row>
    <row r="49" spans="1:19" ht="17.25" customHeight="1">
      <c r="F49" s="219"/>
    </row>
    <row r="57" spans="1:19" s="224" customFormat="1" ht="17.25" customHeight="1">
      <c r="A57" s="215"/>
      <c r="B57" s="216"/>
      <c r="C57" s="217"/>
      <c r="D57" s="217"/>
      <c r="E57" s="218"/>
      <c r="F57" s="222"/>
      <c r="G57" s="218"/>
      <c r="H57" s="220"/>
      <c r="I57" s="221"/>
      <c r="J57" s="221"/>
      <c r="K57" s="218"/>
      <c r="L57" s="222"/>
      <c r="M57" s="226"/>
      <c r="N57" s="226"/>
      <c r="O57" s="226"/>
      <c r="Q57" s="225"/>
      <c r="R57" s="225"/>
      <c r="S57" s="215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0.5703125" style="222" customWidth="1"/>
    <col min="7" max="7" width="13.42578125" style="218" hidden="1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9.42578125" style="223" hidden="1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>
        <v>42540</v>
      </c>
      <c r="N1" s="132"/>
      <c r="O1" s="132">
        <v>42537</v>
      </c>
      <c r="P1" s="132">
        <v>42527</v>
      </c>
      <c r="Q1" s="132">
        <v>42539</v>
      </c>
      <c r="R1" s="133"/>
      <c r="S1" s="124"/>
    </row>
    <row r="2" spans="1:20" s="135" customFormat="1" ht="16.5" customHeight="1">
      <c r="A2" s="264" t="s">
        <v>264</v>
      </c>
      <c r="B2" s="264" t="s">
        <v>265</v>
      </c>
      <c r="C2" s="266" t="s">
        <v>266</v>
      </c>
      <c r="D2" s="266"/>
      <c r="E2" s="267" t="s">
        <v>267</v>
      </c>
      <c r="F2" s="267"/>
      <c r="G2" s="267"/>
      <c r="H2" s="268" t="s">
        <v>268</v>
      </c>
      <c r="I2" s="268"/>
      <c r="J2" s="268"/>
      <c r="K2" s="269" t="s">
        <v>269</v>
      </c>
      <c r="L2" s="269"/>
      <c r="M2" s="262" t="s">
        <v>270</v>
      </c>
      <c r="N2" s="262"/>
      <c r="O2" s="262"/>
      <c r="P2" s="262"/>
      <c r="Q2" s="262"/>
      <c r="R2" s="263" t="s">
        <v>271</v>
      </c>
      <c r="S2" s="264" t="s">
        <v>272</v>
      </c>
    </row>
    <row r="3" spans="1:20" s="135" customFormat="1" ht="33" customHeight="1">
      <c r="A3" s="264"/>
      <c r="B3" s="264"/>
      <c r="C3" s="136" t="s">
        <v>273</v>
      </c>
      <c r="D3" s="136" t="s">
        <v>274</v>
      </c>
      <c r="E3" s="137" t="s">
        <v>275</v>
      </c>
      <c r="F3" s="138" t="s">
        <v>28</v>
      </c>
      <c r="G3" s="137" t="s">
        <v>276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143" t="s">
        <v>278</v>
      </c>
      <c r="Q3" s="144" t="s">
        <v>282</v>
      </c>
      <c r="R3" s="263"/>
      <c r="S3" s="264"/>
    </row>
    <row r="4" spans="1:20" s="155" customFormat="1" ht="17.25" customHeight="1">
      <c r="A4" s="145">
        <f>ROW()-3</f>
        <v>1</v>
      </c>
      <c r="B4" s="146" t="s">
        <v>283</v>
      </c>
      <c r="C4" s="147">
        <v>40200</v>
      </c>
      <c r="D4" s="147">
        <v>42649</v>
      </c>
      <c r="E4" s="148"/>
      <c r="F4" s="148">
        <v>13915</v>
      </c>
      <c r="G4" s="149"/>
      <c r="H4" s="147">
        <v>42649</v>
      </c>
      <c r="I4" s="150"/>
      <c r="J4" s="151">
        <v>13915</v>
      </c>
      <c r="K4" s="148"/>
      <c r="L4" s="148">
        <f>F4-J4</f>
        <v>0</v>
      </c>
      <c r="M4" s="152"/>
      <c r="N4" s="152"/>
      <c r="O4" s="152">
        <f>IF((LEFT(B4,4)="1402"),E4*Q4*DATEDIF(P4,$P$1,"d")/360,0)</f>
        <v>0</v>
      </c>
      <c r="P4" s="152">
        <f>IF((LEFT(B4,4)="1015"),F4*R4*DATEDIF(Q4,$P$1,"d")/360,0)</f>
        <v>53.920625000000001</v>
      </c>
      <c r="Q4" s="147">
        <f>DATEVALUE("6/"&amp;(MONTH($P$1)-1)&amp;"/16")</f>
        <v>42496</v>
      </c>
      <c r="R4" s="153">
        <v>4.4999999999999998E-2</v>
      </c>
      <c r="S4" s="154" t="s">
        <v>284</v>
      </c>
    </row>
    <row r="5" spans="1:20" s="155" customFormat="1" ht="17.25" customHeight="1">
      <c r="A5" s="156">
        <f>ROW()-3</f>
        <v>2</v>
      </c>
      <c r="B5" s="157" t="s">
        <v>285</v>
      </c>
      <c r="C5" s="158">
        <v>40234</v>
      </c>
      <c r="D5" s="158">
        <v>42649</v>
      </c>
      <c r="E5" s="159"/>
      <c r="F5" s="159">
        <v>33319.39</v>
      </c>
      <c r="G5" s="160"/>
      <c r="H5" s="147">
        <v>42649</v>
      </c>
      <c r="I5" s="161"/>
      <c r="J5" s="162">
        <v>33319.39</v>
      </c>
      <c r="K5" s="159"/>
      <c r="L5" s="159">
        <f>F5-J5</f>
        <v>0</v>
      </c>
      <c r="M5" s="163"/>
      <c r="N5" s="163"/>
      <c r="O5" s="163">
        <f>IF((LEFT(B5,4)="1402"),E5*Q5*DATEDIF(P5,$P$1,"d")/360,0)</f>
        <v>0</v>
      </c>
      <c r="P5" s="163">
        <f>IF((LEFT(B5,4)="1015"),F5*R5*DATEDIF(Q5,$P$1,"d")/360,0)</f>
        <v>129.11263624999998</v>
      </c>
      <c r="Q5" s="147">
        <f t="shared" ref="Q5:Q7" si="0">DATEVALUE("6/"&amp;(MONTH($P$1)-1)&amp;"/16")</f>
        <v>42496</v>
      </c>
      <c r="R5" s="153">
        <v>4.4999999999999998E-2</v>
      </c>
      <c r="S5" s="164" t="s">
        <v>284</v>
      </c>
    </row>
    <row r="6" spans="1:20" s="155" customFormat="1" ht="17.25" customHeight="1">
      <c r="A6" s="156">
        <f>ROW()-3</f>
        <v>3</v>
      </c>
      <c r="B6" s="157" t="s">
        <v>286</v>
      </c>
      <c r="C6" s="158">
        <v>40234</v>
      </c>
      <c r="D6" s="158">
        <v>42649</v>
      </c>
      <c r="E6" s="159"/>
      <c r="F6" s="159">
        <v>20515.96</v>
      </c>
      <c r="G6" s="160"/>
      <c r="H6" s="147">
        <v>42649</v>
      </c>
      <c r="I6" s="161"/>
      <c r="J6" s="162">
        <v>20515.96</v>
      </c>
      <c r="K6" s="159"/>
      <c r="L6" s="159">
        <f>F6-J6</f>
        <v>0</v>
      </c>
      <c r="M6" s="163"/>
      <c r="N6" s="163"/>
      <c r="O6" s="163">
        <f>IF((LEFT(B6,4)="1402"),E6*Q6*DATEDIF(P6,$P$1,"d")/360,0)</f>
        <v>0</v>
      </c>
      <c r="P6" s="163">
        <f>IF((LEFT(B6,4)="1015"),F6*R6*DATEDIF(Q6,$P$1,"d")/360,0)</f>
        <v>79.499344999999991</v>
      </c>
      <c r="Q6" s="147">
        <f t="shared" si="0"/>
        <v>42496</v>
      </c>
      <c r="R6" s="153">
        <v>4.4999999999999998E-2</v>
      </c>
      <c r="S6" s="164" t="s">
        <v>284</v>
      </c>
    </row>
    <row r="7" spans="1:20" s="155" customFormat="1" ht="17.25" customHeight="1">
      <c r="A7" s="156">
        <f>ROW()-3</f>
        <v>4</v>
      </c>
      <c r="B7" s="157" t="s">
        <v>287</v>
      </c>
      <c r="C7" s="158">
        <v>40234</v>
      </c>
      <c r="D7" s="158">
        <v>42649</v>
      </c>
      <c r="E7" s="159"/>
      <c r="F7" s="159">
        <v>28719.379999999997</v>
      </c>
      <c r="G7" s="160"/>
      <c r="H7" s="147">
        <v>42649</v>
      </c>
      <c r="I7" s="161"/>
      <c r="J7" s="162">
        <v>28719.379999999997</v>
      </c>
      <c r="K7" s="159"/>
      <c r="L7" s="159">
        <f>F7-J7</f>
        <v>0</v>
      </c>
      <c r="M7" s="163"/>
      <c r="N7" s="163"/>
      <c r="O7" s="163">
        <f>IF((LEFT(B7,4)="1402"),E7*Q7*DATEDIF(P7,$P$1,"d")/360,0)</f>
        <v>0</v>
      </c>
      <c r="P7" s="163">
        <f>IF((LEFT(B7,4)="1015"),F7*R7*DATEDIF(Q7,$P$1,"d")/360,0)</f>
        <v>111.28759749999998</v>
      </c>
      <c r="Q7" s="147">
        <f t="shared" si="0"/>
        <v>42496</v>
      </c>
      <c r="R7" s="153">
        <v>4.4999999999999998E-2</v>
      </c>
      <c r="S7" s="164" t="s">
        <v>284</v>
      </c>
    </row>
    <row r="8" spans="1:20" s="155" customFormat="1" ht="17.25" customHeight="1">
      <c r="A8" s="165"/>
      <c r="B8" s="166"/>
      <c r="C8" s="167"/>
      <c r="D8" s="167"/>
      <c r="E8" s="168"/>
      <c r="F8" s="168"/>
      <c r="G8" s="169"/>
      <c r="H8" s="167"/>
      <c r="I8" s="170"/>
      <c r="J8" s="171"/>
      <c r="K8" s="168"/>
      <c r="L8" s="168"/>
      <c r="M8" s="172"/>
      <c r="N8" s="172"/>
      <c r="O8" s="172"/>
      <c r="P8" s="172"/>
      <c r="Q8" s="167"/>
      <c r="R8" s="173"/>
      <c r="S8" s="174"/>
    </row>
    <row r="9" spans="1:20" s="180" customFormat="1" ht="17.25" customHeight="1">
      <c r="A9" s="265" t="s">
        <v>288</v>
      </c>
      <c r="B9" s="265"/>
      <c r="C9" s="175"/>
      <c r="D9" s="175"/>
      <c r="E9" s="176"/>
      <c r="F9" s="177">
        <f>SUM(F4:F8)</f>
        <v>96469.73000000001</v>
      </c>
      <c r="G9" s="176">
        <f>SUM(G4:G7)</f>
        <v>0</v>
      </c>
      <c r="H9" s="177"/>
      <c r="I9" s="176"/>
      <c r="J9" s="177">
        <f>SUM(J4:J7)</f>
        <v>96469.73000000001</v>
      </c>
      <c r="K9" s="176"/>
      <c r="L9" s="177">
        <f>SUM(L4:L7)</f>
        <v>0</v>
      </c>
      <c r="M9" s="176"/>
      <c r="N9" s="176">
        <f>SUM(N4:N7)</f>
        <v>0</v>
      </c>
      <c r="O9" s="176">
        <f>SUM(O4:O7)</f>
        <v>0</v>
      </c>
      <c r="P9" s="177">
        <f>SUM(P4:P7)</f>
        <v>373.82020374999991</v>
      </c>
      <c r="Q9" s="175"/>
      <c r="R9" s="178"/>
      <c r="S9" s="179"/>
    </row>
    <row r="10" spans="1:20" s="187" customFormat="1" ht="17.25" customHeight="1">
      <c r="A10" s="181">
        <f>ROW()-9</f>
        <v>1</v>
      </c>
      <c r="B10" s="188" t="s">
        <v>293</v>
      </c>
      <c r="C10" s="189">
        <v>42363</v>
      </c>
      <c r="D10" s="189">
        <v>42546</v>
      </c>
      <c r="E10" s="162"/>
      <c r="F10" s="162">
        <v>43000</v>
      </c>
      <c r="G10" s="190">
        <v>926064000</v>
      </c>
      <c r="H10" s="189"/>
      <c r="I10" s="162"/>
      <c r="J10" s="162"/>
      <c r="K10" s="151"/>
      <c r="L10" s="151">
        <f>F10-J10</f>
        <v>43000</v>
      </c>
      <c r="M10" s="162"/>
      <c r="N10" s="162"/>
      <c r="O10" s="162">
        <f>IF((LEFT(B10,4)="1402"),F10*R10*DATEDIF(Q10,O$1,"d")/360,0)</f>
        <v>148.11111111111111</v>
      </c>
      <c r="P10" s="162">
        <f>IF((LEFT(B10,4)="1015"),F10*R10*DATEDIF(Q10,Q$1,"d")/360,0)</f>
        <v>0</v>
      </c>
      <c r="Q10" s="147">
        <f>DATEVALUE("16/"&amp;(MONTH($P$1)-1)&amp;"/16")</f>
        <v>42506</v>
      </c>
      <c r="R10" s="191">
        <v>0.04</v>
      </c>
      <c r="S10" s="192" t="s">
        <v>290</v>
      </c>
      <c r="T10" s="155"/>
    </row>
    <row r="11" spans="1:20" s="187" customFormat="1" ht="17.25" customHeight="1">
      <c r="A11" s="181">
        <f>ROW()-9</f>
        <v>2</v>
      </c>
      <c r="B11" s="188" t="s">
        <v>294</v>
      </c>
      <c r="C11" s="189">
        <v>42398</v>
      </c>
      <c r="D11" s="189">
        <v>42580</v>
      </c>
      <c r="E11" s="162"/>
      <c r="F11" s="162">
        <v>52300</v>
      </c>
      <c r="G11" s="190">
        <v>1151700000</v>
      </c>
      <c r="H11" s="189"/>
      <c r="I11" s="162"/>
      <c r="J11" s="162"/>
      <c r="K11" s="151"/>
      <c r="L11" s="151">
        <f>F11-J11</f>
        <v>52300</v>
      </c>
      <c r="M11" s="162"/>
      <c r="N11" s="162"/>
      <c r="O11" s="162">
        <f>IF((LEFT(B11,4)="1402"),F11*R11*DATEDIF(Q11,O$1,"d")/360,0)</f>
        <v>180.14444444444445</v>
      </c>
      <c r="P11" s="162">
        <f>IF((LEFT(B11,4)="1015"),F11*R11*DATEDIF(Q11,Q$1,"d")/360,0)</f>
        <v>0</v>
      </c>
      <c r="Q11" s="147">
        <f>DATEVALUE("16/"&amp;(MONTH($P$1)-1)&amp;"/16")</f>
        <v>42506</v>
      </c>
      <c r="R11" s="191">
        <v>0.04</v>
      </c>
      <c r="S11" s="192" t="s">
        <v>295</v>
      </c>
      <c r="T11" s="155"/>
    </row>
    <row r="12" spans="1:20" s="155" customFormat="1" ht="17.25" customHeight="1">
      <c r="A12" s="181">
        <f>ROW()-9</f>
        <v>3</v>
      </c>
      <c r="B12" s="188" t="s">
        <v>327</v>
      </c>
      <c r="C12" s="189">
        <v>42529</v>
      </c>
      <c r="D12" s="189">
        <v>42712</v>
      </c>
      <c r="E12" s="162"/>
      <c r="F12" s="162">
        <v>95000</v>
      </c>
      <c r="G12" s="190">
        <v>1737190000</v>
      </c>
      <c r="H12" s="189"/>
      <c r="I12" s="162"/>
      <c r="J12" s="162"/>
      <c r="K12" s="151"/>
      <c r="L12" s="151">
        <f>F12-J12</f>
        <v>95000</v>
      </c>
      <c r="M12" s="162"/>
      <c r="N12" s="162"/>
      <c r="O12" s="162">
        <f>IF((LEFT(B12,4)="1402"),F12*R12*DATEDIF(Q12,O$1,"d")/360,0)</f>
        <v>327.22222222222223</v>
      </c>
      <c r="P12" s="162">
        <f>IF((LEFT(B12,4)="1015"),F12*R12*DATEDIF(Q12,Q$1,"d")/360,0)</f>
        <v>0</v>
      </c>
      <c r="Q12" s="147">
        <f>DATEVALUE("16/"&amp;(MONTH($P$1)-1)&amp;"/16")</f>
        <v>42506</v>
      </c>
      <c r="R12" s="191">
        <v>0.04</v>
      </c>
      <c r="S12" s="192" t="s">
        <v>290</v>
      </c>
    </row>
    <row r="13" spans="1:20" s="155" customFormat="1" ht="17.25" customHeight="1">
      <c r="A13" s="181">
        <f>ROW()-9</f>
        <v>4</v>
      </c>
      <c r="B13" s="182" t="s">
        <v>328</v>
      </c>
      <c r="C13" s="189">
        <v>42529</v>
      </c>
      <c r="D13" s="189">
        <v>42712</v>
      </c>
      <c r="E13" s="162"/>
      <c r="F13" s="162">
        <v>70900</v>
      </c>
      <c r="G13" s="190">
        <v>1737190000</v>
      </c>
      <c r="H13" s="189"/>
      <c r="I13" s="162"/>
      <c r="J13" s="162"/>
      <c r="K13" s="151"/>
      <c r="L13" s="151">
        <f>F13-J13</f>
        <v>70900</v>
      </c>
      <c r="M13" s="162"/>
      <c r="N13" s="162"/>
      <c r="O13" s="162">
        <f>IF((LEFT(B13,4)="1402"),F13*R13*DATEDIF(Q13,O$1,"d")/360,0)</f>
        <v>244.21111111111111</v>
      </c>
      <c r="P13" s="162">
        <f>IF((LEFT(B13,4)="1015"),F13*R13*DATEDIF(Q13,Q$1,"d")/360,0)</f>
        <v>0</v>
      </c>
      <c r="Q13" s="147">
        <f>DATEVALUE("16/"&amp;(MONTH($P$1)-1)&amp;"/16")</f>
        <v>42506</v>
      </c>
      <c r="R13" s="191">
        <v>0.04</v>
      </c>
      <c r="S13" s="192" t="s">
        <v>290</v>
      </c>
    </row>
    <row r="14" spans="1:20" s="155" customFormat="1" ht="17.25" customHeight="1">
      <c r="A14" s="193"/>
      <c r="B14" s="194"/>
      <c r="C14" s="195"/>
      <c r="D14" s="195"/>
      <c r="E14" s="196"/>
      <c r="F14" s="196"/>
      <c r="G14" s="197"/>
      <c r="H14" s="195"/>
      <c r="I14" s="196"/>
      <c r="J14" s="196"/>
      <c r="K14" s="196"/>
      <c r="L14" s="196"/>
      <c r="M14" s="196"/>
      <c r="N14" s="196"/>
      <c r="O14" s="196"/>
      <c r="P14" s="196"/>
      <c r="Q14" s="198"/>
      <c r="R14" s="199"/>
      <c r="S14" s="200"/>
    </row>
    <row r="15" spans="1:20" s="180" customFormat="1" ht="17.25" customHeight="1">
      <c r="A15" s="265" t="s">
        <v>296</v>
      </c>
      <c r="B15" s="265"/>
      <c r="C15" s="175"/>
      <c r="D15" s="175"/>
      <c r="E15" s="176"/>
      <c r="F15" s="177">
        <f>SUM(F10:F14)</f>
        <v>261200</v>
      </c>
      <c r="G15" s="176">
        <f>SUM(G9:G12)</f>
        <v>3814954000</v>
      </c>
      <c r="H15" s="177"/>
      <c r="I15" s="176"/>
      <c r="J15" s="177">
        <f>SUM(J10:J14)</f>
        <v>0</v>
      </c>
      <c r="K15" s="176"/>
      <c r="L15" s="177">
        <f>SUM(L10:L14)</f>
        <v>261200</v>
      </c>
      <c r="M15" s="176"/>
      <c r="N15" s="176">
        <f>SUM(N9:N12)</f>
        <v>0</v>
      </c>
      <c r="O15" s="177">
        <f>SUM(O10:O14)</f>
        <v>899.68888888888898</v>
      </c>
      <c r="P15" s="177">
        <f>SUM(P10:P14)</f>
        <v>0</v>
      </c>
      <c r="Q15" s="175"/>
      <c r="R15" s="178"/>
      <c r="S15" s="179"/>
    </row>
    <row r="16" spans="1:20" s="155" customFormat="1" ht="17.25" customHeight="1">
      <c r="A16" s="181">
        <f t="shared" ref="A16:A23" si="1">ROW()-16</f>
        <v>0</v>
      </c>
      <c r="B16" s="157" t="s">
        <v>297</v>
      </c>
      <c r="C16" s="158">
        <v>42278</v>
      </c>
      <c r="D16" s="158">
        <v>42552</v>
      </c>
      <c r="E16" s="159"/>
      <c r="F16" s="159">
        <v>89500</v>
      </c>
      <c r="G16" s="160">
        <v>1894165000</v>
      </c>
      <c r="H16" s="158"/>
      <c r="I16" s="159"/>
      <c r="J16" s="159"/>
      <c r="K16" s="151"/>
      <c r="L16" s="148">
        <f t="shared" ref="L16:L23" si="2">F16-J16</f>
        <v>89500</v>
      </c>
      <c r="M16" s="159"/>
      <c r="N16" s="159"/>
      <c r="O16" s="159">
        <f t="shared" ref="O16:O23" si="3">IF((LEFT(B16,4)="1402"),F16*R16*DATEDIF(Q16,O$1,"d")/360,0)</f>
        <v>0</v>
      </c>
      <c r="P16" s="159">
        <f t="shared" ref="P16:P23" si="4">IF((LEFT(B16,4)="1015"),F16*R16*DATEDIF(Q16,Q$1,"d")/360,0)</f>
        <v>308.27777777777777</v>
      </c>
      <c r="Q16" s="147">
        <f t="shared" ref="Q16:Q23" si="5">DATEVALUE("18/"&amp;(MONTH($P$1)-1)&amp;"/16")</f>
        <v>42508</v>
      </c>
      <c r="R16" s="201">
        <v>0.04</v>
      </c>
      <c r="S16" s="192" t="s">
        <v>298</v>
      </c>
      <c r="T16" s="187"/>
    </row>
    <row r="17" spans="1:19" s="155" customFormat="1" ht="17.25" customHeight="1">
      <c r="A17" s="181">
        <f t="shared" si="1"/>
        <v>1</v>
      </c>
      <c r="B17" s="157" t="s">
        <v>299</v>
      </c>
      <c r="C17" s="158">
        <v>42279</v>
      </c>
      <c r="D17" s="158">
        <v>42553</v>
      </c>
      <c r="E17" s="159"/>
      <c r="F17" s="159">
        <v>89000</v>
      </c>
      <c r="G17" s="160"/>
      <c r="H17" s="158"/>
      <c r="I17" s="159"/>
      <c r="J17" s="159"/>
      <c r="K17" s="151"/>
      <c r="L17" s="148">
        <f t="shared" si="2"/>
        <v>89000</v>
      </c>
      <c r="M17" s="159"/>
      <c r="N17" s="159"/>
      <c r="O17" s="159">
        <f t="shared" si="3"/>
        <v>0</v>
      </c>
      <c r="P17" s="159">
        <f t="shared" si="4"/>
        <v>306.55555555555554</v>
      </c>
      <c r="Q17" s="147">
        <f t="shared" si="5"/>
        <v>42508</v>
      </c>
      <c r="R17" s="201">
        <v>0.04</v>
      </c>
      <c r="S17" s="164"/>
    </row>
    <row r="18" spans="1:19" s="155" customFormat="1" ht="17.25" customHeight="1">
      <c r="A18" s="181">
        <f t="shared" si="1"/>
        <v>2</v>
      </c>
      <c r="B18" s="157" t="s">
        <v>300</v>
      </c>
      <c r="C18" s="158">
        <v>42328</v>
      </c>
      <c r="D18" s="158">
        <v>42602</v>
      </c>
      <c r="E18" s="159"/>
      <c r="F18" s="159">
        <v>61000</v>
      </c>
      <c r="G18" s="160"/>
      <c r="H18" s="158"/>
      <c r="I18" s="159"/>
      <c r="J18" s="159"/>
      <c r="K18" s="151"/>
      <c r="L18" s="148">
        <f t="shared" si="2"/>
        <v>61000</v>
      </c>
      <c r="M18" s="159"/>
      <c r="N18" s="159"/>
      <c r="O18" s="159">
        <f t="shared" si="3"/>
        <v>0</v>
      </c>
      <c r="P18" s="159">
        <f t="shared" si="4"/>
        <v>210.11111111111111</v>
      </c>
      <c r="Q18" s="147">
        <f t="shared" si="5"/>
        <v>42508</v>
      </c>
      <c r="R18" s="201">
        <v>0.04</v>
      </c>
      <c r="S18" s="164"/>
    </row>
    <row r="19" spans="1:19" s="155" customFormat="1" ht="17.25" customHeight="1">
      <c r="A19" s="181">
        <f t="shared" si="1"/>
        <v>3</v>
      </c>
      <c r="B19" s="157" t="s">
        <v>301</v>
      </c>
      <c r="C19" s="158">
        <v>42339</v>
      </c>
      <c r="D19" s="158">
        <v>42614</v>
      </c>
      <c r="E19" s="159"/>
      <c r="F19" s="159">
        <v>89000</v>
      </c>
      <c r="G19" s="160"/>
      <c r="H19" s="158"/>
      <c r="I19" s="159"/>
      <c r="J19" s="159"/>
      <c r="K19" s="151"/>
      <c r="L19" s="148">
        <f t="shared" si="2"/>
        <v>89000</v>
      </c>
      <c r="M19" s="159"/>
      <c r="N19" s="159"/>
      <c r="O19" s="159">
        <f t="shared" si="3"/>
        <v>0</v>
      </c>
      <c r="P19" s="159">
        <f t="shared" si="4"/>
        <v>306.55555555555554</v>
      </c>
      <c r="Q19" s="147">
        <f t="shared" si="5"/>
        <v>42508</v>
      </c>
      <c r="R19" s="201">
        <v>0.04</v>
      </c>
      <c r="S19" s="164"/>
    </row>
    <row r="20" spans="1:19" s="187" customFormat="1" ht="17.25" customHeight="1">
      <c r="A20" s="181">
        <f t="shared" si="1"/>
        <v>4</v>
      </c>
      <c r="B20" s="157" t="s">
        <v>302</v>
      </c>
      <c r="C20" s="158">
        <v>42360</v>
      </c>
      <c r="D20" s="158">
        <v>42635</v>
      </c>
      <c r="E20" s="159"/>
      <c r="F20" s="159">
        <v>88000</v>
      </c>
      <c r="G20" s="160">
        <v>2015900000</v>
      </c>
      <c r="H20" s="158"/>
      <c r="I20" s="159"/>
      <c r="J20" s="159"/>
      <c r="K20" s="151"/>
      <c r="L20" s="148">
        <f t="shared" si="2"/>
        <v>88000</v>
      </c>
      <c r="M20" s="159"/>
      <c r="N20" s="159"/>
      <c r="O20" s="159">
        <f t="shared" si="3"/>
        <v>0</v>
      </c>
      <c r="P20" s="159">
        <f t="shared" si="4"/>
        <v>303.11111111111109</v>
      </c>
      <c r="Q20" s="147">
        <f t="shared" si="5"/>
        <v>42508</v>
      </c>
      <c r="R20" s="201">
        <v>0.04</v>
      </c>
      <c r="S20" s="192" t="s">
        <v>303</v>
      </c>
    </row>
    <row r="21" spans="1:19" s="155" customFormat="1" ht="17.25" customHeight="1">
      <c r="A21" s="181">
        <f t="shared" si="1"/>
        <v>5</v>
      </c>
      <c r="B21" s="157" t="s">
        <v>304</v>
      </c>
      <c r="C21" s="158">
        <v>42394</v>
      </c>
      <c r="D21" s="158">
        <v>42668</v>
      </c>
      <c r="E21" s="159"/>
      <c r="F21" s="159">
        <v>97000</v>
      </c>
      <c r="G21" s="160">
        <v>1965255000</v>
      </c>
      <c r="H21" s="158"/>
      <c r="I21" s="159"/>
      <c r="J21" s="159"/>
      <c r="K21" s="148"/>
      <c r="L21" s="148">
        <f t="shared" si="2"/>
        <v>97000</v>
      </c>
      <c r="M21" s="159"/>
      <c r="N21" s="159"/>
      <c r="O21" s="159">
        <f t="shared" si="3"/>
        <v>0</v>
      </c>
      <c r="P21" s="159">
        <f t="shared" si="4"/>
        <v>334.11111111111109</v>
      </c>
      <c r="Q21" s="147">
        <f t="shared" si="5"/>
        <v>42508</v>
      </c>
      <c r="R21" s="201">
        <v>0.04</v>
      </c>
      <c r="S21" s="164" t="s">
        <v>305</v>
      </c>
    </row>
    <row r="22" spans="1:19" s="155" customFormat="1" ht="17.25" customHeight="1">
      <c r="A22" s="181">
        <f t="shared" si="1"/>
        <v>6</v>
      </c>
      <c r="B22" s="157" t="s">
        <v>306</v>
      </c>
      <c r="C22" s="158">
        <v>42436</v>
      </c>
      <c r="D22" s="158">
        <v>42711</v>
      </c>
      <c r="E22" s="159"/>
      <c r="F22" s="159">
        <v>82000</v>
      </c>
      <c r="G22" s="160">
        <v>1894165000</v>
      </c>
      <c r="H22" s="158"/>
      <c r="I22" s="159"/>
      <c r="J22" s="159"/>
      <c r="K22" s="148"/>
      <c r="L22" s="148">
        <f t="shared" si="2"/>
        <v>82000</v>
      </c>
      <c r="M22" s="159"/>
      <c r="N22" s="159"/>
      <c r="O22" s="159">
        <f t="shared" si="3"/>
        <v>0</v>
      </c>
      <c r="P22" s="159">
        <f t="shared" si="4"/>
        <v>282.44444444444446</v>
      </c>
      <c r="Q22" s="147">
        <f t="shared" si="5"/>
        <v>42508</v>
      </c>
      <c r="R22" s="201">
        <v>0.04</v>
      </c>
      <c r="S22" s="164" t="s">
        <v>307</v>
      </c>
    </row>
    <row r="23" spans="1:19" s="155" customFormat="1" ht="17.25" customHeight="1">
      <c r="A23" s="181">
        <f t="shared" si="1"/>
        <v>7</v>
      </c>
      <c r="B23" s="157" t="s">
        <v>308</v>
      </c>
      <c r="C23" s="202">
        <v>42437</v>
      </c>
      <c r="D23" s="158">
        <v>42712</v>
      </c>
      <c r="E23" s="203"/>
      <c r="F23" s="203">
        <v>90000</v>
      </c>
      <c r="G23" s="204">
        <v>1997238540</v>
      </c>
      <c r="H23" s="202"/>
      <c r="I23" s="203"/>
      <c r="J23" s="203"/>
      <c r="K23" s="148"/>
      <c r="L23" s="148">
        <f t="shared" si="2"/>
        <v>90000</v>
      </c>
      <c r="M23" s="203"/>
      <c r="N23" s="203"/>
      <c r="O23" s="159">
        <f t="shared" si="3"/>
        <v>0</v>
      </c>
      <c r="P23" s="159">
        <f t="shared" si="4"/>
        <v>310</v>
      </c>
      <c r="Q23" s="147">
        <f t="shared" si="5"/>
        <v>42508</v>
      </c>
      <c r="R23" s="201">
        <v>0.04</v>
      </c>
      <c r="S23" s="192" t="s">
        <v>309</v>
      </c>
    </row>
    <row r="24" spans="1:19" s="155" customFormat="1" ht="17.25" customHeight="1">
      <c r="A24" s="165"/>
      <c r="B24" s="166"/>
      <c r="C24" s="167"/>
      <c r="D24" s="167"/>
      <c r="E24" s="168"/>
      <c r="F24" s="168"/>
      <c r="G24" s="169"/>
      <c r="H24" s="167"/>
      <c r="I24" s="168"/>
      <c r="J24" s="168"/>
      <c r="K24" s="168"/>
      <c r="L24" s="168"/>
      <c r="M24" s="168"/>
      <c r="N24" s="168"/>
      <c r="O24" s="168"/>
      <c r="P24" s="168"/>
      <c r="Q24" s="167"/>
      <c r="R24" s="205"/>
      <c r="S24" s="174"/>
    </row>
    <row r="25" spans="1:19" s="209" customFormat="1" ht="17.25" customHeight="1">
      <c r="A25" s="261" t="s">
        <v>288</v>
      </c>
      <c r="B25" s="261"/>
      <c r="C25" s="206"/>
      <c r="D25" s="206"/>
      <c r="E25" s="177">
        <f>SUM(E10:E24)</f>
        <v>0</v>
      </c>
      <c r="F25" s="177">
        <f>SUM(F16:F24)</f>
        <v>685500</v>
      </c>
      <c r="G25" s="176">
        <f>SUM(G10:G22)</f>
        <v>17136583000</v>
      </c>
      <c r="H25" s="175"/>
      <c r="I25" s="177">
        <f>SUM(I16:I24)</f>
        <v>0</v>
      </c>
      <c r="J25" s="177">
        <f>SUM(J16:J24)</f>
        <v>0</v>
      </c>
      <c r="K25" s="177">
        <f>SUM(K16:K24)</f>
        <v>0</v>
      </c>
      <c r="L25" s="177">
        <f>SUM(L16:L24)</f>
        <v>685500</v>
      </c>
      <c r="M25" s="177">
        <f>SUM(M10:M20)</f>
        <v>0</v>
      </c>
      <c r="N25" s="177"/>
      <c r="O25" s="177">
        <f>SUM(O16:O24)</f>
        <v>0</v>
      </c>
      <c r="P25" s="177">
        <f>SUM(P16:P24)</f>
        <v>2361.1666666666665</v>
      </c>
      <c r="Q25" s="207"/>
      <c r="R25" s="208"/>
      <c r="S25" s="179"/>
    </row>
    <row r="26" spans="1:19" s="187" customFormat="1" ht="17.25" customHeight="1">
      <c r="A26" s="181">
        <f>ROW()-26</f>
        <v>0</v>
      </c>
      <c r="B26" s="188" t="s">
        <v>310</v>
      </c>
      <c r="C26" s="189">
        <v>41870</v>
      </c>
      <c r="D26" s="189">
        <v>46253</v>
      </c>
      <c r="E26" s="190">
        <v>1000000000</v>
      </c>
      <c r="F26" s="162"/>
      <c r="G26" s="190">
        <v>1151700000</v>
      </c>
      <c r="H26" s="189">
        <v>42632</v>
      </c>
      <c r="I26" s="190">
        <v>8340000</v>
      </c>
      <c r="J26" s="162"/>
      <c r="K26" s="190">
        <f t="shared" ref="K26:K40" si="6">E26-I26</f>
        <v>991660000</v>
      </c>
      <c r="L26" s="162"/>
      <c r="M26" s="190">
        <f t="shared" ref="M26:M40" si="7">IF((LEFT(B26,4)="1402"),E26*R26*DATEDIF(Q26,$M$1,"d")/360,0)</f>
        <v>8180555.555555556</v>
      </c>
      <c r="N26" s="162"/>
      <c r="O26" s="162">
        <f t="shared" ref="O26:O39" si="8">IF((LEFT(B26,4)="1402"),F26*R26*DATEDIF(Q26,O$1,"d")/360,0)</f>
        <v>0</v>
      </c>
      <c r="P26" s="162">
        <f t="shared" ref="P26:P40" si="9">IF((LEFT(B26,4)="1015"),F26*R26*DATEDIF(Q26,Q$1,"d")/360,0)</f>
        <v>0</v>
      </c>
      <c r="Q26" s="210">
        <f>DATEVALUE("19/"&amp;(MONTH($P$1)-1)&amp;"/16")</f>
        <v>42509</v>
      </c>
      <c r="R26" s="191">
        <v>9.5000000000000001E-2</v>
      </c>
      <c r="S26" s="211" t="s">
        <v>311</v>
      </c>
    </row>
    <row r="27" spans="1:19" s="187" customFormat="1" ht="17.25" customHeight="1">
      <c r="A27" s="181">
        <f t="shared" ref="A27:A40" si="10">ROW()-26</f>
        <v>1</v>
      </c>
      <c r="B27" s="188" t="s">
        <v>312</v>
      </c>
      <c r="C27" s="189">
        <v>41905</v>
      </c>
      <c r="D27" s="189">
        <v>46253</v>
      </c>
      <c r="E27" s="190">
        <v>2000000000</v>
      </c>
      <c r="F27" s="162"/>
      <c r="G27" s="190">
        <v>1894165000</v>
      </c>
      <c r="H27" s="189">
        <v>42632</v>
      </c>
      <c r="I27" s="190">
        <v>16670000</v>
      </c>
      <c r="J27" s="162"/>
      <c r="K27" s="190">
        <f t="shared" si="6"/>
        <v>1983330000</v>
      </c>
      <c r="L27" s="162"/>
      <c r="M27" s="190">
        <f t="shared" si="7"/>
        <v>16361111.111111112</v>
      </c>
      <c r="N27" s="162"/>
      <c r="O27" s="162">
        <f t="shared" si="8"/>
        <v>0</v>
      </c>
      <c r="P27" s="162">
        <f t="shared" si="9"/>
        <v>0</v>
      </c>
      <c r="Q27" s="210">
        <f t="shared" ref="Q27:Q39" si="11">DATEVALUE("19/"&amp;(MONTH($P$1)-1)&amp;"/16")</f>
        <v>42509</v>
      </c>
      <c r="R27" s="191">
        <v>9.5000000000000001E-2</v>
      </c>
      <c r="S27" s="192" t="s">
        <v>311</v>
      </c>
    </row>
    <row r="28" spans="1:19" s="187" customFormat="1" ht="17.25" customHeight="1">
      <c r="A28" s="181">
        <f t="shared" si="10"/>
        <v>2</v>
      </c>
      <c r="B28" s="188" t="s">
        <v>313</v>
      </c>
      <c r="C28" s="212">
        <v>41934</v>
      </c>
      <c r="D28" s="189">
        <v>46253</v>
      </c>
      <c r="E28" s="213">
        <v>1600000000</v>
      </c>
      <c r="F28" s="214"/>
      <c r="G28" s="213"/>
      <c r="H28" s="189">
        <v>42632</v>
      </c>
      <c r="I28" s="213">
        <v>13340000</v>
      </c>
      <c r="J28" s="214"/>
      <c r="K28" s="190">
        <f t="shared" si="6"/>
        <v>1586660000</v>
      </c>
      <c r="L28" s="214"/>
      <c r="M28" s="190">
        <f t="shared" si="7"/>
        <v>13088888.888888888</v>
      </c>
      <c r="N28" s="214"/>
      <c r="O28" s="162">
        <f t="shared" si="8"/>
        <v>0</v>
      </c>
      <c r="P28" s="162">
        <f t="shared" si="9"/>
        <v>0</v>
      </c>
      <c r="Q28" s="210">
        <f t="shared" si="11"/>
        <v>42509</v>
      </c>
      <c r="R28" s="191">
        <v>9.5000000000000001E-2</v>
      </c>
      <c r="S28" s="192" t="s">
        <v>311</v>
      </c>
    </row>
    <row r="29" spans="1:19" s="187" customFormat="1" ht="17.25" customHeight="1">
      <c r="A29" s="181">
        <f t="shared" si="10"/>
        <v>3</v>
      </c>
      <c r="B29" s="188" t="s">
        <v>314</v>
      </c>
      <c r="C29" s="212">
        <v>41963</v>
      </c>
      <c r="D29" s="189">
        <v>46253</v>
      </c>
      <c r="E29" s="213">
        <v>1500000000</v>
      </c>
      <c r="F29" s="214"/>
      <c r="G29" s="213"/>
      <c r="H29" s="189">
        <v>42632</v>
      </c>
      <c r="I29" s="213">
        <v>12500000</v>
      </c>
      <c r="J29" s="214"/>
      <c r="K29" s="190">
        <f t="shared" si="6"/>
        <v>1487500000</v>
      </c>
      <c r="L29" s="214"/>
      <c r="M29" s="190">
        <f t="shared" si="7"/>
        <v>12270833.333333334</v>
      </c>
      <c r="N29" s="214"/>
      <c r="O29" s="162">
        <f t="shared" si="8"/>
        <v>0</v>
      </c>
      <c r="P29" s="162">
        <f t="shared" si="9"/>
        <v>0</v>
      </c>
      <c r="Q29" s="210">
        <f t="shared" si="11"/>
        <v>42509</v>
      </c>
      <c r="R29" s="191">
        <v>9.5000000000000001E-2</v>
      </c>
      <c r="S29" s="192" t="s">
        <v>311</v>
      </c>
    </row>
    <row r="30" spans="1:19" s="187" customFormat="1" ht="17.25" customHeight="1">
      <c r="A30" s="181">
        <f t="shared" si="10"/>
        <v>4</v>
      </c>
      <c r="B30" s="188" t="s">
        <v>315</v>
      </c>
      <c r="C30" s="212">
        <v>41984</v>
      </c>
      <c r="D30" s="189">
        <v>46253</v>
      </c>
      <c r="E30" s="213">
        <v>1000000000</v>
      </c>
      <c r="F30" s="214"/>
      <c r="G30" s="213"/>
      <c r="H30" s="189">
        <v>42632</v>
      </c>
      <c r="I30" s="213">
        <v>8330000</v>
      </c>
      <c r="J30" s="214"/>
      <c r="K30" s="213">
        <f t="shared" si="6"/>
        <v>991670000</v>
      </c>
      <c r="L30" s="214"/>
      <c r="M30" s="190">
        <f t="shared" si="7"/>
        <v>8180555.555555556</v>
      </c>
      <c r="N30" s="214"/>
      <c r="O30" s="162">
        <f t="shared" si="8"/>
        <v>0</v>
      </c>
      <c r="P30" s="162">
        <f t="shared" si="9"/>
        <v>0</v>
      </c>
      <c r="Q30" s="210">
        <f t="shared" si="11"/>
        <v>42509</v>
      </c>
      <c r="R30" s="191">
        <v>9.5000000000000001E-2</v>
      </c>
      <c r="S30" s="192" t="s">
        <v>311</v>
      </c>
    </row>
    <row r="31" spans="1:19" s="187" customFormat="1" ht="17.25" customHeight="1">
      <c r="A31" s="181">
        <f t="shared" si="10"/>
        <v>5</v>
      </c>
      <c r="B31" s="188" t="s">
        <v>316</v>
      </c>
      <c r="C31" s="212">
        <v>42033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6"/>
        <v>1487500000</v>
      </c>
      <c r="L31" s="214"/>
      <c r="M31" s="190">
        <f t="shared" si="7"/>
        <v>12270833.333333334</v>
      </c>
      <c r="N31" s="214"/>
      <c r="O31" s="162">
        <f t="shared" si="8"/>
        <v>0</v>
      </c>
      <c r="P31" s="162">
        <f t="shared" si="9"/>
        <v>0</v>
      </c>
      <c r="Q31" s="210">
        <f t="shared" si="11"/>
        <v>42509</v>
      </c>
      <c r="R31" s="191">
        <v>9.5000000000000001E-2</v>
      </c>
      <c r="S31" s="192" t="s">
        <v>311</v>
      </c>
    </row>
    <row r="32" spans="1:19" s="187" customFormat="1" ht="17.25" customHeight="1">
      <c r="A32" s="181">
        <f t="shared" si="10"/>
        <v>6</v>
      </c>
      <c r="B32" s="188" t="s">
        <v>317</v>
      </c>
      <c r="C32" s="212">
        <v>42088</v>
      </c>
      <c r="D32" s="189">
        <v>46253</v>
      </c>
      <c r="E32" s="213">
        <v>2000000000</v>
      </c>
      <c r="F32" s="214"/>
      <c r="G32" s="213"/>
      <c r="H32" s="189">
        <v>42632</v>
      </c>
      <c r="I32" s="213">
        <v>16670000</v>
      </c>
      <c r="J32" s="214"/>
      <c r="K32" s="213">
        <f t="shared" si="6"/>
        <v>1983330000</v>
      </c>
      <c r="L32" s="214"/>
      <c r="M32" s="190">
        <f t="shared" si="7"/>
        <v>16361111.111111112</v>
      </c>
      <c r="N32" s="214"/>
      <c r="O32" s="162">
        <f t="shared" si="8"/>
        <v>0</v>
      </c>
      <c r="P32" s="162">
        <f t="shared" si="9"/>
        <v>0</v>
      </c>
      <c r="Q32" s="210">
        <f t="shared" si="11"/>
        <v>42509</v>
      </c>
      <c r="R32" s="191">
        <v>9.5000000000000001E-2</v>
      </c>
      <c r="S32" s="192" t="s">
        <v>311</v>
      </c>
    </row>
    <row r="33" spans="1:19" s="187" customFormat="1" ht="17.25" customHeight="1">
      <c r="A33" s="181">
        <f t="shared" si="10"/>
        <v>7</v>
      </c>
      <c r="B33" s="188" t="s">
        <v>318</v>
      </c>
      <c r="C33" s="212">
        <v>42114</v>
      </c>
      <c r="D33" s="189">
        <v>46253</v>
      </c>
      <c r="E33" s="213">
        <v>1400000000</v>
      </c>
      <c r="F33" s="214"/>
      <c r="G33" s="213"/>
      <c r="H33" s="212">
        <v>42632</v>
      </c>
      <c r="I33" s="213">
        <v>11670000</v>
      </c>
      <c r="J33" s="214"/>
      <c r="K33" s="213">
        <f t="shared" si="6"/>
        <v>1388330000</v>
      </c>
      <c r="L33" s="214"/>
      <c r="M33" s="190">
        <f t="shared" si="7"/>
        <v>11452777.777777778</v>
      </c>
      <c r="N33" s="214"/>
      <c r="O33" s="162">
        <f t="shared" si="8"/>
        <v>0</v>
      </c>
      <c r="P33" s="162">
        <f t="shared" si="9"/>
        <v>0</v>
      </c>
      <c r="Q33" s="210">
        <f t="shared" si="11"/>
        <v>42509</v>
      </c>
      <c r="R33" s="191">
        <v>9.5000000000000001E-2</v>
      </c>
      <c r="S33" s="192" t="s">
        <v>311</v>
      </c>
    </row>
    <row r="34" spans="1:19" s="187" customFormat="1" ht="17.25" customHeight="1">
      <c r="A34" s="181">
        <f t="shared" si="10"/>
        <v>8</v>
      </c>
      <c r="B34" s="188" t="s">
        <v>319</v>
      </c>
      <c r="C34" s="212">
        <v>42138</v>
      </c>
      <c r="D34" s="189">
        <v>46253</v>
      </c>
      <c r="E34" s="213">
        <v>1500000000</v>
      </c>
      <c r="F34" s="214"/>
      <c r="G34" s="213"/>
      <c r="H34" s="212">
        <v>42632</v>
      </c>
      <c r="I34" s="213">
        <v>12500000</v>
      </c>
      <c r="J34" s="214"/>
      <c r="K34" s="213">
        <f t="shared" si="6"/>
        <v>1487500000</v>
      </c>
      <c r="L34" s="214"/>
      <c r="M34" s="190">
        <f t="shared" si="7"/>
        <v>12270833.333333334</v>
      </c>
      <c r="N34" s="214"/>
      <c r="O34" s="162">
        <f t="shared" si="8"/>
        <v>0</v>
      </c>
      <c r="P34" s="162">
        <f t="shared" si="9"/>
        <v>0</v>
      </c>
      <c r="Q34" s="210">
        <f t="shared" si="11"/>
        <v>42509</v>
      </c>
      <c r="R34" s="191">
        <v>9.5000000000000001E-2</v>
      </c>
      <c r="S34" s="192" t="s">
        <v>311</v>
      </c>
    </row>
    <row r="35" spans="1:19" s="187" customFormat="1" ht="17.25" customHeight="1">
      <c r="A35" s="181">
        <f t="shared" si="10"/>
        <v>9</v>
      </c>
      <c r="B35" s="188" t="s">
        <v>320</v>
      </c>
      <c r="C35" s="212">
        <v>42164</v>
      </c>
      <c r="D35" s="189">
        <v>46253</v>
      </c>
      <c r="E35" s="213">
        <v>1500000000</v>
      </c>
      <c r="F35" s="214"/>
      <c r="G35" s="213"/>
      <c r="H35" s="212">
        <v>42632</v>
      </c>
      <c r="I35" s="213">
        <v>12500000</v>
      </c>
      <c r="J35" s="214"/>
      <c r="K35" s="213">
        <f t="shared" si="6"/>
        <v>1487500000</v>
      </c>
      <c r="L35" s="214"/>
      <c r="M35" s="190">
        <f t="shared" si="7"/>
        <v>12270833.333333334</v>
      </c>
      <c r="N35" s="214"/>
      <c r="O35" s="162">
        <f t="shared" si="8"/>
        <v>0</v>
      </c>
      <c r="P35" s="162">
        <f t="shared" si="9"/>
        <v>0</v>
      </c>
      <c r="Q35" s="210">
        <f t="shared" si="11"/>
        <v>42509</v>
      </c>
      <c r="R35" s="191">
        <v>9.5000000000000001E-2</v>
      </c>
      <c r="S35" s="192" t="s">
        <v>311</v>
      </c>
    </row>
    <row r="36" spans="1:19" s="187" customFormat="1" ht="17.25" customHeight="1">
      <c r="A36" s="181">
        <f t="shared" si="10"/>
        <v>10</v>
      </c>
      <c r="B36" s="188" t="s">
        <v>321</v>
      </c>
      <c r="C36" s="212">
        <v>42187</v>
      </c>
      <c r="D36" s="189">
        <v>46253</v>
      </c>
      <c r="E36" s="213">
        <v>1500000000</v>
      </c>
      <c r="F36" s="214"/>
      <c r="G36" s="213"/>
      <c r="H36" s="212">
        <v>42632</v>
      </c>
      <c r="I36" s="213">
        <v>12500000</v>
      </c>
      <c r="J36" s="214"/>
      <c r="K36" s="213">
        <f t="shared" si="6"/>
        <v>1487500000</v>
      </c>
      <c r="L36" s="214"/>
      <c r="M36" s="190">
        <f t="shared" si="7"/>
        <v>12270833.333333334</v>
      </c>
      <c r="N36" s="214"/>
      <c r="O36" s="162">
        <f t="shared" si="8"/>
        <v>0</v>
      </c>
      <c r="P36" s="162">
        <f t="shared" si="9"/>
        <v>0</v>
      </c>
      <c r="Q36" s="210">
        <f t="shared" si="11"/>
        <v>42509</v>
      </c>
      <c r="R36" s="191">
        <v>9.5000000000000001E-2</v>
      </c>
      <c r="S36" s="192" t="s">
        <v>311</v>
      </c>
    </row>
    <row r="37" spans="1:19" s="187" customFormat="1" ht="17.25" customHeight="1">
      <c r="A37" s="181">
        <f t="shared" si="10"/>
        <v>11</v>
      </c>
      <c r="B37" s="188" t="s">
        <v>322</v>
      </c>
      <c r="C37" s="212">
        <v>42195</v>
      </c>
      <c r="D37" s="189">
        <v>46253</v>
      </c>
      <c r="E37" s="213">
        <v>1500000000</v>
      </c>
      <c r="F37" s="214"/>
      <c r="G37" s="213"/>
      <c r="H37" s="212">
        <v>42632</v>
      </c>
      <c r="I37" s="213">
        <v>12500000</v>
      </c>
      <c r="J37" s="214"/>
      <c r="K37" s="213">
        <f t="shared" si="6"/>
        <v>1487500000</v>
      </c>
      <c r="L37" s="214"/>
      <c r="M37" s="190">
        <f t="shared" si="7"/>
        <v>12270833.333333334</v>
      </c>
      <c r="N37" s="214"/>
      <c r="O37" s="162">
        <f t="shared" si="8"/>
        <v>0</v>
      </c>
      <c r="P37" s="162">
        <f t="shared" si="9"/>
        <v>0</v>
      </c>
      <c r="Q37" s="210">
        <f t="shared" si="11"/>
        <v>42509</v>
      </c>
      <c r="R37" s="191">
        <v>9.5000000000000001E-2</v>
      </c>
      <c r="S37" s="192" t="s">
        <v>311</v>
      </c>
    </row>
    <row r="38" spans="1:19" s="187" customFormat="1" ht="17.25" customHeight="1">
      <c r="A38" s="181">
        <f t="shared" si="10"/>
        <v>12</v>
      </c>
      <c r="B38" s="188" t="s">
        <v>323</v>
      </c>
      <c r="C38" s="212">
        <v>42215</v>
      </c>
      <c r="D38" s="189">
        <v>46253</v>
      </c>
      <c r="E38" s="213">
        <v>1000000000</v>
      </c>
      <c r="F38" s="214"/>
      <c r="G38" s="213"/>
      <c r="H38" s="212">
        <v>42632</v>
      </c>
      <c r="I38" s="213">
        <v>8330000</v>
      </c>
      <c r="J38" s="214"/>
      <c r="K38" s="213">
        <f t="shared" si="6"/>
        <v>991670000</v>
      </c>
      <c r="L38" s="214"/>
      <c r="M38" s="190">
        <f t="shared" si="7"/>
        <v>8180555.555555556</v>
      </c>
      <c r="N38" s="214"/>
      <c r="O38" s="162">
        <f t="shared" si="8"/>
        <v>0</v>
      </c>
      <c r="P38" s="162">
        <f t="shared" si="9"/>
        <v>0</v>
      </c>
      <c r="Q38" s="210">
        <f t="shared" si="11"/>
        <v>42509</v>
      </c>
      <c r="R38" s="191">
        <v>9.5000000000000001E-2</v>
      </c>
      <c r="S38" s="192" t="s">
        <v>311</v>
      </c>
    </row>
    <row r="39" spans="1:19" s="187" customFormat="1" ht="17.25" customHeight="1">
      <c r="A39" s="181">
        <f t="shared" si="10"/>
        <v>13</v>
      </c>
      <c r="B39" s="188" t="s">
        <v>324</v>
      </c>
      <c r="C39" s="212">
        <v>42229</v>
      </c>
      <c r="D39" s="189">
        <v>46253</v>
      </c>
      <c r="E39" s="213">
        <v>1000000000</v>
      </c>
      <c r="F39" s="214"/>
      <c r="G39" s="213"/>
      <c r="H39" s="212">
        <v>42632</v>
      </c>
      <c r="I39" s="213">
        <v>8330000</v>
      </c>
      <c r="J39" s="214"/>
      <c r="K39" s="213">
        <f t="shared" si="6"/>
        <v>991670000</v>
      </c>
      <c r="L39" s="214"/>
      <c r="M39" s="190">
        <f t="shared" si="7"/>
        <v>8180555.555555556</v>
      </c>
      <c r="N39" s="214"/>
      <c r="O39" s="162">
        <f t="shared" si="8"/>
        <v>0</v>
      </c>
      <c r="P39" s="162">
        <f t="shared" si="9"/>
        <v>0</v>
      </c>
      <c r="Q39" s="210">
        <f t="shared" si="11"/>
        <v>42509</v>
      </c>
      <c r="R39" s="191">
        <v>9.5000000000000001E-2</v>
      </c>
      <c r="S39" s="192" t="s">
        <v>311</v>
      </c>
    </row>
    <row r="40" spans="1:19" s="187" customFormat="1" ht="17.25" customHeight="1">
      <c r="A40" s="181">
        <f t="shared" si="10"/>
        <v>14</v>
      </c>
      <c r="B40" s="188" t="s">
        <v>325</v>
      </c>
      <c r="C40" s="212">
        <v>42362</v>
      </c>
      <c r="D40" s="212">
        <v>42545</v>
      </c>
      <c r="E40" s="213"/>
      <c r="F40" s="214">
        <v>88000</v>
      </c>
      <c r="G40" s="213"/>
      <c r="H40" s="212"/>
      <c r="I40" s="213"/>
      <c r="J40" s="214"/>
      <c r="K40" s="213">
        <f t="shared" si="6"/>
        <v>0</v>
      </c>
      <c r="L40" s="214">
        <f>F40</f>
        <v>88000</v>
      </c>
      <c r="M40" s="190">
        <f t="shared" si="7"/>
        <v>0</v>
      </c>
      <c r="N40" s="214"/>
      <c r="O40" s="162">
        <f>IF((LEFT(B40,4)="1402"),F40*R40*DATEDIF(Q40,O$1,"d")/360,0)</f>
        <v>303.11111111111109</v>
      </c>
      <c r="P40" s="162">
        <f t="shared" si="9"/>
        <v>0</v>
      </c>
      <c r="Q40" s="210">
        <f>DATEVALUE("16/"&amp;(MONTH($P$1)-1)&amp;"/16")</f>
        <v>42506</v>
      </c>
      <c r="R40" s="191">
        <v>0.04</v>
      </c>
      <c r="S40" s="192"/>
    </row>
    <row r="41" spans="1:19" s="187" customFormat="1" ht="17.25" hidden="1" customHeight="1">
      <c r="A41" s="181"/>
      <c r="B41" s="188"/>
      <c r="C41" s="212"/>
      <c r="D41" s="212"/>
      <c r="E41" s="213"/>
      <c r="F41" s="214"/>
      <c r="G41" s="213"/>
      <c r="H41" s="212"/>
      <c r="I41" s="213"/>
      <c r="J41" s="214"/>
      <c r="K41" s="213"/>
      <c r="L41" s="214"/>
      <c r="M41" s="213"/>
      <c r="N41" s="214"/>
      <c r="O41" s="214"/>
      <c r="P41" s="214"/>
      <c r="Q41" s="210"/>
      <c r="R41" s="191"/>
      <c r="S41" s="192"/>
    </row>
    <row r="42" spans="1:19" s="155" customFormat="1" ht="17.25" customHeight="1">
      <c r="A42" s="145"/>
      <c r="B42" s="157"/>
      <c r="C42" s="202"/>
      <c r="D42" s="202"/>
      <c r="E42" s="204"/>
      <c r="F42" s="203"/>
      <c r="G42" s="204"/>
      <c r="H42" s="202"/>
      <c r="I42" s="204"/>
      <c r="J42" s="203"/>
      <c r="K42" s="204"/>
      <c r="L42" s="203"/>
      <c r="M42" s="204"/>
      <c r="N42" s="203"/>
      <c r="O42" s="203"/>
      <c r="P42" s="203"/>
      <c r="Q42" s="147"/>
      <c r="R42" s="201"/>
      <c r="S42" s="164"/>
    </row>
    <row r="43" spans="1:19" s="209" customFormat="1" ht="17.25" customHeight="1">
      <c r="A43" s="261" t="s">
        <v>326</v>
      </c>
      <c r="B43" s="261"/>
      <c r="C43" s="206"/>
      <c r="D43" s="206"/>
      <c r="E43" s="176">
        <f>SUM(E26:E42)</f>
        <v>20000000000</v>
      </c>
      <c r="F43" s="177">
        <f>SUM(F26:F42)</f>
        <v>88000</v>
      </c>
      <c r="G43" s="176">
        <f>SUM(G26:G42)</f>
        <v>3045865000</v>
      </c>
      <c r="H43" s="177"/>
      <c r="I43" s="176">
        <f t="shared" ref="I43:P43" si="12">SUM(I26:I42)</f>
        <v>166680000</v>
      </c>
      <c r="J43" s="177">
        <f t="shared" si="12"/>
        <v>0</v>
      </c>
      <c r="K43" s="176">
        <f t="shared" si="12"/>
        <v>19833320000</v>
      </c>
      <c r="L43" s="177">
        <f t="shared" si="12"/>
        <v>88000</v>
      </c>
      <c r="M43" s="176">
        <f t="shared" si="12"/>
        <v>163611111.1111111</v>
      </c>
      <c r="N43" s="177">
        <f t="shared" si="12"/>
        <v>0</v>
      </c>
      <c r="O43" s="177">
        <f t="shared" si="12"/>
        <v>303.11111111111109</v>
      </c>
      <c r="P43" s="177">
        <f t="shared" si="12"/>
        <v>0</v>
      </c>
      <c r="Q43" s="207"/>
      <c r="R43" s="208"/>
      <c r="S43" s="179"/>
    </row>
    <row r="44" spans="1:19" ht="17.25" customHeight="1">
      <c r="F44" s="219"/>
    </row>
    <row r="45" spans="1:19" ht="17.25" customHeight="1">
      <c r="F45" s="216"/>
    </row>
    <row r="46" spans="1:19" ht="17.25" customHeight="1">
      <c r="F46" s="216"/>
    </row>
    <row r="47" spans="1:19" ht="17.25" customHeight="1">
      <c r="F47" s="216"/>
    </row>
    <row r="49" spans="1:19" ht="17.25" customHeight="1">
      <c r="F49" s="219"/>
    </row>
    <row r="57" spans="1:19" s="224" customFormat="1" ht="17.25" customHeight="1">
      <c r="A57" s="215"/>
      <c r="B57" s="216"/>
      <c r="C57" s="217"/>
      <c r="D57" s="217"/>
      <c r="E57" s="218"/>
      <c r="F57" s="222"/>
      <c r="G57" s="218"/>
      <c r="H57" s="220"/>
      <c r="I57" s="221"/>
      <c r="J57" s="221"/>
      <c r="K57" s="218"/>
      <c r="L57" s="222"/>
      <c r="M57" s="226"/>
      <c r="N57" s="226"/>
      <c r="O57" s="226"/>
      <c r="Q57" s="225"/>
      <c r="R57" s="225"/>
      <c r="S57" s="215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2016-09-14T02:40:48Z</cp:lastPrinted>
  <dcterms:created xsi:type="dcterms:W3CDTF">2016-07-02T08:51:17Z</dcterms:created>
  <dcterms:modified xsi:type="dcterms:W3CDTF">2016-09-14T09:16:44Z</dcterms:modified>
</cp:coreProperties>
</file>