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235" windowHeight="8700" tabRatio="847" activeTab="16"/>
  </bookViews>
  <sheets>
    <sheet name="IN-TC" sheetId="17" r:id="rId1"/>
    <sheet name="01" sheetId="3" r:id="rId2"/>
    <sheet name="02" sheetId="4" r:id="rId3"/>
    <sheet name="03" sheetId="9" r:id="rId4"/>
    <sheet name="04" sheetId="10" r:id="rId5"/>
    <sheet name="05" sheetId="11" r:id="rId6"/>
    <sheet name="06" sheetId="12" r:id="rId7"/>
    <sheet name="07" sheetId="13" r:id="rId8"/>
    <sheet name="08" sheetId="14" r:id="rId9"/>
    <sheet name="09" sheetId="5" r:id="rId10"/>
    <sheet name="10" sheetId="6" r:id="rId11"/>
    <sheet name="11" sheetId="7" r:id="rId12"/>
    <sheet name="12" sheetId="8" r:id="rId13"/>
    <sheet name="Q11-VND" sheetId="18" r:id="rId14"/>
    <sheet name="Q11-USD" sheetId="19" r:id="rId15"/>
    <sheet name="Q4-VND" sheetId="20" r:id="rId16"/>
    <sheet name="Q4-USD" sheetId="21" r:id="rId17"/>
    <sheet name="CT-VND" sheetId="22" r:id="rId18"/>
    <sheet name="CT-USD" sheetId="23" r:id="rId19"/>
  </sheets>
  <externalReferences>
    <externalReference r:id="rId20"/>
    <externalReference r:id="rId21"/>
  </externalReferences>
  <definedNames>
    <definedName name="_Dau">IF(Loai='CT-VND'!$K$6-1,ROW(Loai)-1,"")</definedName>
    <definedName name="_Dau1">IF(Loai1='CT-VND'!$K$6-1,ROW(Loai1)-1,IF(Loai1='CT-VND'!$K$6-2,ROW(Loai1)-1,IF(Loai1='CT-VND'!$K$6-3,ROW(Loai1)-1,IF(Loai1='CT-VND'!$K$6-4,ROW(Loai1)-1,0))))</definedName>
    <definedName name="_Dau2">IF(Loai2='CT-USD'!$M$6-1,ROW(Loai2)-1,IF(Loai2='CT-USD'!$M$6-2,ROW(Loai2)-1,IF(Loai2='CT-USD'!$M$6-3,ROW(Loai2)-1,IF(Loai2='CT-USD'!$M$6-4,ROW(Loai2)-1,IF(Loai2='CT-USD'!$M$6-5,ROW(Loai2)-1,0)))))</definedName>
    <definedName name="_Dau3" localSheetId="18">IF(Loai3='CT-USD'!$M$6-1,ROW(Loai3)-1,0)</definedName>
    <definedName name="_DSC5">'05'!$K$13:$K$61</definedName>
    <definedName name="_DSC6">'06'!$K$13:$K$80</definedName>
    <definedName name="_DSC7">'07'!$K$13:$K$87</definedName>
    <definedName name="_DSC8">'08'!$K$13:$K$83</definedName>
    <definedName name="_DSC9">'09'!$K$13:$K$76</definedName>
    <definedName name="_DSP1">'01'!$A$13:$A$47</definedName>
    <definedName name="_DSP10">'10'!$A$13:$A$96</definedName>
    <definedName name="_DSP11">'11'!$A$13:$A$72</definedName>
    <definedName name="_DSP12">'12'!$A$13:$A$94</definedName>
    <definedName name="_DSP2">'02'!$A$13:$A$60</definedName>
    <definedName name="_DSP3">'03'!$A$13:$A$75</definedName>
    <definedName name="_DSP4">'04'!$A$17:$A$69</definedName>
    <definedName name="_DSP5">'05'!$A$13:$A$80</definedName>
    <definedName name="_DSP6">'06'!$A$13:$A$99</definedName>
    <definedName name="_DSP7">'07'!$A$13:$A$87</definedName>
    <definedName name="_DSP8">'08'!$A$13:$A$97</definedName>
    <definedName name="_DSP9">'09'!$A$13:$A$95</definedName>
    <definedName name="_DST1">'01'!$J$13:$J$47</definedName>
    <definedName name="_DST10">'10'!$J$13:$J$80</definedName>
    <definedName name="_DST11">'11'!$J$13:$J$67</definedName>
    <definedName name="_DST12">'12'!$J$13:$J$94</definedName>
    <definedName name="_DST2">'02'!$J$13:$J$44</definedName>
    <definedName name="_DST3">'03'!$J$13:$J$51</definedName>
    <definedName name="_DST4">'04'!$J$17:$J$62</definedName>
    <definedName name="_DST5">'05'!$J$13:$J$61</definedName>
    <definedName name="_DST6">'06'!$J$13:$J$80</definedName>
    <definedName name="_DST7">'07'!$J$13:$J$87</definedName>
    <definedName name="_DST8">'08'!$J$13:$J$83</definedName>
    <definedName name="_DST9">'09'!$J$13:$J$76</definedName>
    <definedName name="_Fill" hidden="1">#REF!</definedName>
    <definedName name="_xlnm._FilterDatabase" localSheetId="1" hidden="1">'01'!$B$11:$M$49</definedName>
    <definedName name="_xlnm._FilterDatabase" localSheetId="2" hidden="1">'02'!$A$11:$M$52</definedName>
    <definedName name="_xlnm._FilterDatabase" localSheetId="3" hidden="1">'03'!$A$11:$P$53</definedName>
    <definedName name="_xlnm._FilterDatabase" localSheetId="4" hidden="1">'04'!$A$11:$N$87</definedName>
    <definedName name="_xlnm._FilterDatabase" localSheetId="5" hidden="1">'05'!$A$11:$N$60</definedName>
    <definedName name="_xlnm._FilterDatabase" localSheetId="6" hidden="1">'06'!$B$11:$M$82</definedName>
    <definedName name="_xlnm._FilterDatabase" localSheetId="7" hidden="1">'07'!$B$11:$M$90</definedName>
    <definedName name="_xlnm._FilterDatabase" localSheetId="8" hidden="1">'08'!$B$11:$M$85</definedName>
    <definedName name="_xlnm._FilterDatabase" localSheetId="9" hidden="1">'09'!$B$11:$M$78</definedName>
    <definedName name="_xlnm._FilterDatabase" localSheetId="10" hidden="1">'10'!$B$11:$M$82</definedName>
    <definedName name="_xlnm._FilterDatabase" localSheetId="11" hidden="1">'11'!$B$11:$M$66</definedName>
    <definedName name="_xlnm._FilterDatabase" localSheetId="12" hidden="1">'12'!$B$11:$M$94</definedName>
    <definedName name="_xlnm._FilterDatabase" localSheetId="18" hidden="1">'CT-USD'!$A$10:$K$78</definedName>
    <definedName name="_xlnm._FilterDatabase" localSheetId="17" hidden="1">'CT-VND'!$A$10:$I$100</definedName>
    <definedName name="_xlnm._FilterDatabase" localSheetId="14" hidden="1">'Q11-USD'!$A$10:$N$330</definedName>
    <definedName name="_xlnm._FilterDatabase" localSheetId="13" hidden="1">'Q11-VND'!$A$10:$N$737</definedName>
    <definedName name="_xlnm._FilterDatabase" localSheetId="16" hidden="1">'Q4-USD'!$B$10:$N$36</definedName>
    <definedName name="_xlnm._FilterDatabase" localSheetId="15" hidden="1">'Q4-VND'!$A$10:$M$79</definedName>
    <definedName name="Dong">IF(Loai='CT-VND'!$K$6,ROW(Loai)-1,"")</definedName>
    <definedName name="Dong1">IF(Loai2='CT-USD'!$M$6,ROW(Loai2)-1,"")</definedName>
    <definedName name="Dong2">IF(Loai1='CT-VND'!$K$6,ROW(Loai1)-1,"")</definedName>
    <definedName name="Dong3">IF(Loai3='CT-USD'!$M$6,ROW(Loai3)-1,"")</definedName>
    <definedName name="DSTM1">'01'!$A$13:$M$47</definedName>
    <definedName name="DSTM10">'10'!$A$13:$M$77</definedName>
    <definedName name="DSTM11">'11'!$A$13:$M$66</definedName>
    <definedName name="DSTM12">'12'!$A$13:$M$94</definedName>
    <definedName name="DSTM2">'02'!$A$13:$M$44</definedName>
    <definedName name="DSTM3">'03'!$A$13:$M$40</definedName>
    <definedName name="DSTM4">'04'!$A$17:$M$61</definedName>
    <definedName name="DSTM5">'05'!$A$13:$M$60</definedName>
    <definedName name="DSTM6">'06'!$A$13:$M$74</definedName>
    <definedName name="DSTM7">'07'!$A$13:$M$87</definedName>
    <definedName name="DSTM8">'08'!$A$13:$M$79</definedName>
    <definedName name="DSTM9">'09'!$A$13:$M$74</definedName>
    <definedName name="funtion1">IF('CT-USD'!$M$6=1,'Q11-USD'!$K$11,OFFSET('Q11-USD'!B$1,SMALL('CT-USD'!_Dau3,COUNT('CT-USD'!_Dau3)),))</definedName>
    <definedName name="funtion2">IF('CT-USD'!$M$6=1,'Q4-USD'!$K$11,OFFSET('Q4-USD'!B$1,SMALL([0]!_Dau2,COUNT([0]!_Dau2)),))</definedName>
    <definedName name="funtion3">IF('CT-VND'!$K$6=1,'Q11-VND'!$J$11,OFFSET('Q11-VND'!C$1,SMALL(_Dau,COUNT(_Dau)),))</definedName>
    <definedName name="funtion4">IF('CT-VND'!$K$6=1,'Q4-VND'!$J$11,OFFSET('Q4-VND'!C$1,SMALL(_Dau1,COUNT(_Dau1)),))</definedName>
    <definedName name="Loai">OFFSET('Q11-VND'!$A$12,,,COUNTA('Q11-VND'!$A$12:$A$40538))</definedName>
    <definedName name="Loai1">OFFSET('Q4-VND'!$A$12,,,COUNTA('Q4-VND'!$A$12:$A$40031))</definedName>
    <definedName name="Loai2">OFFSET('Q4-USD'!$A$12,,,COUNTA('Q4-USD'!$A$12:$A$40017))</definedName>
    <definedName name="Loai3">OFFSET('Q11-USD'!$A$12,,,COUNTA('Q11-USD'!$A$12:$A$40311))</definedName>
    <definedName name="_xlnm.Print_Area" localSheetId="1">'01'!$B$1:$M$59</definedName>
    <definedName name="_xlnm.Print_Area" localSheetId="2">'02'!$B$1:$M$52</definedName>
    <definedName name="_xlnm.Print_Area" localSheetId="3">'03'!$B$1:$M$63</definedName>
    <definedName name="_xlnm.Print_Area" localSheetId="4">'04'!$B$1:$M$72</definedName>
    <definedName name="_xlnm.Print_Area" localSheetId="5">'05'!$B$1:$M$73</definedName>
    <definedName name="_xlnm.Print_Area" localSheetId="6">'06'!$B$1:$M$92</definedName>
    <definedName name="_xlnm.Print_Area" localSheetId="7">'07'!$B$1:$M$100</definedName>
    <definedName name="_xlnm.Print_Area" localSheetId="18">'CT-USD'!$A$1:$K$88</definedName>
    <definedName name="_xlnm.Print_Area" localSheetId="17">'CT-VND'!$A$1:$I$129</definedName>
    <definedName name="_xlnm.Print_Area" localSheetId="0">'IN-TC'!$B$1:$O$26</definedName>
    <definedName name="_xlnm.Print_Area" localSheetId="14">'Q11-USD'!$B$1:$L$354</definedName>
    <definedName name="_xlnm.Print_Area" localSheetId="16">'Q4-USD'!$B$1:$L$45</definedName>
    <definedName name="_xlnm.Print_Area" localSheetId="15">'Q4-VND'!$A$8:$K$21</definedName>
    <definedName name="_xlnm.Print_Titles" localSheetId="1">'01'!$9:$11</definedName>
    <definedName name="_xlnm.Print_Titles" localSheetId="2">'02'!$9:$11</definedName>
    <definedName name="_xlnm.Print_Titles" localSheetId="3">'03'!$9:$11</definedName>
    <definedName name="_xlnm.Print_Titles" localSheetId="4">'04'!$9:$11</definedName>
    <definedName name="_xlnm.Print_Titles" localSheetId="5">'05'!$9:$11</definedName>
    <definedName name="_xlnm.Print_Titles" localSheetId="6">'06'!$9:$11</definedName>
    <definedName name="_xlnm.Print_Titles" localSheetId="7">'07'!$9:$11</definedName>
    <definedName name="_xlnm.Print_Titles" localSheetId="14">'Q11-USD'!$8:$10</definedName>
    <definedName name="_xlnm.Print_Titles" localSheetId="16">'Q4-USD'!$8:$10</definedName>
  </definedNames>
  <calcPr calcId="124519"/>
</workbook>
</file>

<file path=xl/calcChain.xml><?xml version="1.0" encoding="utf-8"?>
<calcChain xmlns="http://schemas.openxmlformats.org/spreadsheetml/2006/main">
  <c r="F13" i="21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12"/>
  <c r="A101" i="22"/>
  <c r="B101"/>
  <c r="C101"/>
  <c r="D101"/>
  <c r="E101"/>
  <c r="F101"/>
  <c r="G101"/>
  <c r="A102"/>
  <c r="B102"/>
  <c r="C102"/>
  <c r="D102"/>
  <c r="E102"/>
  <c r="F102"/>
  <c r="G102"/>
  <c r="A103"/>
  <c r="B103"/>
  <c r="C103"/>
  <c r="D103"/>
  <c r="E103"/>
  <c r="F103"/>
  <c r="G103"/>
  <c r="A104"/>
  <c r="B104"/>
  <c r="C104"/>
  <c r="D104"/>
  <c r="E104"/>
  <c r="F104"/>
  <c r="G104"/>
  <c r="A105"/>
  <c r="B105"/>
  <c r="C105"/>
  <c r="D105"/>
  <c r="E105"/>
  <c r="F105"/>
  <c r="G105"/>
  <c r="A73" i="20"/>
  <c r="A74"/>
  <c r="A53"/>
  <c r="A54"/>
  <c r="A75"/>
  <c r="J11"/>
  <c r="F13" i="19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12"/>
  <c r="A343"/>
  <c r="A344"/>
  <c r="A345"/>
  <c r="A346"/>
  <c r="A331"/>
  <c r="A332"/>
  <c r="A333"/>
  <c r="A334"/>
  <c r="A335"/>
  <c r="A336"/>
  <c r="A337"/>
  <c r="A338"/>
  <c r="A339"/>
  <c r="A340"/>
  <c r="A341"/>
  <c r="A342"/>
  <c r="K68" i="7"/>
  <c r="J68"/>
  <c r="K81" i="6"/>
  <c r="J81"/>
  <c r="A78"/>
  <c r="A79"/>
  <c r="K77" i="5"/>
  <c r="J77"/>
  <c r="A75"/>
  <c r="K84" i="14"/>
  <c r="J84"/>
  <c r="A80"/>
  <c r="A81"/>
  <c r="A82"/>
  <c r="K81" i="12"/>
  <c r="J81"/>
  <c r="A75"/>
  <c r="A76"/>
  <c r="A77"/>
  <c r="A78"/>
  <c r="A79"/>
  <c r="K12" i="2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A177" i="19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433" i="18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J96" i="8"/>
  <c r="K96"/>
  <c r="A94"/>
  <c r="A93"/>
  <c r="A92"/>
  <c r="A91"/>
  <c r="A90"/>
  <c r="A89"/>
  <c r="A88" i="13"/>
  <c r="A80"/>
  <c r="A81"/>
  <c r="A82"/>
  <c r="A83"/>
  <c r="A84"/>
  <c r="A85"/>
  <c r="A86"/>
  <c r="A87"/>
  <c r="A89"/>
  <c r="J89"/>
  <c r="K89"/>
  <c r="A75"/>
  <c r="A76"/>
  <c r="A77"/>
  <c r="A78"/>
  <c r="A79"/>
  <c r="A90"/>
  <c r="A68" i="14"/>
  <c r="A69"/>
  <c r="A62"/>
  <c r="A174" i="19" l="1"/>
  <c r="A171"/>
  <c r="A160"/>
  <c r="A161"/>
  <c r="A162"/>
  <c r="A76" i="14" l="1"/>
  <c r="A77"/>
  <c r="A49"/>
  <c r="A50"/>
  <c r="A71" l="1"/>
  <c r="A72"/>
  <c r="A67" l="1"/>
  <c r="A78"/>
  <c r="A79"/>
  <c r="A73"/>
  <c r="A48"/>
  <c r="A46"/>
  <c r="A37"/>
  <c r="A75"/>
  <c r="A65"/>
  <c r="A64"/>
  <c r="A61"/>
  <c r="A60"/>
  <c r="A55"/>
  <c r="A53"/>
  <c r="A47"/>
  <c r="A25"/>
  <c r="A24"/>
  <c r="A23"/>
  <c r="A21"/>
  <c r="A18"/>
  <c r="A19"/>
  <c r="A17"/>
  <c r="A15"/>
  <c r="A16"/>
  <c r="A14"/>
  <c r="J62" i="11"/>
  <c r="A53" i="12" l="1"/>
  <c r="A54"/>
  <c r="A55"/>
  <c r="A70"/>
  <c r="A71"/>
  <c r="A56"/>
  <c r="A57"/>
  <c r="A58"/>
  <c r="A59"/>
  <c r="A60"/>
  <c r="A61"/>
  <c r="A62"/>
  <c r="A63"/>
  <c r="A64"/>
  <c r="A14"/>
  <c r="A15"/>
  <c r="A16"/>
  <c r="A17"/>
  <c r="A18"/>
  <c r="A19"/>
  <c r="A20"/>
  <c r="A21"/>
  <c r="A22"/>
  <c r="A23"/>
  <c r="A24"/>
  <c r="A25"/>
  <c r="A14" i="13" l="1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67" i="20"/>
  <c r="A68"/>
  <c r="A69"/>
  <c r="A61" i="10" l="1"/>
  <c r="A146" i="19" l="1"/>
  <c r="A147"/>
  <c r="A144"/>
  <c r="A145"/>
  <c r="A148"/>
  <c r="A149"/>
  <c r="A150"/>
  <c r="A151"/>
  <c r="A152"/>
  <c r="A153"/>
  <c r="A154"/>
  <c r="A155"/>
  <c r="A156"/>
  <c r="A157"/>
  <c r="A158"/>
  <c r="A159"/>
  <c r="A163"/>
  <c r="A164"/>
  <c r="A165"/>
  <c r="A166"/>
  <c r="A167"/>
  <c r="A168"/>
  <c r="A169"/>
  <c r="A170"/>
  <c r="A172"/>
  <c r="A173"/>
  <c r="A175"/>
  <c r="A176"/>
  <c r="A388" i="18" l="1"/>
  <c r="A389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03"/>
  <c r="A404"/>
  <c r="A395"/>
  <c r="A396"/>
  <c r="A397"/>
  <c r="A398"/>
  <c r="A399"/>
  <c r="A400"/>
  <c r="A401"/>
  <c r="A402"/>
  <c r="A405"/>
  <c r="A406"/>
  <c r="A407"/>
  <c r="A408"/>
  <c r="A409"/>
  <c r="A410"/>
  <c r="A411"/>
  <c r="A412"/>
  <c r="A367"/>
  <c r="A368"/>
  <c r="A394"/>
  <c r="A393"/>
  <c r="A392"/>
  <c r="A292" l="1"/>
  <c r="A293"/>
  <c r="A355"/>
  <c r="A356"/>
  <c r="A34" i="12" l="1"/>
  <c r="J12" i="18" l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K12" i="19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J12" i="20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A257" i="18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7"/>
  <c r="A358"/>
  <c r="A359"/>
  <c r="A360"/>
  <c r="A361"/>
  <c r="A362"/>
  <c r="A363"/>
  <c r="A364"/>
  <c r="A365"/>
  <c r="A366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90"/>
  <c r="A391"/>
  <c r="A731"/>
  <c r="A732"/>
  <c r="A26" i="12"/>
  <c r="A27"/>
  <c r="A28"/>
  <c r="A30"/>
  <c r="A31"/>
  <c r="A32"/>
  <c r="A33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65"/>
  <c r="A66"/>
  <c r="A67"/>
  <c r="A68"/>
  <c r="A69"/>
  <c r="A72"/>
  <c r="A73"/>
  <c r="A74"/>
  <c r="A29"/>
  <c r="A80"/>
  <c r="A81"/>
  <c r="A82"/>
  <c r="J53" i="20" l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K111" i="19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M110"/>
  <c r="J372" i="18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J521" s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s="1"/>
  <c r="J612" s="1"/>
  <c r="J613" s="1"/>
  <c r="J614" s="1"/>
  <c r="J615" s="1"/>
  <c r="J616" s="1"/>
  <c r="J617" s="1"/>
  <c r="J618" s="1"/>
  <c r="J619" s="1"/>
  <c r="J620" s="1"/>
  <c r="J621" s="1"/>
  <c r="J622" s="1"/>
  <c r="J623" s="1"/>
  <c r="J624" s="1"/>
  <c r="J625" s="1"/>
  <c r="J626" s="1"/>
  <c r="J627" s="1"/>
  <c r="J628" s="1"/>
  <c r="J629" s="1"/>
  <c r="J630" s="1"/>
  <c r="J631" s="1"/>
  <c r="J632" s="1"/>
  <c r="J633" s="1"/>
  <c r="J634" s="1"/>
  <c r="J635" s="1"/>
  <c r="J636" s="1"/>
  <c r="J637" s="1"/>
  <c r="J638" s="1"/>
  <c r="J639" s="1"/>
  <c r="J640" s="1"/>
  <c r="J641" s="1"/>
  <c r="J642" s="1"/>
  <c r="J643" s="1"/>
  <c r="J644" s="1"/>
  <c r="J645" s="1"/>
  <c r="J646" s="1"/>
  <c r="J647" s="1"/>
  <c r="J648" s="1"/>
  <c r="J649" s="1"/>
  <c r="J650" s="1"/>
  <c r="J651" s="1"/>
  <c r="J652" s="1"/>
  <c r="J653" s="1"/>
  <c r="J654" s="1"/>
  <c r="J655" s="1"/>
  <c r="J656" s="1"/>
  <c r="J657" s="1"/>
  <c r="J658" s="1"/>
  <c r="J659" s="1"/>
  <c r="J660" s="1"/>
  <c r="J661" s="1"/>
  <c r="J662" s="1"/>
  <c r="J663" s="1"/>
  <c r="J664" s="1"/>
  <c r="J665" s="1"/>
  <c r="J666" s="1"/>
  <c r="J667" s="1"/>
  <c r="J668" s="1"/>
  <c r="J669" s="1"/>
  <c r="J670" s="1"/>
  <c r="J671" s="1"/>
  <c r="J672" s="1"/>
  <c r="J673" s="1"/>
  <c r="J674" s="1"/>
  <c r="J675" s="1"/>
  <c r="J676" s="1"/>
  <c r="J677" s="1"/>
  <c r="J678" s="1"/>
  <c r="J679" s="1"/>
  <c r="J680" s="1"/>
  <c r="J681" s="1"/>
  <c r="J682" s="1"/>
  <c r="J683" s="1"/>
  <c r="J684" s="1"/>
  <c r="J685" s="1"/>
  <c r="J686" s="1"/>
  <c r="J687" s="1"/>
  <c r="J688" s="1"/>
  <c r="J689" s="1"/>
  <c r="J690" s="1"/>
  <c r="J691" s="1"/>
  <c r="J692" s="1"/>
  <c r="J693" s="1"/>
  <c r="J694" s="1"/>
  <c r="J695" s="1"/>
  <c r="J696" s="1"/>
  <c r="J697" s="1"/>
  <c r="J698" s="1"/>
  <c r="J699" s="1"/>
  <c r="J700" s="1"/>
  <c r="J701" s="1"/>
  <c r="J702" s="1"/>
  <c r="J703" s="1"/>
  <c r="J704" s="1"/>
  <c r="J705" s="1"/>
  <c r="J706" s="1"/>
  <c r="J707" s="1"/>
  <c r="J708" s="1"/>
  <c r="J709" s="1"/>
  <c r="J710" s="1"/>
  <c r="J711" s="1"/>
  <c r="J712" s="1"/>
  <c r="J713" s="1"/>
  <c r="J714" s="1"/>
  <c r="J715" s="1"/>
  <c r="J716" s="1"/>
  <c r="J717" s="1"/>
  <c r="J718" s="1"/>
  <c r="J719" s="1"/>
  <c r="J720" s="1"/>
  <c r="J721" s="1"/>
  <c r="J722" s="1"/>
  <c r="J723" s="1"/>
  <c r="J724" s="1"/>
  <c r="J725" s="1"/>
  <c r="J726" s="1"/>
  <c r="J727" s="1"/>
  <c r="J728" s="1"/>
  <c r="J729" s="1"/>
  <c r="L297"/>
  <c r="A141" i="19"/>
  <c r="A139"/>
  <c r="A140"/>
  <c r="A136"/>
  <c r="A135"/>
  <c r="A132"/>
  <c r="A133"/>
  <c r="A131"/>
  <c r="A130"/>
  <c r="A129"/>
  <c r="A128"/>
  <c r="A127"/>
  <c r="A126"/>
  <c r="A125"/>
  <c r="A124"/>
  <c r="A120"/>
  <c r="A119"/>
  <c r="A118"/>
  <c r="A117"/>
  <c r="A15" i="11" l="1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14" i="10" l="1"/>
  <c r="A15"/>
  <c r="A16"/>
  <c r="A17"/>
  <c r="A18"/>
  <c r="A19"/>
  <c r="A20"/>
  <c r="A21"/>
  <c r="A22"/>
  <c r="A23"/>
  <c r="A24"/>
  <c r="A25"/>
  <c r="A26"/>
  <c r="A27"/>
  <c r="A28"/>
  <c r="A29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30"/>
  <c r="A31"/>
  <c r="A32"/>
  <c r="A33"/>
  <c r="A62"/>
  <c r="A250" i="18" l="1"/>
  <c r="A251"/>
  <c r="A252"/>
  <c r="A253"/>
  <c r="A254"/>
  <c r="A255"/>
  <c r="A256"/>
  <c r="A236"/>
  <c r="A108" i="19" l="1"/>
  <c r="A107"/>
  <c r="A105"/>
  <c r="A106" l="1"/>
  <c r="A102"/>
  <c r="A104"/>
  <c r="A101"/>
  <c r="A97"/>
  <c r="A14" i="11" l="1"/>
  <c r="J63" i="10" l="1"/>
  <c r="A13"/>
  <c r="K63" l="1"/>
  <c r="K98" l="1"/>
  <c r="G123" i="22"/>
  <c r="J52" i="9"/>
  <c r="K52"/>
  <c r="J48" i="3"/>
  <c r="K48"/>
  <c r="J45" i="4"/>
  <c r="K45"/>
  <c r="A18" i="9"/>
  <c r="A12" i="18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7"/>
  <c r="A238"/>
  <c r="A239"/>
  <c r="A240"/>
  <c r="A241"/>
  <c r="A242"/>
  <c r="A243"/>
  <c r="A244"/>
  <c r="A245"/>
  <c r="A246"/>
  <c r="A247"/>
  <c r="A248"/>
  <c r="A249"/>
  <c r="L11"/>
  <c r="H731"/>
  <c r="I731"/>
  <c r="M11" i="19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N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8"/>
  <c r="A99"/>
  <c r="A100"/>
  <c r="A103"/>
  <c r="A109"/>
  <c r="A110"/>
  <c r="A111"/>
  <c r="A112"/>
  <c r="A113"/>
  <c r="A114"/>
  <c r="A115"/>
  <c r="A116"/>
  <c r="A121"/>
  <c r="A122"/>
  <c r="A123"/>
  <c r="A134"/>
  <c r="A137"/>
  <c r="A138"/>
  <c r="A142"/>
  <c r="A143"/>
  <c r="I348"/>
  <c r="J348"/>
  <c r="A12" i="20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5"/>
  <c r="A56"/>
  <c r="A57"/>
  <c r="A58"/>
  <c r="A59"/>
  <c r="A60"/>
  <c r="A61"/>
  <c r="A62"/>
  <c r="A63"/>
  <c r="A64"/>
  <c r="A65"/>
  <c r="A66"/>
  <c r="A70"/>
  <c r="A71"/>
  <c r="A72"/>
  <c r="H76"/>
  <c r="I76"/>
  <c r="A12" i="21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I38"/>
  <c r="J38"/>
  <c r="E6" i="22"/>
  <c r="C25"/>
  <c r="G43"/>
  <c r="C59"/>
  <c r="D68"/>
  <c r="E77"/>
  <c r="C86"/>
  <c r="G90"/>
  <c r="F136"/>
  <c r="E6" i="23"/>
  <c r="H12"/>
  <c r="H13"/>
  <c r="H14"/>
  <c r="H15"/>
  <c r="H16"/>
  <c r="H17"/>
  <c r="C18"/>
  <c r="H18"/>
  <c r="C19"/>
  <c r="H19"/>
  <c r="C20"/>
  <c r="H20"/>
  <c r="C21"/>
  <c r="H21"/>
  <c r="C22"/>
  <c r="H22"/>
  <c r="C23"/>
  <c r="H23"/>
  <c r="C24"/>
  <c r="H24"/>
  <c r="C25"/>
  <c r="H25"/>
  <c r="C26"/>
  <c r="H26"/>
  <c r="C27"/>
  <c r="H27"/>
  <c r="C28"/>
  <c r="H28"/>
  <c r="C29"/>
  <c r="H29"/>
  <c r="C30"/>
  <c r="H30"/>
  <c r="C31"/>
  <c r="H31"/>
  <c r="C32"/>
  <c r="H32"/>
  <c r="C33"/>
  <c r="H33"/>
  <c r="C34"/>
  <c r="H34"/>
  <c r="C35"/>
  <c r="H35"/>
  <c r="C36"/>
  <c r="H36"/>
  <c r="C37"/>
  <c r="H37"/>
  <c r="C38"/>
  <c r="H38"/>
  <c r="C39"/>
  <c r="H39"/>
  <c r="C40"/>
  <c r="H40"/>
  <c r="C41"/>
  <c r="H41"/>
  <c r="C42"/>
  <c r="H42"/>
  <c r="C43"/>
  <c r="H43"/>
  <c r="C44"/>
  <c r="H44"/>
  <c r="C45"/>
  <c r="H45"/>
  <c r="C46"/>
  <c r="H46"/>
  <c r="C47"/>
  <c r="H47"/>
  <c r="C48"/>
  <c r="H48"/>
  <c r="C49"/>
  <c r="H49"/>
  <c r="C50"/>
  <c r="H50"/>
  <c r="I84"/>
  <c r="H97"/>
  <c r="L49" i="3"/>
  <c r="L12" i="4" s="1"/>
  <c r="L46" s="1"/>
  <c r="L12" i="9" s="1"/>
  <c r="A50"/>
  <c r="M7" i="17"/>
  <c r="L7"/>
  <c r="A13" i="3"/>
  <c r="A14"/>
  <c r="A15"/>
  <c r="A16"/>
  <c r="A17"/>
  <c r="A18"/>
  <c r="A14" i="9"/>
  <c r="A15"/>
  <c r="A16"/>
  <c r="A17"/>
  <c r="A20"/>
  <c r="A21"/>
  <c r="A22"/>
  <c r="A23"/>
  <c r="A24"/>
  <c r="A25"/>
  <c r="A26"/>
  <c r="A29"/>
  <c r="A30"/>
  <c r="A32"/>
  <c r="A33"/>
  <c r="A35"/>
  <c r="A36"/>
  <c r="A37"/>
  <c r="A38"/>
  <c r="A39"/>
  <c r="A42"/>
  <c r="A43"/>
  <c r="A44"/>
  <c r="A45"/>
  <c r="A13"/>
  <c r="A34"/>
  <c r="A40"/>
  <c r="A19"/>
  <c r="A27"/>
  <c r="A28"/>
  <c r="A31"/>
  <c r="A47" i="3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2"/>
  <c r="A21"/>
  <c r="A20"/>
  <c r="A19"/>
  <c r="A67" i="7"/>
  <c r="A49" i="9"/>
  <c r="A46"/>
  <c r="A47"/>
  <c r="A48"/>
  <c r="A41"/>
  <c r="A51"/>
  <c r="A24" i="4"/>
  <c r="A37"/>
  <c r="A30"/>
  <c r="A38"/>
  <c r="A42"/>
  <c r="A44"/>
  <c r="F60" i="3"/>
  <c r="C11" i="17"/>
  <c r="A14" i="8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13"/>
  <c r="A14" i="7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13"/>
  <c r="A14" i="6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13"/>
  <c r="A14" i="5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13"/>
  <c r="A20" i="14"/>
  <c r="A22"/>
  <c r="A26"/>
  <c r="A27"/>
  <c r="A28"/>
  <c r="A29"/>
  <c r="A30"/>
  <c r="A31"/>
  <c r="A32"/>
  <c r="A33"/>
  <c r="A34"/>
  <c r="A35"/>
  <c r="A36"/>
  <c r="A38"/>
  <c r="A39"/>
  <c r="A40"/>
  <c r="A41"/>
  <c r="A42"/>
  <c r="A43"/>
  <c r="A44"/>
  <c r="A45"/>
  <c r="A51"/>
  <c r="A52"/>
  <c r="A54"/>
  <c r="A56"/>
  <c r="A57"/>
  <c r="A58"/>
  <c r="A59"/>
  <c r="A63"/>
  <c r="A66"/>
  <c r="A70"/>
  <c r="A74"/>
  <c r="A13"/>
  <c r="A13" i="13"/>
  <c r="A13" i="12"/>
  <c r="A13" i="11"/>
  <c r="A14" i="4"/>
  <c r="A15"/>
  <c r="A16"/>
  <c r="A17"/>
  <c r="A18"/>
  <c r="A19"/>
  <c r="A20"/>
  <c r="A21"/>
  <c r="A22"/>
  <c r="A23"/>
  <c r="A25"/>
  <c r="A26"/>
  <c r="A27"/>
  <c r="A28"/>
  <c r="A29"/>
  <c r="A31"/>
  <c r="A32"/>
  <c r="A33"/>
  <c r="A34"/>
  <c r="A35"/>
  <c r="A36"/>
  <c r="A39"/>
  <c r="A40"/>
  <c r="A41"/>
  <c r="A43"/>
  <c r="A13"/>
  <c r="H17" i="17"/>
  <c r="M17"/>
  <c r="H4"/>
  <c r="L1"/>
  <c r="IE6"/>
  <c r="IF6" s="1"/>
  <c r="K62" i="11"/>
  <c r="K80" i="7"/>
  <c r="B2" i="14"/>
  <c r="B2" i="13"/>
  <c r="B2" i="12"/>
  <c r="B2" i="11"/>
  <c r="B2" i="10"/>
  <c r="B2" i="9"/>
  <c r="B2" i="4"/>
  <c r="M9" i="17"/>
  <c r="C12"/>
  <c r="C15"/>
  <c r="M8"/>
  <c r="H5"/>
  <c r="D13"/>
  <c r="C10"/>
  <c r="H11" i="22" l="1"/>
  <c r="A106"/>
  <c r="C106"/>
  <c r="E106"/>
  <c r="G106"/>
  <c r="B107"/>
  <c r="D107"/>
  <c r="F107"/>
  <c r="A108"/>
  <c r="H108" s="1"/>
  <c r="C108"/>
  <c r="E108"/>
  <c r="G108"/>
  <c r="B109"/>
  <c r="D109"/>
  <c r="F109"/>
  <c r="A110"/>
  <c r="H110" s="1"/>
  <c r="C110"/>
  <c r="E110"/>
  <c r="G110"/>
  <c r="B111"/>
  <c r="D111"/>
  <c r="F111"/>
  <c r="A112"/>
  <c r="H112" s="1"/>
  <c r="C112"/>
  <c r="E112"/>
  <c r="G112"/>
  <c r="B113"/>
  <c r="D113"/>
  <c r="F113"/>
  <c r="A114"/>
  <c r="H114" s="1"/>
  <c r="C114"/>
  <c r="E114"/>
  <c r="G114"/>
  <c r="B115"/>
  <c r="D115"/>
  <c r="F115"/>
  <c r="A116"/>
  <c r="H116" s="1"/>
  <c r="C116"/>
  <c r="E116"/>
  <c r="G116"/>
  <c r="B117"/>
  <c r="D117"/>
  <c r="F117"/>
  <c r="G117"/>
  <c r="B106"/>
  <c r="D106"/>
  <c r="F106"/>
  <c r="A107"/>
  <c r="H107" s="1"/>
  <c r="C107"/>
  <c r="E107"/>
  <c r="G107"/>
  <c r="B108"/>
  <c r="D108"/>
  <c r="F108"/>
  <c r="A109"/>
  <c r="H109" s="1"/>
  <c r="C109"/>
  <c r="E109"/>
  <c r="G109"/>
  <c r="B110"/>
  <c r="D110"/>
  <c r="F110"/>
  <c r="A111"/>
  <c r="H111" s="1"/>
  <c r="C111"/>
  <c r="E111"/>
  <c r="G111"/>
  <c r="B112"/>
  <c r="D112"/>
  <c r="F112"/>
  <c r="A113"/>
  <c r="H113" s="1"/>
  <c r="C113"/>
  <c r="E113"/>
  <c r="G113"/>
  <c r="B114"/>
  <c r="D114"/>
  <c r="F114"/>
  <c r="A115"/>
  <c r="H115" s="1"/>
  <c r="C115"/>
  <c r="E115"/>
  <c r="G115"/>
  <c r="B116"/>
  <c r="D116"/>
  <c r="F116"/>
  <c r="A117"/>
  <c r="H117" s="1"/>
  <c r="C117"/>
  <c r="E117"/>
  <c r="F34"/>
  <c r="E88"/>
  <c r="B82"/>
  <c r="A73"/>
  <c r="G63"/>
  <c r="A53"/>
  <c r="C12" i="23"/>
  <c r="E50"/>
  <c r="A50"/>
  <c r="E49"/>
  <c r="A49"/>
  <c r="E48"/>
  <c r="A48"/>
  <c r="E47"/>
  <c r="A47"/>
  <c r="E46"/>
  <c r="A46"/>
  <c r="E45"/>
  <c r="A45"/>
  <c r="E44"/>
  <c r="A44"/>
  <c r="E43"/>
  <c r="A43"/>
  <c r="E42"/>
  <c r="A42"/>
  <c r="E41"/>
  <c r="A41"/>
  <c r="E40"/>
  <c r="A40"/>
  <c r="E39"/>
  <c r="A39"/>
  <c r="E38"/>
  <c r="A38"/>
  <c r="E37"/>
  <c r="A37"/>
  <c r="E36"/>
  <c r="A36"/>
  <c r="E35"/>
  <c r="A35"/>
  <c r="E34"/>
  <c r="A34"/>
  <c r="E33"/>
  <c r="A33"/>
  <c r="E32"/>
  <c r="A32"/>
  <c r="E31"/>
  <c r="A31"/>
  <c r="E30"/>
  <c r="A30"/>
  <c r="E29"/>
  <c r="A29"/>
  <c r="E28"/>
  <c r="A28"/>
  <c r="E27"/>
  <c r="A27"/>
  <c r="E26"/>
  <c r="A26"/>
  <c r="E25"/>
  <c r="A25"/>
  <c r="E24"/>
  <c r="A24"/>
  <c r="E23"/>
  <c r="A23"/>
  <c r="E22"/>
  <c r="A22"/>
  <c r="E21"/>
  <c r="A21"/>
  <c r="E20"/>
  <c r="A20"/>
  <c r="E19"/>
  <c r="A19"/>
  <c r="E18"/>
  <c r="A18"/>
  <c r="C17"/>
  <c r="C16"/>
  <c r="C15"/>
  <c r="C14"/>
  <c r="C13"/>
  <c r="E14" i="22"/>
  <c r="F89"/>
  <c r="D87"/>
  <c r="D84"/>
  <c r="G79"/>
  <c r="C75"/>
  <c r="F70"/>
  <c r="B66"/>
  <c r="E61"/>
  <c r="A57"/>
  <c r="D48"/>
  <c r="C39"/>
  <c r="B30"/>
  <c r="A20"/>
  <c r="A59" i="23"/>
  <c r="J59" s="1"/>
  <c r="C59"/>
  <c r="E59"/>
  <c r="H59"/>
  <c r="A60"/>
  <c r="J60" s="1"/>
  <c r="C60"/>
  <c r="E60"/>
  <c r="H60"/>
  <c r="A61"/>
  <c r="J61" s="1"/>
  <c r="C61"/>
  <c r="E61"/>
  <c r="H61"/>
  <c r="A62"/>
  <c r="J62" s="1"/>
  <c r="C62"/>
  <c r="E62"/>
  <c r="H62"/>
  <c r="A63"/>
  <c r="J63" s="1"/>
  <c r="C63"/>
  <c r="E63"/>
  <c r="H63"/>
  <c r="A64"/>
  <c r="J64" s="1"/>
  <c r="C64"/>
  <c r="E64"/>
  <c r="H64"/>
  <c r="A65"/>
  <c r="J65" s="1"/>
  <c r="C65"/>
  <c r="E65"/>
  <c r="H65"/>
  <c r="A66"/>
  <c r="J66" s="1"/>
  <c r="C66"/>
  <c r="E66"/>
  <c r="H66"/>
  <c r="A67"/>
  <c r="J67" s="1"/>
  <c r="C67"/>
  <c r="E67"/>
  <c r="H67"/>
  <c r="A68"/>
  <c r="J68" s="1"/>
  <c r="C68"/>
  <c r="E68"/>
  <c r="H68"/>
  <c r="A69"/>
  <c r="J69" s="1"/>
  <c r="C69"/>
  <c r="E69"/>
  <c r="H69"/>
  <c r="A70"/>
  <c r="J70" s="1"/>
  <c r="C70"/>
  <c r="E70"/>
  <c r="H70"/>
  <c r="A71"/>
  <c r="J71" s="1"/>
  <c r="C71"/>
  <c r="E71"/>
  <c r="H71"/>
  <c r="A72"/>
  <c r="J72" s="1"/>
  <c r="C72"/>
  <c r="E72"/>
  <c r="H72"/>
  <c r="A73"/>
  <c r="J73" s="1"/>
  <c r="C73"/>
  <c r="E73"/>
  <c r="H73"/>
  <c r="A74"/>
  <c r="J74" s="1"/>
  <c r="C74"/>
  <c r="E74"/>
  <c r="H74"/>
  <c r="A75"/>
  <c r="J75" s="1"/>
  <c r="C75"/>
  <c r="E75"/>
  <c r="H75"/>
  <c r="A76"/>
  <c r="J76" s="1"/>
  <c r="C76"/>
  <c r="E76"/>
  <c r="H76"/>
  <c r="A77"/>
  <c r="J77" s="1"/>
  <c r="C77"/>
  <c r="E77"/>
  <c r="H77"/>
  <c r="A78"/>
  <c r="J78" s="1"/>
  <c r="C78"/>
  <c r="E78"/>
  <c r="H78"/>
  <c r="A51"/>
  <c r="C51"/>
  <c r="E51"/>
  <c r="H51"/>
  <c r="A52"/>
  <c r="C52"/>
  <c r="E52"/>
  <c r="H52"/>
  <c r="A53"/>
  <c r="C53"/>
  <c r="E53"/>
  <c r="H53"/>
  <c r="A54"/>
  <c r="C54"/>
  <c r="E54"/>
  <c r="H54"/>
  <c r="A55"/>
  <c r="C55"/>
  <c r="E55"/>
  <c r="H55"/>
  <c r="A56"/>
  <c r="C56"/>
  <c r="E56"/>
  <c r="H56"/>
  <c r="A57"/>
  <c r="C57"/>
  <c r="E57"/>
  <c r="H57"/>
  <c r="A58"/>
  <c r="C58"/>
  <c r="E58"/>
  <c r="H58"/>
  <c r="B59"/>
  <c r="D59"/>
  <c r="G59" s="1"/>
  <c r="F59"/>
  <c r="I59"/>
  <c r="B60"/>
  <c r="D60"/>
  <c r="G60" s="1"/>
  <c r="F60"/>
  <c r="I60"/>
  <c r="B61"/>
  <c r="D61"/>
  <c r="G61" s="1"/>
  <c r="F61"/>
  <c r="I61"/>
  <c r="B62"/>
  <c r="D62"/>
  <c r="G62" s="1"/>
  <c r="F62"/>
  <c r="I62"/>
  <c r="B63"/>
  <c r="D63"/>
  <c r="G63" s="1"/>
  <c r="F63"/>
  <c r="I63"/>
  <c r="B64"/>
  <c r="D64"/>
  <c r="G64" s="1"/>
  <c r="F64"/>
  <c r="I64"/>
  <c r="B65"/>
  <c r="D65"/>
  <c r="G65" s="1"/>
  <c r="F65"/>
  <c r="I65"/>
  <c r="B66"/>
  <c r="D66"/>
  <c r="G66" s="1"/>
  <c r="F66"/>
  <c r="I66"/>
  <c r="B67"/>
  <c r="D67"/>
  <c r="G67" s="1"/>
  <c r="F67"/>
  <c r="I67"/>
  <c r="B68"/>
  <c r="D68"/>
  <c r="G68" s="1"/>
  <c r="F68"/>
  <c r="I68"/>
  <c r="B69"/>
  <c r="D69"/>
  <c r="G69" s="1"/>
  <c r="F69"/>
  <c r="I69"/>
  <c r="B70"/>
  <c r="D70"/>
  <c r="G70" s="1"/>
  <c r="F70"/>
  <c r="I70"/>
  <c r="B71"/>
  <c r="D71"/>
  <c r="G71" s="1"/>
  <c r="F71"/>
  <c r="I71"/>
  <c r="B72"/>
  <c r="D72"/>
  <c r="G72" s="1"/>
  <c r="F72"/>
  <c r="I72"/>
  <c r="B73"/>
  <c r="D73"/>
  <c r="G73" s="1"/>
  <c r="F73"/>
  <c r="I73"/>
  <c r="B74"/>
  <c r="D74"/>
  <c r="G74" s="1"/>
  <c r="F74"/>
  <c r="I74"/>
  <c r="B75"/>
  <c r="D75"/>
  <c r="G75" s="1"/>
  <c r="F75"/>
  <c r="I75"/>
  <c r="B76"/>
  <c r="D76"/>
  <c r="G76" s="1"/>
  <c r="F76"/>
  <c r="I76"/>
  <c r="B77"/>
  <c r="D77"/>
  <c r="G77" s="1"/>
  <c r="F77"/>
  <c r="I77"/>
  <c r="B78"/>
  <c r="D78"/>
  <c r="G78" s="1"/>
  <c r="F78"/>
  <c r="I78"/>
  <c r="B51"/>
  <c r="D51"/>
  <c r="F51"/>
  <c r="I51"/>
  <c r="B52"/>
  <c r="D52"/>
  <c r="F52"/>
  <c r="I52"/>
  <c r="B53"/>
  <c r="D53"/>
  <c r="F53"/>
  <c r="I53"/>
  <c r="B54"/>
  <c r="D54"/>
  <c r="F54"/>
  <c r="I54"/>
  <c r="B55"/>
  <c r="D55"/>
  <c r="F55"/>
  <c r="I55"/>
  <c r="B56"/>
  <c r="D56"/>
  <c r="F56"/>
  <c r="I56"/>
  <c r="B57"/>
  <c r="D57"/>
  <c r="F57"/>
  <c r="I57"/>
  <c r="B58"/>
  <c r="D58"/>
  <c r="F58"/>
  <c r="I58"/>
  <c r="C17" i="22"/>
  <c r="C90"/>
  <c r="B89"/>
  <c r="A88"/>
  <c r="G86"/>
  <c r="E85"/>
  <c r="C83"/>
  <c r="A81"/>
  <c r="F78"/>
  <c r="D76"/>
  <c r="B74"/>
  <c r="G71"/>
  <c r="E69"/>
  <c r="C67"/>
  <c r="A65"/>
  <c r="F62"/>
  <c r="D60"/>
  <c r="B58"/>
  <c r="C55"/>
  <c r="F50"/>
  <c r="B46"/>
  <c r="E41"/>
  <c r="A37"/>
  <c r="D32"/>
  <c r="G27"/>
  <c r="E22"/>
  <c r="K38" i="21"/>
  <c r="K39" s="1"/>
  <c r="J11" i="23"/>
  <c r="A91" i="22"/>
  <c r="C91"/>
  <c r="E91"/>
  <c r="G91"/>
  <c r="B92"/>
  <c r="D92"/>
  <c r="F92"/>
  <c r="A93"/>
  <c r="C93"/>
  <c r="E93"/>
  <c r="G93"/>
  <c r="B94"/>
  <c r="D94"/>
  <c r="F94"/>
  <c r="A95"/>
  <c r="C95"/>
  <c r="E95"/>
  <c r="G95"/>
  <c r="B96"/>
  <c r="D96"/>
  <c r="F96"/>
  <c r="A97"/>
  <c r="C97"/>
  <c r="E97"/>
  <c r="G97"/>
  <c r="B98"/>
  <c r="D98"/>
  <c r="F98"/>
  <c r="A99"/>
  <c r="C99"/>
  <c r="E99"/>
  <c r="G99"/>
  <c r="B100"/>
  <c r="D100"/>
  <c r="F100"/>
  <c r="A12"/>
  <c r="A122" s="1"/>
  <c r="B91"/>
  <c r="D91"/>
  <c r="F91"/>
  <c r="A92"/>
  <c r="C92"/>
  <c r="E92"/>
  <c r="G92"/>
  <c r="B93"/>
  <c r="D93"/>
  <c r="F93"/>
  <c r="A94"/>
  <c r="C94"/>
  <c r="E94"/>
  <c r="G94"/>
  <c r="B95"/>
  <c r="D95"/>
  <c r="F95"/>
  <c r="A96"/>
  <c r="C96"/>
  <c r="E96"/>
  <c r="G96"/>
  <c r="B97"/>
  <c r="D97"/>
  <c r="F97"/>
  <c r="A98"/>
  <c r="C98"/>
  <c r="E98"/>
  <c r="G98"/>
  <c r="B99"/>
  <c r="D99"/>
  <c r="F99"/>
  <c r="A100"/>
  <c r="C100"/>
  <c r="E100"/>
  <c r="G100"/>
  <c r="F19"/>
  <c r="B54"/>
  <c r="G51"/>
  <c r="E49"/>
  <c r="C47"/>
  <c r="A45"/>
  <c r="F42"/>
  <c r="D40"/>
  <c r="B38"/>
  <c r="G35"/>
  <c r="E33"/>
  <c r="C31"/>
  <c r="A29"/>
  <c r="E26"/>
  <c r="A24"/>
  <c r="C21"/>
  <c r="E18"/>
  <c r="A16"/>
  <c r="C13"/>
  <c r="E17" i="23"/>
  <c r="A17"/>
  <c r="E16"/>
  <c r="A16"/>
  <c r="E15"/>
  <c r="A15"/>
  <c r="E14"/>
  <c r="A14"/>
  <c r="E13"/>
  <c r="A13"/>
  <c r="E12" i="22"/>
  <c r="E12" i="23"/>
  <c r="A12"/>
  <c r="A83" s="1"/>
  <c r="E90" i="22"/>
  <c r="A90"/>
  <c r="D89"/>
  <c r="G88"/>
  <c r="C88"/>
  <c r="F87"/>
  <c r="B87"/>
  <c r="E86"/>
  <c r="A86"/>
  <c r="A85"/>
  <c r="G83"/>
  <c r="F82"/>
  <c r="E81"/>
  <c r="D80"/>
  <c r="C79"/>
  <c r="B78"/>
  <c r="A77"/>
  <c r="G75"/>
  <c r="F74"/>
  <c r="E73"/>
  <c r="D72"/>
  <c r="C71"/>
  <c r="B70"/>
  <c r="A69"/>
  <c r="G67"/>
  <c r="F66"/>
  <c r="E65"/>
  <c r="D64"/>
  <c r="C63"/>
  <c r="B62"/>
  <c r="A61"/>
  <c r="G59"/>
  <c r="F58"/>
  <c r="E57"/>
  <c r="D56"/>
  <c r="F54"/>
  <c r="E53"/>
  <c r="D52"/>
  <c r="C51"/>
  <c r="B50"/>
  <c r="A49"/>
  <c r="G47"/>
  <c r="F46"/>
  <c r="E45"/>
  <c r="D44"/>
  <c r="C43"/>
  <c r="B42"/>
  <c r="A41"/>
  <c r="G39"/>
  <c r="F38"/>
  <c r="E37"/>
  <c r="D36"/>
  <c r="C35"/>
  <c r="B34"/>
  <c r="A33"/>
  <c r="G31"/>
  <c r="F30"/>
  <c r="E29"/>
  <c r="D28"/>
  <c r="C27"/>
  <c r="A26"/>
  <c r="E24"/>
  <c r="C23"/>
  <c r="A22"/>
  <c r="E20"/>
  <c r="C19"/>
  <c r="A18"/>
  <c r="E16"/>
  <c r="C15"/>
  <c r="A14"/>
  <c r="G55"/>
  <c r="F23"/>
  <c r="IR7" i="17"/>
  <c r="IR10" s="1"/>
  <c r="IQ7"/>
  <c r="IQ11" s="1"/>
  <c r="IP7"/>
  <c r="IO7"/>
  <c r="IO10" s="1"/>
  <c r="IK7"/>
  <c r="IK11" s="1"/>
  <c r="IM7"/>
  <c r="IJ7"/>
  <c r="II7"/>
  <c r="II10" s="1"/>
  <c r="IN7"/>
  <c r="IN11" s="1"/>
  <c r="J76" i="20"/>
  <c r="K348" i="19"/>
  <c r="F20" i="22"/>
  <c r="F22"/>
  <c r="F24"/>
  <c r="F26"/>
  <c r="B12"/>
  <c r="D12"/>
  <c r="G12"/>
  <c r="B13"/>
  <c r="D13"/>
  <c r="G13"/>
  <c r="B14"/>
  <c r="D14"/>
  <c r="G14"/>
  <c r="B15"/>
  <c r="D15"/>
  <c r="G15"/>
  <c r="B16"/>
  <c r="D16"/>
  <c r="G16"/>
  <c r="B17"/>
  <c r="D17"/>
  <c r="G17"/>
  <c r="B18"/>
  <c r="D18"/>
  <c r="G18"/>
  <c r="B19"/>
  <c r="D19"/>
  <c r="G19"/>
  <c r="B20"/>
  <c r="D20"/>
  <c r="G20"/>
  <c r="B21"/>
  <c r="D21"/>
  <c r="G21"/>
  <c r="B22"/>
  <c r="D22"/>
  <c r="G22"/>
  <c r="B23"/>
  <c r="D23"/>
  <c r="G23"/>
  <c r="B24"/>
  <c r="D24"/>
  <c r="G24"/>
  <c r="B25"/>
  <c r="D25"/>
  <c r="G25"/>
  <c r="B26"/>
  <c r="D26"/>
  <c r="G26"/>
  <c r="B27"/>
  <c r="D27"/>
  <c r="F27"/>
  <c r="A28"/>
  <c r="C28"/>
  <c r="E28"/>
  <c r="G28"/>
  <c r="B29"/>
  <c r="D29"/>
  <c r="F29"/>
  <c r="A30"/>
  <c r="C30"/>
  <c r="E30"/>
  <c r="G30"/>
  <c r="B31"/>
  <c r="D31"/>
  <c r="F31"/>
  <c r="A32"/>
  <c r="C32"/>
  <c r="E32"/>
  <c r="G32"/>
  <c r="B33"/>
  <c r="D33"/>
  <c r="F33"/>
  <c r="A34"/>
  <c r="C34"/>
  <c r="E34"/>
  <c r="G34"/>
  <c r="B35"/>
  <c r="D35"/>
  <c r="F35"/>
  <c r="A36"/>
  <c r="C36"/>
  <c r="E36"/>
  <c r="G36"/>
  <c r="B37"/>
  <c r="D37"/>
  <c r="F37"/>
  <c r="A38"/>
  <c r="C38"/>
  <c r="E38"/>
  <c r="G38"/>
  <c r="B39"/>
  <c r="D39"/>
  <c r="F39"/>
  <c r="A40"/>
  <c r="C40"/>
  <c r="E40"/>
  <c r="G40"/>
  <c r="B41"/>
  <c r="D41"/>
  <c r="F41"/>
  <c r="A42"/>
  <c r="C42"/>
  <c r="E42"/>
  <c r="G42"/>
  <c r="B43"/>
  <c r="D43"/>
  <c r="F43"/>
  <c r="A44"/>
  <c r="C44"/>
  <c r="E44"/>
  <c r="G44"/>
  <c r="B45"/>
  <c r="D45"/>
  <c r="F45"/>
  <c r="A46"/>
  <c r="C46"/>
  <c r="E46"/>
  <c r="G46"/>
  <c r="B47"/>
  <c r="D47"/>
  <c r="F47"/>
  <c r="A48"/>
  <c r="C48"/>
  <c r="E48"/>
  <c r="G48"/>
  <c r="B49"/>
  <c r="D49"/>
  <c r="F49"/>
  <c r="A50"/>
  <c r="C50"/>
  <c r="E50"/>
  <c r="G50"/>
  <c r="B51"/>
  <c r="D51"/>
  <c r="F51"/>
  <c r="A52"/>
  <c r="C52"/>
  <c r="E52"/>
  <c r="G52"/>
  <c r="B53"/>
  <c r="D53"/>
  <c r="F53"/>
  <c r="A54"/>
  <c r="C54"/>
  <c r="E54"/>
  <c r="G54"/>
  <c r="B55"/>
  <c r="D55"/>
  <c r="F55"/>
  <c r="A56"/>
  <c r="C56"/>
  <c r="E56"/>
  <c r="G56"/>
  <c r="B57"/>
  <c r="D57"/>
  <c r="F57"/>
  <c r="A58"/>
  <c r="C58"/>
  <c r="E58"/>
  <c r="G58"/>
  <c r="B59"/>
  <c r="D59"/>
  <c r="F59"/>
  <c r="A60"/>
  <c r="C60"/>
  <c r="E60"/>
  <c r="G60"/>
  <c r="B61"/>
  <c r="D61"/>
  <c r="F61"/>
  <c r="A62"/>
  <c r="C62"/>
  <c r="E62"/>
  <c r="G62"/>
  <c r="B63"/>
  <c r="D63"/>
  <c r="F63"/>
  <c r="A64"/>
  <c r="C64"/>
  <c r="E64"/>
  <c r="G64"/>
  <c r="B65"/>
  <c r="D65"/>
  <c r="F65"/>
  <c r="A66"/>
  <c r="C66"/>
  <c r="E66"/>
  <c r="G66"/>
  <c r="B67"/>
  <c r="D67"/>
  <c r="F67"/>
  <c r="A68"/>
  <c r="C68"/>
  <c r="E68"/>
  <c r="G68"/>
  <c r="B69"/>
  <c r="D69"/>
  <c r="F69"/>
  <c r="A70"/>
  <c r="C70"/>
  <c r="E70"/>
  <c r="G70"/>
  <c r="B71"/>
  <c r="D71"/>
  <c r="F71"/>
  <c r="A72"/>
  <c r="C72"/>
  <c r="E72"/>
  <c r="G72"/>
  <c r="B73"/>
  <c r="D73"/>
  <c r="F73"/>
  <c r="A74"/>
  <c r="C74"/>
  <c r="E74"/>
  <c r="G74"/>
  <c r="B75"/>
  <c r="D75"/>
  <c r="F75"/>
  <c r="A76"/>
  <c r="C76"/>
  <c r="E76"/>
  <c r="G76"/>
  <c r="B77"/>
  <c r="D77"/>
  <c r="F77"/>
  <c r="A78"/>
  <c r="C78"/>
  <c r="E78"/>
  <c r="G78"/>
  <c r="B79"/>
  <c r="D79"/>
  <c r="F79"/>
  <c r="A80"/>
  <c r="C80"/>
  <c r="E80"/>
  <c r="G80"/>
  <c r="B81"/>
  <c r="D81"/>
  <c r="F81"/>
  <c r="A82"/>
  <c r="C82"/>
  <c r="E82"/>
  <c r="G82"/>
  <c r="B83"/>
  <c r="D83"/>
  <c r="F83"/>
  <c r="A84"/>
  <c r="C84"/>
  <c r="E84"/>
  <c r="G84"/>
  <c r="B85"/>
  <c r="D85"/>
  <c r="F85"/>
  <c r="I50" i="23"/>
  <c r="F50"/>
  <c r="D50"/>
  <c r="B50"/>
  <c r="I49"/>
  <c r="F49"/>
  <c r="D49"/>
  <c r="B49"/>
  <c r="I48"/>
  <c r="F48"/>
  <c r="D48"/>
  <c r="B48"/>
  <c r="I47"/>
  <c r="F47"/>
  <c r="D47"/>
  <c r="B47"/>
  <c r="I46"/>
  <c r="F46"/>
  <c r="D46"/>
  <c r="B46"/>
  <c r="I45"/>
  <c r="F45"/>
  <c r="D45"/>
  <c r="B45"/>
  <c r="I44"/>
  <c r="F44"/>
  <c r="D44"/>
  <c r="B44"/>
  <c r="I43"/>
  <c r="F43"/>
  <c r="D43"/>
  <c r="B43"/>
  <c r="I42"/>
  <c r="F42"/>
  <c r="D42"/>
  <c r="B42"/>
  <c r="I41"/>
  <c r="F41"/>
  <c r="D41"/>
  <c r="B41"/>
  <c r="I40"/>
  <c r="F40"/>
  <c r="D40"/>
  <c r="B40"/>
  <c r="I39"/>
  <c r="F39"/>
  <c r="D39"/>
  <c r="B39"/>
  <c r="I38"/>
  <c r="F38"/>
  <c r="D38"/>
  <c r="B38"/>
  <c r="I37"/>
  <c r="F37"/>
  <c r="D37"/>
  <c r="B37"/>
  <c r="I36"/>
  <c r="F36"/>
  <c r="D36"/>
  <c r="B36"/>
  <c r="I35"/>
  <c r="F35"/>
  <c r="D35"/>
  <c r="B35"/>
  <c r="I34"/>
  <c r="F34"/>
  <c r="D34"/>
  <c r="B34"/>
  <c r="I33"/>
  <c r="F33"/>
  <c r="D33"/>
  <c r="B33"/>
  <c r="I32"/>
  <c r="F32"/>
  <c r="D32"/>
  <c r="B32"/>
  <c r="I31"/>
  <c r="F31"/>
  <c r="D31"/>
  <c r="B31"/>
  <c r="I30"/>
  <c r="F30"/>
  <c r="D30"/>
  <c r="B30"/>
  <c r="I29"/>
  <c r="F29"/>
  <c r="D29"/>
  <c r="B29"/>
  <c r="I28"/>
  <c r="F28"/>
  <c r="D28"/>
  <c r="B28"/>
  <c r="I27"/>
  <c r="F27"/>
  <c r="D27"/>
  <c r="B27"/>
  <c r="I26"/>
  <c r="F26"/>
  <c r="D26"/>
  <c r="B26"/>
  <c r="I25"/>
  <c r="F25"/>
  <c r="D25"/>
  <c r="B25"/>
  <c r="I24"/>
  <c r="F24"/>
  <c r="D24"/>
  <c r="B24"/>
  <c r="I23"/>
  <c r="F23"/>
  <c r="D23"/>
  <c r="B23"/>
  <c r="I22"/>
  <c r="F22"/>
  <c r="D22"/>
  <c r="B22"/>
  <c r="I21"/>
  <c r="F21"/>
  <c r="D21"/>
  <c r="B21"/>
  <c r="I20"/>
  <c r="F20"/>
  <c r="D20"/>
  <c r="B20"/>
  <c r="I19"/>
  <c r="F19"/>
  <c r="D19"/>
  <c r="B19"/>
  <c r="I18"/>
  <c r="F18"/>
  <c r="D18"/>
  <c r="B18"/>
  <c r="I17"/>
  <c r="F17"/>
  <c r="D17"/>
  <c r="B17"/>
  <c r="I16"/>
  <c r="F16"/>
  <c r="D16"/>
  <c r="B16"/>
  <c r="I15"/>
  <c r="F15"/>
  <c r="D15"/>
  <c r="B15"/>
  <c r="I14"/>
  <c r="F14"/>
  <c r="D14"/>
  <c r="B14"/>
  <c r="I13"/>
  <c r="F13"/>
  <c r="D13"/>
  <c r="B13"/>
  <c r="I12"/>
  <c r="F12"/>
  <c r="D12"/>
  <c r="B12"/>
  <c r="F90" i="22"/>
  <c r="D90"/>
  <c r="B90"/>
  <c r="G89"/>
  <c r="E89"/>
  <c r="C89"/>
  <c r="A89"/>
  <c r="F88"/>
  <c r="D88"/>
  <c r="B88"/>
  <c r="G87"/>
  <c r="E87"/>
  <c r="C87"/>
  <c r="A87"/>
  <c r="F86"/>
  <c r="D86"/>
  <c r="B86"/>
  <c r="G85"/>
  <c r="C85"/>
  <c r="F84"/>
  <c r="B84"/>
  <c r="E83"/>
  <c r="A83"/>
  <c r="D82"/>
  <c r="G81"/>
  <c r="C81"/>
  <c r="F80"/>
  <c r="B80"/>
  <c r="E79"/>
  <c r="A79"/>
  <c r="D78"/>
  <c r="G77"/>
  <c r="C77"/>
  <c r="F76"/>
  <c r="B76"/>
  <c r="E75"/>
  <c r="A75"/>
  <c r="D74"/>
  <c r="G73"/>
  <c r="C73"/>
  <c r="F72"/>
  <c r="B72"/>
  <c r="E71"/>
  <c r="A71"/>
  <c r="D70"/>
  <c r="G69"/>
  <c r="C69"/>
  <c r="F68"/>
  <c r="B68"/>
  <c r="E67"/>
  <c r="A67"/>
  <c r="D66"/>
  <c r="G65"/>
  <c r="C65"/>
  <c r="F64"/>
  <c r="B64"/>
  <c r="E63"/>
  <c r="A63"/>
  <c r="D62"/>
  <c r="G61"/>
  <c r="C61"/>
  <c r="F60"/>
  <c r="B60"/>
  <c r="E59"/>
  <c r="A59"/>
  <c r="D58"/>
  <c r="G57"/>
  <c r="C57"/>
  <c r="F56"/>
  <c r="B56"/>
  <c r="E55"/>
  <c r="A55"/>
  <c r="D54"/>
  <c r="G53"/>
  <c r="C53"/>
  <c r="F52"/>
  <c r="B52"/>
  <c r="E51"/>
  <c r="A51"/>
  <c r="D50"/>
  <c r="G49"/>
  <c r="C49"/>
  <c r="F48"/>
  <c r="B48"/>
  <c r="E47"/>
  <c r="A47"/>
  <c r="D46"/>
  <c r="G45"/>
  <c r="C45"/>
  <c r="F44"/>
  <c r="B44"/>
  <c r="E43"/>
  <c r="A43"/>
  <c r="D42"/>
  <c r="G41"/>
  <c r="C41"/>
  <c r="F40"/>
  <c r="B40"/>
  <c r="E39"/>
  <c r="A39"/>
  <c r="D38"/>
  <c r="G37"/>
  <c r="C37"/>
  <c r="F36"/>
  <c r="B36"/>
  <c r="E35"/>
  <c r="A35"/>
  <c r="D34"/>
  <c r="G33"/>
  <c r="C33"/>
  <c r="F32"/>
  <c r="B32"/>
  <c r="E31"/>
  <c r="A31"/>
  <c r="D30"/>
  <c r="G29"/>
  <c r="C29"/>
  <c r="F28"/>
  <c r="B28"/>
  <c r="E27"/>
  <c r="A27"/>
  <c r="C26"/>
  <c r="E25"/>
  <c r="A25"/>
  <c r="C24"/>
  <c r="E23"/>
  <c r="A23"/>
  <c r="C22"/>
  <c r="E21"/>
  <c r="A21"/>
  <c r="C20"/>
  <c r="E19"/>
  <c r="A19"/>
  <c r="C18"/>
  <c r="E17"/>
  <c r="A17"/>
  <c r="C16"/>
  <c r="E15"/>
  <c r="A15"/>
  <c r="C14"/>
  <c r="E13"/>
  <c r="A13"/>
  <c r="C12"/>
  <c r="F25"/>
  <c r="F21"/>
  <c r="F18"/>
  <c r="J731" i="18"/>
  <c r="J732" s="1"/>
  <c r="F17" i="22"/>
  <c r="F16"/>
  <c r="F14"/>
  <c r="F13"/>
  <c r="F15"/>
  <c r="F12"/>
  <c r="IG7" i="17"/>
  <c r="IL7"/>
  <c r="IH7"/>
  <c r="IQ10"/>
  <c r="IN10"/>
  <c r="IN8"/>
  <c r="IJ10"/>
  <c r="IK8"/>
  <c r="L13" i="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53" i="9"/>
  <c r="L12" i="10" s="1"/>
  <c r="L13" s="1"/>
  <c r="L13" i="9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H80" i="23"/>
  <c r="M16" i="17"/>
  <c r="C14"/>
  <c r="J77" i="20" l="1"/>
  <c r="M77"/>
  <c r="K349" i="19"/>
  <c r="K350" s="1"/>
  <c r="M350" s="1"/>
  <c r="G58" i="23"/>
  <c r="G57"/>
  <c r="G56"/>
  <c r="G55"/>
  <c r="G54"/>
  <c r="G53"/>
  <c r="G52"/>
  <c r="G51"/>
  <c r="I80"/>
  <c r="J80" s="1"/>
  <c r="J81" s="1"/>
  <c r="G43"/>
  <c r="G44"/>
  <c r="G45"/>
  <c r="G46"/>
  <c r="G47"/>
  <c r="G48"/>
  <c r="G49"/>
  <c r="G50"/>
  <c r="L14" i="10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G37" i="23"/>
  <c r="G38"/>
  <c r="G39"/>
  <c r="G40"/>
  <c r="G41"/>
  <c r="G42"/>
  <c r="G36"/>
  <c r="G34"/>
  <c r="G25"/>
  <c r="G29"/>
  <c r="IJ8" i="17"/>
  <c r="IJ11"/>
  <c r="IP8"/>
  <c r="IP11"/>
  <c r="IP10"/>
  <c r="IR8"/>
  <c r="IQ8"/>
  <c r="IM11"/>
  <c r="IM8"/>
  <c r="IM10"/>
  <c r="IO8"/>
  <c r="IO11" s="1"/>
  <c r="H12" i="22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G18" i="23"/>
  <c r="G27"/>
  <c r="G15"/>
  <c r="G20"/>
  <c r="G23"/>
  <c r="G30"/>
  <c r="G33"/>
  <c r="G35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G13"/>
  <c r="G17"/>
  <c r="G19"/>
  <c r="G21"/>
  <c r="G22"/>
  <c r="G26"/>
  <c r="G28"/>
  <c r="G31"/>
  <c r="G32"/>
  <c r="G119" i="22"/>
  <c r="G12" i="23"/>
  <c r="G14"/>
  <c r="G16"/>
  <c r="G24"/>
  <c r="F119" i="22"/>
  <c r="IH10" i="17"/>
  <c r="IH11"/>
  <c r="IH8"/>
  <c r="IG11"/>
  <c r="II8"/>
  <c r="II11" s="1"/>
  <c r="IG10"/>
  <c r="IG8"/>
  <c r="IL10"/>
  <c r="IK10"/>
  <c r="IL8"/>
  <c r="IL11" s="1"/>
  <c r="L64" i="10"/>
  <c r="L12" i="11" s="1"/>
  <c r="L63" l="1"/>
  <c r="L12" i="12" s="1"/>
  <c r="L82" s="1"/>
  <c r="L13" i="11"/>
  <c r="L14" s="1"/>
  <c r="L15" s="1"/>
  <c r="L16" s="1"/>
  <c r="H119" i="22"/>
  <c r="IF12" i="17"/>
  <c r="H120" i="22" l="1"/>
  <c r="L12" i="13"/>
  <c r="L90" s="1"/>
  <c r="L13" i="12"/>
  <c r="L17" i="1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0" i="10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14" i="12" l="1"/>
  <c r="L15" s="1"/>
  <c r="L16" s="1"/>
  <c r="L17" s="1"/>
  <c r="L18" s="1"/>
  <c r="L19" s="1"/>
  <c r="L20" s="1"/>
  <c r="L21" s="1"/>
  <c r="L22" s="1"/>
  <c r="L12" i="14"/>
  <c r="L13" i="1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34" i="1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77" i="13" l="1"/>
  <c r="L78" s="1"/>
  <c r="L79" s="1"/>
  <c r="L80" s="1"/>
  <c r="L81" s="1"/>
  <c r="L82" s="1"/>
  <c r="L83" s="1"/>
  <c r="L84" s="1"/>
  <c r="L85" s="1"/>
  <c r="L85" i="14"/>
  <c r="L12" i="5" s="1"/>
  <c r="L13" i="1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23" i="12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78" i="5" l="1"/>
  <c r="L12" i="6" s="1"/>
  <c r="L13" i="5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86" i="13"/>
  <c r="L87" s="1"/>
  <c r="L48" i="14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49" i="12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2" i="6" l="1"/>
  <c r="L12" i="7" s="1"/>
  <c r="L13" i="6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62" i="14"/>
  <c r="L63" s="1"/>
  <c r="L64" s="1"/>
  <c r="L65" s="1"/>
  <c r="L66" s="1"/>
  <c r="L67" s="1"/>
  <c r="L68" s="1"/>
  <c r="L69" s="1"/>
  <c r="L70" s="1"/>
  <c r="L71" s="1"/>
  <c r="L72" s="1"/>
  <c r="L69" i="7" l="1"/>
  <c r="L12" i="8" s="1"/>
  <c r="L13" i="7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73" i="14"/>
  <c r="L74" s="1"/>
  <c r="L75" s="1"/>
  <c r="L76" s="1"/>
  <c r="L77" s="1"/>
  <c r="L78" s="1"/>
  <c r="L79" s="1"/>
  <c r="L80" s="1"/>
  <c r="L81" s="1"/>
  <c r="L82" s="1"/>
  <c r="L97" i="8" l="1"/>
  <c r="L1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</calcChain>
</file>

<file path=xl/sharedStrings.xml><?xml version="1.0" encoding="utf-8"?>
<sst xmlns="http://schemas.openxmlformats.org/spreadsheetml/2006/main" count="6288" uniqueCount="796">
  <si>
    <t>Đơn vị: CÔNG TY TNHH HẢI SẢN AN LẠC</t>
  </si>
  <si>
    <t>Loại quỹ: Tiền mặt</t>
  </si>
  <si>
    <t>Số hiệu chứng từ</t>
  </si>
  <si>
    <t>Diễn giải</t>
  </si>
  <si>
    <t>Ghi chú</t>
  </si>
  <si>
    <t>Thu</t>
  </si>
  <si>
    <t>Chi</t>
  </si>
  <si>
    <t>A</t>
  </si>
  <si>
    <t>B</t>
  </si>
  <si>
    <t>C</t>
  </si>
  <si>
    <t>D</t>
  </si>
  <si>
    <t>E</t>
  </si>
  <si>
    <t>G</t>
  </si>
  <si>
    <t>Kế toán trưởng</t>
  </si>
  <si>
    <t>Giám đốc</t>
  </si>
  <si>
    <t>(Ký, họ tên)</t>
  </si>
  <si>
    <t>(Ký, họ tên, đóng dấu)</t>
  </si>
  <si>
    <t>SỔ KẾ TOÁN CHI TIẾT QUỸ TIỀN MẶT</t>
  </si>
  <si>
    <t>Tài khoản : 1111</t>
  </si>
  <si>
    <t>Đơn vị tính: đồng</t>
  </si>
  <si>
    <t>Ngày tháng ghi sổ</t>
  </si>
  <si>
    <t>Ngày tháng chứng từ</t>
  </si>
  <si>
    <t>TK đối ứng</t>
  </si>
  <si>
    <t>Số phát sinh</t>
  </si>
  <si>
    <t>Số tồn</t>
  </si>
  <si>
    <t>Nợ</t>
  </si>
  <si>
    <t>Có</t>
  </si>
  <si>
    <t>F</t>
  </si>
  <si>
    <t>- Số tồn đầu kỳ</t>
  </si>
  <si>
    <t>- Cộng số phát sinh trong kỳ</t>
  </si>
  <si>
    <t>x</t>
  </si>
  <si>
    <t>- Số tồn cuối kỳ</t>
  </si>
  <si>
    <t>- Sổ này có 03 trang, đánh từ trang 01 đến trang 03</t>
  </si>
  <si>
    <t>Người ghi sổ</t>
  </si>
  <si>
    <t>331</t>
  </si>
  <si>
    <t>1331</t>
  </si>
  <si>
    <t>1121</t>
  </si>
  <si>
    <t>3341</t>
  </si>
  <si>
    <t>3383</t>
  </si>
  <si>
    <t>T01</t>
  </si>
  <si>
    <t>T02</t>
  </si>
  <si>
    <t>T03</t>
  </si>
  <si>
    <t>T04</t>
  </si>
  <si>
    <t>T05</t>
  </si>
  <si>
    <t>T06</t>
  </si>
  <si>
    <t>Cước vận chuyển</t>
  </si>
  <si>
    <t>- Sổ này có 02 trang, đánh từ trang 01 đến trang 02</t>
  </si>
  <si>
    <t xml:space="preserve">                       </t>
  </si>
  <si>
    <t>Địa chỉ: Lô A14, Đường 4A - KCN Hải Sơn, Đức Hòa, Long An</t>
  </si>
  <si>
    <t>Xăng</t>
  </si>
  <si>
    <t>Nộp tiền vào TK</t>
  </si>
  <si>
    <t>VAT Nước</t>
  </si>
  <si>
    <t>Dầu DO</t>
  </si>
  <si>
    <t>154</t>
  </si>
  <si>
    <t>VAT nước</t>
  </si>
  <si>
    <t>VAT Xăng</t>
  </si>
  <si>
    <t>1388</t>
  </si>
  <si>
    <t>T07</t>
  </si>
  <si>
    <t>Nước</t>
  </si>
  <si>
    <t>T08</t>
  </si>
  <si>
    <t>T09</t>
  </si>
  <si>
    <t>Địa chỉ: Lô A14, Đường 4A, KCN Hải Sơn, Đức Hòa, Long An</t>
  </si>
  <si>
    <t>Quyển số: 01</t>
  </si>
  <si>
    <t>Nợ :</t>
  </si>
  <si>
    <t>Có :</t>
  </si>
  <si>
    <t>đồng.</t>
  </si>
  <si>
    <t>Số tiền</t>
  </si>
  <si>
    <t>Người lập phiếu</t>
  </si>
  <si>
    <t xml:space="preserve"> + Tỷ giá ngoại tệ (vàng, bạc, đá quý) : ………………………………………………………..............</t>
  </si>
  <si>
    <t xml:space="preserve"> + Số tiền quy đổi : ……………………………………………………………………………………..</t>
  </si>
  <si>
    <r>
      <t>(</t>
    </r>
    <r>
      <rPr>
        <i/>
        <sz val="11"/>
        <rFont val="Times New Roman"/>
        <family val="1"/>
      </rPr>
      <t>Ký, họ tên, đóng dấu</t>
    </r>
    <r>
      <rPr>
        <sz val="11"/>
        <rFont val="Times New Roman"/>
        <family val="1"/>
      </rPr>
      <t>)</t>
    </r>
  </si>
  <si>
    <r>
      <t>(</t>
    </r>
    <r>
      <rPr>
        <i/>
        <sz val="11"/>
        <rFont val="Times New Roman"/>
        <family val="1"/>
      </rPr>
      <t>Ký, họ tên</t>
    </r>
    <r>
      <rPr>
        <sz val="11"/>
        <rFont val="Times New Roman"/>
        <family val="1"/>
      </rPr>
      <t>)</t>
    </r>
  </si>
  <si>
    <r>
      <t>Đã nhận đủ số tiền (</t>
    </r>
    <r>
      <rPr>
        <i/>
        <sz val="11"/>
        <rFont val="Times New Roman"/>
        <family val="1"/>
      </rPr>
      <t xml:space="preserve">viết bằng chữ) </t>
    </r>
    <r>
      <rPr>
        <sz val="11"/>
        <rFont val="Times New Roman"/>
        <family val="1"/>
      </rPr>
      <t>:…………………………………………………………………………</t>
    </r>
  </si>
  <si>
    <t>Chứng từ gốc</t>
  </si>
  <si>
    <t>Người nhận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</si>
  <si>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</si>
  <si>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</si>
  <si>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</si>
  <si>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</si>
  <si>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</si>
  <si>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</si>
  <si>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</si>
  <si>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</si>
  <si>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</si>
  <si>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</si>
  <si>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</si>
  <si>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</si>
  <si>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</si>
  <si>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</si>
  <si>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</si>
  <si>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</si>
  <si>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</si>
  <si>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</si>
  <si>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</si>
  <si>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</si>
  <si>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</si>
  <si>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</si>
  <si>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</si>
  <si>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</si>
  <si>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</si>
  <si>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</si>
  <si>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</si>
  <si>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</si>
  <si>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</si>
  <si>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</si>
  <si>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</si>
  <si>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</si>
  <si>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</si>
  <si>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</si>
  <si>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</si>
  <si>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</si>
  <si>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</si>
  <si>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 xml:space="preserve">(Ban hành theo Thông tư số 200/2014/TT-BTC </t>
  </si>
  <si>
    <t>Ngày 22/12/2014 của Bộ Tài chính)</t>
  </si>
  <si>
    <t>Tháng</t>
  </si>
  <si>
    <t>Số</t>
  </si>
  <si>
    <t>Phiếu</t>
  </si>
  <si>
    <t>VNĐ</t>
  </si>
  <si>
    <t>VAT Phí cơ sở hạ tầng</t>
  </si>
  <si>
    <t>VAT Xăng, dầu</t>
  </si>
  <si>
    <t>141</t>
  </si>
  <si>
    <t>C38</t>
  </si>
  <si>
    <t>C39</t>
  </si>
  <si>
    <t>C40</t>
  </si>
  <si>
    <t>C41</t>
  </si>
  <si>
    <t>C42</t>
  </si>
  <si>
    <t>C43</t>
  </si>
  <si>
    <t>Đơn vị: Công Ty TNHH Hải Sản An Lạc</t>
  </si>
  <si>
    <t>Mẫu số: S06a – DNN</t>
  </si>
  <si>
    <t>Địa chỉ: Lô A14, Đường 4A, KCN Hải Sơn, Huyện Đức Hòa, Tỉnh Long An</t>
  </si>
  <si>
    <t>(Ban hành theo QĐ số: 48/2006/QĐ- BTC</t>
  </si>
  <si>
    <t>Ngày 14/9/2006 của Bộ trưởng BTC)</t>
  </si>
  <si>
    <t>SỔ TIỀN GỬI NGÂN HÀNG</t>
  </si>
  <si>
    <t>Nơi mở tài khoản giao dịch: Ngân Hàng Eximbank Quận 11</t>
  </si>
  <si>
    <t>Số hiệu tài khoản tại nơi gửi: 101514851009180    VNĐ</t>
  </si>
  <si>
    <t>Ngày, tháng ghi sổ</t>
  </si>
  <si>
    <t>Chứng từ</t>
  </si>
  <si>
    <t>Số hiệu</t>
  </si>
  <si>
    <t>Ngày, tháng</t>
  </si>
  <si>
    <t>Thu (gửi vào)</t>
  </si>
  <si>
    <t>Chi (rút ra)</t>
  </si>
  <si>
    <t>Còn lại</t>
  </si>
  <si>
    <t>- Số dư đầu kỳ</t>
  </si>
  <si>
    <t>BP</t>
  </si>
  <si>
    <t>1111</t>
  </si>
  <si>
    <t>GBN</t>
  </si>
  <si>
    <t>Mua ngoại tệ</t>
  </si>
  <si>
    <t>1122</t>
  </si>
  <si>
    <t>GBC</t>
  </si>
  <si>
    <t>Trả lãi KU 1015LDS201000102</t>
  </si>
  <si>
    <t>635</t>
  </si>
  <si>
    <t>Trả lãi KU 1015LDS201100376</t>
  </si>
  <si>
    <t>Trả lãi KU 1015LDS201100377</t>
  </si>
  <si>
    <t>Trả lãi KU 1015LDS201100378</t>
  </si>
  <si>
    <t>Phí dịch vụ</t>
  </si>
  <si>
    <t>VAT Phí dịch vụ</t>
  </si>
  <si>
    <t>3384</t>
  </si>
  <si>
    <t>Lãi tiền gửi</t>
  </si>
  <si>
    <t>515</t>
  </si>
  <si>
    <t>Phí kiểm đếm</t>
  </si>
  <si>
    <t>VAT Phí kiểm đếm</t>
  </si>
  <si>
    <t>- Số dư cuối kỳ</t>
  </si>
  <si>
    <t xml:space="preserve"> - Sổ này có 01 Trang, đánh số từ 01 đến số trang 01.</t>
  </si>
  <si>
    <t>Ngày 31 tháng 03 năm 2015</t>
  </si>
  <si>
    <t>Số hiệu tài khoản tại nơi gửi: 101514851009193    USD</t>
  </si>
  <si>
    <t>Tỷ giá</t>
  </si>
  <si>
    <t>131</t>
  </si>
  <si>
    <t>- Ngày mở sổ: 02/01/2015</t>
  </si>
  <si>
    <t>Nơi mở tài khoản giao dịch: Ngân Hàng Eximbank Quận 4</t>
  </si>
  <si>
    <t>Số hiệu tài khoản tại nơi gửi: 140214851009465    VNĐ</t>
  </si>
  <si>
    <t>Số hiệu tài khoản tại nơi gửi: 140214851009479    USD</t>
  </si>
  <si>
    <t>- Ngày mở sổ: 01/01/2014</t>
  </si>
  <si>
    <t>Ngày 30 tháng 01 năm 2014</t>
  </si>
  <si>
    <t>Mẫu số: S08 – DNN</t>
  </si>
  <si>
    <t>(Ban hành theo Thông tư số 200/2014/TT-BTC</t>
  </si>
  <si>
    <t xml:space="preserve">Số hiệu tài khoản tại nơi gửi: </t>
  </si>
  <si>
    <t>USD</t>
  </si>
  <si>
    <t>Thành tiền VNĐ</t>
  </si>
  <si>
    <t>Xét nghiệm nước</t>
  </si>
  <si>
    <t>VAT Xét nghiệm nước</t>
  </si>
  <si>
    <t>VAT xăng, dầu</t>
  </si>
  <si>
    <t>3334</t>
  </si>
  <si>
    <t>3388</t>
  </si>
  <si>
    <t>811</t>
  </si>
  <si>
    <t>Thanh toán tiền bao bì - Nghị Hòa</t>
  </si>
  <si>
    <t>Chuyển VNĐ</t>
  </si>
  <si>
    <t>Q11&amp;Q4</t>
  </si>
  <si>
    <t>Phí thanh toán</t>
  </si>
  <si>
    <t>VAT Phí thanh toán</t>
  </si>
  <si>
    <t>Nước, nước thải, phí CSHT</t>
  </si>
  <si>
    <t>VAT Dầu DO</t>
  </si>
  <si>
    <t>3338</t>
  </si>
  <si>
    <t>6422</t>
  </si>
  <si>
    <t>6421</t>
  </si>
  <si>
    <t>Chi TƯ mua NL - Nguyễn Văn Bé Hai</t>
  </si>
  <si>
    <t>Nộp tiền mặt vào TK</t>
  </si>
  <si>
    <t>Lệ phí làm thủ tục hải quan</t>
  </si>
  <si>
    <t>Thu vốn - AL Trà Vinh</t>
  </si>
  <si>
    <t>Lệ phí hải quan</t>
  </si>
  <si>
    <t>Phí dịch vụ bảo vệ</t>
  </si>
  <si>
    <t>VAT Phí dịch vụ bảo vệ</t>
  </si>
  <si>
    <t>Phí gia công</t>
  </si>
  <si>
    <t>VAT Phí gia công</t>
  </si>
  <si>
    <t>Nước, Phí CSHT</t>
  </si>
  <si>
    <t>VAT Phí CSHT</t>
  </si>
  <si>
    <t>Phí vận chuyển</t>
  </si>
  <si>
    <t>VAT Phí vận chuyển</t>
  </si>
  <si>
    <t>Hoàn vốn - Lê Thị Hoa</t>
  </si>
  <si>
    <t>Dầu</t>
  </si>
  <si>
    <t>Văn phòng phẩm các loại</t>
  </si>
  <si>
    <t>VAT Văn phòng phẩm các loại</t>
  </si>
  <si>
    <t>Đóng ruột thủ công hàng lạnh</t>
  </si>
  <si>
    <t>VAT Đóng ruột thủ công hàng lạnh</t>
  </si>
  <si>
    <t>Phí phân tích mẫu</t>
  </si>
  <si>
    <t>VAT Phí phân tích mẫu</t>
  </si>
  <si>
    <t>311</t>
  </si>
  <si>
    <t>Mua VPP</t>
  </si>
  <si>
    <t>VAT Mua VPP</t>
  </si>
  <si>
    <t>Sửa chữa xưởng</t>
  </si>
  <si>
    <t>Sữa chữa xưởng</t>
  </si>
  <si>
    <t>Chi phí tiếp khách</t>
  </si>
  <si>
    <t>C44</t>
  </si>
  <si>
    <t>C45</t>
  </si>
  <si>
    <t>C46</t>
  </si>
  <si>
    <t>Phí, lệ phí</t>
  </si>
  <si>
    <t>Phí chứng từ</t>
  </si>
  <si>
    <t>VAT Phí chứng từ</t>
  </si>
  <si>
    <t>Nộp tiền mặt</t>
  </si>
  <si>
    <t>VAT Xăng, Dầu</t>
  </si>
  <si>
    <t>C48</t>
  </si>
  <si>
    <t>T10</t>
  </si>
  <si>
    <t>3389</t>
  </si>
  <si>
    <t>Phí thông báo L/C</t>
  </si>
  <si>
    <t>VAT Phí thông báo L/C</t>
  </si>
  <si>
    <t>Trả lãi KU 1015LDS201301795</t>
  </si>
  <si>
    <t>Thanh toán cước vận chuyển và phí liên quan</t>
  </si>
  <si>
    <t>3335</t>
  </si>
  <si>
    <t>Phí thanh toán, kiểm đếm</t>
  </si>
  <si>
    <t>VAT Phí thanh toán, kiểm đếm</t>
  </si>
  <si>
    <t>Phí DHL</t>
  </si>
  <si>
    <t>VAT Phí DHL</t>
  </si>
  <si>
    <t xml:space="preserve">Phí thanh toán </t>
  </si>
  <si>
    <t>VAT phí thanh toán</t>
  </si>
  <si>
    <t>VAT phí thanh tooán</t>
  </si>
  <si>
    <t>VAT phí thông báo L/C</t>
  </si>
  <si>
    <t>Phí thông báo tu chỉnh L/C</t>
  </si>
  <si>
    <t>VAT Phí thông báo tu chỉnh L/C</t>
  </si>
  <si>
    <t>Hoàn vốn - Đặng Thành Thang</t>
  </si>
  <si>
    <t>Bán ngoại tệ</t>
  </si>
  <si>
    <t>Phí thương lượng chứng từ</t>
  </si>
  <si>
    <t>VAT Phí thương lượng chứng từ</t>
  </si>
  <si>
    <t>Trả lãi KU 1015LDS201301628</t>
  </si>
  <si>
    <t>Chuyển ngoại tệ</t>
  </si>
  <si>
    <t>Phí thông báo số dư tự động TK USD</t>
  </si>
  <si>
    <t>VAT Phí thông báo số dư tự động TK USD</t>
  </si>
  <si>
    <t>VAT phí dịch vụ</t>
  </si>
  <si>
    <t>Phí tu chỉnh L/C</t>
  </si>
  <si>
    <t>VAT Phí tu chỉnh L/C</t>
  </si>
  <si>
    <t>341</t>
  </si>
  <si>
    <t>Trả một phần gốc KU 1015LDS201100376</t>
  </si>
  <si>
    <t>Trả một phần gốc KU 1015LDS201100377</t>
  </si>
  <si>
    <t>Trả một phần gốc KU 1015LDS201100378</t>
  </si>
  <si>
    <t>Phí thông báo số dư tự động TK VNĐ</t>
  </si>
  <si>
    <t>VAT Phí thông báo số dư tự động TK VNĐ</t>
  </si>
  <si>
    <t>Cước VT - CNTT</t>
  </si>
  <si>
    <t>VAT Cước VT - CNTT</t>
  </si>
  <si>
    <t>Nước, nước thải, CSHT</t>
  </si>
  <si>
    <t>VAT nước, CSHT</t>
  </si>
  <si>
    <t>Thu lại tiền tạm ứng - Lê Đức Hiếu</t>
  </si>
  <si>
    <t>Rút tiền nhập quỹ</t>
  </si>
  <si>
    <t>Vận chuyển rác</t>
  </si>
  <si>
    <t>Nộp TM</t>
  </si>
  <si>
    <t>Chi TƯ mua NL - Nguyễn Viết Văn</t>
  </si>
  <si>
    <t>Vệ sinh công nghiệp</t>
  </si>
  <si>
    <t>Nộp thuế môn bài 2013</t>
  </si>
  <si>
    <t>Thuế TNDN quý 4</t>
  </si>
  <si>
    <t>Dịch vụ bảo vệ</t>
  </si>
  <si>
    <t>VAT Dịch vụ bảo vệ</t>
  </si>
  <si>
    <t>Sữa máy</t>
  </si>
  <si>
    <t>Phí gửi chứng từ</t>
  </si>
  <si>
    <t>VAT Phí gửi chứng từ</t>
  </si>
  <si>
    <t>Phí gữi mẫu</t>
  </si>
  <si>
    <t>VAT Phí gữi mẫu</t>
  </si>
  <si>
    <t>Trả tiền Gas - Tân Hải Việt</t>
  </si>
  <si>
    <t>Nguyên liệu PCCC</t>
  </si>
  <si>
    <t>Chi lương tháng 01/2013</t>
  </si>
  <si>
    <t>- Ngày mở sổ 02/01/2013</t>
  </si>
  <si>
    <t>Ngày 31 tháng  01  năm  2013</t>
  </si>
  <si>
    <t>- Ngày mở sổ 01/02/2013</t>
  </si>
  <si>
    <t>Ngày 31 tháng  02  năm  2013</t>
  </si>
  <si>
    <t>- Ngày mở sổ 01/03/2013</t>
  </si>
  <si>
    <t>Ngày 31 tháng  03  năm  2013</t>
  </si>
  <si>
    <t>- Ngày mở sổ 01/04/2013</t>
  </si>
  <si>
    <t>Ngày 30 tháng  04  năm  2013</t>
  </si>
  <si>
    <t>- Ngày mở sổ 01/05/2013</t>
  </si>
  <si>
    <t>Ngày 31 tháng  05  năm  2013</t>
  </si>
  <si>
    <t>- Ngày mở sổ 01/06/2013</t>
  </si>
  <si>
    <t>Ngày 30 tháng  06  năm  2013</t>
  </si>
  <si>
    <t>- Ngày mở sổ 01/07/2013</t>
  </si>
  <si>
    <t>Ngày 31 tháng  07  năm  2013</t>
  </si>
  <si>
    <t>- Ngày mở sổ 01/08/2013</t>
  </si>
  <si>
    <t>Ngày 31 tháng  08  năm  2013</t>
  </si>
  <si>
    <t>- Ngày mở sổ 01/09/2013</t>
  </si>
  <si>
    <t>Ngày 30 tháng  09  năm  2013</t>
  </si>
  <si>
    <t>- Ngày mở sổ 01/10/2013</t>
  </si>
  <si>
    <t>Ngày 31 tháng  10  năm  2013</t>
  </si>
  <si>
    <t>Ngày 31 tháng  11  năm  2013</t>
  </si>
  <si>
    <t>Thanh toán tiền điện kỳ 2 tháng 12/2013</t>
  </si>
  <si>
    <t>- Ngày mở sổ 01/12/2013</t>
  </si>
  <si>
    <t>Ngày 31 tháng  12  năm  2013</t>
  </si>
  <si>
    <t>VAT Nước,  CSHT</t>
  </si>
  <si>
    <t>Cước CNTT</t>
  </si>
  <si>
    <t>VAT Cước CNTT</t>
  </si>
  <si>
    <t>Phạt vi phạm hành chính HQ</t>
  </si>
  <si>
    <t>Phí chứng từ, xếp dỡ, EBS</t>
  </si>
  <si>
    <t>VAT Phí chứng từ, xếp dỡ, EBS</t>
  </si>
  <si>
    <t>Trả tiền bao bì - Quang Minh</t>
  </si>
  <si>
    <t>Nguyên liệu sữa chữa máy xưởng</t>
  </si>
  <si>
    <t>Nộp TK</t>
  </si>
  <si>
    <t>Điện kỳ 2/2/13</t>
  </si>
  <si>
    <t>VAT Điện kỳ 2/2/13</t>
  </si>
  <si>
    <t>Xét nghiệm mẫu</t>
  </si>
  <si>
    <t>VAT Xét nghiệm mẫu</t>
  </si>
  <si>
    <t>Phí bảo vệ</t>
  </si>
  <si>
    <t>VAT Phí bảo vệ</t>
  </si>
  <si>
    <t>Phí gởi thư</t>
  </si>
  <si>
    <t>VAT Phí gởi thư</t>
  </si>
  <si>
    <t>VAT Nước, CSHT</t>
  </si>
  <si>
    <t>Chi lương tháng 02/2013</t>
  </si>
  <si>
    <t>Văn phòng phẩm</t>
  </si>
  <si>
    <t>VAT Văn phòng phẩm</t>
  </si>
  <si>
    <t>Trả tiền băng keo - Ninh Phát</t>
  </si>
  <si>
    <t>Phí gửi mẫu</t>
  </si>
  <si>
    <t>VAT Phí gửi mẫu</t>
  </si>
  <si>
    <t>Phí xét nghiệm mậu nước</t>
  </si>
  <si>
    <t>VAT Phí xét nghiệm mậu nước</t>
  </si>
  <si>
    <t>Nop TM</t>
  </si>
  <si>
    <t>Sữa chữa kho xưởng</t>
  </si>
  <si>
    <t>Chi tiền chế độ BHXH</t>
  </si>
  <si>
    <t>Chi lương tháng 03/2013</t>
  </si>
  <si>
    <t>VAT CSHT</t>
  </si>
  <si>
    <t>Tiền form C/O</t>
  </si>
  <si>
    <t>VAT Tiền form C/O</t>
  </si>
  <si>
    <t>Sửa chữa kho xưởng</t>
  </si>
  <si>
    <t>Điện kì 1/04/13</t>
  </si>
  <si>
    <t>VAT Điện kì 1/04/13</t>
  </si>
  <si>
    <t>Khám sức khỏe công nhân</t>
  </si>
  <si>
    <t>Mua sổ sách kế toán</t>
  </si>
  <si>
    <t>VAT Mua sổ sách kế toán</t>
  </si>
  <si>
    <t>Phí xếp đõ, chứng từ Willtrade 2 - ESK</t>
  </si>
  <si>
    <t>VAT Phí xếp đõ, chứng từ Willtrade 2 - ESK</t>
  </si>
  <si>
    <t>Phí xếp dỡ, chứng từ, niêm chì Biovital</t>
  </si>
  <si>
    <t>VAT Phí xếp dỡ, chứng từ, niêm chì Biovital</t>
  </si>
  <si>
    <t>VAT Xâng, Dầu</t>
  </si>
  <si>
    <t>Tiền lương 4/13</t>
  </si>
  <si>
    <t>Cước giao nhận thư</t>
  </si>
  <si>
    <t>VAT Cước giao nhận thư</t>
  </si>
  <si>
    <t>Dịch vụ viễn thông</t>
  </si>
  <si>
    <t>VAT Dịch vụ viễn thông</t>
  </si>
  <si>
    <t>Tiền rác thải T04/13</t>
  </si>
  <si>
    <t>Tiền điện kỳ 2 T04/13</t>
  </si>
  <si>
    <t>VAT Tiền điện kỳ 2 T04/13</t>
  </si>
  <si>
    <t>Tiền điện kỳ 1 T05/13</t>
  </si>
  <si>
    <t>VAT Tiền điện kỳ 1 T05/13</t>
  </si>
  <si>
    <t>Phí xét nghiệm mẫu</t>
  </si>
  <si>
    <t>VAT Phí xét nghiệm mẫu</t>
  </si>
  <si>
    <t>Tiền điện kỳ 2 T05/13</t>
  </si>
  <si>
    <t>VAT Tiền điện kỳ 2 T05/13</t>
  </si>
  <si>
    <t>Phí xếp dỡ, niêm chì, ENS, Bill - Divtox 01</t>
  </si>
  <si>
    <t xml:space="preserve">VAT Phí xếp dỡ, niêm chì, ENS, Bill </t>
  </si>
  <si>
    <t>Xăng 95</t>
  </si>
  <si>
    <t>VAT Xăng 95</t>
  </si>
  <si>
    <t>Tiền rác thải T05/13</t>
  </si>
  <si>
    <t>Chi lương 5/13</t>
  </si>
  <si>
    <t>Cước VT tháng 5/2013</t>
  </si>
  <si>
    <t>VAT Cước VT tháng 5/2013</t>
  </si>
  <si>
    <t>Sửa chữa xe ô tô 51A-14174</t>
  </si>
  <si>
    <t>VAT Sửa chữa xe ô tô 51A-14174</t>
  </si>
  <si>
    <t>Xăng M95</t>
  </si>
  <si>
    <t>VAT Xăng M95</t>
  </si>
  <si>
    <t>Cước CPN T5/13</t>
  </si>
  <si>
    <t>VAT Cước CPN T5/13</t>
  </si>
  <si>
    <t>Xăng 92</t>
  </si>
  <si>
    <t>Thanh toán tiền vận chuyển - Speedgate</t>
  </si>
  <si>
    <t>chi tiền nghỉ ốm dài hạn - Lê Đức Hiếu</t>
  </si>
  <si>
    <t>Lương 6/13</t>
  </si>
  <si>
    <t>Thu vốn của bà Lê Thị Hoa</t>
  </si>
  <si>
    <t>4111</t>
  </si>
  <si>
    <t>Thu vốn của ông Nguyễn Thiện Duy</t>
  </si>
  <si>
    <t xml:space="preserve">VAT nước </t>
  </si>
  <si>
    <t>Cước VT-CNTT tháng 6/2013</t>
  </si>
  <si>
    <t>VAT Cước VT-CNTT tháng 6/2013</t>
  </si>
  <si>
    <t>Tiền rác thải T06/2013</t>
  </si>
  <si>
    <t>Phí phát hành bản tin</t>
  </si>
  <si>
    <t>Phí HC quả cân</t>
  </si>
  <si>
    <t>VAT Phí HC quả cân</t>
  </si>
  <si>
    <t>VAT phí xét nghiệm</t>
  </si>
  <si>
    <t>Cước CPN T 06/213</t>
  </si>
  <si>
    <t>VAT Cước CPN T 06/213</t>
  </si>
  <si>
    <t>Sửa chữa kho, xưởng</t>
  </si>
  <si>
    <t>Thẩm tra mẫu</t>
  </si>
  <si>
    <t>VAT Thẩm tra mẫu</t>
  </si>
  <si>
    <t>Tiền rác thải T07/2013</t>
  </si>
  <si>
    <t>Lương 7/13</t>
  </si>
  <si>
    <t>Cước VT-CNTT T07/2013</t>
  </si>
  <si>
    <t>VAT Cước VT-CNTT T07/2013</t>
  </si>
  <si>
    <t>VAT  Phí CSHT</t>
  </si>
  <si>
    <t>Cước CPN T07/2013</t>
  </si>
  <si>
    <t>VAT Cước CPN T07/2013</t>
  </si>
  <si>
    <t>Trả tiền băng keo - Tân Hồng Thanh</t>
  </si>
  <si>
    <t>Trả tiền đường - Toàn Thịnh Phát</t>
  </si>
  <si>
    <t>Trả tiền bột ngọt - Thành Long</t>
  </si>
  <si>
    <t>Phí Dịch vụ bảo vệ</t>
  </si>
  <si>
    <t>VAT Phí Dịch vụ bảo vệ</t>
  </si>
  <si>
    <t>Lương 8/13</t>
  </si>
  <si>
    <t>Khoá đào tạo HACCP</t>
  </si>
  <si>
    <t>Cước VT-CNTT T08/2013</t>
  </si>
  <si>
    <t>VAT Cước VT-CNTT T08/2013</t>
  </si>
  <si>
    <t>Trả tiền rác T08/2013</t>
  </si>
  <si>
    <t>Thu lại tiền trả dư - AAAS</t>
  </si>
  <si>
    <t>Mua máy vi tính</t>
  </si>
  <si>
    <t>VAT mua máy vi tính</t>
  </si>
  <si>
    <t>Trả tiền hũ ly - Nhựa Duy Tân</t>
  </si>
  <si>
    <t>Phí thẩm tra mẫu ghẹ tươi</t>
  </si>
  <si>
    <t>VAT Phí thẩm tra mẫu ghẹ tươi</t>
  </si>
  <si>
    <t>Thép mạ kẽm</t>
  </si>
  <si>
    <t>VAT Thép mạ kẽm</t>
  </si>
  <si>
    <t>Nộp vào NSNN: Lệ phí hải quan</t>
  </si>
  <si>
    <t>Trả tiền rác T09/2013</t>
  </si>
  <si>
    <t>Chi chế độ</t>
  </si>
  <si>
    <t>Lương T9/2013</t>
  </si>
  <si>
    <t>Cước VT-CNTT T09/2013</t>
  </si>
  <si>
    <t>VAT Cước VT-CNTT T09/2013</t>
  </si>
  <si>
    <t>Nước thải</t>
  </si>
  <si>
    <t>Dịch vụ chữ ký số VinaCA</t>
  </si>
  <si>
    <t>VAT Dịch vụ chữ ký số VinaCA</t>
  </si>
  <si>
    <t>Trả tiền thùng thiếc - Nam Việt</t>
  </si>
  <si>
    <t>Khám sức khoẻ tổng quát</t>
  </si>
  <si>
    <t>Tiền chậm nộp do ngành hải quan quản lý</t>
  </si>
  <si>
    <t>Mua Máy in HP Laserjet</t>
  </si>
  <si>
    <t>VAT Máy in HP Laserjet</t>
  </si>
  <si>
    <t>Chi lương 10/13</t>
  </si>
  <si>
    <t>Cước VT_CNTT T10/13</t>
  </si>
  <si>
    <t>VAT Cước VT_CNTT T10/13</t>
  </si>
  <si>
    <t>Cước CPN T10/13</t>
  </si>
  <si>
    <t>VAT Cước CPN T10/13</t>
  </si>
  <si>
    <t>Cước vận chuyển quốc tế</t>
  </si>
  <si>
    <t>Phí THC, CFS, AMS, IFS</t>
  </si>
  <si>
    <t>VAT Phí THC, CFS, AMS, IFS</t>
  </si>
  <si>
    <t>Trả tiền băng keo - Khang Thịnh Phước</t>
  </si>
  <si>
    <t>Sách hướng dẫn mới về thủ tục hải quan</t>
  </si>
  <si>
    <t>Phí dịch vụ bảo vệ T11/13</t>
  </si>
  <si>
    <t>VAT Phí dịch vụ bảo vệ T11/13</t>
  </si>
  <si>
    <t>Trả tiền muối - Tân Thành</t>
  </si>
  <si>
    <t>Trả tiền rác tháng 10 + 11/2013</t>
  </si>
  <si>
    <t>Chi lương 11/13</t>
  </si>
  <si>
    <t>Nước, nước thải, phí cơ sở hạ tầng</t>
  </si>
  <si>
    <t>VAT xăng, Dầu</t>
  </si>
  <si>
    <t>Cước VT_CNTT tháng 11/2013</t>
  </si>
  <si>
    <t>VAT Cước VT_CNTT tháng 11/2013</t>
  </si>
  <si>
    <t>Cước CPN tháng 11/2013</t>
  </si>
  <si>
    <t>VAT cước CPN tháng 11/2013</t>
  </si>
  <si>
    <t>VAT Chi phí tiếp khách</t>
  </si>
  <si>
    <t>Bảo dưỡng xe ô tô 51A-14174</t>
  </si>
  <si>
    <t>VAT Bảo dưỡng xe ô tô 51A-14174</t>
  </si>
  <si>
    <t>Mua văn phòng phẩm</t>
  </si>
  <si>
    <t>Mua sách thủ tục thông quan XNK</t>
  </si>
  <si>
    <t>Chi lương 12/13</t>
  </si>
  <si>
    <t>Thu lại tiền tạm ứng - Nguyễn Viết Văn</t>
  </si>
  <si>
    <t>Thu lại tiền tạm ứng - Nguyễn Văn Bé Hai</t>
  </si>
  <si>
    <t>Thuế TNCN - Nguyễn Thiện Duy</t>
  </si>
  <si>
    <t>Trả tiền mượn - Cha Su Jung</t>
  </si>
  <si>
    <t>Mẫu số S05b-DNN</t>
  </si>
  <si>
    <t>(Ban hành theo QĐ số 48/2006/QĐ-BTC Ngày 14/09/2006 của Bộ trưởng BTC)</t>
  </si>
  <si>
    <t>NH huỷ bút toán nhầm</t>
  </si>
  <si>
    <t>Tiền điện Kì 2 T12/12</t>
  </si>
  <si>
    <t>Phí thanh toán bổ sung</t>
  </si>
  <si>
    <t>VAT Phí thanh toán bổ sung</t>
  </si>
  <si>
    <t>Thanh toán tiền bao bì</t>
  </si>
  <si>
    <t>Mượn vốn</t>
  </si>
  <si>
    <t>Mua NT tất toán vay</t>
  </si>
  <si>
    <t>Tất toán lãi vay KU1015LDS201201746</t>
  </si>
  <si>
    <t>Bán NT</t>
  </si>
  <si>
    <t>Hoàn vốn</t>
  </si>
  <si>
    <t>THU</t>
  </si>
  <si>
    <t>Rút TM</t>
  </si>
  <si>
    <t>CHI</t>
  </si>
  <si>
    <t>Lãi 6/12-5/1/13 KU 1015LDS201100377</t>
  </si>
  <si>
    <t>Lãi 6/12-5/1/13 KU 1015LDS201100378</t>
  </si>
  <si>
    <t>Thu tiền hàng 30%</t>
  </si>
  <si>
    <t>Tiền điện Kì 2&amp;3 T1/12</t>
  </si>
  <si>
    <t>Thu tiền hàng</t>
  </si>
  <si>
    <t>Thanh toán tiền tàu</t>
  </si>
  <si>
    <t>Ứng/hoàn vốn</t>
  </si>
  <si>
    <t>Chuyển vốn</t>
  </si>
  <si>
    <t>Lãi 16/12-15/1/13 KU 1015LDS201200485</t>
  </si>
  <si>
    <t>Lãi TG</t>
  </si>
  <si>
    <t>Tất toán tiền hàng</t>
  </si>
  <si>
    <t>Phí thanh toán + kiểm đếm</t>
  </si>
  <si>
    <t>VAT Phí thanh toán + kiểm đếm</t>
  </si>
  <si>
    <t>Lãi 6/1-5/2/13 KU 1015LDS201000102</t>
  </si>
  <si>
    <t>Lãi 6/1-5/2/13 KU 1015LDS201100376</t>
  </si>
  <si>
    <t>Lãi 6/1-5/2/13 KU 1015LDS201100377</t>
  </si>
  <si>
    <t>Lãi 6/1-5/2/13 KU 1015LDS201100378</t>
  </si>
  <si>
    <t>Lãi 16/1-15/2/13 KU 1015LDS201200485</t>
  </si>
  <si>
    <t>Lãi 18/1-17/2/13 KU 1015LDS201201751</t>
  </si>
  <si>
    <t>Lãi 4/1-17/2/13 KU 1015LDS201300014</t>
  </si>
  <si>
    <t>Thanh toán tiền điện kỳ 1 tháng 2/2013</t>
  </si>
  <si>
    <t>Phí thanh tooán</t>
  </si>
  <si>
    <t>Thu dịch vụ thanh toán trong nước</t>
  </si>
  <si>
    <t>VAT phí thanh tốn</t>
  </si>
  <si>
    <t>BÁN NT</t>
  </si>
  <si>
    <t>Thanh toán cước tàu</t>
  </si>
  <si>
    <t>Thu dịch vụ thanh tốn trong nước</t>
  </si>
  <si>
    <t>Thanh tốn cước vận chuyển</t>
  </si>
  <si>
    <t>phí thanh tốn</t>
  </si>
  <si>
    <t>Thanh toán tiền bảo hiểm</t>
  </si>
  <si>
    <t>Thanh toán phí kiểm hàng 1/2013</t>
  </si>
  <si>
    <t>Rút tiền mặt</t>
  </si>
  <si>
    <t>Thanh tooán tiền hàng</t>
  </si>
  <si>
    <t>Thanh toán phí xử lý cá khô</t>
  </si>
  <si>
    <t>Tien dien ky 3 thang 2/2013</t>
  </si>
  <si>
    <t>Phí SMS</t>
  </si>
  <si>
    <t>VAT phí SMS</t>
  </si>
  <si>
    <t>Nộp bảo hiểm quý 4/2012 + Thng 1/2013</t>
  </si>
  <si>
    <t>Ung von</t>
  </si>
  <si>
    <t>Lai 16/02/2013 - 15/03/2013 KU 1015LDS201200485</t>
  </si>
  <si>
    <t>Lai PS tu ngay 18/02/2013 - 17/03/2013 KU 1015LDS201201751</t>
  </si>
  <si>
    <t>Lai PS tu ngay 18/02/2013 - 17/03/2013 KU 1015LDS201300014</t>
  </si>
  <si>
    <t>Trả tiền thi công sản xuất nhà vòm</t>
  </si>
  <si>
    <t>Tien dien ky 1 thang 3/2013</t>
  </si>
  <si>
    <t>Lai TG</t>
  </si>
  <si>
    <t>Thu tien hang</t>
  </si>
  <si>
    <t xml:space="preserve"> muon von</t>
  </si>
  <si>
    <t>Mua NT</t>
  </si>
  <si>
    <t>Lai tat toan KU 1015LDS201200485</t>
  </si>
  <si>
    <t>BAN NT</t>
  </si>
  <si>
    <t>Phi chuyển tiền</t>
  </si>
  <si>
    <t>VAT phí ch tiền</t>
  </si>
  <si>
    <t>TIen phi kiem hàng 2/2013</t>
  </si>
  <si>
    <t>Thanh toan tien bao bi</t>
  </si>
  <si>
    <t>Phi thanh toan</t>
  </si>
  <si>
    <t>VAT Phi thanh toan</t>
  </si>
  <si>
    <t>Hoan von</t>
  </si>
  <si>
    <t>Nop tien BHXH tháng 2/2013</t>
  </si>
  <si>
    <t>Nộp tiền BHYT tháng 2/2013</t>
  </si>
  <si>
    <t>Nộp tiền BHTN tháng 2/2013</t>
  </si>
  <si>
    <t>Phi thong bao L/C</t>
  </si>
  <si>
    <t>VAT Phi thong bao L/C</t>
  </si>
  <si>
    <t>Phí điều chỉnh LCT</t>
  </si>
  <si>
    <t>VAT Phí điều chỉnh LCT</t>
  </si>
  <si>
    <t>Tiền điện Kì 2 T3/13</t>
  </si>
  <si>
    <t>Lãi tất toán  KU1015LDS201201751</t>
  </si>
  <si>
    <t>Lãi 6/3-5/4/13 KU 1015LDS201000102</t>
  </si>
  <si>
    <t>Lãi 6/3-5/4/13 KU 1015LDS201100376</t>
  </si>
  <si>
    <t>Thanh toán tiền điện Kì 3 T3/13</t>
  </si>
  <si>
    <t>Thanh toán tiền sửa chữa cối đá</t>
  </si>
  <si>
    <t>Thanh toán tiền kiểm dịch T3/13</t>
  </si>
  <si>
    <t>Thanh toán tiền kiểm dịch DV T3/13</t>
  </si>
  <si>
    <t>Lãi 18/3-15/4/13 KU 1015LDS201300014</t>
  </si>
  <si>
    <t>Thanh toán tiền muối</t>
  </si>
  <si>
    <t>Lải 06/04 - 05/05/13 KU 1015LD201000102</t>
  </si>
  <si>
    <t>Lải 06/04 - 05/05/13 KU 1015LDS201100376</t>
  </si>
  <si>
    <t>Lãi 06/04 - 05/05/13 KU 1015LDS201100377</t>
  </si>
  <si>
    <t>Lãi 06/04 - 05/05/13 KU 1015LDS201100378</t>
  </si>
  <si>
    <t>Thanh toán điện Kỳ 3 T4/2013</t>
  </si>
  <si>
    <t>Phí thanht oán</t>
  </si>
  <si>
    <t>VAT Phí thanht oán</t>
  </si>
  <si>
    <t>Thanh toán cước vận chuyển</t>
  </si>
  <si>
    <t>Thanh toán tiền xử lý cá khô</t>
  </si>
  <si>
    <t>Nop tien BHXH đến tháng 3/2013</t>
  </si>
  <si>
    <t>Nộp tiền BHYT tháng 4/2013</t>
  </si>
  <si>
    <t>Nộp tiền BHTN tháng 4/2013</t>
  </si>
  <si>
    <t>Lãi 18/04 - 17/05/13 KU 1015LDS201300014</t>
  </si>
  <si>
    <t>Lãi 27/03 - 17/05/13 KU 1015LDS201300523</t>
  </si>
  <si>
    <t>Lãi 03/04 - 17/05/13 KU 1015LDS201300575</t>
  </si>
  <si>
    <t>Phí thông báo tu chỉnh LC</t>
  </si>
  <si>
    <t>VAT Phí thông báo tu chỉnh LC</t>
  </si>
  <si>
    <t>Thanh toán tiền duy trì sử dụng MSMV 89352265</t>
  </si>
  <si>
    <t>Ứng vốn</t>
  </si>
  <si>
    <t>Phí thanh toán trong nước</t>
  </si>
  <si>
    <t>VAT Phí thanh toán trong nước</t>
  </si>
  <si>
    <t>thanh toán tiền bao bì</t>
  </si>
  <si>
    <t>Thanh toán tiền vận chuyển</t>
  </si>
  <si>
    <t>Thanh toán tiền phí kiểm nghiệm T04/13</t>
  </si>
  <si>
    <t>Thu lãi KU 1015DLS201000102</t>
  </si>
  <si>
    <t>Thu lãi KU 1015DLS20100376</t>
  </si>
  <si>
    <t>Thu lãi KU 1015DLS20100377</t>
  </si>
  <si>
    <t>Thu lãi KU 1015DLS20100378</t>
  </si>
  <si>
    <t>Nộp tiền BHXH đến hết tháng 4/2013</t>
  </si>
  <si>
    <t>Nộp tiền BHYT đến T5/2013</t>
  </si>
  <si>
    <t>Nộp tiền BHTN đến T5/2013</t>
  </si>
  <si>
    <t>Phí chuyển tiền</t>
  </si>
  <si>
    <t>VAT</t>
  </si>
  <si>
    <t>Thanh toán cước vận chuyển T04/2013</t>
  </si>
  <si>
    <t>Điện kỳ 3 T05/2013</t>
  </si>
  <si>
    <t>Phí dịch vụ SMS</t>
  </si>
  <si>
    <t>Điện kỳ 1 T06/2013</t>
  </si>
  <si>
    <t>Điện kỳ 2 T06/2013</t>
  </si>
  <si>
    <t>Nộp thuế TNDN kỳ thuế 2012 + kỳ 1/2013</t>
  </si>
  <si>
    <t>Phạt chậm nộp và phạt VPHC, kỳ thuế 2013</t>
  </si>
  <si>
    <t>Thanh toán tiền phí kiểm nghiệm T02/2013</t>
  </si>
  <si>
    <t>Thanh toán tiền bảo hiểm MCE/00590039</t>
  </si>
  <si>
    <t>Thanh toán tiền thuốc diệt chuột</t>
  </si>
  <si>
    <t>Thanh toán phí kiểm nghiệm T 05/2013</t>
  </si>
  <si>
    <t>Mua NT trả nợ vay</t>
  </si>
  <si>
    <t>Lãi tất toán KU 1015LDS201300014</t>
  </si>
  <si>
    <t>Thanh toán tiền điện kỳ 2 T06/2013</t>
  </si>
  <si>
    <t>Nộp tiền BHXH đến T6/2013</t>
  </si>
  <si>
    <t>Nộp tiền BHYT đến T7/2013</t>
  </si>
  <si>
    <t>Nộp tiền BHTN đến T7/2013</t>
  </si>
  <si>
    <t>Trả tieền mượn</t>
  </si>
  <si>
    <t>Thu phí kiểm đếm</t>
  </si>
  <si>
    <t>VAT Thu phí kiểm đếm</t>
  </si>
  <si>
    <t>Điện kỳ 1 T7/2013</t>
  </si>
  <si>
    <t>Thanh toán tiền hộp ghẹ</t>
  </si>
  <si>
    <t>Thanh toán cước vận chuyển T4/2013</t>
  </si>
  <si>
    <t>Thanh toán tiền thuê xe</t>
  </si>
  <si>
    <t>Trả lãi vay từ ngày 18/06 - 17/07/2013 KU 1015LDS201300523</t>
  </si>
  <si>
    <t>Trả lãi vay từ ngày 18/06 - 17/07/2013 KU 1015LDS201300575</t>
  </si>
  <si>
    <t>Nộp thuế nhập khẩu TK 15: C554, K071, TM901</t>
  </si>
  <si>
    <t>3333</t>
  </si>
  <si>
    <t>Thanh toán phí kiểm nghiệm T 06/2013</t>
  </si>
  <si>
    <t>Thanh toán tiền bảo hiểm MCE/00593844</t>
  </si>
  <si>
    <t>Cho mượn vốn</t>
  </si>
  <si>
    <t>Điện kỳ 2 T 07/2013</t>
  </si>
  <si>
    <t>Thanh toán tiền điện kỳ 3 T07/2013</t>
  </si>
  <si>
    <t>Thanh toán tiền phí kiểm nghiệm T07/2013</t>
  </si>
  <si>
    <t>Thanh toán tiền phí kiểm nghiệm</t>
  </si>
  <si>
    <t>Trả lãi KU 1015LDS201300523</t>
  </si>
  <si>
    <t>Trả lãi KU 1015LDS201300575</t>
  </si>
  <si>
    <t>Trả lãi KU 1015LDS201301328</t>
  </si>
  <si>
    <t>Trả lãi KU 1015LDS201301388</t>
  </si>
  <si>
    <t>Thanh toán tiền điện kỳ 1 T08/2013</t>
  </si>
  <si>
    <t>Thanh toán tiền điện kỳ 2 T08/2013</t>
  </si>
  <si>
    <t>Thanh toán tiền bảo hiểm đơn số MCE/00618645</t>
  </si>
  <si>
    <t>Thanh toán tiền áo BHLĐ</t>
  </si>
  <si>
    <t>Thanh toán tiền điện kỳ 3 T08/2013</t>
  </si>
  <si>
    <t>Thanh toán tiền bao bì (thùng ghẹ)</t>
  </si>
  <si>
    <t>Thanh toán tiền sóng nhựa</t>
  </si>
  <si>
    <t>Thanh toán cước vận chuuyển và phí liên quan</t>
  </si>
  <si>
    <t>Nộp thuế TNDN quý II, kỳ thuế 2013</t>
  </si>
  <si>
    <t>Nộp phạt chậm nộp, kỳ thuế 2013</t>
  </si>
  <si>
    <t>Điện phí thanh toán, dịch vụ thanh toán ngoài nước</t>
  </si>
  <si>
    <t>VAT Điện phí thanh toán, dịch vụ thanh toán ngoài nước</t>
  </si>
  <si>
    <t>Trả lãi KU 1015LDS201000102 từ ngày 06/08-05/09/2013</t>
  </si>
  <si>
    <t>Trả lãi KU 1015LDS201100376 từ ngày 06/08-05/09/2013</t>
  </si>
  <si>
    <t>Trả lãi KU 1015LDS201100377 từ ngày 06/08-05/09/2013</t>
  </si>
  <si>
    <t>Trả lãi KU 1015LDS201100378 từ ngày 06/08-05/09/2013</t>
  </si>
  <si>
    <t>Phí điều chỉnh lệnh chuyển tiền</t>
  </si>
  <si>
    <t>VAT Phí điều chỉnh lệnh chuyển tiền</t>
  </si>
  <si>
    <t>Trả lãi KU 1015LDS201300575 từ ngày 18/08-17/09/2013</t>
  </si>
  <si>
    <t>Trả lãi KU 1015LDS201301328 từ ngày 18/08-17/09/2013</t>
  </si>
  <si>
    <t>Trả lãi KU 1015LDS201301388 từ ngày 18/08-17/09/2013</t>
  </si>
  <si>
    <t>Trả lãi KU 1015LDS201301628 từ ngày 18/08-17/09/2013</t>
  </si>
  <si>
    <t>Phí DV thông báo số dư tự động TK VND</t>
  </si>
  <si>
    <t>VAT Phí DV thông báo số dư tự động TK VND</t>
  </si>
  <si>
    <t>Thanh toán tiền điện kỳ 1 T09/2013</t>
  </si>
  <si>
    <t>Thanh toán tiền phí duy trì sử dụng phần mềm khai HQ điện tử từ 10/05/2012-10/05/2014</t>
  </si>
  <si>
    <t>Thanh toán tiền phí kiểm nghiệm T08/2013</t>
  </si>
  <si>
    <t>Mua ngoại tệ trả nợ vay cho ngân hàng KU số 10</t>
  </si>
  <si>
    <t>Trả lãi tất toán KU 1015LDS201300575</t>
  </si>
  <si>
    <t>Thu tiền UTXK</t>
  </si>
  <si>
    <t>Thanh toán tiền điện kỳ 3 T09/13</t>
  </si>
  <si>
    <t>Nộp tiền BHXH đến hết T07/2013</t>
  </si>
  <si>
    <t>Nộp tiền BHYT đến T09/2013</t>
  </si>
  <si>
    <t>Nộp tiền BHTN đến T09/2013</t>
  </si>
  <si>
    <t>Thanh toán tiền phí kiểm nghiệm T09/13</t>
  </si>
  <si>
    <t>Thanh toán tiền điện kỳ 1 T10/13</t>
  </si>
  <si>
    <t>BHXH cấp KP chi 3 chế độ</t>
  </si>
  <si>
    <t>Chuyển tiền</t>
  </si>
  <si>
    <t>Thanh toán tiền điện kỳ 2 T10/13</t>
  </si>
  <si>
    <t>Nộp thuế TNCN</t>
  </si>
  <si>
    <t>Nộp phạt chậm nộp thuế TNCN</t>
  </si>
  <si>
    <t>Nộp tiền BHXH đến hết T09/2013</t>
  </si>
  <si>
    <t>Nộp tiền BHYT đến  T 10 năm 2013</t>
  </si>
  <si>
    <t>Nộp tiền BNTN đến T10 năm 2013</t>
  </si>
  <si>
    <t>Thanh toán tiền bảo hiểm đơn số MCE/00638990 và MCE/00642083</t>
  </si>
  <si>
    <t>Thanh toán tiền điện kỳ 3 T10/2013</t>
  </si>
  <si>
    <t>Thanh toán tiền điện kỳ 1 T11/2013</t>
  </si>
  <si>
    <t>Thanh toán tiền thuốc diệt chuột - ruồi</t>
  </si>
  <si>
    <t>Nộp thuế TNDN quý III</t>
  </si>
  <si>
    <t>Thanh toán tiền phí kiểm nghiệm T10/2013</t>
  </si>
  <si>
    <t>Trả lãi KU 1015LDS201301328 PS từ ngày 18/10 - 17/11/2013</t>
  </si>
  <si>
    <t>Trả lãi KU 1015LDS201301388 PS từ ngày 18/10 - 17/11/2013</t>
  </si>
  <si>
    <t>Trả một phần gốc và  lãi KU 1015LDS201301628 PS từ ngày 18/10 - 17/11/2013</t>
  </si>
  <si>
    <t>Trả lãi KU 1015LDS201301795 PS từ ngày 18/10 - 17/11/2013</t>
  </si>
  <si>
    <t>Trả lãi KU 1015LDS201301994 PS từ ngày 01/10 - 17/11/2013</t>
  </si>
  <si>
    <t>Tiền hoàn thuế GTGT QĐ 2638/CT ngày 18/11/2013</t>
  </si>
  <si>
    <t>Thanh toán tiền điện kỳ 2 T11/2013</t>
  </si>
  <si>
    <t>Ứng trước tiền thuê xe</t>
  </si>
  <si>
    <t>Thanh toán tiền xử lý cá khô đến tháng 11/2013</t>
  </si>
  <si>
    <t>Trả lãi KU 1015LDS201100377 PS từ ngày 06/11 - 05/12/2013</t>
  </si>
  <si>
    <t>Trả lãi KU 1015LDS201100378 PS từ ngày 06/11 - 05/12/2013</t>
  </si>
  <si>
    <t>Thanh toàn tiền điện kỳ 3 tháng 11 và kỳ 1 tháng 12/2013</t>
  </si>
  <si>
    <t>Phí thông báo số dư tự động TK VNĐ từ 18/12/2013 - 18/03/2014</t>
  </si>
  <si>
    <t>VAT Phí thông báo số dư tự động TK VNĐ từ 18/12/2013 - 18/03/2014</t>
  </si>
  <si>
    <t>Rút tiền VNĐ nhập quỹ</t>
  </si>
  <si>
    <t>Trả lãi KU 1015LDS201301328 từ ngày 18/11 - 17/12/2013</t>
  </si>
  <si>
    <t>Trả lãi</t>
  </si>
  <si>
    <t>Trả lãi KU 1015LDS201301628 từ ngày 18/11 - 17/12/2013</t>
  </si>
  <si>
    <t>Trả lãi KU 1015LDS201301795 từ ngày 18/11 - 17/12/2013</t>
  </si>
  <si>
    <t>Trả lãi KU 1015LDS201301994 từ ngày 18/11 - 17/12/2013</t>
  </si>
  <si>
    <t>thanh toán cước vận chuyển và phí liên quan</t>
  </si>
  <si>
    <t>Thanh toán tiền phí kiểm nghiệm tháng 11/2013</t>
  </si>
  <si>
    <t>- Ngày mở sổ: 01/01/2013</t>
  </si>
  <si>
    <t>Ngày 31 tháng 03 năm 2013</t>
  </si>
  <si>
    <t>111</t>
  </si>
  <si>
    <t>Tiền điện kỳ 3 T12/12</t>
  </si>
  <si>
    <t>Thanh toán tiền kiểm dịch T12/12</t>
  </si>
  <si>
    <t>Tiền điện kỳ 1 T1/13</t>
  </si>
  <si>
    <t>VAT phí DV</t>
  </si>
  <si>
    <t>Phí DV</t>
  </si>
  <si>
    <t>Tiền điện kỳ 3 T1/13</t>
  </si>
  <si>
    <t>Tiền điện kỳ 2 T09/2013</t>
  </si>
  <si>
    <t>VAT Phí thông báo số dư tự dộng TK VNĐ</t>
  </si>
  <si>
    <t>VAT Phí thông báo số dư tự dộng TK USD</t>
  </si>
  <si>
    <t>Phí thông báo số dư tự dộng TK VNĐ</t>
  </si>
  <si>
    <t>Phí thông báo số dư tự dộng TK USD</t>
  </si>
  <si>
    <t>VAT Phí thông báo số dư tự động</t>
  </si>
  <si>
    <t>Phí thông báo số dư tự động</t>
  </si>
  <si>
    <t>- Ngày mở sổ: 21/11/2013</t>
  </si>
  <si>
    <t>Ngày 30 tháng 11 năm 2013</t>
  </si>
  <si>
    <t>Tất toán vay KU1015LDS201201746</t>
  </si>
  <si>
    <t>Thu tiền L/C</t>
  </si>
  <si>
    <t>Tiền vay KU1015LDS201300014</t>
  </si>
  <si>
    <t>Lãi 6/12-5/1/13 KU 1015LDS201000102</t>
  </si>
  <si>
    <t>Lãi 6/12-5/1/13 KU 1015LDS201100376</t>
  </si>
  <si>
    <t>Lãi 18/12-17/1/13 KU 1015LDS201201751</t>
  </si>
  <si>
    <t>CTGS</t>
  </si>
  <si>
    <t>Thu TTR</t>
  </si>
  <si>
    <t>Lãi 6/2-5/3/13 KU 1015LDS201000102</t>
  </si>
  <si>
    <t>Lãi 6/2-5/3/13 KU 1015LDS201100376</t>
  </si>
  <si>
    <t>Lãi 6/2-5/3/13 KU 1015LDS201100377</t>
  </si>
  <si>
    <t>Lãi 6/2-5/3/13 KU 1015LDS201100378</t>
  </si>
  <si>
    <t>Chiết khấu bộ chứng từ</t>
  </si>
  <si>
    <t>VAT thương lượng chứng từ</t>
  </si>
  <si>
    <t>Trả tất toan khế ước</t>
  </si>
  <si>
    <t>Vay NH</t>
  </si>
  <si>
    <t>Thu L/C</t>
  </si>
  <si>
    <t>Tiền vay KU1015LDS201300575</t>
  </si>
  <si>
    <t>Tất toán vay KU1015LDS201201751</t>
  </si>
  <si>
    <t>Lãi 6/3-5/4/13 KU 1015LDS201100377</t>
  </si>
  <si>
    <t>Lãi 6/3-5/4/13 KU 1015LDS201100378</t>
  </si>
  <si>
    <t>Phí tu chỉnh LC</t>
  </si>
  <si>
    <t>VAT Phí tu chỉnh LC</t>
  </si>
  <si>
    <t>Chiết khấu LC</t>
  </si>
  <si>
    <t>Phí thanh toán nước ngoài</t>
  </si>
  <si>
    <t>VAT Phí thanh toán nước ngoài</t>
  </si>
  <si>
    <t>Điện phí thanh toán</t>
  </si>
  <si>
    <t>VAT Điện phí thanh toán</t>
  </si>
  <si>
    <t>Thu tiền hàng XK</t>
  </si>
  <si>
    <t>Phí thông báo LC</t>
  </si>
  <si>
    <t>VAT phí thông báo LC</t>
  </si>
  <si>
    <t>Trả phí thông báo LC</t>
  </si>
  <si>
    <t>Thu lãi KU 1015LDS201300014</t>
  </si>
  <si>
    <t>Thu lãi KU 1015LDS201300523</t>
  </si>
  <si>
    <t>Thu lãi KU 1015LDS201300575</t>
  </si>
  <si>
    <t xml:space="preserve">Thu lãi  06/06 đến 05/07/2013 KU 1012LDS201000102  </t>
  </si>
  <si>
    <t xml:space="preserve">Thu lãi  06/06 đến 05/07/2013 KU 1012LDS201100376 </t>
  </si>
  <si>
    <t xml:space="preserve">Thu lãi  06/06 đến 05/07/2013 KU 1012LDS201100377 </t>
  </si>
  <si>
    <t xml:space="preserve"> Thu lãi  06/06 đến 05/07/2013 KU 1012LDS201100378</t>
  </si>
  <si>
    <t>Trả nợ vay KU 1015LDS201300014</t>
  </si>
  <si>
    <t>Vay NT ngân hàng</t>
  </si>
  <si>
    <t>vay KU 1015LDS201301388</t>
  </si>
  <si>
    <t>Vay KU 1015LDS201301628</t>
  </si>
  <si>
    <t>Trả tất toán KU 101LDS201300523</t>
  </si>
  <si>
    <t>Lãi vay KU 101LDS201300524</t>
  </si>
  <si>
    <t>Vay KU 1015LDS201301795</t>
  </si>
  <si>
    <t xml:space="preserve">Phí </t>
  </si>
  <si>
    <t>Chiết khấu bộ chứng từ 1015ESPEIB130052</t>
  </si>
  <si>
    <t>Chiết khấu bộ chứng từ 1015ESPEIB130053</t>
  </si>
  <si>
    <t>Chiết khấu bộ chứng từ 1015ESPEIB130054</t>
  </si>
  <si>
    <t>Vay KU 1015LDS201301994</t>
  </si>
  <si>
    <t>Trả gốc tất toán vay KU 1015LDS201300575</t>
  </si>
  <si>
    <t xml:space="preserve">Chiết khấu bộ chứng từ </t>
  </si>
  <si>
    <t>VAT phí thông báo tu chỉnh L/C</t>
  </si>
  <si>
    <t>Thu tiền chiết khấu</t>
  </si>
  <si>
    <t>Trả lãi KU 1015LDS201000102 PS từ ngày 06/10 - 05/11/2013</t>
  </si>
  <si>
    <t>Trả lãi KU 1015LDS201100376 PS từ ngày 06/10 - 05/11/2013</t>
  </si>
  <si>
    <t>Trả lãi KU 1015LDS201100377 PS từ ngày 06/10 - 05/11/2013</t>
  </si>
  <si>
    <t>Trả lãi KU 1015LDS201100378 PS từ ngày 06/10 - 05/11/2013</t>
  </si>
  <si>
    <t>phí thương lượng chứng từ</t>
  </si>
  <si>
    <t>VAT phí thương lượng chứng từ</t>
  </si>
  <si>
    <t>Bưu phí</t>
  </si>
  <si>
    <t>VAT Bưu phí</t>
  </si>
  <si>
    <t>Trả lãi KU 1015LDS201000102 ngày 06/11 - 05/12/2013</t>
  </si>
  <si>
    <t>Trả lãi KU 1015LDS201100376 ngày 06/11 - 05/12/2013</t>
  </si>
  <si>
    <t>Phì thương lượng chứng từ</t>
  </si>
  <si>
    <t>VAT Phì thương lượng chứng từ</t>
  </si>
  <si>
    <t>Lãi chiết khấu</t>
  </si>
  <si>
    <t>Phí thương lượng c.từ</t>
  </si>
  <si>
    <t>VAT Phí thương lượng c.từ</t>
  </si>
  <si>
    <t>BP - Phí DV Internet Banking</t>
  </si>
  <si>
    <t>BP - Hoàn vốn - An Lạc TP</t>
  </si>
  <si>
    <t>Q4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</si>
</sst>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2" formatCode="&quot;Ngày  &quot;dd&quot; tháng &quot;mm&quot; năm &quot;yyyy"/>
  </numFmts>
  <fonts count="69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NI-Times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1"/>
      <color indexed="12"/>
      <name val="Times New Roman"/>
      <family val="1"/>
    </font>
    <font>
      <sz val="11"/>
      <color indexed="10"/>
      <name val="Times New Roman"/>
      <family val="1"/>
    </font>
    <font>
      <sz val="10"/>
      <name val="Times New Roman"/>
      <family val="1"/>
    </font>
    <font>
      <sz val="10"/>
      <name val=".VnArial"/>
      <family val="2"/>
    </font>
    <font>
      <sz val="11"/>
      <name val="VNI-Times"/>
    </font>
    <font>
      <b/>
      <sz val="9"/>
      <name val="Times New Roman"/>
      <family val="1"/>
    </font>
    <font>
      <b/>
      <sz val="17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u/>
      <sz val="10"/>
      <name val="Times New Roman"/>
      <family val="1"/>
    </font>
    <font>
      <sz val="10.5"/>
      <name val="Times New Roman"/>
      <family val="1"/>
    </font>
    <font>
      <i/>
      <sz val="10.5"/>
      <name val="Times New Roman"/>
      <family val="1"/>
    </font>
    <font>
      <b/>
      <sz val="10"/>
      <name val="Times New Roman"/>
      <family val="1"/>
    </font>
    <font>
      <b/>
      <sz val="10.5"/>
      <name val="Times New Roman"/>
      <family val="1"/>
    </font>
    <font>
      <sz val="11"/>
      <color indexed="9"/>
      <name val="Times New Roman"/>
      <family val="1"/>
    </font>
    <font>
      <b/>
      <sz val="9"/>
      <color indexed="9"/>
      <name val="Times New Roman"/>
      <family val="1"/>
    </font>
    <font>
      <sz val="9"/>
      <color indexed="9"/>
      <name val="Times New Roman"/>
      <family val="1"/>
    </font>
    <font>
      <sz val="8"/>
      <name val="Arial"/>
      <family val="2"/>
    </font>
    <font>
      <b/>
      <sz val="14"/>
      <name val="Times New Roman"/>
      <family val="1"/>
    </font>
    <font>
      <b/>
      <sz val="11"/>
      <color indexed="63"/>
      <name val="Times New Roman"/>
      <family val="1"/>
    </font>
    <font>
      <sz val="11"/>
      <color indexed="63"/>
      <name val="Times New Roman"/>
      <family val="1"/>
    </font>
    <font>
      <sz val="12"/>
      <name val="Times New Roman"/>
      <family val="1"/>
    </font>
    <font>
      <b/>
      <sz val="14"/>
      <color indexed="63"/>
      <name val="Times New Roman"/>
      <family val="1"/>
    </font>
    <font>
      <sz val="10"/>
      <color indexed="63"/>
      <name val="Times New Roman"/>
      <family val="1"/>
    </font>
    <font>
      <b/>
      <sz val="9"/>
      <color indexed="63"/>
      <name val="Times New Roman"/>
      <family val="1"/>
    </font>
    <font>
      <b/>
      <sz val="10"/>
      <color indexed="63"/>
      <name val="Times New Roman"/>
      <family val="1"/>
    </font>
    <font>
      <i/>
      <sz val="11"/>
      <color indexed="63"/>
      <name val="Times New Roman"/>
      <family val="1"/>
    </font>
    <font>
      <i/>
      <sz val="10"/>
      <color indexed="63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7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21" fillId="0" borderId="0"/>
    <xf numFmtId="0" fontId="21" fillId="0" borderId="0"/>
    <xf numFmtId="0" fontId="41" fillId="0" borderId="0"/>
    <xf numFmtId="0" fontId="1" fillId="0" borderId="0"/>
    <xf numFmtId="0" fontId="21" fillId="0" borderId="0"/>
    <xf numFmtId="0" fontId="42" fillId="0" borderId="0"/>
    <xf numFmtId="0" fontId="21" fillId="0" borderId="0"/>
    <xf numFmtId="0" fontId="21" fillId="24" borderId="13" applyNumberFormat="0" applyFont="0" applyAlignment="0" applyProtection="0"/>
    <xf numFmtId="0" fontId="22" fillId="20" borderId="14" applyNumberFormat="0" applyAlignment="0" applyProtection="0"/>
    <xf numFmtId="0" fontId="23" fillId="0" borderId="0">
      <alignment horizontal="centerContinuous"/>
    </xf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0" borderId="0" applyNumberForma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8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30" fillId="0" borderId="0"/>
  </cellStyleXfs>
  <cellXfs count="467">
    <xf numFmtId="0" fontId="0" fillId="0" borderId="0" xfId="0"/>
    <xf numFmtId="0" fontId="32" fillId="0" borderId="0" xfId="57" applyFont="1" applyAlignment="1">
      <alignment horizontal="left" vertical="center"/>
    </xf>
    <xf numFmtId="0" fontId="32" fillId="0" borderId="0" xfId="57" applyFont="1" applyAlignment="1">
      <alignment horizontal="center" vertical="center"/>
    </xf>
    <xf numFmtId="1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0" xfId="0" applyNumberFormat="1" applyFont="1" applyAlignment="1">
      <alignment vertical="center"/>
    </xf>
    <xf numFmtId="0" fontId="33" fillId="0" borderId="0" xfId="57" applyFont="1" applyAlignment="1">
      <alignment horizontal="center" vertical="center"/>
    </xf>
    <xf numFmtId="0" fontId="35" fillId="0" borderId="0" xfId="57" applyFont="1" applyAlignment="1">
      <alignment horizontal="center" vertical="center"/>
    </xf>
    <xf numFmtId="0" fontId="32" fillId="0" borderId="0" xfId="54" applyFont="1" applyAlignment="1">
      <alignment horizontal="left" vertical="center"/>
    </xf>
    <xf numFmtId="164" fontId="33" fillId="0" borderId="0" xfId="57" applyNumberFormat="1" applyFont="1" applyAlignment="1">
      <alignment vertical="center" wrapText="1"/>
    </xf>
    <xf numFmtId="164" fontId="32" fillId="0" borderId="0" xfId="57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4" fontId="33" fillId="0" borderId="0" xfId="57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left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6" fillId="0" borderId="17" xfId="0" applyNumberFormat="1" applyFont="1" applyBorder="1" applyAlignment="1">
      <alignment horizontal="center" vertical="center" wrapText="1"/>
    </xf>
    <xf numFmtId="164" fontId="36" fillId="0" borderId="0" xfId="0" applyNumberFormat="1" applyFont="1" applyAlignment="1">
      <alignment vertical="center"/>
    </xf>
    <xf numFmtId="164" fontId="32" fillId="0" borderId="16" xfId="0" applyNumberFormat="1" applyFont="1" applyBorder="1" applyAlignment="1">
      <alignment vertical="center" wrapText="1"/>
    </xf>
    <xf numFmtId="49" fontId="32" fillId="0" borderId="16" xfId="0" applyNumberFormat="1" applyFont="1" applyBorder="1" applyAlignment="1">
      <alignment vertical="center" wrapText="1"/>
    </xf>
    <xf numFmtId="164" fontId="32" fillId="0" borderId="16" xfId="29" applyNumberFormat="1" applyFont="1" applyBorder="1" applyAlignment="1">
      <alignment horizontal="left" vertical="center" wrapText="1"/>
    </xf>
    <xf numFmtId="164" fontId="32" fillId="0" borderId="16" xfId="0" applyNumberFormat="1" applyFont="1" applyBorder="1" applyAlignment="1">
      <alignment horizontal="center" vertical="center"/>
    </xf>
    <xf numFmtId="14" fontId="32" fillId="0" borderId="16" xfId="0" applyNumberFormat="1" applyFont="1" applyBorder="1" applyAlignment="1">
      <alignment vertical="center" wrapText="1"/>
    </xf>
    <xf numFmtId="49" fontId="37" fillId="0" borderId="16" xfId="29" applyNumberFormat="1" applyFont="1" applyBorder="1" applyAlignment="1">
      <alignment horizontal="center"/>
    </xf>
    <xf numFmtId="164" fontId="32" fillId="0" borderId="18" xfId="0" applyNumberFormat="1" applyFont="1" applyBorder="1" applyAlignment="1">
      <alignment vertical="center" wrapText="1"/>
    </xf>
    <xf numFmtId="164" fontId="32" fillId="0" borderId="18" xfId="0" applyNumberFormat="1" applyFont="1" applyBorder="1" applyAlignment="1">
      <alignment horizontal="center" vertical="center" wrapText="1"/>
    </xf>
    <xf numFmtId="164" fontId="32" fillId="0" borderId="0" xfId="0" quotePrefix="1" applyNumberFormat="1" applyFont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vertical="center"/>
    </xf>
    <xf numFmtId="14" fontId="38" fillId="0" borderId="16" xfId="0" applyNumberFormat="1" applyFont="1" applyBorder="1" applyAlignment="1">
      <alignment horizontal="center" vertical="center" wrapText="1"/>
    </xf>
    <xf numFmtId="164" fontId="38" fillId="0" borderId="16" xfId="0" applyNumberFormat="1" applyFont="1" applyBorder="1" applyAlignment="1">
      <alignment horizontal="center" vertical="center" wrapText="1"/>
    </xf>
    <xf numFmtId="164" fontId="38" fillId="0" borderId="16" xfId="0" applyNumberFormat="1" applyFont="1" applyBorder="1" applyAlignment="1">
      <alignment horizontal="center" vertical="center"/>
    </xf>
    <xf numFmtId="164" fontId="38" fillId="0" borderId="16" xfId="29" applyNumberFormat="1" applyFont="1" applyBorder="1" applyAlignment="1">
      <alignment horizontal="left" vertical="center" wrapText="1"/>
    </xf>
    <xf numFmtId="164" fontId="33" fillId="0" borderId="16" xfId="0" applyNumberFormat="1" applyFont="1" applyBorder="1" applyAlignment="1">
      <alignment horizontal="left" vertical="center" wrapText="1"/>
    </xf>
    <xf numFmtId="164" fontId="33" fillId="0" borderId="19" xfId="0" applyNumberFormat="1" applyFont="1" applyBorder="1" applyAlignment="1">
      <alignment vertical="center" wrapText="1"/>
    </xf>
    <xf numFmtId="49" fontId="33" fillId="0" borderId="19" xfId="0" applyNumberFormat="1" applyFont="1" applyBorder="1" applyAlignment="1">
      <alignment vertical="center" wrapText="1"/>
    </xf>
    <xf numFmtId="164" fontId="33" fillId="0" borderId="19" xfId="0" applyNumberFormat="1" applyFont="1" applyBorder="1" applyAlignment="1">
      <alignment horizontal="left" vertical="center" wrapText="1"/>
    </xf>
    <xf numFmtId="164" fontId="38" fillId="0" borderId="16" xfId="0" applyNumberFormat="1" applyFont="1" applyBorder="1" applyAlignment="1">
      <alignment horizontal="left" vertical="center" wrapText="1"/>
    </xf>
    <xf numFmtId="164" fontId="38" fillId="0" borderId="16" xfId="0" applyNumberFormat="1" applyFont="1" applyBorder="1" applyAlignment="1">
      <alignment vertical="center" wrapText="1"/>
    </xf>
    <xf numFmtId="164" fontId="38" fillId="0" borderId="0" xfId="0" applyNumberFormat="1" applyFont="1" applyAlignment="1">
      <alignment vertical="center"/>
    </xf>
    <xf numFmtId="164" fontId="33" fillId="0" borderId="16" xfId="0" applyNumberFormat="1" applyFont="1" applyBorder="1" applyAlignment="1">
      <alignment vertical="center" wrapText="1"/>
    </xf>
    <xf numFmtId="164" fontId="33" fillId="0" borderId="16" xfId="0" applyNumberFormat="1" applyFont="1" applyBorder="1" applyAlignment="1">
      <alignment horizontal="center" vertical="center" wrapText="1"/>
    </xf>
    <xf numFmtId="164" fontId="33" fillId="0" borderId="0" xfId="0" applyNumberFormat="1" applyFont="1" applyAlignment="1">
      <alignment vertical="center"/>
    </xf>
    <xf numFmtId="164" fontId="33" fillId="0" borderId="18" xfId="0" applyNumberFormat="1" applyFont="1" applyBorder="1" applyAlignment="1">
      <alignment vertical="center" wrapText="1"/>
    </xf>
    <xf numFmtId="164" fontId="33" fillId="0" borderId="18" xfId="0" applyNumberFormat="1" applyFont="1" applyBorder="1" applyAlignment="1">
      <alignment horizontal="center" vertical="center" wrapText="1"/>
    </xf>
    <xf numFmtId="49" fontId="33" fillId="0" borderId="16" xfId="0" applyNumberFormat="1" applyFont="1" applyBorder="1" applyAlignment="1">
      <alignment vertical="center" wrapText="1"/>
    </xf>
    <xf numFmtId="164" fontId="32" fillId="0" borderId="19" xfId="0" applyNumberFormat="1" applyFont="1" applyBorder="1" applyAlignment="1">
      <alignment horizontal="left" vertical="center" wrapText="1"/>
    </xf>
    <xf numFmtId="164" fontId="32" fillId="0" borderId="16" xfId="29" applyNumberFormat="1" applyFont="1" applyBorder="1" applyAlignment="1">
      <alignment horizontal="right" vertical="center" wrapText="1"/>
    </xf>
    <xf numFmtId="164" fontId="32" fillId="0" borderId="16" xfId="0" applyNumberFormat="1" applyFont="1" applyFill="1" applyBorder="1" applyAlignment="1">
      <alignment vertical="center" wrapText="1"/>
    </xf>
    <xf numFmtId="164" fontId="32" fillId="0" borderId="16" xfId="0" applyNumberFormat="1" applyFont="1" applyBorder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/>
    </xf>
    <xf numFmtId="164" fontId="32" fillId="0" borderId="20" xfId="0" applyNumberFormat="1" applyFont="1" applyBorder="1" applyAlignment="1">
      <alignment vertical="center" wrapText="1"/>
    </xf>
    <xf numFmtId="0" fontId="32" fillId="0" borderId="16" xfId="0" applyFont="1" applyFill="1" applyBorder="1" applyAlignment="1">
      <alignment vertical="center" wrapText="1"/>
    </xf>
    <xf numFmtId="14" fontId="39" fillId="0" borderId="16" xfId="0" applyNumberFormat="1" applyFont="1" applyBorder="1" applyAlignment="1">
      <alignment horizontal="center" vertical="center" wrapText="1"/>
    </xf>
    <xf numFmtId="164" fontId="39" fillId="0" borderId="16" xfId="0" applyNumberFormat="1" applyFont="1" applyBorder="1" applyAlignment="1">
      <alignment horizontal="center" vertical="center"/>
    </xf>
    <xf numFmtId="164" fontId="39" fillId="0" borderId="16" xfId="0" applyNumberFormat="1" applyFont="1" applyBorder="1" applyAlignment="1">
      <alignment horizontal="left" vertical="center" wrapText="1"/>
    </xf>
    <xf numFmtId="164" fontId="39" fillId="0" borderId="16" xfId="0" quotePrefix="1" applyNumberFormat="1" applyFont="1" applyBorder="1" applyAlignment="1">
      <alignment horizontal="center" vertical="center" wrapText="1"/>
    </xf>
    <xf numFmtId="164" fontId="39" fillId="0" borderId="16" xfId="29" applyNumberFormat="1" applyFont="1" applyBorder="1" applyAlignment="1">
      <alignment horizontal="left" vertical="center" wrapText="1"/>
    </xf>
    <xf numFmtId="164" fontId="39" fillId="0" borderId="16" xfId="0" applyNumberFormat="1" applyFont="1" applyBorder="1" applyAlignment="1">
      <alignment vertical="center" wrapText="1"/>
    </xf>
    <xf numFmtId="164" fontId="39" fillId="0" borderId="0" xfId="0" applyNumberFormat="1" applyFont="1" applyAlignment="1">
      <alignment vertical="center"/>
    </xf>
    <xf numFmtId="164" fontId="40" fillId="0" borderId="16" xfId="57" applyNumberFormat="1" applyFont="1" applyFill="1" applyBorder="1" applyAlignment="1">
      <alignment horizontal="left" vertical="center"/>
    </xf>
    <xf numFmtId="0" fontId="51" fillId="0" borderId="0" xfId="56" applyFont="1" applyFill="1" applyBorder="1" applyAlignment="1" applyProtection="1">
      <alignment horizontal="center" vertical="center"/>
      <protection hidden="1"/>
    </xf>
    <xf numFmtId="0" fontId="48" fillId="0" borderId="0" xfId="56" applyFont="1" applyFill="1" applyBorder="1" applyAlignment="1" applyProtection="1">
      <alignment vertical="center"/>
      <protection hidden="1"/>
    </xf>
    <xf numFmtId="0" fontId="48" fillId="0" borderId="0" xfId="55" applyFont="1" applyFill="1" applyBorder="1" applyAlignment="1" applyProtection="1">
      <alignment horizontal="center" vertical="center"/>
      <protection hidden="1"/>
    </xf>
    <xf numFmtId="0" fontId="36" fillId="0" borderId="0" xfId="56" applyFont="1" applyFill="1" applyBorder="1" applyAlignment="1" applyProtection="1">
      <alignment vertical="center"/>
      <protection hidden="1"/>
    </xf>
    <xf numFmtId="0" fontId="36" fillId="0" borderId="0" xfId="56" applyFont="1" applyFill="1" applyBorder="1" applyAlignment="1" applyProtection="1">
      <alignment horizontal="center" vertical="center"/>
      <protection hidden="1"/>
    </xf>
    <xf numFmtId="0" fontId="36" fillId="0" borderId="0" xfId="59" applyFont="1" applyAlignment="1" applyProtection="1">
      <alignment horizontal="center" vertical="center"/>
      <protection hidden="1"/>
    </xf>
    <xf numFmtId="0" fontId="52" fillId="0" borderId="0" xfId="0" applyFont="1" applyFill="1" applyBorder="1" applyAlignment="1" applyProtection="1">
      <alignment vertical="center"/>
      <protection hidden="1"/>
    </xf>
    <xf numFmtId="0" fontId="53" fillId="0" borderId="0" xfId="0" applyFont="1" applyFill="1" applyBorder="1" applyAlignment="1" applyProtection="1">
      <alignment vertical="center"/>
      <protection hidden="1"/>
    </xf>
    <xf numFmtId="0" fontId="54" fillId="0" borderId="0" xfId="0" applyFont="1" applyFill="1" applyBorder="1" applyAlignment="1" applyProtection="1">
      <alignment vertical="center"/>
      <protection hidden="1"/>
    </xf>
    <xf numFmtId="0" fontId="43" fillId="0" borderId="0" xfId="0" applyFont="1" applyFill="1" applyBorder="1" applyAlignment="1" applyProtection="1">
      <alignment horizontal="left" vertical="center"/>
      <protection hidden="1"/>
    </xf>
    <xf numFmtId="0" fontId="36" fillId="0" borderId="0" xfId="0" applyFont="1" applyFill="1" applyBorder="1" applyAlignment="1" applyProtection="1">
      <alignment horizontal="justify" vertical="center"/>
      <protection hidden="1"/>
    </xf>
    <xf numFmtId="0" fontId="32" fillId="0" borderId="0" xfId="0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/>
      <protection hidden="1"/>
    </xf>
    <xf numFmtId="0" fontId="45" fillId="0" borderId="0" xfId="0" applyFont="1" applyFill="1" applyBorder="1" applyAlignment="1" applyProtection="1">
      <alignment horizontal="center" vertical="center"/>
      <protection hidden="1"/>
    </xf>
    <xf numFmtId="0" fontId="45" fillId="0" borderId="0" xfId="0" applyFont="1" applyFill="1" applyBorder="1" applyAlignment="1" applyProtection="1">
      <alignment vertical="center"/>
      <protection hidden="1"/>
    </xf>
    <xf numFmtId="0" fontId="32" fillId="0" borderId="0" xfId="58" applyNumberFormat="1" applyFont="1" applyFill="1" applyBorder="1" applyAlignment="1" applyProtection="1">
      <alignment horizontal="center" vertical="center"/>
      <protection hidden="1"/>
    </xf>
    <xf numFmtId="14" fontId="32" fillId="0" borderId="0" xfId="0" applyNumberFormat="1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horizontal="left" vertical="center"/>
      <protection hidden="1"/>
    </xf>
    <xf numFmtId="0" fontId="46" fillId="0" borderId="0" xfId="0" applyFont="1" applyFill="1" applyBorder="1" applyAlignment="1" applyProtection="1">
      <alignment vertical="center"/>
      <protection hidden="1"/>
    </xf>
    <xf numFmtId="0" fontId="40" fillId="0" borderId="0" xfId="0" applyFont="1" applyFill="1" applyBorder="1" applyAlignment="1" applyProtection="1">
      <alignment vertical="center"/>
      <protection hidden="1"/>
    </xf>
    <xf numFmtId="10" fontId="32" fillId="0" borderId="0" xfId="58" applyNumberFormat="1" applyFont="1" applyFill="1" applyBorder="1" applyAlignment="1" applyProtection="1">
      <alignment vertical="center"/>
      <protection hidden="1"/>
    </xf>
    <xf numFmtId="171" fontId="35" fillId="0" borderId="0" xfId="0" applyNumberFormat="1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Fill="1" applyBorder="1" applyAlignment="1" applyProtection="1">
      <alignment horizontal="center" vertical="center"/>
      <protection hidden="1"/>
    </xf>
    <xf numFmtId="10" fontId="47" fillId="0" borderId="0" xfId="44" applyNumberFormat="1" applyFont="1" applyFill="1" applyBorder="1" applyAlignment="1" applyProtection="1">
      <alignment horizontal="center" vertical="center"/>
      <protection hidden="1"/>
    </xf>
    <xf numFmtId="0" fontId="40" fillId="0" borderId="0" xfId="59" applyFont="1" applyAlignment="1" applyProtection="1">
      <alignment horizontal="center" vertical="center"/>
      <protection hidden="1"/>
    </xf>
    <xf numFmtId="0" fontId="43" fillId="0" borderId="0" xfId="59" applyFont="1" applyAlignment="1" applyProtection="1">
      <alignment horizontal="center" vertical="center"/>
      <protection hidden="1"/>
    </xf>
    <xf numFmtId="0" fontId="48" fillId="0" borderId="0" xfId="0" applyFont="1" applyFill="1" applyBorder="1" applyAlignment="1" applyProtection="1">
      <alignment horizontal="left" vertical="center"/>
      <protection hidden="1"/>
    </xf>
    <xf numFmtId="0" fontId="48" fillId="0" borderId="0" xfId="0" applyFont="1" applyFill="1" applyBorder="1" applyAlignment="1" applyProtection="1">
      <alignment horizontal="justify" vertical="center"/>
      <protection hidden="1"/>
    </xf>
    <xf numFmtId="0" fontId="48" fillId="0" borderId="0" xfId="0" applyFont="1" applyFill="1" applyBorder="1" applyAlignment="1" applyProtection="1">
      <alignment vertical="center"/>
      <protection hidden="1"/>
    </xf>
    <xf numFmtId="171" fontId="49" fillId="0" borderId="0" xfId="0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vertical="center"/>
      <protection hidden="1"/>
    </xf>
    <xf numFmtId="164" fontId="48" fillId="0" borderId="0" xfId="29" applyNumberFormat="1" applyFont="1" applyFill="1" applyBorder="1" applyAlignment="1" applyProtection="1">
      <alignment vertical="center"/>
      <protection hidden="1"/>
    </xf>
    <xf numFmtId="10" fontId="48" fillId="0" borderId="0" xfId="58" applyNumberFormat="1" applyFont="1" applyFill="1" applyBorder="1" applyAlignment="1" applyProtection="1">
      <alignment vertical="center"/>
      <protection hidden="1"/>
    </xf>
    <xf numFmtId="49" fontId="51" fillId="0" borderId="0" xfId="0" applyNumberFormat="1" applyFont="1" applyFill="1" applyBorder="1" applyAlignment="1" applyProtection="1">
      <alignment vertical="center"/>
      <protection hidden="1"/>
    </xf>
    <xf numFmtId="164" fontId="51" fillId="0" borderId="0" xfId="58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vertical="center"/>
      <protection hidden="1"/>
    </xf>
    <xf numFmtId="0" fontId="48" fillId="0" borderId="0" xfId="58" applyFont="1" applyFill="1" applyBorder="1" applyAlignment="1" applyProtection="1">
      <alignment vertical="center"/>
      <protection hidden="1"/>
    </xf>
    <xf numFmtId="0" fontId="51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horizontal="left" vertical="center"/>
      <protection hidden="1"/>
    </xf>
    <xf numFmtId="10" fontId="48" fillId="0" borderId="0" xfId="58" applyNumberFormat="1" applyFont="1" applyFill="1" applyBorder="1" applyAlignment="1" applyProtection="1">
      <alignment horizontal="centerContinuous" vertical="center"/>
      <protection hidden="1"/>
    </xf>
    <xf numFmtId="0" fontId="32" fillId="0" borderId="0" xfId="0" applyFont="1" applyFill="1" applyBorder="1" applyAlignment="1" applyProtection="1">
      <alignment horizontal="left" vertical="center"/>
      <protection hidden="1"/>
    </xf>
    <xf numFmtId="0" fontId="36" fillId="0" borderId="0" xfId="58" applyFont="1" applyFill="1" applyBorder="1" applyAlignment="1" applyProtection="1">
      <alignment vertical="center"/>
      <protection hidden="1"/>
    </xf>
    <xf numFmtId="10" fontId="32" fillId="0" borderId="0" xfId="0" applyNumberFormat="1" applyFont="1" applyFill="1" applyBorder="1" applyAlignment="1" applyProtection="1">
      <alignment vertical="center"/>
      <protection hidden="1"/>
    </xf>
    <xf numFmtId="164" fontId="33" fillId="0" borderId="0" xfId="29" applyNumberFormat="1" applyFont="1" applyFill="1" applyBorder="1" applyAlignment="1" applyProtection="1">
      <alignment vertical="center"/>
      <protection hidden="1"/>
    </xf>
    <xf numFmtId="37" fontId="32" fillId="0" borderId="0" xfId="58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vertical="center"/>
      <protection hidden="1"/>
    </xf>
    <xf numFmtId="172" fontId="33" fillId="0" borderId="0" xfId="0" applyNumberFormat="1" applyFont="1" applyFill="1" applyBorder="1" applyAlignment="1" applyProtection="1">
      <alignment horizontal="center" vertical="center"/>
      <protection hidden="1"/>
    </xf>
    <xf numFmtId="172" fontId="33" fillId="0" borderId="0" xfId="0" applyNumberFormat="1" applyFont="1" applyFill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alignment horizontal="center" vertical="center"/>
      <protection hidden="1"/>
    </xf>
    <xf numFmtId="0" fontId="32" fillId="25" borderId="2" xfId="0" applyFont="1" applyFill="1" applyBorder="1" applyAlignment="1" applyProtection="1">
      <alignment vertical="center"/>
      <protection locked="0" hidden="1"/>
    </xf>
    <xf numFmtId="0" fontId="32" fillId="0" borderId="0" xfId="0" applyFont="1" applyFill="1" applyBorder="1" applyAlignment="1" applyProtection="1">
      <alignment vertical="center"/>
      <protection locked="0" hidden="1"/>
    </xf>
    <xf numFmtId="0" fontId="32" fillId="26" borderId="2" xfId="0" applyFont="1" applyFill="1" applyBorder="1" applyAlignment="1" applyProtection="1">
      <alignment vertical="center"/>
      <protection locked="0" hidden="1"/>
    </xf>
    <xf numFmtId="0" fontId="36" fillId="0" borderId="0" xfId="0" applyFont="1" applyFill="1" applyBorder="1" applyAlignment="1" applyProtection="1">
      <alignment vertical="center"/>
      <protection locked="0" hidden="1"/>
    </xf>
    <xf numFmtId="0" fontId="32" fillId="27" borderId="2" xfId="0" applyNumberFormat="1" applyFont="1" applyFill="1" applyBorder="1" applyAlignment="1" applyProtection="1">
      <alignment vertical="center"/>
      <protection locked="0" hidden="1"/>
    </xf>
    <xf numFmtId="164" fontId="32" fillId="0" borderId="16" xfId="0" quotePrefix="1" applyNumberFormat="1" applyFont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vertical="center"/>
    </xf>
    <xf numFmtId="0" fontId="32" fillId="0" borderId="0" xfId="53" applyFont="1" applyFill="1" applyAlignment="1">
      <alignment vertical="center"/>
    </xf>
    <xf numFmtId="14" fontId="33" fillId="0" borderId="0" xfId="53" applyNumberFormat="1" applyFont="1" applyFill="1" applyAlignment="1">
      <alignment vertical="center"/>
    </xf>
    <xf numFmtId="0" fontId="33" fillId="0" borderId="0" xfId="53" applyFont="1" applyFill="1" applyAlignment="1">
      <alignment horizontal="center" vertical="center" wrapText="1"/>
    </xf>
    <xf numFmtId="14" fontId="32" fillId="0" borderId="0" xfId="53" applyNumberFormat="1" applyFont="1" applyFill="1" applyAlignment="1">
      <alignment vertical="center"/>
    </xf>
    <xf numFmtId="0" fontId="32" fillId="0" borderId="0" xfId="53" applyFont="1" applyFill="1" applyAlignment="1">
      <alignment vertical="center" wrapText="1"/>
    </xf>
    <xf numFmtId="0" fontId="33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left" vertical="center" wrapText="1"/>
    </xf>
    <xf numFmtId="0" fontId="32" fillId="0" borderId="0" xfId="53" applyFont="1" applyFill="1" applyAlignment="1">
      <alignment horizontal="center" vertical="center"/>
    </xf>
    <xf numFmtId="14" fontId="32" fillId="0" borderId="0" xfId="53" applyNumberFormat="1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0" xfId="53" applyFont="1" applyFill="1" applyAlignment="1">
      <alignment vertical="center"/>
    </xf>
    <xf numFmtId="14" fontId="40" fillId="0" borderId="22" xfId="53" applyNumberFormat="1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36" fillId="0" borderId="2" xfId="53" applyFont="1" applyFill="1" applyBorder="1" applyAlignment="1">
      <alignment vertical="center"/>
    </xf>
    <xf numFmtId="14" fontId="43" fillId="0" borderId="2" xfId="53" applyNumberFormat="1" applyFont="1" applyFill="1" applyBorder="1" applyAlignment="1">
      <alignment horizontal="center" vertical="center" wrapText="1"/>
    </xf>
    <xf numFmtId="0" fontId="43" fillId="0" borderId="2" xfId="53" applyFont="1" applyFill="1" applyBorder="1" applyAlignment="1">
      <alignment horizontal="center" vertical="center" wrapText="1"/>
    </xf>
    <xf numFmtId="0" fontId="36" fillId="0" borderId="0" xfId="53" applyFont="1" applyFill="1" applyAlignment="1">
      <alignment vertical="center"/>
    </xf>
    <xf numFmtId="0" fontId="40" fillId="0" borderId="2" xfId="53" applyFont="1" applyFill="1" applyBorder="1" applyAlignment="1">
      <alignment vertical="center"/>
    </xf>
    <xf numFmtId="14" fontId="50" fillId="0" borderId="2" xfId="53" applyNumberFormat="1" applyFont="1" applyFill="1" applyBorder="1" applyAlignment="1">
      <alignment vertical="center" wrapText="1"/>
    </xf>
    <xf numFmtId="0" fontId="50" fillId="0" borderId="2" xfId="53" applyFont="1" applyFill="1" applyBorder="1" applyAlignment="1">
      <alignment horizontal="center" vertical="center" wrapText="1"/>
    </xf>
    <xf numFmtId="0" fontId="33" fillId="0" borderId="2" xfId="53" applyFont="1" applyFill="1" applyBorder="1" applyAlignment="1">
      <alignment vertical="center" wrapText="1"/>
    </xf>
    <xf numFmtId="0" fontId="50" fillId="0" borderId="2" xfId="53" applyFont="1" applyFill="1" applyBorder="1" applyAlignment="1">
      <alignment vertical="center" wrapText="1"/>
    </xf>
    <xf numFmtId="164" fontId="50" fillId="0" borderId="2" xfId="29" applyNumberFormat="1" applyFont="1" applyFill="1" applyBorder="1" applyAlignment="1">
      <alignment vertical="center" wrapText="1"/>
    </xf>
    <xf numFmtId="164" fontId="40" fillId="0" borderId="0" xfId="53" applyNumberFormat="1" applyFont="1" applyFill="1" applyAlignment="1">
      <alignment vertical="center"/>
    </xf>
    <xf numFmtId="164" fontId="40" fillId="0" borderId="0" xfId="29" applyNumberFormat="1" applyFont="1" applyFill="1" applyAlignment="1">
      <alignment vertical="center"/>
    </xf>
    <xf numFmtId="14" fontId="40" fillId="0" borderId="16" xfId="53" applyNumberFormat="1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vertical="center" wrapText="1"/>
    </xf>
    <xf numFmtId="0" fontId="40" fillId="0" borderId="16" xfId="53" quotePrefix="1" applyFont="1" applyFill="1" applyBorder="1" applyAlignment="1">
      <alignment horizontal="center" vertical="center" wrapText="1"/>
    </xf>
    <xf numFmtId="164" fontId="40" fillId="0" borderId="16" xfId="29" applyNumberFormat="1" applyFont="1" applyFill="1" applyBorder="1" applyAlignment="1">
      <alignment horizontal="right" vertical="center" wrapText="1"/>
    </xf>
    <xf numFmtId="164" fontId="40" fillId="0" borderId="16" xfId="53" applyNumberFormat="1" applyFont="1" applyFill="1" applyBorder="1" applyAlignment="1">
      <alignment vertical="center" wrapText="1"/>
    </xf>
    <xf numFmtId="14" fontId="32" fillId="0" borderId="23" xfId="53" applyNumberFormat="1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vertical="center" wrapText="1"/>
    </xf>
    <xf numFmtId="164" fontId="32" fillId="0" borderId="23" xfId="29" applyNumberFormat="1" applyFont="1" applyFill="1" applyBorder="1" applyAlignment="1">
      <alignment horizontal="right" vertical="center" wrapText="1"/>
    </xf>
    <xf numFmtId="164" fontId="32" fillId="0" borderId="23" xfId="53" applyNumberFormat="1" applyFont="1" applyFill="1" applyBorder="1" applyAlignment="1">
      <alignment vertical="center" wrapText="1"/>
    </xf>
    <xf numFmtId="14" fontId="40" fillId="0" borderId="2" xfId="53" applyNumberFormat="1" applyFont="1" applyFill="1" applyBorder="1" applyAlignment="1">
      <alignment vertical="center" wrapText="1"/>
    </xf>
    <xf numFmtId="0" fontId="40" fillId="0" borderId="2" xfId="53" applyFont="1" applyFill="1" applyBorder="1" applyAlignment="1">
      <alignment horizontal="center" vertical="center" wrapText="1"/>
    </xf>
    <xf numFmtId="0" fontId="40" fillId="0" borderId="2" xfId="53" applyFont="1" applyFill="1" applyBorder="1" applyAlignment="1">
      <alignment vertical="center" wrapText="1"/>
    </xf>
    <xf numFmtId="164" fontId="50" fillId="0" borderId="2" xfId="53" applyNumberFormat="1" applyFont="1" applyFill="1" applyBorder="1" applyAlignment="1">
      <alignment vertical="center" wrapText="1"/>
    </xf>
    <xf numFmtId="14" fontId="32" fillId="0" borderId="0" xfId="53" applyNumberFormat="1" applyFont="1" applyFill="1" applyBorder="1" applyAlignment="1">
      <alignment vertical="center"/>
    </xf>
    <xf numFmtId="0" fontId="32" fillId="0" borderId="0" xfId="53" applyFont="1" applyFill="1" applyBorder="1" applyAlignment="1">
      <alignment horizontal="center" vertical="center"/>
    </xf>
    <xf numFmtId="164" fontId="32" fillId="0" borderId="0" xfId="53" applyNumberFormat="1" applyFont="1" applyFill="1" applyAlignment="1">
      <alignment vertical="center"/>
    </xf>
    <xf numFmtId="14" fontId="32" fillId="0" borderId="0" xfId="53" quotePrefix="1" applyNumberFormat="1" applyFont="1" applyFill="1" applyAlignment="1">
      <alignment horizontal="left" vertical="center"/>
    </xf>
    <xf numFmtId="14" fontId="33" fillId="0" borderId="0" xfId="53" applyNumberFormat="1" applyFont="1" applyFill="1" applyAlignment="1">
      <alignment vertical="center" wrapText="1"/>
    </xf>
    <xf numFmtId="14" fontId="35" fillId="0" borderId="0" xfId="53" applyNumberFormat="1" applyFont="1" applyFill="1" applyAlignment="1">
      <alignment horizontal="center" vertical="center" wrapText="1"/>
    </xf>
    <xf numFmtId="14" fontId="33" fillId="0" borderId="0" xfId="53" applyNumberFormat="1" applyFont="1" applyFill="1" applyAlignment="1">
      <alignment horizontal="center" vertical="center" wrapText="1"/>
    </xf>
    <xf numFmtId="0" fontId="33" fillId="0" borderId="0" xfId="53" applyFont="1" applyFill="1" applyAlignment="1">
      <alignment vertical="center"/>
    </xf>
    <xf numFmtId="0" fontId="33" fillId="0" borderId="0" xfId="53" applyFont="1" applyFill="1" applyAlignment="1">
      <alignment vertical="center" wrapText="1"/>
    </xf>
    <xf numFmtId="14" fontId="32" fillId="0" borderId="0" xfId="53" applyNumberFormat="1" applyFont="1" applyFill="1" applyAlignment="1">
      <alignment horizontal="center" vertical="center" wrapText="1"/>
    </xf>
    <xf numFmtId="0" fontId="59" fillId="0" borderId="0" xfId="53" applyFont="1" applyFill="1" applyAlignment="1">
      <alignment vertical="center"/>
    </xf>
    <xf numFmtId="14" fontId="59" fillId="0" borderId="0" xfId="53" applyNumberFormat="1" applyFont="1" applyFill="1" applyAlignment="1">
      <alignment vertical="center"/>
    </xf>
    <xf numFmtId="0" fontId="59" fillId="0" borderId="0" xfId="53" applyFont="1" applyFill="1" applyAlignment="1">
      <alignment horizontal="center" vertical="center"/>
    </xf>
    <xf numFmtId="0" fontId="59" fillId="0" borderId="0" xfId="53" applyFont="1" applyFill="1" applyAlignment="1">
      <alignment vertical="center" wrapText="1"/>
    </xf>
    <xf numFmtId="0" fontId="32" fillId="0" borderId="0" xfId="53" applyFont="1" applyAlignment="1">
      <alignment vertical="center"/>
    </xf>
    <xf numFmtId="0" fontId="57" fillId="28" borderId="0" xfId="53" applyFont="1" applyFill="1" applyAlignment="1">
      <alignment vertical="center"/>
    </xf>
    <xf numFmtId="164" fontId="32" fillId="0" borderId="0" xfId="29" applyNumberFormat="1" applyFont="1" applyAlignment="1">
      <alignment vertical="center"/>
    </xf>
    <xf numFmtId="43" fontId="32" fillId="0" borderId="0" xfId="29" applyFont="1" applyAlignment="1">
      <alignment vertical="center"/>
    </xf>
    <xf numFmtId="164" fontId="32" fillId="0" borderId="0" xfId="29" applyNumberFormat="1" applyFont="1" applyAlignment="1">
      <alignment horizontal="center" vertical="center"/>
    </xf>
    <xf numFmtId="43" fontId="32" fillId="0" borderId="0" xfId="29" applyFont="1" applyAlignment="1">
      <alignment horizontal="center" vertical="center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40" fillId="0" borderId="0" xfId="53" applyFont="1" applyAlignment="1">
      <alignment vertical="center"/>
    </xf>
    <xf numFmtId="0" fontId="61" fillId="28" borderId="17" xfId="53" applyFont="1" applyFill="1" applyBorder="1" applyAlignment="1">
      <alignment horizontal="center" vertical="center" wrapText="1"/>
    </xf>
    <xf numFmtId="43" fontId="61" fillId="28" borderId="22" xfId="29" applyFont="1" applyFill="1" applyBorder="1" applyAlignment="1">
      <alignment horizontal="center" vertical="center" wrapText="1"/>
    </xf>
    <xf numFmtId="0" fontId="62" fillId="28" borderId="2" xfId="53" applyFont="1" applyFill="1" applyBorder="1" applyAlignment="1">
      <alignment horizontal="center" vertical="center" wrapText="1"/>
    </xf>
    <xf numFmtId="164" fontId="62" fillId="28" borderId="2" xfId="29" applyNumberFormat="1" applyFont="1" applyFill="1" applyBorder="1" applyAlignment="1">
      <alignment horizontal="center" vertical="center" wrapText="1"/>
    </xf>
    <xf numFmtId="0" fontId="36" fillId="0" borderId="0" xfId="53" applyFont="1" applyAlignment="1">
      <alignment vertical="center"/>
    </xf>
    <xf numFmtId="0" fontId="63" fillId="28" borderId="2" xfId="53" applyFont="1" applyFill="1" applyBorder="1" applyAlignment="1">
      <alignment vertical="center" wrapText="1"/>
    </xf>
    <xf numFmtId="0" fontId="63" fillId="28" borderId="2" xfId="53" applyFont="1" applyFill="1" applyBorder="1" applyAlignment="1">
      <alignment horizontal="center" vertical="center" wrapText="1"/>
    </xf>
    <xf numFmtId="164" fontId="63" fillId="28" borderId="2" xfId="29" applyNumberFormat="1" applyFont="1" applyFill="1" applyBorder="1" applyAlignment="1">
      <alignment vertical="center" wrapText="1"/>
    </xf>
    <xf numFmtId="43" fontId="63" fillId="28" borderId="2" xfId="29" applyFont="1" applyFill="1" applyBorder="1" applyAlignment="1">
      <alignment vertical="center" wrapText="1"/>
    </xf>
    <xf numFmtId="43" fontId="40" fillId="0" borderId="0" xfId="53" applyNumberFormat="1" applyFont="1" applyAlignment="1">
      <alignment vertical="center"/>
    </xf>
    <xf numFmtId="164" fontId="40" fillId="0" borderId="16" xfId="29" applyNumberFormat="1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right" vertical="center" wrapText="1"/>
    </xf>
    <xf numFmtId="43" fontId="40" fillId="0" borderId="16" xfId="29" applyFont="1" applyFill="1" applyBorder="1" applyAlignment="1">
      <alignment vertical="center" wrapText="1"/>
    </xf>
    <xf numFmtId="0" fontId="58" fillId="28" borderId="18" xfId="53" applyFont="1" applyFill="1" applyBorder="1" applyAlignment="1">
      <alignment horizontal="center" vertical="center" wrapText="1"/>
    </xf>
    <xf numFmtId="14" fontId="58" fillId="28" borderId="18" xfId="53" applyNumberFormat="1" applyFont="1" applyFill="1" applyBorder="1" applyAlignment="1">
      <alignment horizontal="center" vertical="center" wrapText="1"/>
    </xf>
    <xf numFmtId="0" fontId="58" fillId="28" borderId="18" xfId="53" applyFont="1" applyFill="1" applyBorder="1" applyAlignment="1">
      <alignment vertical="center" wrapText="1"/>
    </xf>
    <xf numFmtId="164" fontId="58" fillId="28" borderId="18" xfId="29" applyNumberFormat="1" applyFont="1" applyFill="1" applyBorder="1" applyAlignment="1">
      <alignment horizontal="center" vertical="center" wrapText="1"/>
    </xf>
    <xf numFmtId="43" fontId="58" fillId="28" borderId="18" xfId="29" applyFont="1" applyFill="1" applyBorder="1" applyAlignment="1">
      <alignment horizontal="right" vertical="center" wrapText="1"/>
    </xf>
    <xf numFmtId="43" fontId="40" fillId="0" borderId="18" xfId="29" applyFont="1" applyFill="1" applyBorder="1" applyAlignment="1">
      <alignment vertical="center" wrapText="1"/>
    </xf>
    <xf numFmtId="14" fontId="61" fillId="28" borderId="2" xfId="53" applyNumberFormat="1" applyFont="1" applyFill="1" applyBorder="1" applyAlignment="1">
      <alignment vertical="center" wrapText="1"/>
    </xf>
    <xf numFmtId="0" fontId="61" fillId="28" borderId="2" xfId="53" applyFont="1" applyFill="1" applyBorder="1" applyAlignment="1">
      <alignment horizontal="center" vertical="center" wrapText="1"/>
    </xf>
    <xf numFmtId="0" fontId="61" fillId="28" borderId="2" xfId="53" applyFont="1" applyFill="1" applyBorder="1" applyAlignment="1">
      <alignment vertical="center" wrapText="1"/>
    </xf>
    <xf numFmtId="164" fontId="61" fillId="28" borderId="2" xfId="29" applyNumberFormat="1" applyFont="1" applyFill="1" applyBorder="1" applyAlignment="1">
      <alignment vertical="center" wrapText="1"/>
    </xf>
    <xf numFmtId="0" fontId="58" fillId="0" borderId="0" xfId="53" applyFont="1" applyBorder="1" applyAlignment="1">
      <alignment vertical="center"/>
    </xf>
    <xf numFmtId="0" fontId="58" fillId="0" borderId="0" xfId="53" applyFont="1" applyBorder="1" applyAlignment="1">
      <alignment horizontal="center" vertical="center"/>
    </xf>
    <xf numFmtId="164" fontId="32" fillId="0" borderId="24" xfId="29" applyNumberFormat="1" applyFont="1" applyBorder="1" applyAlignment="1">
      <alignment horizontal="center" vertical="center"/>
    </xf>
    <xf numFmtId="0" fontId="58" fillId="0" borderId="0" xfId="53" quotePrefix="1" applyFont="1" applyAlignment="1">
      <alignment horizontal="left" vertical="center"/>
    </xf>
    <xf numFmtId="0" fontId="57" fillId="28" borderId="0" xfId="53" applyFont="1" applyFill="1" applyAlignment="1">
      <alignment vertical="center" wrapText="1"/>
    </xf>
    <xf numFmtId="0" fontId="64" fillId="28" borderId="0" xfId="53" applyFont="1" applyFill="1" applyAlignment="1">
      <alignment horizontal="center" vertical="center" wrapText="1"/>
    </xf>
    <xf numFmtId="164" fontId="57" fillId="28" borderId="0" xfId="29" applyNumberFormat="1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 wrapText="1"/>
    </xf>
    <xf numFmtId="43" fontId="33" fillId="0" borderId="0" xfId="29" applyFont="1" applyAlignment="1">
      <alignment vertical="center"/>
    </xf>
    <xf numFmtId="0" fontId="33" fillId="0" borderId="0" xfId="53" applyFont="1" applyAlignment="1">
      <alignment vertical="center"/>
    </xf>
    <xf numFmtId="0" fontId="58" fillId="28" borderId="0" xfId="53" applyFont="1" applyFill="1" applyAlignment="1">
      <alignment horizontal="center" vertical="center" wrapText="1"/>
    </xf>
    <xf numFmtId="164" fontId="58" fillId="28" borderId="0" xfId="29" applyNumberFormat="1" applyFont="1" applyFill="1" applyAlignment="1">
      <alignment horizontal="center" vertical="center"/>
    </xf>
    <xf numFmtId="43" fontId="58" fillId="28" borderId="0" xfId="29" applyFont="1" applyFill="1" applyAlignment="1">
      <alignment horizontal="center" vertical="center"/>
    </xf>
    <xf numFmtId="0" fontId="58" fillId="28" borderId="0" xfId="53" applyFont="1" applyFill="1" applyAlignment="1">
      <alignment vertical="center" wrapText="1"/>
    </xf>
    <xf numFmtId="43" fontId="36" fillId="0" borderId="0" xfId="29" applyFont="1" applyAlignment="1">
      <alignment vertical="center"/>
    </xf>
    <xf numFmtId="0" fontId="59" fillId="0" borderId="0" xfId="53" applyFont="1" applyAlignment="1">
      <alignment vertical="center"/>
    </xf>
    <xf numFmtId="0" fontId="59" fillId="0" borderId="0" xfId="53" applyFont="1" applyAlignment="1">
      <alignment horizontal="center" vertical="center"/>
    </xf>
    <xf numFmtId="164" fontId="59" fillId="0" borderId="0" xfId="29" applyNumberFormat="1" applyFont="1" applyAlignment="1">
      <alignment vertical="center"/>
    </xf>
    <xf numFmtId="43" fontId="59" fillId="0" borderId="0" xfId="29" applyFont="1" applyAlignment="1">
      <alignment vertical="center"/>
    </xf>
    <xf numFmtId="14" fontId="57" fillId="28" borderId="0" xfId="53" applyNumberFormat="1" applyFont="1" applyFill="1" applyAlignment="1">
      <alignment vertical="center"/>
    </xf>
    <xf numFmtId="14" fontId="32" fillId="0" borderId="0" xfId="53" applyNumberFormat="1" applyFont="1" applyAlignment="1">
      <alignment vertical="center"/>
    </xf>
    <xf numFmtId="14" fontId="32" fillId="0" borderId="0" xfId="53" applyNumberFormat="1" applyFont="1" applyAlignment="1">
      <alignment horizontal="center" vertical="center"/>
    </xf>
    <xf numFmtId="14" fontId="62" fillId="28" borderId="2" xfId="53" applyNumberFormat="1" applyFont="1" applyFill="1" applyBorder="1" applyAlignment="1">
      <alignment horizontal="center" vertical="center" wrapText="1"/>
    </xf>
    <xf numFmtId="14" fontId="63" fillId="28" borderId="2" xfId="53" applyNumberFormat="1" applyFont="1" applyFill="1" applyBorder="1" applyAlignment="1">
      <alignment vertical="center" wrapText="1"/>
    </xf>
    <xf numFmtId="164" fontId="63" fillId="28" borderId="2" xfId="53" applyNumberFormat="1" applyFont="1" applyFill="1" applyBorder="1" applyAlignment="1">
      <alignment vertical="center" wrapText="1"/>
    </xf>
    <xf numFmtId="0" fontId="61" fillId="0" borderId="0" xfId="53" applyFont="1" applyBorder="1" applyAlignment="1">
      <alignment vertical="center"/>
    </xf>
    <xf numFmtId="0" fontId="61" fillId="0" borderId="0" xfId="53" applyFont="1" applyBorder="1" applyAlignment="1">
      <alignment horizontal="center" vertical="center"/>
    </xf>
    <xf numFmtId="164" fontId="40" fillId="0" borderId="0" xfId="29" applyNumberFormat="1" applyFont="1" applyAlignment="1">
      <alignment vertical="center"/>
    </xf>
    <xf numFmtId="43" fontId="40" fillId="0" borderId="0" xfId="29" applyFont="1" applyAlignment="1">
      <alignment vertical="center"/>
    </xf>
    <xf numFmtId="0" fontId="61" fillId="0" borderId="0" xfId="53" quotePrefix="1" applyFont="1" applyAlignment="1">
      <alignment horizontal="left" vertical="center"/>
    </xf>
    <xf numFmtId="0" fontId="40" fillId="0" borderId="0" xfId="53" applyFont="1" applyAlignment="1">
      <alignment horizontal="center" vertical="center"/>
    </xf>
    <xf numFmtId="0" fontId="63" fillId="28" borderId="0" xfId="53" applyFont="1" applyFill="1" applyAlignment="1">
      <alignment vertical="center" wrapText="1"/>
    </xf>
    <xf numFmtId="0" fontId="63" fillId="28" borderId="0" xfId="53" applyFont="1" applyFill="1" applyAlignment="1">
      <alignment horizontal="center" vertical="center" wrapText="1"/>
    </xf>
    <xf numFmtId="0" fontId="65" fillId="28" borderId="0" xfId="53" applyFont="1" applyFill="1" applyAlignment="1">
      <alignment horizontal="center" vertical="center" wrapText="1"/>
    </xf>
    <xf numFmtId="0" fontId="63" fillId="28" borderId="0" xfId="53" applyFont="1" applyFill="1" applyAlignment="1">
      <alignment horizontal="center" vertical="center"/>
    </xf>
    <xf numFmtId="164" fontId="63" fillId="28" borderId="0" xfId="29" applyNumberFormat="1" applyFont="1" applyFill="1" applyAlignment="1">
      <alignment horizontal="center" vertical="center"/>
    </xf>
    <xf numFmtId="0" fontId="50" fillId="0" borderId="0" xfId="53" applyFont="1" applyAlignment="1">
      <alignment vertical="center"/>
    </xf>
    <xf numFmtId="0" fontId="61" fillId="28" borderId="0" xfId="53" applyFont="1" applyFill="1" applyAlignment="1">
      <alignment horizontal="center" vertical="center"/>
    </xf>
    <xf numFmtId="0" fontId="61" fillId="28" borderId="0" xfId="53" applyFont="1" applyFill="1" applyAlignment="1">
      <alignment horizontal="center" vertical="center" wrapText="1"/>
    </xf>
    <xf numFmtId="164" fontId="61" fillId="28" borderId="0" xfId="29" applyNumberFormat="1" applyFont="1" applyFill="1" applyAlignment="1">
      <alignment horizontal="center" vertical="center"/>
    </xf>
    <xf numFmtId="0" fontId="61" fillId="28" borderId="0" xfId="53" applyFont="1" applyFill="1" applyAlignment="1">
      <alignment vertical="center" wrapText="1"/>
    </xf>
    <xf numFmtId="14" fontId="59" fillId="0" borderId="0" xfId="53" applyNumberFormat="1" applyFont="1" applyAlignment="1">
      <alignment vertical="center"/>
    </xf>
    <xf numFmtId="43" fontId="61" fillId="28" borderId="2" xfId="29" applyFont="1" applyFill="1" applyBorder="1" applyAlignment="1">
      <alignment horizontal="center" vertical="center" wrapText="1"/>
    </xf>
    <xf numFmtId="0" fontId="62" fillId="28" borderId="17" xfId="53" applyFont="1" applyFill="1" applyBorder="1" applyAlignment="1">
      <alignment horizontal="center" vertical="center" wrapText="1"/>
    </xf>
    <xf numFmtId="164" fontId="62" fillId="28" borderId="17" xfId="29" applyNumberFormat="1" applyFont="1" applyFill="1" applyBorder="1" applyAlignment="1">
      <alignment horizontal="center" vertical="center" wrapText="1"/>
    </xf>
    <xf numFmtId="43" fontId="40" fillId="0" borderId="0" xfId="53" applyNumberFormat="1" applyFont="1" applyFill="1" applyAlignment="1">
      <alignment vertical="center"/>
    </xf>
    <xf numFmtId="164" fontId="58" fillId="28" borderId="18" xfId="29" applyNumberFormat="1" applyFont="1" applyFill="1" applyBorder="1" applyAlignment="1">
      <alignment horizontal="right" vertical="center" wrapText="1"/>
    </xf>
    <xf numFmtId="164" fontId="40" fillId="0" borderId="18" xfId="53" applyNumberFormat="1" applyFont="1" applyFill="1" applyBorder="1" applyAlignment="1">
      <alignment vertical="center" wrapText="1"/>
    </xf>
    <xf numFmtId="43" fontId="50" fillId="0" borderId="0" xfId="29" applyFont="1" applyAlignment="1">
      <alignment vertical="center"/>
    </xf>
    <xf numFmtId="14" fontId="33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1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vertical="center" wrapText="1"/>
      <protection hidden="1"/>
    </xf>
    <xf numFmtId="0" fontId="32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left" vertical="center"/>
      <protection hidden="1"/>
    </xf>
    <xf numFmtId="0" fontId="32" fillId="0" borderId="25" xfId="53" applyFont="1" applyFill="1" applyBorder="1" applyAlignment="1" applyProtection="1">
      <alignment vertical="center"/>
      <protection hidden="1"/>
    </xf>
    <xf numFmtId="0" fontId="33" fillId="26" borderId="2" xfId="53" applyFont="1" applyFill="1" applyBorder="1" applyAlignment="1" applyProtection="1">
      <alignment vertical="center"/>
      <protection locked="0" hidden="1"/>
    </xf>
    <xf numFmtId="0" fontId="32" fillId="0" borderId="0" xfId="53" applyFont="1" applyFill="1" applyAlignment="1" applyProtection="1">
      <alignment vertical="center"/>
      <protection locked="0" hidden="1"/>
    </xf>
    <xf numFmtId="0" fontId="33" fillId="25" borderId="2" xfId="53" applyFont="1" applyFill="1" applyBorder="1" applyAlignment="1" applyProtection="1">
      <alignment vertical="center"/>
      <protection locked="0" hidden="1"/>
    </xf>
    <xf numFmtId="14" fontId="32" fillId="0" borderId="0" xfId="53" applyNumberFormat="1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 wrapText="1"/>
      <protection hidden="1"/>
    </xf>
    <xf numFmtId="0" fontId="32" fillId="0" borderId="0" xfId="53" applyNumberFormat="1" applyFont="1" applyFill="1" applyAlignment="1" applyProtection="1">
      <alignment horizontal="center" vertical="center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0" xfId="53" applyFont="1" applyFill="1" applyAlignment="1" applyProtection="1">
      <alignment vertical="center"/>
      <protection hidden="1"/>
    </xf>
    <xf numFmtId="14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43" fillId="0" borderId="2" xfId="53" applyFont="1" applyFill="1" applyBorder="1" applyAlignment="1" applyProtection="1">
      <alignment horizontal="center" vertical="center" wrapText="1"/>
      <protection hidden="1"/>
    </xf>
    <xf numFmtId="0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53" applyFont="1" applyFill="1" applyAlignment="1" applyProtection="1">
      <alignment vertical="center"/>
      <protection hidden="1"/>
    </xf>
    <xf numFmtId="14" fontId="50" fillId="0" borderId="2" xfId="53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horizontal="center" vertical="center" wrapText="1"/>
      <protection hidden="1"/>
    </xf>
    <xf numFmtId="0" fontId="33" fillId="0" borderId="2" xfId="53" applyFont="1" applyFill="1" applyBorder="1" applyAlignment="1" applyProtection="1">
      <alignment vertical="center" wrapText="1"/>
      <protection hidden="1"/>
    </xf>
    <xf numFmtId="0" fontId="50" fillId="0" borderId="2" xfId="53" applyNumberFormat="1" applyFont="1" applyFill="1" applyBorder="1" applyAlignment="1" applyProtection="1">
      <alignment vertical="center" wrapText="1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64" fontId="50" fillId="0" borderId="2" xfId="29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vertical="center" wrapText="1"/>
      <protection hidden="1"/>
    </xf>
    <xf numFmtId="14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16" xfId="53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29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53" applyNumberFormat="1" applyFont="1" applyFill="1" applyBorder="1" applyAlignment="1" applyProtection="1">
      <alignment vertical="center" wrapText="1"/>
      <protection hidden="1"/>
    </xf>
    <xf numFmtId="14" fontId="4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horizontal="center" vertical="center" wrapText="1"/>
      <protection hidden="1"/>
    </xf>
    <xf numFmtId="0" fontId="40" fillId="0" borderId="2" xfId="53" applyNumberFormat="1" applyFont="1" applyFill="1" applyBorder="1" applyAlignment="1" applyProtection="1">
      <alignment vertical="center" wrapText="1"/>
      <protection hidden="1"/>
    </xf>
    <xf numFmtId="164" fontId="5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vertical="center" wrapText="1"/>
      <protection hidden="1"/>
    </xf>
    <xf numFmtId="14" fontId="32" fillId="0" borderId="0" xfId="53" applyNumberFormat="1" applyFont="1" applyFill="1" applyBorder="1" applyAlignment="1" applyProtection="1">
      <alignment vertical="center"/>
      <protection hidden="1"/>
    </xf>
    <xf numFmtId="0" fontId="32" fillId="0" borderId="0" xfId="53" applyFont="1" applyFill="1" applyBorder="1" applyAlignment="1" applyProtection="1">
      <alignment horizontal="center" vertical="center"/>
      <protection hidden="1"/>
    </xf>
    <xf numFmtId="16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quotePrefix="1" applyFont="1" applyAlignment="1" applyProtection="1">
      <protection hidden="1"/>
    </xf>
    <xf numFmtId="14" fontId="33" fillId="0" borderId="0" xfId="53" applyNumberFormat="1" applyFont="1" applyFill="1" applyAlignment="1" applyProtection="1">
      <alignment vertical="center" wrapText="1"/>
      <protection hidden="1"/>
    </xf>
    <xf numFmtId="14" fontId="35" fillId="0" borderId="0" xfId="53" applyNumberFormat="1" applyFont="1" applyFill="1" applyAlignment="1" applyProtection="1">
      <alignment horizontal="center" vertical="center" wrapText="1"/>
      <protection hidden="1"/>
    </xf>
    <xf numFmtId="14" fontId="33" fillId="0" borderId="0" xfId="53" applyNumberFormat="1" applyFont="1" applyFill="1" applyAlignment="1" applyProtection="1">
      <alignment horizontal="center" vertical="center" wrapText="1"/>
      <protection hidden="1"/>
    </xf>
    <xf numFmtId="0" fontId="57" fillId="28" borderId="0" xfId="53" applyNumberFormat="1" applyFont="1" applyFill="1" applyAlignment="1" applyProtection="1">
      <alignment horizontal="center" vertical="center"/>
      <protection hidden="1"/>
    </xf>
    <xf numFmtId="0" fontId="33" fillId="0" borderId="0" xfId="53" applyFont="1" applyFill="1" applyAlignment="1" applyProtection="1">
      <alignment vertical="center"/>
      <protection hidden="1"/>
    </xf>
    <xf numFmtId="14" fontId="32" fillId="0" borderId="0" xfId="53" applyNumberFormat="1" applyFont="1" applyFill="1" applyAlignment="1" applyProtection="1">
      <alignment horizontal="center" vertical="center" wrapText="1"/>
      <protection hidden="1"/>
    </xf>
    <xf numFmtId="0" fontId="58" fillId="28" borderId="0" xfId="53" applyNumberFormat="1" applyFont="1" applyFill="1" applyAlignment="1" applyProtection="1">
      <alignment horizontal="center" vertical="center"/>
      <protection hidden="1"/>
    </xf>
    <xf numFmtId="14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horizontal="center" vertical="center"/>
      <protection hidden="1"/>
    </xf>
    <xf numFmtId="0" fontId="59" fillId="0" borderId="0" xfId="53" applyFont="1" applyFill="1" applyAlignment="1" applyProtection="1">
      <alignment vertical="center" wrapText="1"/>
      <protection hidden="1"/>
    </xf>
    <xf numFmtId="0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vertical="center"/>
      <protection hidden="1"/>
    </xf>
    <xf numFmtId="43" fontId="50" fillId="0" borderId="2" xfId="29" applyFont="1" applyFill="1" applyBorder="1" applyAlignment="1" applyProtection="1">
      <alignment vertical="center" wrapText="1"/>
      <protection hidden="1"/>
    </xf>
    <xf numFmtId="43" fontId="40" fillId="0" borderId="16" xfId="29" applyFont="1" applyFill="1" applyBorder="1" applyAlignment="1" applyProtection="1">
      <alignment horizontal="center" vertical="center" wrapText="1"/>
      <protection hidden="1"/>
    </xf>
    <xf numFmtId="43" fontId="40" fillId="0" borderId="16" xfId="29" applyFont="1" applyFill="1" applyBorder="1" applyAlignment="1" applyProtection="1">
      <alignment vertical="center" wrapText="1"/>
      <protection hidden="1"/>
    </xf>
    <xf numFmtId="43" fontId="32" fillId="0" borderId="23" xfId="29" applyFont="1" applyFill="1" applyBorder="1" applyAlignment="1" applyProtection="1">
      <alignment vertical="center" wrapText="1"/>
      <protection hidden="1"/>
    </xf>
    <xf numFmtId="43" fontId="40" fillId="0" borderId="2" xfId="29" applyFont="1" applyFill="1" applyBorder="1" applyAlignment="1" applyProtection="1">
      <alignment vertical="center" wrapText="1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40" fillId="0" borderId="0" xfId="53" applyFont="1" applyFill="1" applyBorder="1" applyAlignment="1" applyProtection="1">
      <alignment horizontal="center" vertical="center" wrapText="1"/>
      <protection hidden="1"/>
    </xf>
    <xf numFmtId="0" fontId="43" fillId="0" borderId="0" xfId="53" applyFont="1" applyFill="1" applyBorder="1" applyAlignment="1" applyProtection="1">
      <alignment horizontal="center" vertical="center" wrapText="1"/>
      <protection hidden="1"/>
    </xf>
    <xf numFmtId="0" fontId="50" fillId="0" borderId="0" xfId="53" applyFont="1" applyFill="1" applyBorder="1" applyAlignment="1" applyProtection="1">
      <alignment vertical="center" wrapText="1"/>
      <protection hidden="1"/>
    </xf>
    <xf numFmtId="164" fontId="40" fillId="0" borderId="0" xfId="53" applyNumberFormat="1" applyFont="1" applyFill="1" applyBorder="1" applyAlignment="1" applyProtection="1">
      <alignment vertical="center" wrapText="1"/>
      <protection hidden="1"/>
    </xf>
    <xf numFmtId="0" fontId="40" fillId="0" borderId="0" xfId="53" applyFont="1" applyFill="1" applyBorder="1" applyAlignment="1" applyProtection="1">
      <alignment vertical="center" wrapText="1"/>
      <protection hidden="1"/>
    </xf>
    <xf numFmtId="0" fontId="32" fillId="0" borderId="0" xfId="53" applyFont="1" applyFill="1" applyBorder="1" applyAlignment="1" applyProtection="1">
      <alignment vertical="center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0" fontId="43" fillId="0" borderId="2" xfId="53" applyFont="1" applyFill="1" applyBorder="1" applyAlignment="1" applyProtection="1">
      <alignment horizontal="center" vertical="center" wrapText="1"/>
      <protection locked="0"/>
    </xf>
    <xf numFmtId="0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164" fontId="32" fillId="0" borderId="0" xfId="0" applyNumberFormat="1" applyFont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center" vertical="center" wrapText="1"/>
    </xf>
    <xf numFmtId="164" fontId="33" fillId="0" borderId="0" xfId="0" applyNumberFormat="1" applyFont="1" applyBorder="1" applyAlignment="1">
      <alignment vertical="center" wrapText="1"/>
    </xf>
    <xf numFmtId="164" fontId="32" fillId="0" borderId="0" xfId="0" applyNumberFormat="1" applyFont="1" applyBorder="1" applyAlignment="1">
      <alignment vertical="center" wrapText="1"/>
    </xf>
    <xf numFmtId="164" fontId="33" fillId="0" borderId="0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left" vertical="center" wrapText="1"/>
    </xf>
    <xf numFmtId="0" fontId="67" fillId="0" borderId="16" xfId="53" applyFont="1" applyFill="1" applyBorder="1" applyAlignment="1">
      <alignment vertical="center" wrapText="1"/>
    </xf>
    <xf numFmtId="0" fontId="68" fillId="0" borderId="0" xfId="53" applyFont="1" applyFill="1" applyAlignment="1">
      <alignment vertical="center"/>
    </xf>
    <xf numFmtId="14" fontId="68" fillId="0" borderId="16" xfId="53" applyNumberFormat="1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vertical="center" wrapText="1"/>
    </xf>
    <xf numFmtId="164" fontId="68" fillId="0" borderId="16" xfId="53" applyNumberFormat="1" applyFont="1" applyFill="1" applyBorder="1" applyAlignment="1">
      <alignment vertical="center" wrapText="1"/>
    </xf>
    <xf numFmtId="0" fontId="68" fillId="0" borderId="16" xfId="53" quotePrefix="1" applyFont="1" applyFill="1" applyBorder="1" applyAlignment="1">
      <alignment horizontal="center" vertical="center" wrapText="1"/>
    </xf>
    <xf numFmtId="164" fontId="68" fillId="0" borderId="16" xfId="29" applyNumberFormat="1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right" vertical="center" wrapText="1"/>
    </xf>
    <xf numFmtId="0" fontId="67" fillId="0" borderId="16" xfId="53" applyFont="1" applyFill="1" applyBorder="1" applyAlignment="1">
      <alignment horizontal="center" vertical="center" wrapText="1"/>
    </xf>
    <xf numFmtId="0" fontId="67" fillId="0" borderId="0" xfId="53" applyFont="1" applyFill="1" applyAlignment="1">
      <alignment vertical="center"/>
    </xf>
    <xf numFmtId="14" fontId="67" fillId="0" borderId="16" xfId="53" applyNumberFormat="1" applyFont="1" applyFill="1" applyBorder="1" applyAlignment="1">
      <alignment horizontal="center" vertical="center" wrapText="1"/>
    </xf>
    <xf numFmtId="0" fontId="67" fillId="0" borderId="16" xfId="53" quotePrefix="1" applyFont="1" applyFill="1" applyBorder="1" applyAlignment="1">
      <alignment horizontal="center" vertical="center" wrapText="1"/>
    </xf>
    <xf numFmtId="164" fontId="67" fillId="0" borderId="16" xfId="29" applyNumberFormat="1" applyFont="1" applyFill="1" applyBorder="1" applyAlignment="1">
      <alignment horizontal="right" vertical="center" wrapText="1"/>
    </xf>
    <xf numFmtId="164" fontId="67" fillId="0" borderId="16" xfId="53" applyNumberFormat="1" applyFont="1" applyFill="1" applyBorder="1" applyAlignment="1">
      <alignment vertical="center" wrapText="1"/>
    </xf>
    <xf numFmtId="164" fontId="33" fillId="0" borderId="0" xfId="57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/>
    </xf>
    <xf numFmtId="164" fontId="36" fillId="0" borderId="2" xfId="0" applyNumberFormat="1" applyFont="1" applyBorder="1" applyAlignment="1">
      <alignment horizontal="center" vertical="center"/>
    </xf>
    <xf numFmtId="164" fontId="33" fillId="0" borderId="19" xfId="0" applyNumberFormat="1" applyFont="1" applyBorder="1" applyAlignment="1">
      <alignment vertical="center"/>
    </xf>
    <xf numFmtId="164" fontId="32" fillId="0" borderId="16" xfId="0" applyNumberFormat="1" applyFont="1" applyBorder="1" applyAlignment="1">
      <alignment horizontal="left" vertical="center"/>
    </xf>
    <xf numFmtId="164" fontId="33" fillId="0" borderId="16" xfId="0" applyNumberFormat="1" applyFont="1" applyBorder="1" applyAlignment="1">
      <alignment vertical="center"/>
    </xf>
    <xf numFmtId="164" fontId="33" fillId="0" borderId="18" xfId="0" applyNumberFormat="1" applyFont="1" applyBorder="1" applyAlignment="1">
      <alignment vertical="center"/>
    </xf>
    <xf numFmtId="164" fontId="40" fillId="0" borderId="16" xfId="57" applyNumberFormat="1" applyFont="1" applyFill="1" applyBorder="1" applyAlignment="1">
      <alignment horizontal="left" vertical="center" wrapText="1"/>
    </xf>
    <xf numFmtId="43" fontId="36" fillId="0" borderId="0" xfId="29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4" fontId="40" fillId="0" borderId="16" xfId="0" applyNumberFormat="1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vertical="center" wrapText="1"/>
    </xf>
    <xf numFmtId="0" fontId="40" fillId="0" borderId="16" xfId="0" applyFont="1" applyFill="1" applyBorder="1" applyAlignment="1">
      <alignment horizontal="center" vertical="center" wrapText="1"/>
    </xf>
    <xf numFmtId="0" fontId="40" fillId="0" borderId="16" xfId="0" quotePrefix="1" applyFont="1" applyFill="1" applyBorder="1" applyAlignment="1">
      <alignment horizontal="center" vertical="center" wrapText="1"/>
    </xf>
    <xf numFmtId="164" fontId="40" fillId="0" borderId="20" xfId="53" applyNumberFormat="1" applyFont="1" applyFill="1" applyBorder="1" applyAlignment="1">
      <alignment vertical="center" wrapText="1"/>
    </xf>
    <xf numFmtId="164" fontId="50" fillId="0" borderId="0" xfId="29" applyNumberFormat="1" applyFont="1" applyAlignment="1">
      <alignment vertical="center"/>
    </xf>
    <xf numFmtId="0" fontId="50" fillId="0" borderId="0" xfId="53" applyFont="1" applyAlignment="1">
      <alignment horizontal="right" vertical="center"/>
    </xf>
    <xf numFmtId="14" fontId="40" fillId="0" borderId="20" xfId="0" applyNumberFormat="1" applyFont="1" applyFill="1" applyBorder="1" applyAlignment="1">
      <alignment horizontal="center" vertical="center" wrapText="1"/>
    </xf>
    <xf numFmtId="0" fontId="40" fillId="0" borderId="20" xfId="0" applyFont="1" applyFill="1" applyBorder="1" applyAlignment="1">
      <alignment vertical="center" wrapText="1"/>
    </xf>
    <xf numFmtId="164" fontId="40" fillId="0" borderId="20" xfId="29" applyNumberFormat="1" applyFont="1" applyFill="1" applyBorder="1" applyAlignment="1">
      <alignment horizontal="right" vertical="center" wrapText="1"/>
    </xf>
    <xf numFmtId="14" fontId="61" fillId="28" borderId="23" xfId="53" applyNumberFormat="1" applyFont="1" applyFill="1" applyBorder="1" applyAlignment="1">
      <alignment vertical="center" wrapText="1"/>
    </xf>
    <xf numFmtId="0" fontId="61" fillId="28" borderId="23" xfId="53" applyFont="1" applyFill="1" applyBorder="1" applyAlignment="1">
      <alignment horizontal="center" vertical="center" wrapText="1"/>
    </xf>
    <xf numFmtId="0" fontId="63" fillId="28" borderId="23" xfId="53" applyFont="1" applyFill="1" applyBorder="1" applyAlignment="1">
      <alignment vertical="center" wrapText="1"/>
    </xf>
    <xf numFmtId="0" fontId="61" fillId="28" borderId="23" xfId="53" applyFont="1" applyFill="1" applyBorder="1" applyAlignment="1">
      <alignment vertical="center" wrapText="1"/>
    </xf>
    <xf numFmtId="164" fontId="63" fillId="28" borderId="23" xfId="53" applyNumberFormat="1" applyFont="1" applyFill="1" applyBorder="1" applyAlignment="1">
      <alignment vertical="center" wrapText="1"/>
    </xf>
    <xf numFmtId="164" fontId="58" fillId="28" borderId="18" xfId="53" applyNumberFormat="1" applyFont="1" applyFill="1" applyBorder="1" applyAlignment="1">
      <alignment vertical="center" wrapText="1"/>
    </xf>
    <xf numFmtId="164" fontId="50" fillId="0" borderId="0" xfId="53" applyNumberFormat="1" applyFont="1" applyAlignment="1">
      <alignment vertical="center"/>
    </xf>
    <xf numFmtId="0" fontId="40" fillId="0" borderId="20" xfId="0" quotePrefix="1" applyFont="1" applyFill="1" applyBorder="1" applyAlignment="1">
      <alignment horizontal="center" vertical="center" wrapText="1"/>
    </xf>
    <xf numFmtId="164" fontId="40" fillId="0" borderId="0" xfId="53" applyNumberFormat="1" applyFont="1" applyFill="1" applyAlignment="1" applyProtection="1">
      <alignment vertical="center"/>
      <protection hidden="1"/>
    </xf>
    <xf numFmtId="164" fontId="40" fillId="0" borderId="23" xfId="53" applyNumberFormat="1" applyFont="1" applyFill="1" applyBorder="1" applyAlignment="1" applyProtection="1">
      <alignment vertical="center" wrapText="1"/>
      <protection hidden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26" xfId="0" applyNumberFormat="1" applyFont="1" applyBorder="1" applyAlignment="1">
      <alignment horizontal="center" vertical="center" wrapText="1"/>
    </xf>
    <xf numFmtId="164" fontId="32" fillId="0" borderId="23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2" fillId="0" borderId="26" xfId="0" applyNumberFormat="1" applyFont="1" applyBorder="1" applyAlignment="1">
      <alignment horizontal="center" vertical="center"/>
    </xf>
    <xf numFmtId="164" fontId="32" fillId="0" borderId="23" xfId="0" applyNumberFormat="1" applyFont="1" applyBorder="1" applyAlignment="1">
      <alignment horizontal="center" vertical="center"/>
    </xf>
    <xf numFmtId="0" fontId="35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center" vertical="center" wrapText="1"/>
    </xf>
    <xf numFmtId="0" fontId="32" fillId="0" borderId="0" xfId="53" applyFont="1" applyFill="1" applyAlignment="1">
      <alignment horizontal="center" vertical="center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9" xfId="53" applyFont="1" applyFill="1" applyBorder="1" applyAlignment="1">
      <alignment horizontal="center" vertical="center" wrapText="1"/>
    </xf>
    <xf numFmtId="0" fontId="40" fillId="0" borderId="28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6" xfId="53" applyFont="1" applyFill="1" applyBorder="1" applyAlignment="1">
      <alignment horizontal="center" vertical="center" wrapText="1"/>
    </xf>
    <xf numFmtId="0" fontId="40" fillId="0" borderId="23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56" fillId="0" borderId="0" xfId="53" applyFont="1" applyFill="1" applyAlignment="1">
      <alignment horizontal="center" vertical="center" wrapText="1"/>
    </xf>
    <xf numFmtId="14" fontId="40" fillId="0" borderId="26" xfId="53" applyNumberFormat="1" applyFont="1" applyFill="1" applyBorder="1" applyAlignment="1">
      <alignment horizontal="center" vertical="center" wrapText="1"/>
    </xf>
    <xf numFmtId="14" fontId="40" fillId="0" borderId="27" xfId="53" applyNumberFormat="1" applyFont="1" applyFill="1" applyBorder="1" applyAlignment="1">
      <alignment horizontal="center" vertical="center" wrapText="1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60" fillId="0" borderId="0" xfId="53" applyFont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61" fillId="28" borderId="26" xfId="53" applyFont="1" applyFill="1" applyBorder="1" applyAlignment="1">
      <alignment horizontal="center" vertical="center" wrapText="1"/>
    </xf>
    <xf numFmtId="0" fontId="61" fillId="28" borderId="27" xfId="53" applyFont="1" applyFill="1" applyBorder="1" applyAlignment="1">
      <alignment horizontal="center" vertical="center" wrapText="1"/>
    </xf>
    <xf numFmtId="0" fontId="61" fillId="28" borderId="30" xfId="53" applyFont="1" applyFill="1" applyBorder="1" applyAlignment="1">
      <alignment horizontal="center" vertical="center" wrapText="1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61" fillId="28" borderId="17" xfId="53" applyFont="1" applyFill="1" applyBorder="1" applyAlignment="1">
      <alignment horizontal="center" vertical="center" wrapText="1"/>
    </xf>
    <xf numFmtId="0" fontId="61" fillId="28" borderId="29" xfId="53" applyFont="1" applyFill="1" applyBorder="1" applyAlignment="1">
      <alignment horizontal="center" vertical="center" wrapText="1"/>
    </xf>
    <xf numFmtId="0" fontId="61" fillId="28" borderId="28" xfId="53" applyFont="1" applyFill="1" applyBorder="1" applyAlignment="1">
      <alignment horizontal="center" vertical="center" wrapText="1"/>
    </xf>
    <xf numFmtId="164" fontId="61" fillId="28" borderId="22" xfId="29" applyNumberFormat="1" applyFont="1" applyFill="1" applyBorder="1" applyAlignment="1">
      <alignment horizontal="center" vertical="center" wrapText="1"/>
    </xf>
    <xf numFmtId="164" fontId="61" fillId="28" borderId="17" xfId="29" applyNumberFormat="1" applyFont="1" applyFill="1" applyBorder="1" applyAlignment="1">
      <alignment horizontal="center" vertical="center" wrapText="1"/>
    </xf>
    <xf numFmtId="0" fontId="61" fillId="28" borderId="0" xfId="53" applyFont="1" applyFill="1" applyAlignment="1">
      <alignment horizontal="center" vertical="center"/>
    </xf>
    <xf numFmtId="0" fontId="40" fillId="0" borderId="0" xfId="53" applyFont="1" applyAlignment="1">
      <alignment horizontal="center" vertical="center"/>
    </xf>
    <xf numFmtId="14" fontId="61" fillId="28" borderId="26" xfId="53" applyNumberFormat="1" applyFont="1" applyFill="1" applyBorder="1" applyAlignment="1">
      <alignment horizontal="center" vertical="center" wrapText="1"/>
    </xf>
    <xf numFmtId="14" fontId="61" fillId="28" borderId="27" xfId="53" applyNumberFormat="1" applyFont="1" applyFill="1" applyBorder="1" applyAlignment="1">
      <alignment horizontal="center" vertical="center" wrapText="1"/>
    </xf>
    <xf numFmtId="0" fontId="63" fillId="28" borderId="0" xfId="53" applyFont="1" applyFill="1" applyAlignment="1">
      <alignment horizontal="center" vertical="center" wrapText="1"/>
    </xf>
    <xf numFmtId="43" fontId="50" fillId="0" borderId="0" xfId="29" applyFont="1" applyAlignment="1">
      <alignment horizontal="center" vertical="center"/>
    </xf>
    <xf numFmtId="0" fontId="61" fillId="28" borderId="2" xfId="53" applyFont="1" applyFill="1" applyBorder="1" applyAlignment="1">
      <alignment horizontal="center" vertical="center" wrapText="1"/>
    </xf>
    <xf numFmtId="164" fontId="61" fillId="28" borderId="2" xfId="29" applyNumberFormat="1" applyFont="1" applyFill="1" applyBorder="1" applyAlignment="1">
      <alignment horizontal="center" vertical="center" wrapText="1"/>
    </xf>
    <xf numFmtId="0" fontId="32" fillId="0" borderId="0" xfId="53" applyFont="1" applyFill="1" applyAlignment="1" applyProtection="1">
      <alignment horizontal="center" vertical="center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4" fontId="40" fillId="0" borderId="2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27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28" xfId="53" applyFont="1" applyFill="1" applyBorder="1" applyAlignment="1" applyProtection="1">
      <alignment horizontal="center" vertical="center" wrapText="1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0" fontId="40" fillId="0" borderId="29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17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17" xfId="53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53" applyFont="1" applyFill="1" applyAlignment="1" applyProtection="1">
      <alignment horizontal="right" vertical="center"/>
      <protection hidden="1"/>
    </xf>
    <xf numFmtId="0" fontId="33" fillId="0" borderId="0" xfId="53" applyFont="1" applyFill="1" applyAlignment="1" applyProtection="1">
      <alignment horizontal="left" vertical="center" wrapText="1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164" fontId="61" fillId="28" borderId="2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1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2" xfId="29" applyNumberFormat="1" applyFont="1" applyFill="1" applyBorder="1" applyAlignment="1" applyProtection="1">
      <alignment horizontal="center" vertical="center" wrapText="1"/>
      <protection hidden="1"/>
    </xf>
  </cellXfs>
  <cellStyles count="7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44" builtinId="8"/>
    <cellStyle name="Input" xfId="45" builtinId="20" customBuiltin="1"/>
    <cellStyle name="k0" xfId="46"/>
    <cellStyle name="k1" xfId="47"/>
    <cellStyle name="k2" xfId="48"/>
    <cellStyle name="k3" xfId="49"/>
    <cellStyle name="Linked Cell" xfId="50" builtinId="24" customBuiltin="1"/>
    <cellStyle name="moi" xfId="51"/>
    <cellStyle name="Neutral" xfId="52" builtinId="28" customBuiltin="1"/>
    <cellStyle name="Normal" xfId="0" builtinId="0"/>
    <cellStyle name="Normal_112 - 15" xfId="53"/>
    <cellStyle name="Normal_Copy of Ke-toan-mo-phong-mauso_ke_toan_NKC_excel-2" xfId="54"/>
    <cellStyle name="Normal_Dichso" xfId="55"/>
    <cellStyle name="Normal_DocSoUnicode" xfId="56"/>
    <cellStyle name="Normal_ketoanthucte_NhatKySoCai" xfId="57"/>
    <cellStyle name="Normal_NhatKy0403" xfId="58"/>
    <cellStyle name="Normal_PNKPXK" xfId="59"/>
    <cellStyle name="Note" xfId="60" builtinId="10" customBuiltin="1"/>
    <cellStyle name="Output" xfId="61" builtinId="21" customBuiltin="1"/>
    <cellStyle name="TD1" xfId="62"/>
    <cellStyle name="Title" xfId="63" builtinId="15" customBuiltin="1"/>
    <cellStyle name="Total" xfId="64" builtinId="25" customBuiltin="1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8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0000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wnload\Mau-so-sach-ke-toan-QD48\KE%20TOAN%20-%20QD%204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11">
          <cell r="C11">
            <v>5500000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niBase"/>
      <sheetName val="vniBase"/>
      <sheetName val="abcBase"/>
      <sheetName val="Ufunctions"/>
    </sheetNames>
    <definedNames>
      <definedName name="VND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33"/>
  </sheetPr>
  <dimension ref="B1:IR60"/>
  <sheetViews>
    <sheetView workbookViewId="0">
      <selection activeCell="C14" sqref="C14"/>
    </sheetView>
  </sheetViews>
  <sheetFormatPr defaultColWidth="5.42578125" defaultRowHeight="15"/>
  <cols>
    <col min="1" max="1" width="4.28515625" style="74" customWidth="1"/>
    <col min="2" max="2" width="5.28515625" style="74" customWidth="1"/>
    <col min="3" max="3" width="14.85546875" style="74" customWidth="1"/>
    <col min="4" max="4" width="16" style="74" customWidth="1"/>
    <col min="5" max="5" width="3.85546875" style="74" customWidth="1"/>
    <col min="6" max="6" width="6" style="74" customWidth="1"/>
    <col min="7" max="8" width="6.7109375" style="74" customWidth="1"/>
    <col min="9" max="9" width="10.42578125" style="74" customWidth="1"/>
    <col min="10" max="10" width="5.85546875" style="74" customWidth="1"/>
    <col min="11" max="11" width="8.28515625" style="74" customWidth="1"/>
    <col min="12" max="12" width="5" style="74" customWidth="1"/>
    <col min="13" max="13" width="6.42578125" style="74" customWidth="1"/>
    <col min="14" max="14" width="3.140625" style="74" customWidth="1"/>
    <col min="15" max="15" width="7.140625" style="74" customWidth="1"/>
    <col min="16" max="16" width="5" style="108" customWidth="1"/>
    <col min="17" max="17" width="5" style="74" customWidth="1"/>
    <col min="18" max="18" width="1.5703125" style="74" customWidth="1"/>
    <col min="19" max="19" width="5" style="74" customWidth="1"/>
    <col min="20" max="20" width="1.5703125" style="74" customWidth="1"/>
    <col min="21" max="21" width="5.5703125" style="74" customWidth="1"/>
    <col min="22" max="22" width="9.42578125" style="74" bestFit="1" customWidth="1"/>
    <col min="23" max="220" width="9.140625" style="74" customWidth="1"/>
    <col min="221" max="221" width="11.28515625" style="74" customWidth="1"/>
    <col min="222" max="238" width="9.140625" style="74" customWidth="1"/>
    <col min="239" max="239" width="10" style="74" customWidth="1"/>
    <col min="240" max="240" width="13.5703125" style="74" customWidth="1"/>
    <col min="241" max="245" width="2" style="74" customWidth="1"/>
    <col min="246" max="246" width="4.5703125" style="74" customWidth="1"/>
    <col min="247" max="249" width="2" style="74" customWidth="1"/>
    <col min="250" max="251" width="3" style="74" customWidth="1"/>
    <col min="252" max="16384" width="5.42578125" style="74"/>
  </cols>
  <sheetData>
    <row r="1" spans="2:252" ht="12.75" customHeight="1">
      <c r="B1" s="72" t="s">
        <v>0</v>
      </c>
      <c r="C1" s="73"/>
      <c r="D1" s="73"/>
      <c r="E1" s="73"/>
      <c r="F1" s="73"/>
      <c r="G1" s="73"/>
      <c r="I1" s="75"/>
      <c r="L1" s="76" t="str">
        <f>+IF(LEFT($S$4,1)="T","Mẫu số 01 - TT","Mẫu số 02 - TT")</f>
        <v>Mẫu số 02 - TT</v>
      </c>
      <c r="N1" s="77"/>
      <c r="O1" s="77"/>
      <c r="P1" s="78"/>
      <c r="Q1" s="69"/>
      <c r="R1" s="69"/>
      <c r="S1" s="69"/>
      <c r="T1" s="70"/>
      <c r="U1" s="69"/>
      <c r="V1" s="79"/>
      <c r="IE1" s="80"/>
      <c r="IF1" s="80"/>
      <c r="IG1" s="80"/>
      <c r="IH1" s="80"/>
      <c r="II1" s="80"/>
      <c r="IJ1" s="80"/>
      <c r="IK1" s="80"/>
      <c r="IL1" s="80"/>
      <c r="IM1" s="80"/>
      <c r="IN1" s="80"/>
      <c r="IO1" s="80"/>
      <c r="IP1" s="80"/>
      <c r="IQ1" s="80"/>
      <c r="IR1" s="80"/>
    </row>
    <row r="2" spans="2:252" ht="12.75" customHeight="1">
      <c r="B2" s="81" t="s">
        <v>61</v>
      </c>
      <c r="C2" s="73"/>
      <c r="D2" s="73"/>
      <c r="E2" s="73"/>
      <c r="F2" s="73"/>
      <c r="G2" s="73"/>
      <c r="H2" s="75"/>
      <c r="I2" s="75"/>
      <c r="L2" s="68" t="s">
        <v>112</v>
      </c>
      <c r="N2" s="82"/>
      <c r="O2" s="82"/>
      <c r="P2" s="78"/>
      <c r="Q2" s="69"/>
      <c r="R2" s="69"/>
      <c r="S2" s="69"/>
      <c r="T2" s="71"/>
      <c r="U2" s="90" t="s">
        <v>115</v>
      </c>
      <c r="IE2" s="80"/>
      <c r="IF2" s="80"/>
      <c r="IG2" s="80"/>
      <c r="IH2" s="80"/>
      <c r="II2" s="80"/>
      <c r="IJ2" s="80"/>
      <c r="IK2" s="80"/>
      <c r="IL2" s="80"/>
      <c r="IM2" s="80"/>
      <c r="IN2" s="80"/>
      <c r="IO2" s="80"/>
      <c r="IP2" s="80"/>
      <c r="IQ2" s="80"/>
      <c r="IR2" s="80"/>
    </row>
    <row r="3" spans="2:252" ht="12.75" customHeight="1">
      <c r="B3" s="81"/>
      <c r="C3" s="73"/>
      <c r="D3" s="73"/>
      <c r="E3" s="73"/>
      <c r="G3" s="73"/>
      <c r="I3" s="83"/>
      <c r="L3" s="68" t="s">
        <v>113</v>
      </c>
      <c r="N3" s="82"/>
      <c r="O3" s="82"/>
      <c r="P3" s="84"/>
      <c r="Q3" s="90" t="s">
        <v>114</v>
      </c>
      <c r="R3" s="69"/>
      <c r="S3" s="69"/>
      <c r="T3" s="71"/>
      <c r="U3" s="90" t="s">
        <v>116</v>
      </c>
      <c r="IE3" s="80"/>
      <c r="IF3" s="80"/>
      <c r="IG3" s="80"/>
      <c r="IH3" s="80"/>
      <c r="II3" s="80"/>
      <c r="IJ3" s="80"/>
      <c r="IK3" s="80"/>
      <c r="IL3" s="80"/>
      <c r="IM3" s="80"/>
      <c r="IN3" s="80"/>
      <c r="IO3" s="80"/>
      <c r="IP3" s="80"/>
      <c r="IQ3" s="80"/>
      <c r="IR3" s="80"/>
    </row>
    <row r="4" spans="2:252" ht="17.25" customHeight="1">
      <c r="B4" s="81"/>
      <c r="C4" s="73"/>
      <c r="D4" s="73"/>
      <c r="E4" s="73"/>
      <c r="G4" s="85"/>
      <c r="H4" s="86" t="str">
        <f>IF(LEFT($S$4,1)="T","PHIẾU THU","PHIẾU CHI")</f>
        <v>PHIẾU CHI</v>
      </c>
      <c r="J4" s="85"/>
      <c r="K4" s="87"/>
      <c r="M4" s="87"/>
      <c r="N4" s="87"/>
      <c r="O4" s="87"/>
      <c r="P4" s="88"/>
      <c r="Q4" s="118">
        <v>6</v>
      </c>
      <c r="R4" s="119"/>
      <c r="S4" s="120" t="s">
        <v>9</v>
      </c>
      <c r="T4" s="121"/>
      <c r="U4" s="122">
        <v>6</v>
      </c>
      <c r="IE4" s="80"/>
      <c r="IF4" s="80"/>
      <c r="IG4" s="80"/>
      <c r="IH4" s="80"/>
      <c r="II4" s="80"/>
      <c r="IJ4" s="80"/>
      <c r="IK4" s="80"/>
      <c r="IL4" s="80"/>
      <c r="IM4" s="80"/>
      <c r="IN4" s="80"/>
      <c r="IO4" s="80"/>
      <c r="IP4" s="80"/>
      <c r="IQ4" s="80"/>
      <c r="IR4" s="80"/>
    </row>
    <row r="5" spans="2:252" ht="14.25" customHeight="1">
      <c r="B5" s="81"/>
      <c r="C5" s="73"/>
      <c r="D5" s="73"/>
      <c r="E5" s="73"/>
      <c r="G5" s="85"/>
      <c r="H5" s="89" t="str">
        <f ca="1">IF(ISNA(VLOOKUP($M$7,INDIRECT("DSTM"&amp;$Q$4),2,0)),"","Ngày  "&amp;DAY(VLOOKUP($M$7,INDIRECT("DSTM"&amp;$Q$4),2,0))&amp;"  tháng  "&amp;MONTH(VLOOKUP($M$7,INDIRECT("DSTM"&amp;$Q$4),2,0))&amp;"  năm  "&amp;YEAR(VLOOKUP($M$7,INDIRECT("DSTM"&amp;$Q$4),2,0)))</f>
        <v>Ngày  6  tháng  6  năm  2013</v>
      </c>
      <c r="J5" s="85"/>
      <c r="K5" s="87"/>
      <c r="M5" s="87"/>
      <c r="N5" s="87"/>
      <c r="O5" s="87"/>
      <c r="P5" s="88"/>
      <c r="Q5" s="90"/>
      <c r="T5" s="80"/>
      <c r="U5" s="90"/>
      <c r="IE5" s="80"/>
      <c r="IF5" s="80"/>
      <c r="IG5" s="80"/>
      <c r="IH5" s="80"/>
      <c r="II5" s="80"/>
      <c r="IJ5" s="80"/>
      <c r="IK5" s="80"/>
      <c r="IL5" s="80"/>
      <c r="IM5" s="80"/>
      <c r="IN5" s="80"/>
      <c r="IO5" s="80"/>
      <c r="IP5" s="80"/>
      <c r="IQ5" s="80"/>
      <c r="IR5" s="80"/>
    </row>
    <row r="6" spans="2:252" s="93" customFormat="1" ht="13.5" customHeight="1">
      <c r="B6" s="91"/>
      <c r="C6" s="92"/>
      <c r="D6" s="92"/>
      <c r="E6" s="92"/>
      <c r="G6" s="94"/>
      <c r="H6" s="94"/>
      <c r="I6" s="94"/>
      <c r="L6" s="95" t="s">
        <v>62</v>
      </c>
      <c r="O6" s="96"/>
      <c r="P6" s="97"/>
      <c r="T6" s="98"/>
      <c r="U6" s="90"/>
      <c r="IE6" s="99">
        <f>'[1]In-Thu'!C11</f>
        <v>5500000</v>
      </c>
      <c r="IF6" s="63" t="str">
        <f>RIGHT("000000000000"&amp;ROUND(IE6,0),12)</f>
        <v>000005500000</v>
      </c>
      <c r="IG6" s="63">
        <v>1</v>
      </c>
      <c r="IH6" s="63">
        <v>2</v>
      </c>
      <c r="II6" s="63">
        <v>3</v>
      </c>
      <c r="IJ6" s="63">
        <v>4</v>
      </c>
      <c r="IK6" s="63">
        <v>5</v>
      </c>
      <c r="IL6" s="63">
        <v>6</v>
      </c>
      <c r="IM6" s="63">
        <v>7</v>
      </c>
      <c r="IN6" s="63">
        <v>8</v>
      </c>
      <c r="IO6" s="63">
        <v>9</v>
      </c>
      <c r="IP6" s="63">
        <v>10</v>
      </c>
      <c r="IQ6" s="63">
        <v>11</v>
      </c>
      <c r="IR6" s="63">
        <v>12</v>
      </c>
    </row>
    <row r="7" spans="2:252" s="93" customFormat="1" ht="13.5" customHeight="1">
      <c r="E7" s="91"/>
      <c r="F7" s="94"/>
      <c r="G7" s="94"/>
      <c r="H7" s="94"/>
      <c r="I7" s="94"/>
      <c r="L7" s="100" t="str">
        <f>"Số :    "</f>
        <v xml:space="preserve">Số :    </v>
      </c>
      <c r="M7" s="101" t="str">
        <f>$S$4&amp;IF($U$4&gt;=10,$U$4,"0"&amp;$U$4)</f>
        <v>C06</v>
      </c>
      <c r="N7" s="96"/>
      <c r="O7" s="96"/>
      <c r="P7" s="97"/>
      <c r="IE7" s="102"/>
      <c r="IF7" s="64"/>
      <c r="IG7" s="64">
        <f>VALUE(MID(IF6,IG6,1))</f>
        <v>0</v>
      </c>
      <c r="IH7" s="64">
        <f>VALUE(MID(IF6,IH6,1))</f>
        <v>0</v>
      </c>
      <c r="II7" s="64">
        <f>VALUE(MID(IF6,II6,1))</f>
        <v>0</v>
      </c>
      <c r="IJ7" s="64">
        <f>VALUE(MID(IF6,IJ6,1))</f>
        <v>0</v>
      </c>
      <c r="IK7" s="64">
        <f>VALUE(MID(IF6,IK6,1))</f>
        <v>0</v>
      </c>
      <c r="IL7" s="64">
        <f>VALUE(MID(IF6,IL6,1))</f>
        <v>5</v>
      </c>
      <c r="IM7" s="64">
        <f>VALUE(MID(IF6,IM6,1))</f>
        <v>5</v>
      </c>
      <c r="IN7" s="64">
        <f>VALUE(MID(IF6,IN6,1))</f>
        <v>0</v>
      </c>
      <c r="IO7" s="64">
        <f>VALUE(MID(IF6,IO6,1))</f>
        <v>0</v>
      </c>
      <c r="IP7" s="64">
        <f>VALUE(MID(IF6,IP6,1))</f>
        <v>0</v>
      </c>
      <c r="IQ7" s="64">
        <f>VALUE(MID(IF6,IQ6,1))</f>
        <v>0</v>
      </c>
      <c r="IR7" s="64">
        <f>VALUE(MID(IF6,IR6,1))</f>
        <v>0</v>
      </c>
    </row>
    <row r="8" spans="2:252" s="93" customFormat="1" ht="13.5" customHeight="1">
      <c r="E8" s="91"/>
      <c r="F8" s="91"/>
      <c r="G8" s="91"/>
      <c r="H8" s="91"/>
      <c r="I8" s="91"/>
      <c r="K8" s="103"/>
      <c r="L8" s="95" t="s">
        <v>63</v>
      </c>
      <c r="M8" s="104" t="str">
        <f ca="1">IF($S$4="T","1111",IF($S$4="C",IF(ISNA(VLOOKUP($M$7,INDIRECT("DSTM"&amp;$Q$4),9,0)),"",VLOOKUP($M$7,INDIRECT("DSTM"&amp;$Q$4),9,0)),""))</f>
        <v>154</v>
      </c>
      <c r="N8" s="96"/>
      <c r="O8" s="96"/>
      <c r="P8" s="105"/>
      <c r="IE8" s="102"/>
      <c r="IF8" s="64"/>
      <c r="IG8" s="64">
        <f>SUM(IG7:IG7)</f>
        <v>0</v>
      </c>
      <c r="IH8" s="64">
        <f>SUM(IG7:IH7)</f>
        <v>0</v>
      </c>
      <c r="II8" s="64">
        <f>SUM(IG7:II7)</f>
        <v>0</v>
      </c>
      <c r="IJ8" s="64">
        <f>SUM(IJ7:IJ7)</f>
        <v>0</v>
      </c>
      <c r="IK8" s="64">
        <f>SUM(IJ7:IK7)</f>
        <v>0</v>
      </c>
      <c r="IL8" s="64">
        <f>SUM(IJ7:IL7)</f>
        <v>5</v>
      </c>
      <c r="IM8" s="64">
        <f>SUM(IM7:IM7)</f>
        <v>5</v>
      </c>
      <c r="IN8" s="64">
        <f>SUM(IM7:IN7)</f>
        <v>5</v>
      </c>
      <c r="IO8" s="64">
        <f>SUM(IM7:IO7)</f>
        <v>5</v>
      </c>
      <c r="IP8" s="64">
        <f>SUM(IP7:IP7)</f>
        <v>0</v>
      </c>
      <c r="IQ8" s="64">
        <f>SUM(IP7:IQ7)</f>
        <v>0</v>
      </c>
      <c r="IR8" s="64">
        <f>SUM(IP7:IV7)</f>
        <v>0</v>
      </c>
    </row>
    <row r="9" spans="2:252" s="93" customFormat="1" ht="13.5" customHeight="1">
      <c r="E9" s="91"/>
      <c r="F9" s="91"/>
      <c r="G9" s="91"/>
      <c r="H9" s="91"/>
      <c r="I9" s="91"/>
      <c r="K9" s="103"/>
      <c r="L9" s="100" t="s">
        <v>64</v>
      </c>
      <c r="M9" s="104" t="str">
        <f ca="1">IF($S$4="C","1111",IF($S$4="T",IF(ISNA(VLOOKUP($M$7,INDIRECT("DSTM"&amp;$Q$4),9,0)),"",VLOOKUP($M$7,INDIRECT("DSTM"&amp;$Q$4),9,0)),""))</f>
        <v>1111</v>
      </c>
      <c r="N9" s="96"/>
      <c r="O9" s="96"/>
      <c r="P9" s="105"/>
      <c r="IE9" s="102"/>
      <c r="IF9" s="64"/>
      <c r="IG9" s="64"/>
      <c r="IH9" s="64"/>
      <c r="II9" s="64"/>
      <c r="IJ9" s="64"/>
      <c r="IK9" s="64"/>
      <c r="IL9" s="64"/>
      <c r="IM9" s="64"/>
      <c r="IN9" s="64"/>
      <c r="IO9" s="64"/>
      <c r="IP9" s="64"/>
      <c r="IQ9" s="64"/>
      <c r="IR9" s="64"/>
    </row>
    <row r="10" spans="2:252" s="93" customFormat="1" ht="13.5" customHeight="1">
      <c r="C10" s="106" t="str">
        <f ca="1">IF($S$4="T","Họ tên người nộp tiền :","Họ và tên người nhận tiền :")&amp;" "&amp;IF(ISNA(VLOOKUP($M$7,INDIRECT("DSTM"&amp;$Q$4),8,0)),"",VLOOKUP($M$7,INDIRECT("DSTM"&amp;$Q$4),8,0))</f>
        <v xml:space="preserve">Họ và tên người nhận tiền : </v>
      </c>
      <c r="D10" s="91"/>
      <c r="F10" s="91"/>
      <c r="G10" s="91"/>
      <c r="H10" s="91"/>
      <c r="I10" s="91"/>
      <c r="K10" s="91"/>
      <c r="L10" s="100"/>
      <c r="M10" s="104"/>
      <c r="N10" s="96"/>
      <c r="O10" s="91"/>
      <c r="P10" s="97"/>
      <c r="IE10" s="102"/>
      <c r="IF10" s="64"/>
      <c r="IG10" s="65" t="str">
        <f>IF(IG7=0,"",CHOOSE(IG7,"một","hai","ba","bốn","năm","sáu","bảy","tám","chín"))</f>
        <v/>
      </c>
      <c r="IH10" s="65" t="str">
        <f>IF(IH7=0,IF(AND(IG7&lt;&gt;0,II7&lt;&gt;0),"lẻ",""),CHOOSE(IH7,"mười","hai","ba","bốn","năm","sáu","bảy","tám","chín"))</f>
        <v/>
      </c>
      <c r="II10" s="65" t="str">
        <f>IF(II7=0,"",CHOOSE(II7,IF(IH7&gt;1,"mốt","một"),"hai","ba","bốn",IF(IH7=0,"năm","lăm"),"sáu","bảy","tám","chín"))</f>
        <v/>
      </c>
      <c r="IJ10" s="65" t="str">
        <f>IF(IJ7=0,"",CHOOSE(IJ7,"một","hai","ba","bốn","năm","sáu","bảy","tám","chín"))</f>
        <v/>
      </c>
      <c r="IK10" s="65" t="str">
        <f>IF(IK7=0,IF(AND(IJ7&lt;&gt;0,IL7&lt;&gt;0),"lẻ",""),CHOOSE(IK7,"mười","hai","ba","bốn","năm","sáu","bảy","tám","chín"))</f>
        <v/>
      </c>
      <c r="IL10" s="65" t="str">
        <f>IF(IL7=0,"",CHOOSE(IL7,IF(IK7&gt;1,"mốt","một"),"hai","ba","bốn",IF(IK7=0,"năm","lăm"),"sáu","bảy","tám","chín"))</f>
        <v>năm</v>
      </c>
      <c r="IM10" s="65" t="str">
        <f>IF(IM7=0,"",CHOOSE(IM7,"một","hai","ba","bốn","năm","sáu","bảy","tám","chín"))</f>
        <v>năm</v>
      </c>
      <c r="IN10" s="65" t="str">
        <f>IF(IN7=0,IF(AND(IM7&lt;&gt;0,IO7&lt;&gt;0),"lẻ",""),CHOOSE(IN7,"mười","hai","ba","bốn","năm","sáu","bảy","tám","chín"))</f>
        <v/>
      </c>
      <c r="IO10" s="65" t="str">
        <f>IF(IO7=0,"",CHOOSE(IO7,IF(IN7&gt;1,"mốt","một"),"hai","ba","bốn",IF(IN7=0,"năm","lăm"),"sáu","bảy","tám","chín"))</f>
        <v/>
      </c>
      <c r="IP10" s="65" t="str">
        <f>IF(IP7=0,"",CHOOSE(IP7,"một","hai","ba","bốn","năm","sáu","bảy","tám","chín"))</f>
        <v/>
      </c>
      <c r="IQ10" s="65" t="str">
        <f>IF(IQ7=0,IF(AND(IP7&lt;&gt;0,IR7&lt;&gt;0),"lẻ",""),CHOOSE(IQ7,"mười","hai","ba","bốn","năm","sáu","bảy","tám","chín"))</f>
        <v/>
      </c>
      <c r="IR10" s="65" t="str">
        <f>IF(IR7=0,"",CHOOSE(IR7,IF(IQ7&gt;1,"mốt","một"),"hai","ba","bốn",IF(IQ7=0,"năm","lăm"),"sáu","bảy","tám","chín"))</f>
        <v/>
      </c>
    </row>
    <row r="11" spans="2:252" ht="13.5" customHeight="1">
      <c r="C11" s="106" t="str">
        <f>"Địa chỉ :"</f>
        <v>Địa chỉ :</v>
      </c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84"/>
      <c r="IE11" s="107"/>
      <c r="IF11" s="66"/>
      <c r="IG11" s="67" t="str">
        <f>IF(IG7=0,"","trăm")</f>
        <v/>
      </c>
      <c r="IH11" s="67" t="str">
        <f>IF(IH7=0,"",IF(IH7=1,"","mươi"))</f>
        <v/>
      </c>
      <c r="II11" s="67" t="str">
        <f>IF(AND(II7=0,II8=0),"","tỷ")</f>
        <v/>
      </c>
      <c r="IJ11" s="67" t="str">
        <f>IF(IJ7=0,"","trăm")</f>
        <v/>
      </c>
      <c r="IK11" s="67" t="str">
        <f>IF(IK7=0,"",IF(IK7=1,"","mươi"))</f>
        <v/>
      </c>
      <c r="IL11" s="67" t="str">
        <f>IF(AND(IL7=0,IL8=0),"","triệu")</f>
        <v>triệu</v>
      </c>
      <c r="IM11" s="67" t="str">
        <f>IF(IM7=0,"","trăm")</f>
        <v>trăm</v>
      </c>
      <c r="IN11" s="67" t="str">
        <f>IF(IN7=0,"",IF(IN7=1,"","mươi"))</f>
        <v/>
      </c>
      <c r="IO11" s="67" t="str">
        <f>IF(AND(IO7=0,IO8=0),"","ngàn")</f>
        <v>ngàn</v>
      </c>
      <c r="IP11" s="67" t="str">
        <f>IF(IP7=0,"","trăm")</f>
        <v/>
      </c>
      <c r="IQ11" s="67" t="str">
        <f>IF(IQ7=0,"",IF(IQ7=1,"","mươi"))</f>
        <v/>
      </c>
      <c r="IR11" s="67" t="s">
        <v>65</v>
      </c>
    </row>
    <row r="12" spans="2:252" ht="13.5" customHeight="1">
      <c r="C12" s="106" t="str">
        <f ca="1">IF($S$4="T","Lý do nộp :","Lý do chi :")&amp;" "&amp;IF(ISNA(VLOOKUP($M$7,INDIRECT("DSTM"&amp;$Q$4),6,0)),"",VLOOKUP($M$7,INDIRECT("DSTM"&amp;$Q$4),6,0))</f>
        <v>Lý do chi : Phí gia công</v>
      </c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IE12" s="107"/>
      <c r="IF12" s="66" t="str">
        <f>UPPER(LEFT(TRIM(IF(IE6=0,"không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"&amp;IR11)),1))&amp;RIGHT(TRIM(IF(IE6=0,"không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"&amp;IR11)),LEN(TRIM(IF(IE6=0,"không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"&amp;IR11)))-1)</f>
        <v>Năm triệu năm trăm ngàn đồng.</v>
      </c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</row>
    <row r="13" spans="2:252" ht="13.5" customHeight="1">
      <c r="C13" s="74" t="s">
        <v>66</v>
      </c>
      <c r="D13" s="109">
        <f ca="1">SUMIF(INDIRECT("_DSP"&amp;$Q$4),$M$7,INDIRECT(IF($S$4="T","_DST"&amp;$Q$4,"_DSC"&amp;$Q$4)))</f>
        <v>9570000</v>
      </c>
      <c r="E13" s="74" t="s">
        <v>117</v>
      </c>
      <c r="F13" s="109"/>
      <c r="G13" s="109"/>
      <c r="P13" s="74"/>
      <c r="IE13" s="80"/>
      <c r="IF13" s="80"/>
      <c r="IG13" s="80"/>
      <c r="IH13" s="80"/>
      <c r="II13" s="80"/>
      <c r="IJ13" s="80"/>
      <c r="IK13" s="80"/>
      <c r="IL13" s="80"/>
      <c r="IM13" s="80"/>
      <c r="IN13" s="80"/>
      <c r="IO13" s="80"/>
      <c r="IP13" s="80"/>
      <c r="IQ13" s="80"/>
      <c r="IR13" s="80"/>
    </row>
    <row r="14" spans="2:252" ht="13.5" customHeight="1">
      <c r="C14" s="74" t="e">
        <f ca="1">"Viết bằng chữ :  " &amp; [2]!VND(D13, TRUE)</f>
        <v>#NAME?</v>
      </c>
      <c r="P14" s="84"/>
    </row>
    <row r="15" spans="2:252" ht="13.5" customHeight="1">
      <c r="C15" s="106" t="str">
        <f ca="1">"Kèm theo : HĐ " &amp;IF(ISNA(VLOOKUP($M$7,INDIRECT("DSTM"&amp;$Q$4),7,0)),"",(VLOOKUP($M$7,INDIRECT("DSTM"&amp;$Q$4),7,0))) &amp; "   chứng từ gốc"</f>
        <v>Kèm theo : HĐ    chứng từ gốc</v>
      </c>
      <c r="D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10"/>
      <c r="IE15" s="80"/>
      <c r="IF15" s="80"/>
      <c r="IG15" s="80"/>
      <c r="IH15" s="80"/>
      <c r="II15" s="80"/>
      <c r="IJ15" s="80"/>
      <c r="IK15" s="80"/>
      <c r="IL15" s="80"/>
      <c r="IM15" s="80"/>
      <c r="IN15" s="80"/>
      <c r="IO15" s="80"/>
      <c r="IP15" s="80"/>
      <c r="IQ15" s="80"/>
      <c r="IR15" s="80"/>
    </row>
    <row r="16" spans="2:252" ht="13.5" customHeight="1">
      <c r="K16" s="111"/>
      <c r="L16" s="111"/>
      <c r="M16" s="112" t="str">
        <f ca="1">H5</f>
        <v>Ngày  6  tháng  6  năm  2013</v>
      </c>
      <c r="N16" s="111"/>
      <c r="O16" s="111"/>
      <c r="P16" s="74"/>
    </row>
    <row r="17" spans="2:16" ht="13.5" customHeight="1">
      <c r="C17" s="113" t="s">
        <v>14</v>
      </c>
      <c r="D17" s="114"/>
      <c r="E17" s="113" t="s">
        <v>13</v>
      </c>
      <c r="F17" s="114"/>
      <c r="G17" s="114"/>
      <c r="H17" s="113" t="str">
        <f>IF($S$4="C","Thủ quỹ","Người nộp tiền")</f>
        <v>Thủ quỹ</v>
      </c>
      <c r="J17" s="113" t="s">
        <v>67</v>
      </c>
      <c r="K17" s="114"/>
      <c r="M17" s="115" t="str">
        <f>IF($S$4="T","Thủ quỹ","Người nhận tiền")</f>
        <v>Người nhận tiền</v>
      </c>
      <c r="N17" s="116"/>
      <c r="O17" s="116"/>
      <c r="P17" s="74"/>
    </row>
    <row r="18" spans="2:16" s="114" customFormat="1" ht="13.5" customHeight="1">
      <c r="C18" s="117" t="s">
        <v>70</v>
      </c>
      <c r="D18" s="74"/>
      <c r="E18" s="117" t="s">
        <v>71</v>
      </c>
      <c r="F18" s="74"/>
      <c r="G18" s="74"/>
      <c r="H18" s="117" t="s">
        <v>71</v>
      </c>
      <c r="J18" s="117" t="s">
        <v>71</v>
      </c>
      <c r="K18" s="74"/>
      <c r="M18" s="117" t="s">
        <v>71</v>
      </c>
      <c r="N18" s="74"/>
      <c r="O18" s="74"/>
    </row>
    <row r="19" spans="2:16" ht="14.25" customHeight="1">
      <c r="P19" s="74"/>
    </row>
    <row r="20" spans="2:16" ht="14.25" customHeight="1">
      <c r="P20" s="74"/>
    </row>
    <row r="21" spans="2:16" ht="14.25" customHeight="1">
      <c r="P21" s="74"/>
    </row>
    <row r="22" spans="2:16" ht="14.25" customHeight="1">
      <c r="I22" s="79"/>
      <c r="P22" s="74"/>
    </row>
    <row r="23" spans="2:16" ht="14.25" customHeight="1">
      <c r="P23" s="74"/>
    </row>
    <row r="24" spans="2:16" ht="14.25" customHeight="1">
      <c r="B24" s="74" t="s">
        <v>72</v>
      </c>
      <c r="P24" s="74"/>
    </row>
    <row r="25" spans="2:16" ht="14.25" customHeight="1">
      <c r="B25" s="106"/>
      <c r="C25" s="106" t="s">
        <v>68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74"/>
    </row>
    <row r="26" spans="2:16" ht="14.25" customHeight="1">
      <c r="B26" s="106"/>
      <c r="C26" s="106" t="s">
        <v>69</v>
      </c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74"/>
    </row>
    <row r="27" spans="2:16" ht="15" customHeight="1"/>
    <row r="28" spans="2:16" ht="15" customHeight="1"/>
    <row r="29" spans="2:16" ht="15" customHeight="1"/>
    <row r="30" spans="2:16" ht="15" customHeight="1"/>
    <row r="31" spans="2:16" ht="15" customHeight="1"/>
    <row r="32" spans="2:16" ht="15" customHeight="1"/>
    <row r="33" spans="5:5" ht="15" customHeight="1"/>
    <row r="34" spans="5:5" ht="15" customHeight="1"/>
    <row r="35" spans="5:5" ht="15" customHeight="1"/>
    <row r="36" spans="5:5" ht="15" customHeight="1"/>
    <row r="37" spans="5:5" ht="15" customHeight="1"/>
    <row r="38" spans="5:5" ht="15" customHeight="1"/>
    <row r="39" spans="5:5" ht="15" customHeight="1"/>
    <row r="40" spans="5:5" ht="15" customHeight="1"/>
    <row r="41" spans="5:5" ht="15" customHeight="1"/>
    <row r="42" spans="5:5" ht="15" customHeight="1"/>
    <row r="43" spans="5:5" ht="15" customHeight="1"/>
    <row r="44" spans="5:5" ht="15" customHeight="1"/>
    <row r="45" spans="5:5" ht="15" customHeight="1">
      <c r="E45"/>
    </row>
    <row r="46" spans="5:5" ht="15" customHeight="1">
      <c r="E46"/>
    </row>
    <row r="47" spans="5:5" ht="15" customHeight="1">
      <c r="E47"/>
    </row>
    <row r="48" spans="5:5" ht="15" customHeight="1">
      <c r="E48"/>
    </row>
    <row r="49" spans="5:5" ht="15" customHeight="1">
      <c r="E49"/>
    </row>
    <row r="50" spans="5:5" ht="15" customHeight="1">
      <c r="E50"/>
    </row>
    <row r="51" spans="5:5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</sheetData>
  <phoneticPr fontId="31" type="noConversion"/>
  <conditionalFormatting sqref="G8:G9 D7:D9">
    <cfRule type="expression" dxfId="7" priority="1" stopIfTrue="1">
      <formula>TYPE(B6)=16</formula>
    </cfRule>
  </conditionalFormatting>
  <conditionalFormatting sqref="D10">
    <cfRule type="expression" dxfId="6" priority="2" stopIfTrue="1">
      <formula>TYPE(B8)=16</formula>
    </cfRule>
  </conditionalFormatting>
  <dataValidations count="3">
    <dataValidation allowBlank="1" showInputMessage="1" showErrorMessage="1" errorTitle="Lỗi" error="Tài khoản chưa đăng ký, chọn TK trong hộp Namebox để đăng ký" sqref="M8:M10"/>
    <dataValidation type="list" allowBlank="1" showInputMessage="1" showErrorMessage="1" sqref="Q4">
      <formula1>"01,02,03,04,05,06,07,08,09,10,11,12"</formula1>
    </dataValidation>
    <dataValidation type="list" allowBlank="1" showInputMessage="1" showErrorMessage="1" sqref="S4">
      <formula1>"T,C"</formula1>
    </dataValidation>
  </dataValidations>
  <pageMargins left="0.81" right="0.15" top="0.18" bottom="0.15" header="0.16" footer="0.1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>
    <tabColor indexed="31"/>
  </sheetPr>
  <dimension ref="A1:M85"/>
  <sheetViews>
    <sheetView topLeftCell="B16" zoomScale="90" workbookViewId="0">
      <selection activeCell="P51" sqref="P51"/>
    </sheetView>
  </sheetViews>
  <sheetFormatPr defaultRowHeight="15"/>
  <cols>
    <col min="1" max="1" width="4.28515625" style="6" hidden="1" customWidth="1"/>
    <col min="2" max="3" width="10.42578125" style="6" customWidth="1"/>
    <col min="4" max="5" width="7" style="6" customWidth="1"/>
    <col min="6" max="6" width="45.85546875" style="6" customWidth="1"/>
    <col min="7" max="8" width="14.140625" style="6" hidden="1" customWidth="1"/>
    <col min="9" max="9" width="7" style="6" customWidth="1"/>
    <col min="10" max="11" width="15.5703125" style="6" customWidth="1"/>
    <col min="12" max="12" width="18.140625" style="6" customWidth="1"/>
    <col min="13" max="13" width="9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0" t="s">
        <v>472</v>
      </c>
      <c r="K1" s="400"/>
      <c r="L1" s="400"/>
      <c r="M1" s="400"/>
    </row>
    <row r="2" spans="1:13" s="11" customFormat="1" ht="16.5" customHeight="1">
      <c r="B2" s="1" t="s">
        <v>48</v>
      </c>
      <c r="C2" s="12"/>
      <c r="D2" s="12"/>
      <c r="E2" s="12"/>
      <c r="F2" s="12"/>
      <c r="G2" s="12"/>
      <c r="H2" s="12"/>
      <c r="J2" s="401" t="s">
        <v>473</v>
      </c>
      <c r="K2" s="401"/>
      <c r="L2" s="401"/>
      <c r="M2" s="401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01"/>
      <c r="K3" s="401"/>
      <c r="L3" s="401"/>
      <c r="M3" s="401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6" spans="1:13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</row>
    <row r="7" spans="1:13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</row>
    <row r="8" spans="1:13">
      <c r="B8" s="15"/>
      <c r="L8" s="15" t="s">
        <v>19</v>
      </c>
    </row>
    <row r="9" spans="1:13" ht="28.5" customHeight="1">
      <c r="B9" s="404" t="s">
        <v>20</v>
      </c>
      <c r="C9" s="404" t="s">
        <v>21</v>
      </c>
      <c r="D9" s="403" t="s">
        <v>2</v>
      </c>
      <c r="E9" s="403"/>
      <c r="F9" s="403" t="s">
        <v>3</v>
      </c>
      <c r="G9" s="404" t="s">
        <v>73</v>
      </c>
      <c r="H9" s="404" t="s">
        <v>74</v>
      </c>
      <c r="I9" s="404" t="s">
        <v>22</v>
      </c>
      <c r="J9" s="403" t="s">
        <v>23</v>
      </c>
      <c r="K9" s="403"/>
      <c r="L9" s="403" t="s">
        <v>24</v>
      </c>
      <c r="M9" s="403" t="s">
        <v>4</v>
      </c>
    </row>
    <row r="10" spans="1:13" ht="17.25" customHeight="1">
      <c r="B10" s="405"/>
      <c r="C10" s="405"/>
      <c r="D10" s="16" t="s">
        <v>5</v>
      </c>
      <c r="E10" s="16" t="s">
        <v>6</v>
      </c>
      <c r="F10" s="403"/>
      <c r="G10" s="405"/>
      <c r="H10" s="405"/>
      <c r="I10" s="405"/>
      <c r="J10" s="16" t="s">
        <v>25</v>
      </c>
      <c r="K10" s="16" t="s">
        <v>26</v>
      </c>
      <c r="L10" s="403"/>
      <c r="M10" s="403"/>
    </row>
    <row r="11" spans="1:13" s="18" customFormat="1" ht="11.25" customHeight="1">
      <c r="B11" s="17" t="s">
        <v>7</v>
      </c>
      <c r="C11" s="17" t="s">
        <v>8</v>
      </c>
      <c r="D11" s="17" t="s">
        <v>9</v>
      </c>
      <c r="E11" s="17" t="s">
        <v>10</v>
      </c>
      <c r="F11" s="17" t="s">
        <v>11</v>
      </c>
      <c r="G11" s="17"/>
      <c r="H11" s="17"/>
      <c r="I11" s="17" t="s">
        <v>27</v>
      </c>
      <c r="J11" s="17">
        <v>1</v>
      </c>
      <c r="K11" s="17">
        <v>2</v>
      </c>
      <c r="L11" s="17">
        <v>3</v>
      </c>
      <c r="M11" s="17" t="s">
        <v>12</v>
      </c>
    </row>
    <row r="12" spans="1:13" s="44" customFormat="1" ht="18" customHeight="1">
      <c r="B12" s="42"/>
      <c r="C12" s="42"/>
      <c r="D12" s="42"/>
      <c r="E12" s="42"/>
      <c r="F12" s="42" t="s">
        <v>28</v>
      </c>
      <c r="G12" s="42"/>
      <c r="H12" s="42"/>
      <c r="I12" s="47"/>
      <c r="J12" s="35"/>
      <c r="K12" s="42"/>
      <c r="L12" s="35">
        <f>'08'!L85</f>
        <v>924312614</v>
      </c>
      <c r="M12" s="42"/>
    </row>
    <row r="13" spans="1:13" ht="18.75" customHeight="1">
      <c r="A13" s="6" t="str">
        <f>D13&amp;E13</f>
        <v>C01</v>
      </c>
      <c r="B13" s="3">
        <v>41520</v>
      </c>
      <c r="C13" s="3">
        <v>41520</v>
      </c>
      <c r="D13" s="22"/>
      <c r="E13" s="22" t="s">
        <v>75</v>
      </c>
      <c r="F13" s="30" t="s">
        <v>415</v>
      </c>
      <c r="G13" s="50"/>
      <c r="H13" s="50"/>
      <c r="I13" s="28" t="s">
        <v>192</v>
      </c>
      <c r="J13" s="21"/>
      <c r="K13" s="5">
        <v>1200000</v>
      </c>
      <c r="L13" s="4">
        <f t="shared" ref="L13:L72" si="0">IF(F13&lt;&gt;"",L12+J13-K13,0)</f>
        <v>923112614</v>
      </c>
      <c r="M13" s="19"/>
    </row>
    <row r="14" spans="1:13" ht="18.75" customHeight="1">
      <c r="A14" s="6" t="str">
        <f t="shared" ref="A14:A74" si="1">D14&amp;E14</f>
        <v>C02</v>
      </c>
      <c r="B14" s="3">
        <v>41520</v>
      </c>
      <c r="C14" s="3">
        <v>41520</v>
      </c>
      <c r="D14" s="4"/>
      <c r="E14" s="4" t="s">
        <v>76</v>
      </c>
      <c r="F14" s="5" t="s">
        <v>189</v>
      </c>
      <c r="G14" s="5"/>
      <c r="H14" s="5"/>
      <c r="I14" s="28" t="s">
        <v>53</v>
      </c>
      <c r="J14" s="21"/>
      <c r="K14" s="5">
        <v>15461600</v>
      </c>
      <c r="L14" s="4">
        <f t="shared" si="0"/>
        <v>907651014</v>
      </c>
      <c r="M14" s="19"/>
    </row>
    <row r="15" spans="1:13" ht="18.75" customHeight="1">
      <c r="A15" s="6" t="str">
        <f t="shared" si="1"/>
        <v>C02</v>
      </c>
      <c r="B15" s="3">
        <v>41520</v>
      </c>
      <c r="C15" s="3">
        <v>41520</v>
      </c>
      <c r="D15" s="4"/>
      <c r="E15" s="4" t="s">
        <v>76</v>
      </c>
      <c r="F15" s="5" t="s">
        <v>54</v>
      </c>
      <c r="G15" s="5"/>
      <c r="H15" s="5"/>
      <c r="I15" s="28" t="s">
        <v>35</v>
      </c>
      <c r="J15" s="21"/>
      <c r="K15" s="5">
        <v>584700</v>
      </c>
      <c r="L15" s="4">
        <f t="shared" si="0"/>
        <v>907066314</v>
      </c>
      <c r="M15" s="19"/>
    </row>
    <row r="16" spans="1:13" ht="18.75" customHeight="1">
      <c r="A16" s="6" t="str">
        <f t="shared" si="1"/>
        <v>C02</v>
      </c>
      <c r="B16" s="3">
        <v>41520</v>
      </c>
      <c r="C16" s="3">
        <v>41520</v>
      </c>
      <c r="D16" s="4"/>
      <c r="E16" s="4" t="s">
        <v>76</v>
      </c>
      <c r="F16" s="5" t="s">
        <v>204</v>
      </c>
      <c r="G16" s="5"/>
      <c r="H16" s="5"/>
      <c r="I16" s="28" t="s">
        <v>35</v>
      </c>
      <c r="J16" s="21"/>
      <c r="K16" s="5">
        <v>243800</v>
      </c>
      <c r="L16" s="4">
        <f t="shared" si="0"/>
        <v>906822514</v>
      </c>
      <c r="M16" s="19"/>
    </row>
    <row r="17" spans="1:13" ht="18.75" customHeight="1">
      <c r="A17" s="6" t="str">
        <f t="shared" si="1"/>
        <v>C03</v>
      </c>
      <c r="B17" s="3">
        <v>41520</v>
      </c>
      <c r="C17" s="3">
        <v>41520</v>
      </c>
      <c r="D17" s="4"/>
      <c r="E17" s="4" t="s">
        <v>77</v>
      </c>
      <c r="F17" s="5" t="s">
        <v>416</v>
      </c>
      <c r="G17" s="5"/>
      <c r="H17" s="5"/>
      <c r="I17" s="28" t="s">
        <v>192</v>
      </c>
      <c r="J17" s="21"/>
      <c r="K17" s="5">
        <v>2259550</v>
      </c>
      <c r="L17" s="4">
        <f t="shared" si="0"/>
        <v>904562964</v>
      </c>
      <c r="M17" s="19"/>
    </row>
    <row r="18" spans="1:13" ht="18.75" customHeight="1">
      <c r="A18" s="6" t="str">
        <f t="shared" si="1"/>
        <v>C03</v>
      </c>
      <c r="B18" s="3">
        <v>41520</v>
      </c>
      <c r="C18" s="3">
        <v>41520</v>
      </c>
      <c r="D18" s="4"/>
      <c r="E18" s="4" t="s">
        <v>77</v>
      </c>
      <c r="F18" s="5" t="s">
        <v>417</v>
      </c>
      <c r="G18" s="5"/>
      <c r="H18" s="5"/>
      <c r="I18" s="28" t="s">
        <v>35</v>
      </c>
      <c r="J18" s="21"/>
      <c r="K18" s="5">
        <v>225955</v>
      </c>
      <c r="L18" s="4">
        <f t="shared" si="0"/>
        <v>904337009</v>
      </c>
      <c r="M18" s="19"/>
    </row>
    <row r="19" spans="1:13" ht="18.75" customHeight="1">
      <c r="A19" s="6" t="str">
        <f t="shared" si="1"/>
        <v>T01</v>
      </c>
      <c r="B19" s="3">
        <v>41521</v>
      </c>
      <c r="C19" s="3">
        <v>41521</v>
      </c>
      <c r="D19" s="4" t="s">
        <v>39</v>
      </c>
      <c r="E19" s="4"/>
      <c r="F19" s="5" t="s">
        <v>269</v>
      </c>
      <c r="G19" s="5"/>
      <c r="H19" s="5"/>
      <c r="I19" s="28" t="s">
        <v>36</v>
      </c>
      <c r="J19" s="21">
        <v>480000000</v>
      </c>
      <c r="K19" s="5"/>
      <c r="L19" s="4">
        <f t="shared" si="0"/>
        <v>1384337009</v>
      </c>
      <c r="M19" s="19"/>
    </row>
    <row r="20" spans="1:13" ht="18.75" customHeight="1">
      <c r="A20" s="6" t="str">
        <f t="shared" si="1"/>
        <v>C04</v>
      </c>
      <c r="B20" s="3">
        <v>41521</v>
      </c>
      <c r="C20" s="3">
        <v>41521</v>
      </c>
      <c r="D20" s="22"/>
      <c r="E20" s="22" t="s">
        <v>78</v>
      </c>
      <c r="F20" s="30" t="s">
        <v>418</v>
      </c>
      <c r="G20" s="50"/>
      <c r="H20" s="50"/>
      <c r="I20" s="28" t="s">
        <v>192</v>
      </c>
      <c r="J20" s="21"/>
      <c r="K20" s="5">
        <v>500000</v>
      </c>
      <c r="L20" s="4">
        <f t="shared" si="0"/>
        <v>1383837009</v>
      </c>
      <c r="M20" s="19"/>
    </row>
    <row r="21" spans="1:13" ht="18.75" customHeight="1">
      <c r="A21" s="6" t="str">
        <f t="shared" si="1"/>
        <v>C05</v>
      </c>
      <c r="B21" s="3">
        <v>41521</v>
      </c>
      <c r="C21" s="3">
        <v>41521</v>
      </c>
      <c r="D21" s="22"/>
      <c r="E21" s="22" t="s">
        <v>79</v>
      </c>
      <c r="F21" s="30" t="s">
        <v>50</v>
      </c>
      <c r="G21" s="50"/>
      <c r="H21" s="50"/>
      <c r="I21" s="28" t="s">
        <v>36</v>
      </c>
      <c r="J21" s="21"/>
      <c r="K21" s="5">
        <v>480000000</v>
      </c>
      <c r="L21" s="4">
        <f t="shared" si="0"/>
        <v>903837009</v>
      </c>
      <c r="M21" s="19"/>
    </row>
    <row r="22" spans="1:13" s="41" customFormat="1" ht="18.75" customHeight="1">
      <c r="A22" s="6" t="str">
        <f t="shared" si="1"/>
        <v>C06</v>
      </c>
      <c r="B22" s="3">
        <v>41521</v>
      </c>
      <c r="C22" s="3">
        <v>41521</v>
      </c>
      <c r="D22" s="4"/>
      <c r="E22" s="22" t="s">
        <v>80</v>
      </c>
      <c r="F22" s="5" t="s">
        <v>283</v>
      </c>
      <c r="G22" s="5"/>
      <c r="H22" s="5"/>
      <c r="I22" s="28" t="s">
        <v>34</v>
      </c>
      <c r="J22" s="21"/>
      <c r="K22" s="5">
        <v>15900000</v>
      </c>
      <c r="L22" s="4">
        <f t="shared" si="0"/>
        <v>887937009</v>
      </c>
      <c r="M22" s="40"/>
    </row>
    <row r="23" spans="1:13" ht="18.75" customHeight="1">
      <c r="A23" s="6" t="str">
        <f t="shared" si="1"/>
        <v>T02</v>
      </c>
      <c r="B23" s="3">
        <v>41522</v>
      </c>
      <c r="C23" s="3">
        <v>41522</v>
      </c>
      <c r="D23" s="22" t="s">
        <v>40</v>
      </c>
      <c r="E23" s="22"/>
      <c r="F23" s="30" t="s">
        <v>269</v>
      </c>
      <c r="G23" s="50"/>
      <c r="H23" s="50"/>
      <c r="I23" s="28" t="s">
        <v>36</v>
      </c>
      <c r="J23" s="21">
        <v>2000000000</v>
      </c>
      <c r="K23" s="5"/>
      <c r="L23" s="4">
        <f t="shared" si="0"/>
        <v>2887937009</v>
      </c>
      <c r="M23" s="19"/>
    </row>
    <row r="24" spans="1:13" s="41" customFormat="1" ht="18" customHeight="1">
      <c r="A24" s="6" t="str">
        <f t="shared" si="1"/>
        <v>T03</v>
      </c>
      <c r="B24" s="3">
        <v>41547</v>
      </c>
      <c r="C24" s="3">
        <v>41547</v>
      </c>
      <c r="D24" s="4" t="s">
        <v>41</v>
      </c>
      <c r="E24" s="22"/>
      <c r="F24" s="30" t="s">
        <v>419</v>
      </c>
      <c r="G24" s="50"/>
      <c r="H24" s="50"/>
      <c r="I24" s="28" t="s">
        <v>34</v>
      </c>
      <c r="J24" s="21">
        <v>9502405</v>
      </c>
      <c r="K24" s="5"/>
      <c r="L24" s="4">
        <f t="shared" si="0"/>
        <v>2897439414</v>
      </c>
      <c r="M24" s="40"/>
    </row>
    <row r="25" spans="1:13" ht="18.75" customHeight="1">
      <c r="A25" s="6" t="str">
        <f t="shared" si="1"/>
        <v>C07</v>
      </c>
      <c r="B25" s="3">
        <v>41522</v>
      </c>
      <c r="C25" s="3">
        <v>41522</v>
      </c>
      <c r="D25" s="4"/>
      <c r="E25" s="4" t="s">
        <v>81</v>
      </c>
      <c r="F25" s="54" t="s">
        <v>420</v>
      </c>
      <c r="G25" s="5"/>
      <c r="H25" s="5"/>
      <c r="I25" s="28" t="s">
        <v>192</v>
      </c>
      <c r="J25" s="21"/>
      <c r="K25" s="5">
        <v>9900000</v>
      </c>
      <c r="L25" s="4">
        <f t="shared" si="0"/>
        <v>2887539414</v>
      </c>
      <c r="M25" s="19"/>
    </row>
    <row r="26" spans="1:13" ht="18.75" customHeight="1">
      <c r="A26" s="6" t="str">
        <f t="shared" si="1"/>
        <v>C07</v>
      </c>
      <c r="B26" s="3">
        <v>41522</v>
      </c>
      <c r="C26" s="3">
        <v>41522</v>
      </c>
      <c r="D26" s="4"/>
      <c r="E26" s="22" t="s">
        <v>81</v>
      </c>
      <c r="F26" s="5" t="s">
        <v>421</v>
      </c>
      <c r="G26" s="5"/>
      <c r="H26" s="5"/>
      <c r="I26" s="28" t="s">
        <v>35</v>
      </c>
      <c r="J26" s="21"/>
      <c r="K26" s="5">
        <v>990000</v>
      </c>
      <c r="L26" s="4">
        <f t="shared" si="0"/>
        <v>2886549414</v>
      </c>
      <c r="M26" s="19"/>
    </row>
    <row r="27" spans="1:13" ht="18.75" customHeight="1">
      <c r="A27" s="6" t="str">
        <f t="shared" si="1"/>
        <v>C08</v>
      </c>
      <c r="B27" s="3">
        <v>41522</v>
      </c>
      <c r="C27" s="3">
        <v>41522</v>
      </c>
      <c r="D27" s="22"/>
      <c r="E27" s="22" t="s">
        <v>82</v>
      </c>
      <c r="F27" s="30" t="s">
        <v>50</v>
      </c>
      <c r="G27" s="50"/>
      <c r="H27" s="50"/>
      <c r="I27" s="28" t="s">
        <v>36</v>
      </c>
      <c r="J27" s="21"/>
      <c r="K27" s="5">
        <v>350000000</v>
      </c>
      <c r="L27" s="4">
        <f t="shared" si="0"/>
        <v>2536549414</v>
      </c>
      <c r="M27" s="19"/>
    </row>
    <row r="28" spans="1:13" ht="18.75" customHeight="1">
      <c r="A28" s="6" t="str">
        <f t="shared" si="1"/>
        <v>C09</v>
      </c>
      <c r="B28" s="3">
        <v>41522</v>
      </c>
      <c r="C28" s="3">
        <v>41522</v>
      </c>
      <c r="D28" s="22"/>
      <c r="E28" s="22" t="s">
        <v>83</v>
      </c>
      <c r="F28" s="30" t="s">
        <v>194</v>
      </c>
      <c r="G28" s="50"/>
      <c r="H28" s="50"/>
      <c r="I28" s="28" t="s">
        <v>120</v>
      </c>
      <c r="J28" s="21"/>
      <c r="K28" s="5">
        <v>650000000</v>
      </c>
      <c r="L28" s="4">
        <f t="shared" si="0"/>
        <v>1886549414</v>
      </c>
      <c r="M28" s="19"/>
    </row>
    <row r="29" spans="1:13" ht="18.75" customHeight="1">
      <c r="A29" s="6" t="str">
        <f t="shared" si="1"/>
        <v>C10</v>
      </c>
      <c r="B29" s="3">
        <v>41522</v>
      </c>
      <c r="C29" s="3">
        <v>41522</v>
      </c>
      <c r="D29" s="4"/>
      <c r="E29" s="22" t="s">
        <v>84</v>
      </c>
      <c r="F29" s="5" t="s">
        <v>272</v>
      </c>
      <c r="G29" s="5"/>
      <c r="H29" s="5"/>
      <c r="I29" s="28" t="s">
        <v>120</v>
      </c>
      <c r="J29" s="21"/>
      <c r="K29" s="5">
        <v>550000000</v>
      </c>
      <c r="L29" s="4">
        <f t="shared" si="0"/>
        <v>1336549414</v>
      </c>
      <c r="M29" s="19"/>
    </row>
    <row r="30" spans="1:13" ht="18.75" customHeight="1">
      <c r="A30" s="6" t="str">
        <f t="shared" si="1"/>
        <v>C11</v>
      </c>
      <c r="B30" s="3">
        <v>41522</v>
      </c>
      <c r="C30" s="3">
        <v>41522</v>
      </c>
      <c r="D30" s="22"/>
      <c r="E30" s="22" t="s">
        <v>85</v>
      </c>
      <c r="F30" s="30" t="s">
        <v>422</v>
      </c>
      <c r="G30" s="50"/>
      <c r="H30" s="50"/>
      <c r="I30" s="28" t="s">
        <v>34</v>
      </c>
      <c r="J30" s="21"/>
      <c r="K30" s="5">
        <v>6256355</v>
      </c>
      <c r="L30" s="4">
        <f t="shared" si="0"/>
        <v>1330293059</v>
      </c>
      <c r="M30" s="19"/>
    </row>
    <row r="31" spans="1:13" ht="18.75" customHeight="1">
      <c r="A31" s="6" t="str">
        <f t="shared" si="1"/>
        <v>C12</v>
      </c>
      <c r="B31" s="3">
        <v>41523</v>
      </c>
      <c r="C31" s="3">
        <v>41523</v>
      </c>
      <c r="D31" s="22"/>
      <c r="E31" s="22" t="s">
        <v>86</v>
      </c>
      <c r="F31" s="30" t="s">
        <v>201</v>
      </c>
      <c r="G31" s="50"/>
      <c r="H31" s="50"/>
      <c r="I31" s="28" t="s">
        <v>53</v>
      </c>
      <c r="J31" s="21"/>
      <c r="K31" s="5">
        <v>10320000</v>
      </c>
      <c r="L31" s="4">
        <f t="shared" si="0"/>
        <v>1319973059</v>
      </c>
      <c r="M31" s="19"/>
    </row>
    <row r="32" spans="1:13" ht="18.75" customHeight="1">
      <c r="A32" s="6" t="str">
        <f t="shared" si="1"/>
        <v>C12</v>
      </c>
      <c r="B32" s="3">
        <v>41523</v>
      </c>
      <c r="C32" s="3">
        <v>41523</v>
      </c>
      <c r="D32" s="4"/>
      <c r="E32" s="22" t="s">
        <v>86</v>
      </c>
      <c r="F32" s="5" t="s">
        <v>202</v>
      </c>
      <c r="G32" s="5"/>
      <c r="H32" s="5"/>
      <c r="I32" s="28" t="s">
        <v>35</v>
      </c>
      <c r="J32" s="21"/>
      <c r="K32" s="5">
        <v>1032000</v>
      </c>
      <c r="L32" s="4">
        <f t="shared" si="0"/>
        <v>1318941059</v>
      </c>
      <c r="M32" s="19"/>
    </row>
    <row r="33" spans="1:13" s="41" customFormat="1" ht="18.75" customHeight="1">
      <c r="A33" s="6" t="str">
        <f t="shared" si="1"/>
        <v>C13</v>
      </c>
      <c r="B33" s="3">
        <v>41523</v>
      </c>
      <c r="C33" s="3">
        <v>41523</v>
      </c>
      <c r="D33" s="4"/>
      <c r="E33" s="22" t="s">
        <v>87</v>
      </c>
      <c r="F33" s="5" t="s">
        <v>409</v>
      </c>
      <c r="G33" s="5"/>
      <c r="H33" s="5"/>
      <c r="I33" s="28" t="s">
        <v>34</v>
      </c>
      <c r="J33" s="21"/>
      <c r="K33" s="5">
        <v>4329600</v>
      </c>
      <c r="L33" s="4">
        <f t="shared" si="0"/>
        <v>1314611459</v>
      </c>
      <c r="M33" s="40"/>
    </row>
    <row r="34" spans="1:13" ht="18.75" customHeight="1">
      <c r="A34" s="6" t="str">
        <f t="shared" si="1"/>
        <v>T04</v>
      </c>
      <c r="B34" s="3">
        <v>41524</v>
      </c>
      <c r="C34" s="3">
        <v>41524</v>
      </c>
      <c r="D34" s="4" t="s">
        <v>42</v>
      </c>
      <c r="E34" s="22"/>
      <c r="F34" s="54" t="s">
        <v>269</v>
      </c>
      <c r="G34" s="5"/>
      <c r="H34" s="5"/>
      <c r="I34" s="28" t="s">
        <v>36</v>
      </c>
      <c r="J34" s="21">
        <v>175000000</v>
      </c>
      <c r="K34" s="5"/>
      <c r="L34" s="4">
        <f t="shared" si="0"/>
        <v>1489611459</v>
      </c>
      <c r="M34" s="19"/>
    </row>
    <row r="35" spans="1:13" ht="18.75" customHeight="1">
      <c r="A35" s="6" t="str">
        <f t="shared" si="1"/>
        <v>C14</v>
      </c>
      <c r="B35" s="3">
        <v>41524</v>
      </c>
      <c r="C35" s="3">
        <v>41524</v>
      </c>
      <c r="D35" s="4"/>
      <c r="E35" s="22" t="s">
        <v>88</v>
      </c>
      <c r="F35" s="5" t="s">
        <v>423</v>
      </c>
      <c r="G35" s="5"/>
      <c r="H35" s="5"/>
      <c r="I35" s="28" t="s">
        <v>192</v>
      </c>
      <c r="J35" s="21"/>
      <c r="K35" s="5">
        <v>900000</v>
      </c>
      <c r="L35" s="4">
        <f t="shared" si="0"/>
        <v>1488711459</v>
      </c>
      <c r="M35" s="19"/>
    </row>
    <row r="36" spans="1:13" ht="18.75" customHeight="1">
      <c r="A36" s="6" t="str">
        <f t="shared" si="1"/>
        <v>C14</v>
      </c>
      <c r="B36" s="3">
        <v>41524</v>
      </c>
      <c r="C36" s="3">
        <v>41524</v>
      </c>
      <c r="D36" s="22"/>
      <c r="E36" s="22" t="s">
        <v>88</v>
      </c>
      <c r="F36" s="30" t="s">
        <v>424</v>
      </c>
      <c r="G36" s="50"/>
      <c r="H36" s="50"/>
      <c r="I36" s="28" t="s">
        <v>35</v>
      </c>
      <c r="J36" s="21"/>
      <c r="K36" s="5">
        <v>45000</v>
      </c>
      <c r="L36" s="4">
        <f t="shared" si="0"/>
        <v>1488666459</v>
      </c>
      <c r="M36" s="19"/>
    </row>
    <row r="37" spans="1:13" ht="18.75" customHeight="1">
      <c r="A37" s="6" t="str">
        <f t="shared" si="1"/>
        <v>C15</v>
      </c>
      <c r="B37" s="3">
        <v>41524</v>
      </c>
      <c r="C37" s="3">
        <v>41524</v>
      </c>
      <c r="D37" s="22"/>
      <c r="E37" s="22" t="s">
        <v>89</v>
      </c>
      <c r="F37" s="30" t="s">
        <v>272</v>
      </c>
      <c r="G37" s="50"/>
      <c r="H37" s="50"/>
      <c r="I37" s="28" t="s">
        <v>120</v>
      </c>
      <c r="J37" s="21"/>
      <c r="K37" s="5">
        <v>600000000</v>
      </c>
      <c r="L37" s="4">
        <f t="shared" si="0"/>
        <v>888666459</v>
      </c>
      <c r="M37" s="19"/>
    </row>
    <row r="38" spans="1:13" ht="18.75" customHeight="1">
      <c r="A38" s="6" t="str">
        <f t="shared" si="1"/>
        <v>C16</v>
      </c>
      <c r="B38" s="3">
        <v>41527</v>
      </c>
      <c r="C38" s="3">
        <v>41527</v>
      </c>
      <c r="D38" s="4"/>
      <c r="E38" s="22" t="s">
        <v>90</v>
      </c>
      <c r="F38" s="5" t="s">
        <v>370</v>
      </c>
      <c r="G38" s="5"/>
      <c r="H38" s="5"/>
      <c r="I38" s="28" t="s">
        <v>192</v>
      </c>
      <c r="J38" s="21"/>
      <c r="K38" s="5">
        <v>2406527</v>
      </c>
      <c r="L38" s="4">
        <f t="shared" si="0"/>
        <v>886259932</v>
      </c>
      <c r="M38" s="19"/>
    </row>
    <row r="39" spans="1:13" s="41" customFormat="1" ht="18" customHeight="1">
      <c r="A39" s="6" t="str">
        <f t="shared" si="1"/>
        <v>C16</v>
      </c>
      <c r="B39" s="3">
        <v>41527</v>
      </c>
      <c r="C39" s="3">
        <v>41527</v>
      </c>
      <c r="D39" s="4"/>
      <c r="E39" s="22" t="s">
        <v>90</v>
      </c>
      <c r="F39" s="30" t="s">
        <v>371</v>
      </c>
      <c r="G39" s="50"/>
      <c r="H39" s="50"/>
      <c r="I39" s="28" t="s">
        <v>35</v>
      </c>
      <c r="J39" s="21"/>
      <c r="K39" s="5">
        <v>240653</v>
      </c>
      <c r="L39" s="4">
        <f t="shared" si="0"/>
        <v>886019279</v>
      </c>
      <c r="M39" s="40"/>
    </row>
    <row r="40" spans="1:13" s="41" customFormat="1" ht="18" customHeight="1">
      <c r="A40" s="6" t="str">
        <f t="shared" si="1"/>
        <v>C17</v>
      </c>
      <c r="B40" s="3">
        <v>41527</v>
      </c>
      <c r="C40" s="3">
        <v>41527</v>
      </c>
      <c r="D40" s="4"/>
      <c r="E40" s="22" t="s">
        <v>91</v>
      </c>
      <c r="F40" s="30" t="s">
        <v>201</v>
      </c>
      <c r="G40" s="50"/>
      <c r="H40" s="50"/>
      <c r="I40" s="28" t="s">
        <v>53</v>
      </c>
      <c r="J40" s="21"/>
      <c r="K40" s="5">
        <v>10020000</v>
      </c>
      <c r="L40" s="4">
        <f t="shared" si="0"/>
        <v>875999279</v>
      </c>
      <c r="M40" s="40"/>
    </row>
    <row r="41" spans="1:13" s="41" customFormat="1" ht="18.75" customHeight="1">
      <c r="A41" s="6" t="str">
        <f t="shared" si="1"/>
        <v>C17</v>
      </c>
      <c r="B41" s="3">
        <v>41527</v>
      </c>
      <c r="C41" s="3">
        <v>41527</v>
      </c>
      <c r="D41" s="22"/>
      <c r="E41" s="22" t="s">
        <v>91</v>
      </c>
      <c r="F41" s="5" t="s">
        <v>202</v>
      </c>
      <c r="G41" s="5"/>
      <c r="H41" s="5"/>
      <c r="I41" s="28" t="s">
        <v>35</v>
      </c>
      <c r="J41" s="21"/>
      <c r="K41" s="5">
        <v>1002000</v>
      </c>
      <c r="L41" s="4">
        <f t="shared" si="0"/>
        <v>874997279</v>
      </c>
      <c r="M41" s="40"/>
    </row>
    <row r="42" spans="1:13" ht="18.75" customHeight="1">
      <c r="A42" s="6" t="str">
        <f t="shared" si="1"/>
        <v>T05</v>
      </c>
      <c r="B42" s="3">
        <v>41531</v>
      </c>
      <c r="C42" s="3">
        <v>41531</v>
      </c>
      <c r="D42" s="4" t="s">
        <v>43</v>
      </c>
      <c r="E42" s="22"/>
      <c r="F42" s="54" t="s">
        <v>269</v>
      </c>
      <c r="G42" s="5"/>
      <c r="H42" s="5"/>
      <c r="I42" s="28" t="s">
        <v>36</v>
      </c>
      <c r="J42" s="21">
        <v>1000000000</v>
      </c>
      <c r="K42" s="5"/>
      <c r="L42" s="4">
        <f t="shared" si="0"/>
        <v>1874997279</v>
      </c>
      <c r="M42" s="19"/>
    </row>
    <row r="43" spans="1:13" ht="18.75" customHeight="1">
      <c r="A43" s="6" t="str">
        <f t="shared" si="1"/>
        <v>C18</v>
      </c>
      <c r="B43" s="3">
        <v>41531</v>
      </c>
      <c r="C43" s="3">
        <v>41531</v>
      </c>
      <c r="D43" s="4"/>
      <c r="E43" s="22" t="s">
        <v>92</v>
      </c>
      <c r="F43" s="5" t="s">
        <v>194</v>
      </c>
      <c r="G43" s="5"/>
      <c r="H43" s="5"/>
      <c r="I43" s="28" t="s">
        <v>120</v>
      </c>
      <c r="J43" s="21"/>
      <c r="K43" s="5">
        <v>650000000</v>
      </c>
      <c r="L43" s="4">
        <f t="shared" si="0"/>
        <v>1224997279</v>
      </c>
      <c r="M43" s="19"/>
    </row>
    <row r="44" spans="1:13" ht="18.75" customHeight="1">
      <c r="A44" s="6" t="str">
        <f t="shared" si="1"/>
        <v>C19</v>
      </c>
      <c r="B44" s="3">
        <v>41531</v>
      </c>
      <c r="C44" s="3">
        <v>41531</v>
      </c>
      <c r="D44" s="4"/>
      <c r="E44" s="22" t="s">
        <v>93</v>
      </c>
      <c r="F44" s="5" t="s">
        <v>272</v>
      </c>
      <c r="G44" s="5"/>
      <c r="H44" s="5"/>
      <c r="I44" s="28" t="s">
        <v>120</v>
      </c>
      <c r="J44" s="21"/>
      <c r="K44" s="5">
        <v>500000000</v>
      </c>
      <c r="L44" s="4">
        <f t="shared" si="0"/>
        <v>724997279</v>
      </c>
      <c r="M44" s="19"/>
    </row>
    <row r="45" spans="1:13" s="41" customFormat="1" ht="18" customHeight="1">
      <c r="A45" s="6" t="str">
        <f t="shared" si="1"/>
        <v>C20</v>
      </c>
      <c r="B45" s="3">
        <v>41532</v>
      </c>
      <c r="C45" s="3">
        <v>41532</v>
      </c>
      <c r="D45" s="4"/>
      <c r="E45" s="22" t="s">
        <v>94</v>
      </c>
      <c r="F45" s="30" t="s">
        <v>425</v>
      </c>
      <c r="G45" s="50"/>
      <c r="H45" s="50"/>
      <c r="I45" s="28" t="s">
        <v>53</v>
      </c>
      <c r="J45" s="21"/>
      <c r="K45" s="5">
        <v>14256270</v>
      </c>
      <c r="L45" s="4">
        <f t="shared" si="0"/>
        <v>710741009</v>
      </c>
      <c r="M45" s="40"/>
    </row>
    <row r="46" spans="1:13" ht="18.75" customHeight="1">
      <c r="A46" s="6" t="str">
        <f t="shared" si="1"/>
        <v>C20</v>
      </c>
      <c r="B46" s="3">
        <v>41532</v>
      </c>
      <c r="C46" s="3">
        <v>41532</v>
      </c>
      <c r="D46" s="22"/>
      <c r="E46" s="22" t="s">
        <v>94</v>
      </c>
      <c r="F46" s="30" t="s">
        <v>426</v>
      </c>
      <c r="G46" s="50"/>
      <c r="H46" s="50"/>
      <c r="I46" s="28" t="s">
        <v>35</v>
      </c>
      <c r="J46" s="21"/>
      <c r="K46" s="5">
        <v>1425627</v>
      </c>
      <c r="L46" s="4">
        <f t="shared" si="0"/>
        <v>709315382</v>
      </c>
      <c r="M46" s="19"/>
    </row>
    <row r="47" spans="1:13" ht="18.75" customHeight="1">
      <c r="A47" s="6" t="str">
        <f t="shared" si="1"/>
        <v>C21</v>
      </c>
      <c r="B47" s="3">
        <v>41532</v>
      </c>
      <c r="C47" s="3">
        <v>41532</v>
      </c>
      <c r="D47" s="4"/>
      <c r="E47" s="22" t="s">
        <v>95</v>
      </c>
      <c r="F47" s="5" t="s">
        <v>382</v>
      </c>
      <c r="G47" s="5"/>
      <c r="H47" s="5"/>
      <c r="I47" s="28" t="s">
        <v>192</v>
      </c>
      <c r="J47" s="21"/>
      <c r="K47" s="5">
        <v>132382</v>
      </c>
      <c r="L47" s="4">
        <f t="shared" si="0"/>
        <v>709183000</v>
      </c>
      <c r="M47" s="19"/>
    </row>
    <row r="48" spans="1:13" ht="18.75" customHeight="1">
      <c r="A48" s="6" t="str">
        <f t="shared" si="1"/>
        <v>C21</v>
      </c>
      <c r="B48" s="3">
        <v>41532</v>
      </c>
      <c r="C48" s="3">
        <v>41532</v>
      </c>
      <c r="D48" s="4"/>
      <c r="E48" s="22" t="s">
        <v>95</v>
      </c>
      <c r="F48" s="5" t="s">
        <v>52</v>
      </c>
      <c r="G48" s="5"/>
      <c r="H48" s="5"/>
      <c r="I48" s="28" t="s">
        <v>53</v>
      </c>
      <c r="J48" s="21"/>
      <c r="K48" s="5">
        <v>3419945</v>
      </c>
      <c r="L48" s="4">
        <f t="shared" si="0"/>
        <v>705763055</v>
      </c>
      <c r="M48" s="19"/>
    </row>
    <row r="49" spans="1:13" ht="19.5" customHeight="1">
      <c r="A49" s="6" t="str">
        <f t="shared" si="1"/>
        <v>C21</v>
      </c>
      <c r="B49" s="3">
        <v>41532</v>
      </c>
      <c r="C49" s="3">
        <v>41532</v>
      </c>
      <c r="D49" s="4"/>
      <c r="E49" s="22" t="s">
        <v>95</v>
      </c>
      <c r="F49" s="5" t="s">
        <v>180</v>
      </c>
      <c r="G49" s="5"/>
      <c r="H49" s="5"/>
      <c r="I49" s="28" t="s">
        <v>35</v>
      </c>
      <c r="J49" s="21"/>
      <c r="K49" s="5">
        <v>355233</v>
      </c>
      <c r="L49" s="4">
        <f t="shared" si="0"/>
        <v>705407822</v>
      </c>
      <c r="M49" s="19"/>
    </row>
    <row r="50" spans="1:13" ht="19.5" customHeight="1">
      <c r="A50" s="6" t="str">
        <f t="shared" si="1"/>
        <v>C22</v>
      </c>
      <c r="B50" s="3">
        <v>41532</v>
      </c>
      <c r="C50" s="3">
        <v>41532</v>
      </c>
      <c r="D50" s="22"/>
      <c r="E50" s="22" t="s">
        <v>96</v>
      </c>
      <c r="F50" s="30" t="s">
        <v>201</v>
      </c>
      <c r="G50" s="50"/>
      <c r="H50" s="50"/>
      <c r="I50" s="28" t="s">
        <v>53</v>
      </c>
      <c r="J50" s="21"/>
      <c r="K50" s="5">
        <v>10380000</v>
      </c>
      <c r="L50" s="4">
        <f t="shared" si="0"/>
        <v>695027822</v>
      </c>
      <c r="M50" s="19"/>
    </row>
    <row r="51" spans="1:13" ht="19.5" customHeight="1">
      <c r="A51" s="6" t="str">
        <f t="shared" si="1"/>
        <v>C22</v>
      </c>
      <c r="B51" s="3">
        <v>41532</v>
      </c>
      <c r="C51" s="3">
        <v>41532</v>
      </c>
      <c r="D51" s="4"/>
      <c r="E51" s="22" t="s">
        <v>96</v>
      </c>
      <c r="F51" s="5" t="s">
        <v>202</v>
      </c>
      <c r="G51" s="5"/>
      <c r="H51" s="5"/>
      <c r="I51" s="28" t="s">
        <v>35</v>
      </c>
      <c r="J51" s="21"/>
      <c r="K51" s="5">
        <v>1038000</v>
      </c>
      <c r="L51" s="4">
        <f t="shared" si="0"/>
        <v>693989822</v>
      </c>
      <c r="M51" s="19"/>
    </row>
    <row r="52" spans="1:13" ht="19.5" customHeight="1">
      <c r="A52" s="6" t="str">
        <f t="shared" si="1"/>
        <v>C23</v>
      </c>
      <c r="B52" s="3">
        <v>41532</v>
      </c>
      <c r="C52" s="3">
        <v>41532</v>
      </c>
      <c r="D52" s="4"/>
      <c r="E52" s="22" t="s">
        <v>97</v>
      </c>
      <c r="F52" s="5" t="s">
        <v>410</v>
      </c>
      <c r="G52" s="5"/>
      <c r="H52" s="5"/>
      <c r="I52" s="28" t="s">
        <v>34</v>
      </c>
      <c r="J52" s="21"/>
      <c r="K52" s="5">
        <v>14700000</v>
      </c>
      <c r="L52" s="4">
        <f t="shared" si="0"/>
        <v>679289822</v>
      </c>
      <c r="M52" s="19"/>
    </row>
    <row r="53" spans="1:13" ht="19.5" customHeight="1">
      <c r="A53" s="6" t="str">
        <f t="shared" si="1"/>
        <v>C24</v>
      </c>
      <c r="B53" s="3">
        <v>41533</v>
      </c>
      <c r="C53" s="3">
        <v>41533</v>
      </c>
      <c r="D53" s="22"/>
      <c r="E53" s="22" t="s">
        <v>98</v>
      </c>
      <c r="F53" s="30" t="s">
        <v>399</v>
      </c>
      <c r="G53" s="50"/>
      <c r="H53" s="50"/>
      <c r="I53" s="28" t="s">
        <v>53</v>
      </c>
      <c r="J53" s="21"/>
      <c r="K53" s="5">
        <v>1950000</v>
      </c>
      <c r="L53" s="4">
        <f t="shared" si="0"/>
        <v>677339822</v>
      </c>
      <c r="M53" s="19"/>
    </row>
    <row r="54" spans="1:13" s="41" customFormat="1" ht="19.5" customHeight="1">
      <c r="A54" s="6" t="str">
        <f t="shared" si="1"/>
        <v>C25</v>
      </c>
      <c r="B54" s="3">
        <v>41537</v>
      </c>
      <c r="C54" s="3">
        <v>41537</v>
      </c>
      <c r="D54" s="4"/>
      <c r="E54" s="22" t="s">
        <v>99</v>
      </c>
      <c r="F54" s="5" t="s">
        <v>370</v>
      </c>
      <c r="G54" s="5"/>
      <c r="H54" s="5"/>
      <c r="I54" s="28" t="s">
        <v>192</v>
      </c>
      <c r="J54" s="21"/>
      <c r="K54" s="5">
        <v>3126236</v>
      </c>
      <c r="L54" s="4">
        <f t="shared" si="0"/>
        <v>674213586</v>
      </c>
      <c r="M54" s="40"/>
    </row>
    <row r="55" spans="1:13" ht="19.5" customHeight="1">
      <c r="A55" s="6" t="str">
        <f t="shared" si="1"/>
        <v>C25</v>
      </c>
      <c r="B55" s="3">
        <v>41537</v>
      </c>
      <c r="C55" s="3">
        <v>41537</v>
      </c>
      <c r="D55" s="22"/>
      <c r="E55" s="22" t="s">
        <v>99</v>
      </c>
      <c r="F55" s="5" t="s">
        <v>371</v>
      </c>
      <c r="G55" s="5"/>
      <c r="H55" s="5"/>
      <c r="I55" s="28" t="s">
        <v>35</v>
      </c>
      <c r="J55" s="21"/>
      <c r="K55" s="5">
        <v>312624</v>
      </c>
      <c r="L55" s="4">
        <f t="shared" si="0"/>
        <v>673900962</v>
      </c>
      <c r="M55" s="19"/>
    </row>
    <row r="56" spans="1:13" ht="19.5" customHeight="1">
      <c r="A56" s="6" t="str">
        <f t="shared" si="1"/>
        <v>C26</v>
      </c>
      <c r="B56" s="3">
        <v>41537</v>
      </c>
      <c r="C56" s="3">
        <v>41537</v>
      </c>
      <c r="D56" s="22"/>
      <c r="E56" s="22" t="s">
        <v>100</v>
      </c>
      <c r="F56" s="5" t="s">
        <v>50</v>
      </c>
      <c r="G56" s="5"/>
      <c r="H56" s="5"/>
      <c r="I56" s="28" t="s">
        <v>36</v>
      </c>
      <c r="J56" s="21"/>
      <c r="K56" s="5">
        <v>20000000</v>
      </c>
      <c r="L56" s="4">
        <f t="shared" si="0"/>
        <v>653900962</v>
      </c>
      <c r="M56" s="19"/>
    </row>
    <row r="57" spans="1:13" ht="19.5" customHeight="1">
      <c r="A57" s="6" t="str">
        <f t="shared" si="1"/>
        <v>C27</v>
      </c>
      <c r="B57" s="3">
        <v>41540</v>
      </c>
      <c r="C57" s="3">
        <v>41540</v>
      </c>
      <c r="D57" s="4"/>
      <c r="E57" s="22" t="s">
        <v>101</v>
      </c>
      <c r="F57" s="5" t="s">
        <v>425</v>
      </c>
      <c r="G57" s="5"/>
      <c r="H57" s="5"/>
      <c r="I57" s="28" t="s">
        <v>53</v>
      </c>
      <c r="J57" s="21"/>
      <c r="K57" s="5">
        <v>10120950</v>
      </c>
      <c r="L57" s="4">
        <f t="shared" si="0"/>
        <v>643780012</v>
      </c>
      <c r="M57" s="19"/>
    </row>
    <row r="58" spans="1:13" s="41" customFormat="1" ht="19.5" customHeight="1">
      <c r="A58" s="6" t="str">
        <f t="shared" si="1"/>
        <v>C27</v>
      </c>
      <c r="B58" s="3">
        <v>41540</v>
      </c>
      <c r="C58" s="3">
        <v>41540</v>
      </c>
      <c r="D58" s="4"/>
      <c r="E58" s="22" t="s">
        <v>101</v>
      </c>
      <c r="F58" s="30" t="s">
        <v>426</v>
      </c>
      <c r="G58" s="50"/>
      <c r="H58" s="50"/>
      <c r="I58" s="28" t="s">
        <v>35</v>
      </c>
      <c r="J58" s="21"/>
      <c r="K58" s="5">
        <v>1012095</v>
      </c>
      <c r="L58" s="4">
        <f t="shared" si="0"/>
        <v>642767917</v>
      </c>
      <c r="M58" s="40"/>
    </row>
    <row r="59" spans="1:13" ht="19.5" customHeight="1">
      <c r="A59" s="6" t="str">
        <f t="shared" si="1"/>
        <v>C28</v>
      </c>
      <c r="B59" s="3">
        <v>41542</v>
      </c>
      <c r="C59" s="3">
        <v>41542</v>
      </c>
      <c r="D59" s="4"/>
      <c r="E59" s="22" t="s">
        <v>102</v>
      </c>
      <c r="F59" s="54" t="s">
        <v>178</v>
      </c>
      <c r="G59" s="50"/>
      <c r="H59" s="50"/>
      <c r="I59" s="28" t="s">
        <v>193</v>
      </c>
      <c r="J59" s="21"/>
      <c r="K59" s="5">
        <v>245455</v>
      </c>
      <c r="L59" s="4">
        <f t="shared" si="0"/>
        <v>642522462</v>
      </c>
      <c r="M59" s="19"/>
    </row>
    <row r="60" spans="1:13" ht="19.5" customHeight="1">
      <c r="A60" s="6" t="str">
        <f t="shared" si="1"/>
        <v>C28</v>
      </c>
      <c r="B60" s="3">
        <v>41542</v>
      </c>
      <c r="C60" s="3">
        <v>41542</v>
      </c>
      <c r="D60" s="4"/>
      <c r="E60" s="22" t="s">
        <v>102</v>
      </c>
      <c r="F60" s="5" t="s">
        <v>179</v>
      </c>
      <c r="G60" s="5"/>
      <c r="H60" s="5"/>
      <c r="I60" s="28" t="s">
        <v>35</v>
      </c>
      <c r="J60" s="21"/>
      <c r="K60" s="5">
        <v>24545</v>
      </c>
      <c r="L60" s="4">
        <f t="shared" si="0"/>
        <v>642497917</v>
      </c>
      <c r="M60" s="19"/>
    </row>
    <row r="61" spans="1:13" ht="18.75" customHeight="1">
      <c r="A61" s="6" t="str">
        <f t="shared" si="1"/>
        <v>T06</v>
      </c>
      <c r="B61" s="3">
        <v>41544</v>
      </c>
      <c r="C61" s="3">
        <v>41544</v>
      </c>
      <c r="D61" s="4" t="s">
        <v>44</v>
      </c>
      <c r="E61" s="22"/>
      <c r="F61" s="5" t="s">
        <v>269</v>
      </c>
      <c r="G61" s="5"/>
      <c r="H61" s="5"/>
      <c r="I61" s="28" t="s">
        <v>36</v>
      </c>
      <c r="J61" s="21">
        <v>966000000</v>
      </c>
      <c r="K61" s="5"/>
      <c r="L61" s="4">
        <f t="shared" si="0"/>
        <v>1608497917</v>
      </c>
      <c r="M61" s="19"/>
    </row>
    <row r="62" spans="1:13" ht="18.75" customHeight="1">
      <c r="A62" s="6" t="str">
        <f t="shared" si="1"/>
        <v>C29</v>
      </c>
      <c r="B62" s="3">
        <v>41544</v>
      </c>
      <c r="C62" s="3">
        <v>41544</v>
      </c>
      <c r="D62" s="4"/>
      <c r="E62" s="22" t="s">
        <v>103</v>
      </c>
      <c r="F62" s="5" t="s">
        <v>427</v>
      </c>
      <c r="G62" s="5"/>
      <c r="H62" s="5"/>
      <c r="I62" s="28" t="s">
        <v>193</v>
      </c>
      <c r="J62" s="21"/>
      <c r="K62" s="5">
        <v>180000</v>
      </c>
      <c r="L62" s="4">
        <f t="shared" si="0"/>
        <v>1608317917</v>
      </c>
      <c r="M62" s="19"/>
    </row>
    <row r="63" spans="1:13" ht="18.75" customHeight="1">
      <c r="A63" s="6" t="str">
        <f t="shared" si="1"/>
        <v>C30</v>
      </c>
      <c r="B63" s="3">
        <v>41544</v>
      </c>
      <c r="C63" s="3">
        <v>41544</v>
      </c>
      <c r="D63" s="4"/>
      <c r="E63" s="22" t="s">
        <v>104</v>
      </c>
      <c r="F63" s="5" t="s">
        <v>276</v>
      </c>
      <c r="G63" s="5"/>
      <c r="H63" s="5"/>
      <c r="I63" s="28" t="s">
        <v>192</v>
      </c>
      <c r="J63" s="21"/>
      <c r="K63" s="5">
        <v>16000000</v>
      </c>
      <c r="L63" s="4">
        <f t="shared" si="0"/>
        <v>1592317917</v>
      </c>
      <c r="M63" s="19"/>
    </row>
    <row r="64" spans="1:13" s="61" customFormat="1" ht="18.75" customHeight="1">
      <c r="A64" s="6" t="str">
        <f t="shared" si="1"/>
        <v>C30</v>
      </c>
      <c r="B64" s="3">
        <v>41544</v>
      </c>
      <c r="C64" s="3">
        <v>41544</v>
      </c>
      <c r="D64" s="4"/>
      <c r="E64" s="22" t="s">
        <v>104</v>
      </c>
      <c r="F64" s="54" t="s">
        <v>277</v>
      </c>
      <c r="G64" s="50"/>
      <c r="H64" s="50"/>
      <c r="I64" s="28" t="s">
        <v>35</v>
      </c>
      <c r="J64" s="21"/>
      <c r="K64" s="5">
        <v>1600000</v>
      </c>
      <c r="L64" s="4">
        <f t="shared" si="0"/>
        <v>1590717917</v>
      </c>
      <c r="M64" s="60"/>
    </row>
    <row r="65" spans="1:13" s="41" customFormat="1" ht="18" customHeight="1">
      <c r="A65" s="6" t="str">
        <f t="shared" si="1"/>
        <v>C31</v>
      </c>
      <c r="B65" s="3">
        <v>41544</v>
      </c>
      <c r="C65" s="3">
        <v>41544</v>
      </c>
      <c r="D65" s="4"/>
      <c r="E65" s="22" t="s">
        <v>105</v>
      </c>
      <c r="F65" s="30" t="s">
        <v>272</v>
      </c>
      <c r="G65" s="50"/>
      <c r="H65" s="50"/>
      <c r="I65" s="28" t="s">
        <v>120</v>
      </c>
      <c r="J65" s="21"/>
      <c r="K65" s="5">
        <v>400000000</v>
      </c>
      <c r="L65" s="4">
        <f t="shared" si="0"/>
        <v>1190717917</v>
      </c>
      <c r="M65" s="40"/>
    </row>
    <row r="66" spans="1:13" s="41" customFormat="1" ht="18" customHeight="1">
      <c r="A66" s="6" t="str">
        <f t="shared" si="1"/>
        <v>C32</v>
      </c>
      <c r="B66" s="3">
        <v>41544</v>
      </c>
      <c r="C66" s="3">
        <v>41544</v>
      </c>
      <c r="D66" s="4"/>
      <c r="E66" s="22" t="s">
        <v>106</v>
      </c>
      <c r="F66" s="30" t="s">
        <v>194</v>
      </c>
      <c r="G66" s="50"/>
      <c r="H66" s="50"/>
      <c r="I66" s="28" t="s">
        <v>120</v>
      </c>
      <c r="J66" s="21"/>
      <c r="K66" s="5">
        <v>500000000</v>
      </c>
      <c r="L66" s="4">
        <f t="shared" si="0"/>
        <v>690717917</v>
      </c>
      <c r="M66" s="40"/>
    </row>
    <row r="67" spans="1:13" ht="18.75" customHeight="1">
      <c r="A67" s="6" t="str">
        <f t="shared" si="1"/>
        <v>C33</v>
      </c>
      <c r="B67" s="3">
        <v>41547</v>
      </c>
      <c r="C67" s="3">
        <v>41547</v>
      </c>
      <c r="D67" s="4"/>
      <c r="E67" s="22" t="s">
        <v>107</v>
      </c>
      <c r="F67" s="5" t="s">
        <v>52</v>
      </c>
      <c r="G67" s="5"/>
      <c r="H67" s="5"/>
      <c r="I67" s="28" t="s">
        <v>53</v>
      </c>
      <c r="J67" s="21"/>
      <c r="K67" s="5">
        <v>607909</v>
      </c>
      <c r="L67" s="4">
        <f t="shared" si="0"/>
        <v>690110008</v>
      </c>
      <c r="M67" s="19"/>
    </row>
    <row r="68" spans="1:13" ht="18.75" customHeight="1">
      <c r="A68" s="6" t="str">
        <f t="shared" si="1"/>
        <v>C33</v>
      </c>
      <c r="B68" s="3">
        <v>41547</v>
      </c>
      <c r="C68" s="3">
        <v>41547</v>
      </c>
      <c r="D68" s="4"/>
      <c r="E68" s="22" t="s">
        <v>107</v>
      </c>
      <c r="F68" s="5" t="s">
        <v>370</v>
      </c>
      <c r="G68" s="5"/>
      <c r="H68" s="5"/>
      <c r="I68" s="28" t="s">
        <v>192</v>
      </c>
      <c r="J68" s="21"/>
      <c r="K68" s="5">
        <v>4655618</v>
      </c>
      <c r="L68" s="4">
        <f t="shared" si="0"/>
        <v>685454390</v>
      </c>
      <c r="M68" s="19"/>
    </row>
    <row r="69" spans="1:13" ht="18.75" customHeight="1">
      <c r="A69" s="6" t="str">
        <f t="shared" si="1"/>
        <v>C33</v>
      </c>
      <c r="B69" s="3">
        <v>41547</v>
      </c>
      <c r="C69" s="3">
        <v>41547</v>
      </c>
      <c r="D69" s="4"/>
      <c r="E69" s="22" t="s">
        <v>107</v>
      </c>
      <c r="F69" s="5" t="s">
        <v>119</v>
      </c>
      <c r="G69" s="5"/>
      <c r="H69" s="5"/>
      <c r="I69" s="28" t="s">
        <v>35</v>
      </c>
      <c r="J69" s="21"/>
      <c r="K69" s="5">
        <v>526353</v>
      </c>
      <c r="L69" s="4">
        <f t="shared" si="0"/>
        <v>684928037</v>
      </c>
      <c r="M69" s="19"/>
    </row>
    <row r="70" spans="1:13" ht="18.75" customHeight="1">
      <c r="A70" s="6" t="str">
        <f t="shared" si="1"/>
        <v>C34</v>
      </c>
      <c r="B70" s="3">
        <v>41547</v>
      </c>
      <c r="C70" s="3">
        <v>41547</v>
      </c>
      <c r="D70" s="4"/>
      <c r="E70" s="22" t="s">
        <v>108</v>
      </c>
      <c r="F70" s="5" t="s">
        <v>428</v>
      </c>
      <c r="G70" s="5"/>
      <c r="H70" s="5"/>
      <c r="I70" s="28" t="s">
        <v>192</v>
      </c>
      <c r="J70" s="21"/>
      <c r="K70" s="5">
        <v>500000</v>
      </c>
      <c r="L70" s="4">
        <f t="shared" si="0"/>
        <v>684428037</v>
      </c>
      <c r="M70" s="19"/>
    </row>
    <row r="71" spans="1:13" ht="18.75" customHeight="1">
      <c r="A71" s="6" t="str">
        <f t="shared" si="1"/>
        <v>C35</v>
      </c>
      <c r="B71" s="3">
        <v>41547</v>
      </c>
      <c r="C71" s="3">
        <v>41547</v>
      </c>
      <c r="D71" s="4"/>
      <c r="E71" s="22" t="s">
        <v>109</v>
      </c>
      <c r="F71" s="5" t="s">
        <v>382</v>
      </c>
      <c r="G71" s="5"/>
      <c r="H71" s="5"/>
      <c r="I71" s="28" t="s">
        <v>192</v>
      </c>
      <c r="J71" s="21"/>
      <c r="K71" s="5">
        <v>375082</v>
      </c>
      <c r="L71" s="4">
        <f t="shared" si="0"/>
        <v>684052955</v>
      </c>
      <c r="M71" s="19"/>
    </row>
    <row r="72" spans="1:13" ht="18.75" customHeight="1">
      <c r="A72" s="6" t="str">
        <f t="shared" si="1"/>
        <v>C35</v>
      </c>
      <c r="B72" s="3">
        <v>41547</v>
      </c>
      <c r="C72" s="3">
        <v>41547</v>
      </c>
      <c r="D72" s="4"/>
      <c r="E72" s="22" t="s">
        <v>109</v>
      </c>
      <c r="F72" s="5" t="s">
        <v>52</v>
      </c>
      <c r="G72" s="5"/>
      <c r="H72" s="5"/>
      <c r="I72" s="28" t="s">
        <v>53</v>
      </c>
      <c r="J72" s="21"/>
      <c r="K72" s="5">
        <v>3602073</v>
      </c>
      <c r="L72" s="4">
        <f t="shared" si="0"/>
        <v>680450882</v>
      </c>
      <c r="M72" s="19"/>
    </row>
    <row r="73" spans="1:13" s="41" customFormat="1" ht="18.75" customHeight="1">
      <c r="A73" s="6" t="str">
        <f t="shared" si="1"/>
        <v>C35</v>
      </c>
      <c r="B73" s="3">
        <v>41547</v>
      </c>
      <c r="C73" s="3">
        <v>41547</v>
      </c>
      <c r="D73" s="4"/>
      <c r="E73" s="22" t="s">
        <v>109</v>
      </c>
      <c r="F73" s="30" t="s">
        <v>180</v>
      </c>
      <c r="G73" s="50"/>
      <c r="H73" s="50"/>
      <c r="I73" s="28" t="s">
        <v>35</v>
      </c>
      <c r="J73" s="21"/>
      <c r="K73" s="5">
        <v>397715</v>
      </c>
      <c r="L73" s="4">
        <f>IF(F73&lt;&gt;"",L72+J73-K73,0)</f>
        <v>680053167</v>
      </c>
      <c r="M73" s="40"/>
    </row>
    <row r="74" spans="1:13" s="41" customFormat="1" ht="18.75" customHeight="1">
      <c r="A74" s="6" t="str">
        <f t="shared" si="1"/>
        <v>C36</v>
      </c>
      <c r="B74" s="3">
        <v>41547</v>
      </c>
      <c r="C74" s="3">
        <v>41547</v>
      </c>
      <c r="D74" s="4"/>
      <c r="E74" s="22" t="s">
        <v>110</v>
      </c>
      <c r="F74" s="5" t="s">
        <v>429</v>
      </c>
      <c r="G74" s="5"/>
      <c r="H74" s="5"/>
      <c r="I74" s="28" t="s">
        <v>38</v>
      </c>
      <c r="J74" s="21"/>
      <c r="K74" s="5">
        <v>6653600</v>
      </c>
      <c r="L74" s="4">
        <f>IF(F74&lt;&gt;"",L73+J74-K74,0)</f>
        <v>673399567</v>
      </c>
      <c r="M74" s="40"/>
    </row>
    <row r="75" spans="1:13" s="41" customFormat="1" ht="18.75" customHeight="1">
      <c r="A75" s="6" t="str">
        <f t="shared" ref="A75" si="2">D75&amp;E75</f>
        <v>C37</v>
      </c>
      <c r="B75" s="3">
        <v>41547</v>
      </c>
      <c r="C75" s="3">
        <v>41547</v>
      </c>
      <c r="D75" s="4"/>
      <c r="E75" s="22" t="s">
        <v>111</v>
      </c>
      <c r="F75" s="5" t="s">
        <v>430</v>
      </c>
      <c r="G75" s="5"/>
      <c r="H75" s="5"/>
      <c r="I75" s="28" t="s">
        <v>37</v>
      </c>
      <c r="J75" s="21"/>
      <c r="K75" s="5">
        <v>123667690</v>
      </c>
      <c r="L75" s="4">
        <f>IF(F75&lt;&gt;"",L74+J75-K75,0)</f>
        <v>549731877</v>
      </c>
      <c r="M75" s="40"/>
    </row>
    <row r="76" spans="1:13" s="41" customFormat="1" ht="18" customHeight="1">
      <c r="A76" s="6"/>
      <c r="B76" s="31"/>
      <c r="C76" s="31"/>
      <c r="D76" s="33"/>
      <c r="E76" s="33"/>
      <c r="F76" s="39"/>
      <c r="G76" s="39"/>
      <c r="H76" s="39"/>
      <c r="I76" s="32"/>
      <c r="J76" s="34"/>
      <c r="K76" s="39"/>
      <c r="L76" s="4"/>
      <c r="M76" s="40"/>
    </row>
    <row r="77" spans="1:13" ht="18" customHeight="1">
      <c r="B77" s="19"/>
      <c r="C77" s="19"/>
      <c r="D77" s="19"/>
      <c r="E77" s="19"/>
      <c r="F77" s="19" t="s">
        <v>29</v>
      </c>
      <c r="G77" s="19"/>
      <c r="H77" s="19"/>
      <c r="I77" s="4" t="s">
        <v>30</v>
      </c>
      <c r="J77" s="19">
        <f>SUM(J13:J76)</f>
        <v>4630502405</v>
      </c>
      <c r="K77" s="19">
        <f>SUM(K13:K76)</f>
        <v>5005083142</v>
      </c>
      <c r="L77" s="4" t="s">
        <v>30</v>
      </c>
      <c r="M77" s="4" t="s">
        <v>30</v>
      </c>
    </row>
    <row r="78" spans="1:13" ht="18" customHeight="1">
      <c r="B78" s="25"/>
      <c r="C78" s="25"/>
      <c r="D78" s="25"/>
      <c r="E78" s="25"/>
      <c r="F78" s="25" t="s">
        <v>31</v>
      </c>
      <c r="G78" s="25"/>
      <c r="H78" s="25"/>
      <c r="I78" s="26" t="s">
        <v>30</v>
      </c>
      <c r="J78" s="26" t="s">
        <v>30</v>
      </c>
      <c r="K78" s="26" t="s">
        <v>30</v>
      </c>
      <c r="L78" s="25">
        <f>L12+J77-K77</f>
        <v>549731877</v>
      </c>
      <c r="M78" s="26" t="s">
        <v>30</v>
      </c>
    </row>
    <row r="80" spans="1:13">
      <c r="B80" s="27" t="s">
        <v>32</v>
      </c>
    </row>
    <row r="81" spans="2:12">
      <c r="B81" s="27" t="s">
        <v>302</v>
      </c>
    </row>
    <row r="82" spans="2:12">
      <c r="L82" s="8" t="s">
        <v>303</v>
      </c>
    </row>
    <row r="83" spans="2:12" s="7" customFormat="1" ht="14.25">
      <c r="C83" s="7" t="s">
        <v>33</v>
      </c>
      <c r="F83" s="7" t="s">
        <v>13</v>
      </c>
      <c r="L83" s="7" t="s">
        <v>14</v>
      </c>
    </row>
    <row r="84" spans="2:12" s="2" customFormat="1">
      <c r="C84" s="2" t="s">
        <v>15</v>
      </c>
      <c r="F84" s="2" t="s">
        <v>15</v>
      </c>
      <c r="L84" s="2" t="s">
        <v>16</v>
      </c>
    </row>
    <row r="85" spans="2:12" s="2" customFormat="1"/>
  </sheetData>
  <autoFilter ref="B11:M78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>
    <tabColor indexed="31"/>
  </sheetPr>
  <dimension ref="A1:M89"/>
  <sheetViews>
    <sheetView topLeftCell="B1" zoomScale="90" workbookViewId="0">
      <selection activeCell="J1" sqref="J1:M3"/>
    </sheetView>
  </sheetViews>
  <sheetFormatPr defaultRowHeight="15"/>
  <cols>
    <col min="1" max="1" width="5.140625" style="6" hidden="1" customWidth="1"/>
    <col min="2" max="3" width="10.42578125" style="6" customWidth="1"/>
    <col min="4" max="5" width="6.7109375" style="6" customWidth="1"/>
    <col min="6" max="6" width="38.7109375" style="6" customWidth="1"/>
    <col min="7" max="8" width="14.42578125" style="6" hidden="1" customWidth="1"/>
    <col min="9" max="9" width="7.140625" style="6" customWidth="1"/>
    <col min="10" max="11" width="16" style="6" customWidth="1"/>
    <col min="12" max="12" width="14.7109375" style="6" customWidth="1"/>
    <col min="13" max="13" width="9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0" t="s">
        <v>472</v>
      </c>
      <c r="K1" s="400"/>
      <c r="L1" s="400"/>
      <c r="M1" s="400"/>
    </row>
    <row r="2" spans="1:13" s="11" customFormat="1" ht="16.5" customHeight="1">
      <c r="B2" s="1" t="s">
        <v>48</v>
      </c>
      <c r="C2" s="12"/>
      <c r="D2" s="12"/>
      <c r="E2" s="12"/>
      <c r="F2" s="12"/>
      <c r="G2" s="12"/>
      <c r="H2" s="12"/>
      <c r="J2" s="401" t="s">
        <v>473</v>
      </c>
      <c r="K2" s="401"/>
      <c r="L2" s="401"/>
      <c r="M2" s="401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01"/>
      <c r="K3" s="401"/>
      <c r="L3" s="401"/>
      <c r="M3" s="401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6" spans="1:13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</row>
    <row r="7" spans="1:13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</row>
    <row r="8" spans="1:13">
      <c r="B8" s="15"/>
      <c r="L8" s="15" t="s">
        <v>19</v>
      </c>
    </row>
    <row r="9" spans="1:13" ht="27.75" customHeight="1">
      <c r="B9" s="404" t="s">
        <v>20</v>
      </c>
      <c r="C9" s="404" t="s">
        <v>21</v>
      </c>
      <c r="D9" s="403" t="s">
        <v>2</v>
      </c>
      <c r="E9" s="403"/>
      <c r="F9" s="403" t="s">
        <v>3</v>
      </c>
      <c r="G9" s="404" t="s">
        <v>73</v>
      </c>
      <c r="H9" s="404" t="s">
        <v>74</v>
      </c>
      <c r="I9" s="404" t="s">
        <v>22</v>
      </c>
      <c r="J9" s="403" t="s">
        <v>23</v>
      </c>
      <c r="K9" s="403"/>
      <c r="L9" s="403" t="s">
        <v>24</v>
      </c>
      <c r="M9" s="403" t="s">
        <v>4</v>
      </c>
    </row>
    <row r="10" spans="1:13" ht="18" customHeight="1">
      <c r="B10" s="405"/>
      <c r="C10" s="405"/>
      <c r="D10" s="16" t="s">
        <v>5</v>
      </c>
      <c r="E10" s="16" t="s">
        <v>6</v>
      </c>
      <c r="F10" s="403"/>
      <c r="G10" s="405"/>
      <c r="H10" s="405"/>
      <c r="I10" s="405"/>
      <c r="J10" s="16" t="s">
        <v>25</v>
      </c>
      <c r="K10" s="16" t="s">
        <v>26</v>
      </c>
      <c r="L10" s="403"/>
      <c r="M10" s="403"/>
    </row>
    <row r="11" spans="1:13" s="18" customFormat="1" ht="11.25" customHeight="1">
      <c r="B11" s="17" t="s">
        <v>7</v>
      </c>
      <c r="C11" s="17" t="s">
        <v>8</v>
      </c>
      <c r="D11" s="17" t="s">
        <v>9</v>
      </c>
      <c r="E11" s="17" t="s">
        <v>10</v>
      </c>
      <c r="F11" s="17" t="s">
        <v>11</v>
      </c>
      <c r="G11" s="17"/>
      <c r="H11" s="17"/>
      <c r="I11" s="17" t="s">
        <v>27</v>
      </c>
      <c r="J11" s="17">
        <v>1</v>
      </c>
      <c r="K11" s="17">
        <v>2</v>
      </c>
      <c r="L11" s="17">
        <v>3</v>
      </c>
      <c r="M11" s="17" t="s">
        <v>12</v>
      </c>
    </row>
    <row r="12" spans="1:13" ht="18" customHeight="1">
      <c r="B12" s="19"/>
      <c r="C12" s="19"/>
      <c r="D12" s="19"/>
      <c r="E12" s="19"/>
      <c r="F12" s="19" t="s">
        <v>28</v>
      </c>
      <c r="G12" s="19"/>
      <c r="H12" s="19"/>
      <c r="I12" s="20"/>
      <c r="J12" s="5"/>
      <c r="K12" s="19"/>
      <c r="L12" s="5">
        <f>'09'!L78</f>
        <v>549731877</v>
      </c>
      <c r="M12" s="19"/>
    </row>
    <row r="13" spans="1:13" ht="18.75" customHeight="1">
      <c r="A13" s="6" t="str">
        <f>D13&amp;E13</f>
        <v>T01</v>
      </c>
      <c r="B13" s="3">
        <v>41548</v>
      </c>
      <c r="C13" s="3">
        <v>41548</v>
      </c>
      <c r="D13" s="4" t="s">
        <v>39</v>
      </c>
      <c r="E13" s="22"/>
      <c r="F13" s="5" t="s">
        <v>269</v>
      </c>
      <c r="G13" s="5"/>
      <c r="H13" s="5"/>
      <c r="I13" s="28" t="s">
        <v>36</v>
      </c>
      <c r="J13" s="21">
        <v>220000000</v>
      </c>
      <c r="K13" s="5"/>
      <c r="L13" s="4">
        <f t="shared" ref="L13:L20" si="0">IF(F13&lt;&gt;"",L12+J13-K13,0)</f>
        <v>769731877</v>
      </c>
      <c r="M13" s="19"/>
    </row>
    <row r="14" spans="1:13" ht="18.75" customHeight="1">
      <c r="A14" s="6" t="str">
        <f t="shared" ref="A14:A77" si="1">D14&amp;E14</f>
        <v>C01</v>
      </c>
      <c r="B14" s="3">
        <v>41548</v>
      </c>
      <c r="C14" s="3">
        <v>41547</v>
      </c>
      <c r="D14" s="4"/>
      <c r="E14" s="22" t="s">
        <v>75</v>
      </c>
      <c r="F14" s="5" t="s">
        <v>431</v>
      </c>
      <c r="G14" s="5"/>
      <c r="H14" s="5"/>
      <c r="I14" s="28" t="s">
        <v>192</v>
      </c>
      <c r="J14" s="21"/>
      <c r="K14" s="5">
        <v>2171794</v>
      </c>
      <c r="L14" s="4">
        <f t="shared" si="0"/>
        <v>767560083</v>
      </c>
      <c r="M14" s="19"/>
    </row>
    <row r="15" spans="1:13" ht="18.75" customHeight="1">
      <c r="A15" s="6" t="str">
        <f t="shared" si="1"/>
        <v>C01</v>
      </c>
      <c r="B15" s="3">
        <v>41548</v>
      </c>
      <c r="C15" s="3">
        <v>41547</v>
      </c>
      <c r="D15" s="4"/>
      <c r="E15" s="22" t="s">
        <v>75</v>
      </c>
      <c r="F15" s="5" t="s">
        <v>432</v>
      </c>
      <c r="G15" s="5"/>
      <c r="H15" s="5"/>
      <c r="I15" s="28" t="s">
        <v>35</v>
      </c>
      <c r="J15" s="21"/>
      <c r="K15" s="5">
        <v>217179</v>
      </c>
      <c r="L15" s="4">
        <f t="shared" si="0"/>
        <v>767342904</v>
      </c>
      <c r="M15" s="19"/>
    </row>
    <row r="16" spans="1:13" ht="18.75" customHeight="1">
      <c r="A16" s="6" t="str">
        <f t="shared" si="1"/>
        <v>C02</v>
      </c>
      <c r="B16" s="3">
        <v>41548</v>
      </c>
      <c r="C16" s="3">
        <v>41547</v>
      </c>
      <c r="D16" s="4"/>
      <c r="E16" s="22" t="s">
        <v>76</v>
      </c>
      <c r="F16" s="5" t="s">
        <v>203</v>
      </c>
      <c r="G16" s="5"/>
      <c r="H16" s="5"/>
      <c r="I16" s="28" t="s">
        <v>53</v>
      </c>
      <c r="J16" s="21"/>
      <c r="K16" s="5">
        <v>15170250</v>
      </c>
      <c r="L16" s="4">
        <f t="shared" si="0"/>
        <v>752172654</v>
      </c>
      <c r="M16" s="19"/>
    </row>
    <row r="17" spans="1:13" ht="18.75" customHeight="1">
      <c r="A17" s="6" t="str">
        <f t="shared" si="1"/>
        <v>C02</v>
      </c>
      <c r="B17" s="3">
        <v>41548</v>
      </c>
      <c r="C17" s="3">
        <v>41547</v>
      </c>
      <c r="D17" s="22"/>
      <c r="E17" s="22" t="s">
        <v>76</v>
      </c>
      <c r="F17" s="5" t="s">
        <v>54</v>
      </c>
      <c r="G17" s="5"/>
      <c r="H17" s="5"/>
      <c r="I17" s="28" t="s">
        <v>35</v>
      </c>
      <c r="J17" s="21"/>
      <c r="K17" s="5">
        <v>636900</v>
      </c>
      <c r="L17" s="4">
        <f t="shared" si="0"/>
        <v>751535754</v>
      </c>
      <c r="M17" s="19"/>
    </row>
    <row r="18" spans="1:13" ht="18.75" customHeight="1">
      <c r="A18" s="6" t="str">
        <f t="shared" si="1"/>
        <v>C02</v>
      </c>
      <c r="B18" s="3">
        <v>41548</v>
      </c>
      <c r="C18" s="3">
        <v>41547</v>
      </c>
      <c r="D18" s="22"/>
      <c r="E18" s="22" t="s">
        <v>76</v>
      </c>
      <c r="F18" s="5" t="s">
        <v>204</v>
      </c>
      <c r="G18" s="5"/>
      <c r="H18" s="5"/>
      <c r="I18" s="28" t="s">
        <v>35</v>
      </c>
      <c r="J18" s="21"/>
      <c r="K18" s="5">
        <v>243225</v>
      </c>
      <c r="L18" s="4">
        <f t="shared" si="0"/>
        <v>751292529</v>
      </c>
      <c r="M18" s="19"/>
    </row>
    <row r="19" spans="1:13" ht="18.75" customHeight="1">
      <c r="A19" s="6" t="str">
        <f t="shared" si="1"/>
        <v>C03</v>
      </c>
      <c r="B19" s="3">
        <v>41548</v>
      </c>
      <c r="C19" s="3">
        <v>41547</v>
      </c>
      <c r="D19" s="4"/>
      <c r="E19" s="22" t="s">
        <v>77</v>
      </c>
      <c r="F19" s="5" t="s">
        <v>433</v>
      </c>
      <c r="G19" s="5"/>
      <c r="H19" s="5"/>
      <c r="I19" s="28" t="s">
        <v>53</v>
      </c>
      <c r="J19" s="21"/>
      <c r="K19" s="21">
        <v>17011200</v>
      </c>
      <c r="L19" s="4">
        <f t="shared" si="0"/>
        <v>734281329</v>
      </c>
      <c r="M19" s="19"/>
    </row>
    <row r="20" spans="1:13" ht="18.75" customHeight="1">
      <c r="A20" s="6" t="str">
        <f t="shared" si="1"/>
        <v>C04</v>
      </c>
      <c r="B20" s="3">
        <v>41548</v>
      </c>
      <c r="C20" s="3">
        <v>41548</v>
      </c>
      <c r="D20" s="4"/>
      <c r="E20" s="22" t="s">
        <v>78</v>
      </c>
      <c r="F20" s="5" t="s">
        <v>50</v>
      </c>
      <c r="G20" s="5"/>
      <c r="H20" s="5"/>
      <c r="I20" s="28" t="s">
        <v>36</v>
      </c>
      <c r="J20" s="21"/>
      <c r="K20" s="5">
        <v>14000000</v>
      </c>
      <c r="L20" s="4">
        <f t="shared" si="0"/>
        <v>720281329</v>
      </c>
      <c r="M20" s="19"/>
    </row>
    <row r="21" spans="1:13" ht="18.75" customHeight="1">
      <c r="A21" s="6" t="str">
        <f t="shared" si="1"/>
        <v>T02</v>
      </c>
      <c r="B21" s="3">
        <v>41549</v>
      </c>
      <c r="C21" s="3">
        <v>41549</v>
      </c>
      <c r="D21" s="4" t="s">
        <v>40</v>
      </c>
      <c r="E21" s="22"/>
      <c r="F21" s="5" t="s">
        <v>269</v>
      </c>
      <c r="G21" s="5"/>
      <c r="H21" s="5"/>
      <c r="I21" s="28" t="s">
        <v>36</v>
      </c>
      <c r="J21" s="21">
        <v>1700000000</v>
      </c>
      <c r="K21" s="5"/>
      <c r="L21" s="4">
        <f t="shared" ref="L21:L28" si="2">IF(F21&lt;&gt;"",L20+J21-K21,0)</f>
        <v>2420281329</v>
      </c>
      <c r="M21" s="19"/>
    </row>
    <row r="22" spans="1:13" s="41" customFormat="1" ht="18" customHeight="1">
      <c r="A22" s="6" t="str">
        <f t="shared" si="1"/>
        <v>T02</v>
      </c>
      <c r="B22" s="3">
        <v>41549</v>
      </c>
      <c r="C22" s="3">
        <v>41549</v>
      </c>
      <c r="D22" s="22" t="s">
        <v>40</v>
      </c>
      <c r="E22" s="22"/>
      <c r="F22" s="30" t="s">
        <v>269</v>
      </c>
      <c r="G22" s="50"/>
      <c r="H22" s="50"/>
      <c r="I22" s="28" t="s">
        <v>36</v>
      </c>
      <c r="J22" s="21">
        <v>1700000000</v>
      </c>
      <c r="K22" s="5"/>
      <c r="L22" s="4">
        <f t="shared" si="2"/>
        <v>4120281329</v>
      </c>
      <c r="M22" s="40"/>
    </row>
    <row r="23" spans="1:13" ht="18.75" customHeight="1">
      <c r="A23" s="6" t="str">
        <f t="shared" si="1"/>
        <v>C05</v>
      </c>
      <c r="B23" s="3">
        <v>41549</v>
      </c>
      <c r="C23" s="3">
        <v>41549</v>
      </c>
      <c r="D23" s="4"/>
      <c r="E23" s="22" t="s">
        <v>79</v>
      </c>
      <c r="F23" s="5" t="s">
        <v>247</v>
      </c>
      <c r="G23" s="5"/>
      <c r="H23" s="5"/>
      <c r="I23" s="28" t="s">
        <v>56</v>
      </c>
      <c r="J23" s="21"/>
      <c r="K23" s="5">
        <v>414833000</v>
      </c>
      <c r="L23" s="4">
        <f t="shared" si="2"/>
        <v>3705448329</v>
      </c>
      <c r="M23" s="19"/>
    </row>
    <row r="24" spans="1:13" ht="18.75" customHeight="1">
      <c r="A24" s="6" t="str">
        <f t="shared" si="1"/>
        <v>C06</v>
      </c>
      <c r="B24" s="3">
        <v>41549</v>
      </c>
      <c r="C24" s="3">
        <v>41549</v>
      </c>
      <c r="D24" s="4"/>
      <c r="E24" s="22" t="s">
        <v>80</v>
      </c>
      <c r="F24" s="5" t="s">
        <v>194</v>
      </c>
      <c r="G24" s="5"/>
      <c r="H24" s="5"/>
      <c r="I24" s="28" t="s">
        <v>120</v>
      </c>
      <c r="J24" s="21"/>
      <c r="K24" s="5">
        <v>550000000</v>
      </c>
      <c r="L24" s="4">
        <f t="shared" si="2"/>
        <v>3155448329</v>
      </c>
      <c r="M24" s="19"/>
    </row>
    <row r="25" spans="1:13" ht="18.75" customHeight="1">
      <c r="A25" s="6" t="str">
        <f t="shared" si="1"/>
        <v>C07</v>
      </c>
      <c r="B25" s="3">
        <v>41549</v>
      </c>
      <c r="C25" s="3">
        <v>41549</v>
      </c>
      <c r="D25" s="22"/>
      <c r="E25" s="22" t="s">
        <v>81</v>
      </c>
      <c r="F25" s="5" t="s">
        <v>272</v>
      </c>
      <c r="G25" s="5"/>
      <c r="H25" s="5"/>
      <c r="I25" s="28" t="s">
        <v>120</v>
      </c>
      <c r="J25" s="21"/>
      <c r="K25" s="5">
        <v>650000000</v>
      </c>
      <c r="L25" s="4">
        <f t="shared" si="2"/>
        <v>2505448329</v>
      </c>
      <c r="M25" s="19"/>
    </row>
    <row r="26" spans="1:13" ht="18.75" customHeight="1">
      <c r="A26" s="6" t="str">
        <f t="shared" si="1"/>
        <v>C08</v>
      </c>
      <c r="B26" s="3">
        <v>41552</v>
      </c>
      <c r="C26" s="3">
        <v>41552</v>
      </c>
      <c r="D26" s="22"/>
      <c r="E26" s="22" t="s">
        <v>82</v>
      </c>
      <c r="F26" s="5" t="s">
        <v>201</v>
      </c>
      <c r="G26" s="5"/>
      <c r="H26" s="5"/>
      <c r="I26" s="28" t="s">
        <v>53</v>
      </c>
      <c r="J26" s="21"/>
      <c r="K26" s="5">
        <v>18000000</v>
      </c>
      <c r="L26" s="4">
        <f t="shared" si="2"/>
        <v>2487448329</v>
      </c>
      <c r="M26" s="19"/>
    </row>
    <row r="27" spans="1:13" ht="18" customHeight="1">
      <c r="A27" s="6" t="str">
        <f t="shared" si="1"/>
        <v>C08</v>
      </c>
      <c r="B27" s="3">
        <v>41552</v>
      </c>
      <c r="C27" s="3">
        <v>41552</v>
      </c>
      <c r="D27" s="4"/>
      <c r="E27" s="22" t="s">
        <v>82</v>
      </c>
      <c r="F27" s="5" t="s">
        <v>202</v>
      </c>
      <c r="G27" s="5"/>
      <c r="H27" s="5"/>
      <c r="I27" s="28" t="s">
        <v>35</v>
      </c>
      <c r="J27" s="21"/>
      <c r="K27" s="5">
        <v>1800000</v>
      </c>
      <c r="L27" s="4">
        <f t="shared" si="2"/>
        <v>2485648329</v>
      </c>
      <c r="M27" s="19"/>
    </row>
    <row r="28" spans="1:13" s="41" customFormat="1" ht="18" customHeight="1">
      <c r="A28" s="6" t="str">
        <f t="shared" si="1"/>
        <v>C09</v>
      </c>
      <c r="B28" s="3">
        <v>41552</v>
      </c>
      <c r="C28" s="3">
        <v>41552</v>
      </c>
      <c r="D28" s="22"/>
      <c r="E28" s="22" t="s">
        <v>83</v>
      </c>
      <c r="F28" s="30" t="s">
        <v>283</v>
      </c>
      <c r="G28" s="50"/>
      <c r="H28" s="50"/>
      <c r="I28" s="28" t="s">
        <v>34</v>
      </c>
      <c r="J28" s="21"/>
      <c r="K28" s="5">
        <v>15570000</v>
      </c>
      <c r="L28" s="4">
        <f t="shared" si="2"/>
        <v>2470078329</v>
      </c>
      <c r="M28" s="40"/>
    </row>
    <row r="29" spans="1:13" ht="18.75" customHeight="1">
      <c r="A29" s="6" t="str">
        <f t="shared" si="1"/>
        <v>C10</v>
      </c>
      <c r="B29" s="3">
        <v>41554</v>
      </c>
      <c r="C29" s="3">
        <v>41554</v>
      </c>
      <c r="D29" s="22"/>
      <c r="E29" s="22" t="s">
        <v>84</v>
      </c>
      <c r="F29" s="30" t="s">
        <v>52</v>
      </c>
      <c r="G29" s="50"/>
      <c r="H29" s="50"/>
      <c r="I29" s="28" t="s">
        <v>53</v>
      </c>
      <c r="J29" s="21"/>
      <c r="K29" s="5">
        <v>1013182</v>
      </c>
      <c r="L29" s="4">
        <f t="shared" ref="L29:L39" si="3">IF(F29&lt;&gt;"",L28+J29-K29,0)</f>
        <v>2469065147</v>
      </c>
      <c r="M29" s="19"/>
    </row>
    <row r="30" spans="1:13" ht="18.75" customHeight="1">
      <c r="A30" s="6" t="str">
        <f t="shared" si="1"/>
        <v>C10</v>
      </c>
      <c r="B30" s="3">
        <v>41554</v>
      </c>
      <c r="C30" s="3">
        <v>41554</v>
      </c>
      <c r="D30" s="4"/>
      <c r="E30" s="22" t="s">
        <v>84</v>
      </c>
      <c r="F30" s="5" t="s">
        <v>49</v>
      </c>
      <c r="G30" s="5"/>
      <c r="H30" s="5"/>
      <c r="I30" s="28" t="s">
        <v>192</v>
      </c>
      <c r="J30" s="21"/>
      <c r="K30" s="5">
        <v>2429018</v>
      </c>
      <c r="L30" s="4">
        <f t="shared" si="3"/>
        <v>2466636129</v>
      </c>
      <c r="M30" s="19"/>
    </row>
    <row r="31" spans="1:13" ht="18.75" customHeight="1">
      <c r="A31" s="6" t="str">
        <f t="shared" si="1"/>
        <v>C10</v>
      </c>
      <c r="B31" s="3">
        <v>41554</v>
      </c>
      <c r="C31" s="3">
        <v>41554</v>
      </c>
      <c r="D31" s="4"/>
      <c r="E31" s="22" t="s">
        <v>84</v>
      </c>
      <c r="F31" s="5" t="s">
        <v>180</v>
      </c>
      <c r="G31" s="5"/>
      <c r="H31" s="5"/>
      <c r="I31" s="28" t="s">
        <v>35</v>
      </c>
      <c r="J31" s="21"/>
      <c r="K31" s="5">
        <v>344220</v>
      </c>
      <c r="L31" s="4">
        <f t="shared" si="3"/>
        <v>2466291909</v>
      </c>
      <c r="M31" s="19"/>
    </row>
    <row r="32" spans="1:13" ht="18.75" customHeight="1">
      <c r="A32" s="6" t="str">
        <f t="shared" si="1"/>
        <v>C11</v>
      </c>
      <c r="B32" s="3">
        <v>41554</v>
      </c>
      <c r="C32" s="3">
        <v>41554</v>
      </c>
      <c r="D32" s="4"/>
      <c r="E32" s="22" t="s">
        <v>85</v>
      </c>
      <c r="F32" s="5" t="s">
        <v>49</v>
      </c>
      <c r="G32" s="5"/>
      <c r="H32" s="5"/>
      <c r="I32" s="28" t="s">
        <v>192</v>
      </c>
      <c r="J32" s="21"/>
      <c r="K32" s="5">
        <v>220636</v>
      </c>
      <c r="L32" s="4">
        <f t="shared" si="3"/>
        <v>2466071273</v>
      </c>
      <c r="M32" s="19"/>
    </row>
    <row r="33" spans="1:13" s="41" customFormat="1" ht="18" customHeight="1">
      <c r="A33" s="6" t="str">
        <f t="shared" si="1"/>
        <v>C11</v>
      </c>
      <c r="B33" s="3">
        <v>41554</v>
      </c>
      <c r="C33" s="3">
        <v>41554</v>
      </c>
      <c r="D33" s="22"/>
      <c r="E33" s="22" t="s">
        <v>85</v>
      </c>
      <c r="F33" s="30" t="s">
        <v>55</v>
      </c>
      <c r="G33" s="50"/>
      <c r="H33" s="50"/>
      <c r="I33" s="28" t="s">
        <v>35</v>
      </c>
      <c r="J33" s="21"/>
      <c r="K33" s="5">
        <v>22064</v>
      </c>
      <c r="L33" s="4">
        <f t="shared" si="3"/>
        <v>2466049209</v>
      </c>
      <c r="M33" s="40"/>
    </row>
    <row r="34" spans="1:13" ht="18" customHeight="1">
      <c r="A34" s="6" t="str">
        <f t="shared" si="1"/>
        <v>C12</v>
      </c>
      <c r="B34" s="3">
        <v>41554</v>
      </c>
      <c r="C34" s="3">
        <v>41554</v>
      </c>
      <c r="D34" s="22"/>
      <c r="E34" s="22" t="s">
        <v>86</v>
      </c>
      <c r="F34" s="30" t="s">
        <v>434</v>
      </c>
      <c r="G34" s="50"/>
      <c r="H34" s="50"/>
      <c r="I34" s="28" t="s">
        <v>192</v>
      </c>
      <c r="J34" s="21"/>
      <c r="K34" s="5">
        <v>2160000</v>
      </c>
      <c r="L34" s="4">
        <f t="shared" si="3"/>
        <v>2463889209</v>
      </c>
      <c r="M34" s="19"/>
    </row>
    <row r="35" spans="1:13" ht="18.75" customHeight="1">
      <c r="A35" s="6" t="str">
        <f t="shared" si="1"/>
        <v>C12</v>
      </c>
      <c r="B35" s="3">
        <v>41554</v>
      </c>
      <c r="C35" s="3">
        <v>41554</v>
      </c>
      <c r="D35" s="22"/>
      <c r="E35" s="22" t="s">
        <v>86</v>
      </c>
      <c r="F35" s="5" t="s">
        <v>435</v>
      </c>
      <c r="G35" s="50"/>
      <c r="H35" s="50"/>
      <c r="I35" s="28" t="s">
        <v>35</v>
      </c>
      <c r="J35" s="21"/>
      <c r="K35" s="5">
        <v>216000</v>
      </c>
      <c r="L35" s="4">
        <f t="shared" si="3"/>
        <v>2463673209</v>
      </c>
      <c r="M35" s="19"/>
    </row>
    <row r="36" spans="1:13" ht="18.75" customHeight="1">
      <c r="A36" s="6" t="str">
        <f t="shared" si="1"/>
        <v>C13</v>
      </c>
      <c r="B36" s="3">
        <v>41554</v>
      </c>
      <c r="C36" s="3">
        <v>41554</v>
      </c>
      <c r="D36" s="22"/>
      <c r="E36" s="22" t="s">
        <v>87</v>
      </c>
      <c r="F36" s="5" t="s">
        <v>436</v>
      </c>
      <c r="G36" s="5"/>
      <c r="H36" s="5"/>
      <c r="I36" s="28" t="s">
        <v>34</v>
      </c>
      <c r="J36" s="21"/>
      <c r="K36" s="5">
        <v>19085000</v>
      </c>
      <c r="L36" s="4">
        <f t="shared" si="3"/>
        <v>2444588209</v>
      </c>
      <c r="M36" s="19"/>
    </row>
    <row r="37" spans="1:13" ht="18.75" customHeight="1">
      <c r="A37" s="6" t="str">
        <f t="shared" si="1"/>
        <v>C14</v>
      </c>
      <c r="B37" s="3">
        <v>41557</v>
      </c>
      <c r="C37" s="3">
        <v>41557</v>
      </c>
      <c r="D37" s="22"/>
      <c r="E37" s="22" t="s">
        <v>88</v>
      </c>
      <c r="F37" s="5" t="s">
        <v>49</v>
      </c>
      <c r="G37" s="5"/>
      <c r="H37" s="5"/>
      <c r="I37" s="28" t="s">
        <v>192</v>
      </c>
      <c r="J37" s="21"/>
      <c r="K37" s="5">
        <v>1837318</v>
      </c>
      <c r="L37" s="4">
        <f t="shared" si="3"/>
        <v>2442750891</v>
      </c>
      <c r="M37" s="19"/>
    </row>
    <row r="38" spans="1:13" ht="18.75" customHeight="1">
      <c r="A38" s="6" t="str">
        <f t="shared" si="1"/>
        <v>C14</v>
      </c>
      <c r="B38" s="3">
        <v>41557</v>
      </c>
      <c r="C38" s="3">
        <v>41557</v>
      </c>
      <c r="D38" s="4"/>
      <c r="E38" s="22" t="s">
        <v>88</v>
      </c>
      <c r="F38" s="5" t="s">
        <v>55</v>
      </c>
      <c r="G38" s="5"/>
      <c r="H38" s="5"/>
      <c r="I38" s="28" t="s">
        <v>35</v>
      </c>
      <c r="J38" s="21"/>
      <c r="K38" s="5">
        <v>183732</v>
      </c>
      <c r="L38" s="4">
        <f t="shared" si="3"/>
        <v>2442567159</v>
      </c>
      <c r="M38" s="19"/>
    </row>
    <row r="39" spans="1:13" ht="18.75" customHeight="1">
      <c r="A39" s="6" t="str">
        <f t="shared" si="1"/>
        <v>C15</v>
      </c>
      <c r="B39" s="3">
        <v>41557</v>
      </c>
      <c r="C39" s="3">
        <v>41557</v>
      </c>
      <c r="D39" s="4"/>
      <c r="E39" s="22" t="s">
        <v>89</v>
      </c>
      <c r="F39" s="5" t="s">
        <v>201</v>
      </c>
      <c r="G39" s="5"/>
      <c r="H39" s="5"/>
      <c r="I39" s="28" t="s">
        <v>53</v>
      </c>
      <c r="J39" s="21"/>
      <c r="K39" s="5">
        <v>15000000</v>
      </c>
      <c r="L39" s="4">
        <f t="shared" si="3"/>
        <v>2427567159</v>
      </c>
      <c r="M39" s="19"/>
    </row>
    <row r="40" spans="1:13" ht="18.75" customHeight="1">
      <c r="A40" s="6" t="str">
        <f t="shared" si="1"/>
        <v>C15</v>
      </c>
      <c r="B40" s="3">
        <v>41557</v>
      </c>
      <c r="C40" s="3">
        <v>41557</v>
      </c>
      <c r="D40" s="22"/>
      <c r="E40" s="22" t="s">
        <v>89</v>
      </c>
      <c r="F40" s="30" t="s">
        <v>202</v>
      </c>
      <c r="G40" s="50"/>
      <c r="H40" s="50"/>
      <c r="I40" s="28" t="s">
        <v>35</v>
      </c>
      <c r="J40" s="21"/>
      <c r="K40" s="5">
        <v>1500000</v>
      </c>
      <c r="L40" s="4">
        <f t="shared" ref="L40:L61" si="4">IF(F40&lt;&gt;"",L39+J40-K40,0)</f>
        <v>2426067159</v>
      </c>
      <c r="M40" s="19"/>
    </row>
    <row r="41" spans="1:13" ht="18.75" customHeight="1">
      <c r="A41" s="6" t="str">
        <f t="shared" si="1"/>
        <v>T03</v>
      </c>
      <c r="B41" s="3">
        <v>41559</v>
      </c>
      <c r="C41" s="3">
        <v>41559</v>
      </c>
      <c r="D41" s="22" t="s">
        <v>41</v>
      </c>
      <c r="E41" s="22"/>
      <c r="F41" s="30" t="s">
        <v>269</v>
      </c>
      <c r="G41" s="50"/>
      <c r="H41" s="50"/>
      <c r="I41" s="28" t="s">
        <v>36</v>
      </c>
      <c r="J41" s="21">
        <v>430000000</v>
      </c>
      <c r="K41" s="5"/>
      <c r="L41" s="4">
        <f t="shared" si="4"/>
        <v>2856067159</v>
      </c>
      <c r="M41" s="19"/>
    </row>
    <row r="42" spans="1:13" ht="18.75" customHeight="1">
      <c r="A42" s="6" t="str">
        <f t="shared" si="1"/>
        <v>C16</v>
      </c>
      <c r="B42" s="3">
        <v>41559</v>
      </c>
      <c r="C42" s="3">
        <v>41559</v>
      </c>
      <c r="D42" s="22"/>
      <c r="E42" s="22" t="s">
        <v>90</v>
      </c>
      <c r="F42" s="5" t="s">
        <v>272</v>
      </c>
      <c r="G42" s="5"/>
      <c r="H42" s="5"/>
      <c r="I42" s="28" t="s">
        <v>120</v>
      </c>
      <c r="J42" s="21"/>
      <c r="K42" s="5">
        <v>600000000</v>
      </c>
      <c r="L42" s="4">
        <f t="shared" si="4"/>
        <v>2256067159</v>
      </c>
      <c r="M42" s="19"/>
    </row>
    <row r="43" spans="1:13" ht="18.75" customHeight="1">
      <c r="A43" s="6" t="str">
        <f t="shared" si="1"/>
        <v>C17</v>
      </c>
      <c r="B43" s="3">
        <v>41561</v>
      </c>
      <c r="C43" s="3">
        <v>41561</v>
      </c>
      <c r="D43" s="22"/>
      <c r="E43" s="22" t="s">
        <v>91</v>
      </c>
      <c r="F43" s="5" t="s">
        <v>201</v>
      </c>
      <c r="G43" s="5"/>
      <c r="H43" s="5"/>
      <c r="I43" s="28" t="s">
        <v>53</v>
      </c>
      <c r="J43" s="51"/>
      <c r="K43" s="5">
        <v>13200000</v>
      </c>
      <c r="L43" s="4">
        <f t="shared" si="4"/>
        <v>2242867159</v>
      </c>
      <c r="M43" s="51"/>
    </row>
    <row r="44" spans="1:13" ht="18.75" customHeight="1">
      <c r="A44" s="6" t="str">
        <f t="shared" si="1"/>
        <v>C17</v>
      </c>
      <c r="B44" s="3">
        <v>41561</v>
      </c>
      <c r="C44" s="3">
        <v>41561</v>
      </c>
      <c r="D44" s="4"/>
      <c r="E44" s="22" t="s">
        <v>91</v>
      </c>
      <c r="F44" s="5" t="s">
        <v>202</v>
      </c>
      <c r="G44" s="5"/>
      <c r="H44" s="5"/>
      <c r="I44" s="28" t="s">
        <v>35</v>
      </c>
      <c r="J44" s="21"/>
      <c r="K44" s="5">
        <v>1320000</v>
      </c>
      <c r="L44" s="4">
        <f t="shared" si="4"/>
        <v>2241547159</v>
      </c>
      <c r="M44" s="19"/>
    </row>
    <row r="45" spans="1:13" ht="18.75" customHeight="1">
      <c r="A45" s="6" t="str">
        <f t="shared" si="1"/>
        <v>C18</v>
      </c>
      <c r="B45" s="3">
        <v>41562</v>
      </c>
      <c r="C45" s="3">
        <v>41562</v>
      </c>
      <c r="D45" s="4"/>
      <c r="E45" s="22" t="s">
        <v>92</v>
      </c>
      <c r="F45" s="5" t="s">
        <v>49</v>
      </c>
      <c r="G45" s="5"/>
      <c r="H45" s="5"/>
      <c r="I45" s="28" t="s">
        <v>192</v>
      </c>
      <c r="J45" s="21"/>
      <c r="K45" s="5">
        <v>325636</v>
      </c>
      <c r="L45" s="4">
        <f t="shared" si="4"/>
        <v>2241221523</v>
      </c>
      <c r="M45" s="19"/>
    </row>
    <row r="46" spans="1:13" ht="18.75" customHeight="1">
      <c r="A46" s="6" t="str">
        <f t="shared" si="1"/>
        <v>C18</v>
      </c>
      <c r="B46" s="3">
        <v>41562</v>
      </c>
      <c r="C46" s="3">
        <v>41562</v>
      </c>
      <c r="D46" s="22"/>
      <c r="E46" s="22" t="s">
        <v>92</v>
      </c>
      <c r="F46" s="30" t="s">
        <v>52</v>
      </c>
      <c r="G46" s="50"/>
      <c r="H46" s="50"/>
      <c r="I46" s="28" t="s">
        <v>53</v>
      </c>
      <c r="J46" s="21"/>
      <c r="K46" s="5">
        <v>2630727</v>
      </c>
      <c r="L46" s="4">
        <f t="shared" si="4"/>
        <v>2238590796</v>
      </c>
      <c r="M46" s="19"/>
    </row>
    <row r="47" spans="1:13" ht="18" customHeight="1">
      <c r="A47" s="6" t="str">
        <f t="shared" si="1"/>
        <v>C18</v>
      </c>
      <c r="B47" s="3">
        <v>41562</v>
      </c>
      <c r="C47" s="3">
        <v>41562</v>
      </c>
      <c r="D47" s="4"/>
      <c r="E47" s="22" t="s">
        <v>92</v>
      </c>
      <c r="F47" s="5" t="s">
        <v>180</v>
      </c>
      <c r="G47" s="5"/>
      <c r="H47" s="5"/>
      <c r="I47" s="28" t="s">
        <v>35</v>
      </c>
      <c r="J47" s="21"/>
      <c r="K47" s="5">
        <v>295637</v>
      </c>
      <c r="L47" s="4">
        <f t="shared" si="4"/>
        <v>2238295159</v>
      </c>
      <c r="M47" s="19"/>
    </row>
    <row r="48" spans="1:13" ht="18.75" customHeight="1">
      <c r="A48" s="6" t="str">
        <f t="shared" si="1"/>
        <v>C19</v>
      </c>
      <c r="B48" s="3">
        <v>41564</v>
      </c>
      <c r="C48" s="3">
        <v>41564</v>
      </c>
      <c r="D48" s="22"/>
      <c r="E48" s="22" t="s">
        <v>93</v>
      </c>
      <c r="F48" s="5" t="s">
        <v>224</v>
      </c>
      <c r="G48" s="50"/>
      <c r="H48" s="50"/>
      <c r="I48" s="28" t="s">
        <v>193</v>
      </c>
      <c r="J48" s="21"/>
      <c r="K48" s="5">
        <v>179000</v>
      </c>
      <c r="L48" s="4">
        <f t="shared" si="4"/>
        <v>2238116159</v>
      </c>
      <c r="M48" s="19"/>
    </row>
    <row r="49" spans="1:13" s="41" customFormat="1" ht="18.75" customHeight="1">
      <c r="A49" s="6" t="str">
        <f t="shared" si="1"/>
        <v>C20</v>
      </c>
      <c r="B49" s="3">
        <v>41564</v>
      </c>
      <c r="C49" s="3">
        <v>41564</v>
      </c>
      <c r="D49" s="4"/>
      <c r="E49" s="22" t="s">
        <v>94</v>
      </c>
      <c r="F49" s="30" t="s">
        <v>437</v>
      </c>
      <c r="G49" s="50"/>
      <c r="H49" s="50"/>
      <c r="I49" s="28" t="s">
        <v>53</v>
      </c>
      <c r="J49" s="21"/>
      <c r="K49" s="5">
        <v>3450000</v>
      </c>
      <c r="L49" s="4">
        <f t="shared" si="4"/>
        <v>2234666159</v>
      </c>
      <c r="M49" s="40"/>
    </row>
    <row r="50" spans="1:13" ht="18.75" customHeight="1">
      <c r="A50" s="6" t="str">
        <f t="shared" si="1"/>
        <v>C21</v>
      </c>
      <c r="B50" s="3">
        <v>41564</v>
      </c>
      <c r="C50" s="3">
        <v>41564</v>
      </c>
      <c r="D50" s="4"/>
      <c r="E50" s="22" t="s">
        <v>95</v>
      </c>
      <c r="F50" s="5" t="s">
        <v>201</v>
      </c>
      <c r="G50" s="5"/>
      <c r="H50" s="5"/>
      <c r="I50" s="28" t="s">
        <v>53</v>
      </c>
      <c r="J50" s="21"/>
      <c r="K50" s="5">
        <v>15600000</v>
      </c>
      <c r="L50" s="4">
        <f t="shared" si="4"/>
        <v>2219066159</v>
      </c>
      <c r="M50" s="19"/>
    </row>
    <row r="51" spans="1:13" ht="18.75" customHeight="1">
      <c r="A51" s="6" t="str">
        <f t="shared" si="1"/>
        <v>C21</v>
      </c>
      <c r="B51" s="3">
        <v>41564</v>
      </c>
      <c r="C51" s="3">
        <v>41564</v>
      </c>
      <c r="D51" s="4"/>
      <c r="E51" s="22" t="s">
        <v>95</v>
      </c>
      <c r="F51" s="5" t="s">
        <v>202</v>
      </c>
      <c r="G51" s="5"/>
      <c r="H51" s="5"/>
      <c r="I51" s="28" t="s">
        <v>35</v>
      </c>
      <c r="J51" s="21"/>
      <c r="K51" s="5">
        <v>1560000</v>
      </c>
      <c r="L51" s="4">
        <f t="shared" si="4"/>
        <v>2217506159</v>
      </c>
      <c r="M51" s="19"/>
    </row>
    <row r="52" spans="1:13" ht="18.75" customHeight="1">
      <c r="A52" s="6" t="str">
        <f t="shared" si="1"/>
        <v>C22</v>
      </c>
      <c r="B52" s="3">
        <v>41564</v>
      </c>
      <c r="C52" s="3">
        <v>41564</v>
      </c>
      <c r="D52" s="22"/>
      <c r="E52" s="22" t="s">
        <v>96</v>
      </c>
      <c r="F52" s="5" t="s">
        <v>436</v>
      </c>
      <c r="G52" s="5"/>
      <c r="H52" s="5"/>
      <c r="I52" s="28" t="s">
        <v>34</v>
      </c>
      <c r="J52" s="21"/>
      <c r="K52" s="5">
        <v>11451000</v>
      </c>
      <c r="L52" s="4">
        <f t="shared" si="4"/>
        <v>2206055159</v>
      </c>
      <c r="M52" s="19"/>
    </row>
    <row r="53" spans="1:13" ht="18.75" customHeight="1">
      <c r="A53" s="6" t="str">
        <f t="shared" si="1"/>
        <v>C23</v>
      </c>
      <c r="B53" s="3">
        <v>41565</v>
      </c>
      <c r="C53" s="3">
        <v>41565</v>
      </c>
      <c r="D53" s="22"/>
      <c r="E53" s="22" t="s">
        <v>97</v>
      </c>
      <c r="F53" s="5" t="s">
        <v>436</v>
      </c>
      <c r="G53" s="5"/>
      <c r="H53" s="5"/>
      <c r="I53" s="28" t="s">
        <v>34</v>
      </c>
      <c r="J53" s="21"/>
      <c r="K53" s="5">
        <v>15268000</v>
      </c>
      <c r="L53" s="4">
        <f t="shared" si="4"/>
        <v>2190787159</v>
      </c>
      <c r="M53" s="19"/>
    </row>
    <row r="54" spans="1:13" ht="18.75" customHeight="1">
      <c r="A54" s="6" t="str">
        <f t="shared" si="1"/>
        <v>C24</v>
      </c>
      <c r="B54" s="3">
        <v>41566</v>
      </c>
      <c r="C54" s="3">
        <v>41566</v>
      </c>
      <c r="D54" s="4"/>
      <c r="E54" s="22" t="s">
        <v>98</v>
      </c>
      <c r="F54" s="5" t="s">
        <v>283</v>
      </c>
      <c r="G54" s="5"/>
      <c r="H54" s="5"/>
      <c r="I54" s="28" t="s">
        <v>34</v>
      </c>
      <c r="J54" s="21"/>
      <c r="K54" s="5">
        <v>15570000</v>
      </c>
      <c r="L54" s="4">
        <f t="shared" si="4"/>
        <v>2175217159</v>
      </c>
      <c r="M54" s="19"/>
    </row>
    <row r="55" spans="1:13" ht="18.75" customHeight="1">
      <c r="A55" s="6" t="str">
        <f t="shared" si="1"/>
        <v>C25</v>
      </c>
      <c r="B55" s="3">
        <v>41567</v>
      </c>
      <c r="C55" s="3">
        <v>41567</v>
      </c>
      <c r="D55" s="22"/>
      <c r="E55" s="22" t="s">
        <v>99</v>
      </c>
      <c r="F55" s="30" t="s">
        <v>49</v>
      </c>
      <c r="G55" s="50"/>
      <c r="H55" s="50"/>
      <c r="I55" s="28" t="s">
        <v>192</v>
      </c>
      <c r="J55" s="21"/>
      <c r="K55" s="5">
        <v>3165500</v>
      </c>
      <c r="L55" s="4">
        <f t="shared" si="4"/>
        <v>2172051659</v>
      </c>
      <c r="M55" s="19"/>
    </row>
    <row r="56" spans="1:13" ht="18.75" customHeight="1">
      <c r="A56" s="6" t="str">
        <f t="shared" si="1"/>
        <v>C25</v>
      </c>
      <c r="B56" s="3">
        <v>41567</v>
      </c>
      <c r="C56" s="3">
        <v>41567</v>
      </c>
      <c r="D56" s="22"/>
      <c r="E56" s="22" t="s">
        <v>99</v>
      </c>
      <c r="F56" s="30" t="s">
        <v>55</v>
      </c>
      <c r="G56" s="50"/>
      <c r="H56" s="50"/>
      <c r="I56" s="28" t="s">
        <v>35</v>
      </c>
      <c r="J56" s="21"/>
      <c r="K56" s="5">
        <v>316550</v>
      </c>
      <c r="L56" s="4">
        <f t="shared" si="4"/>
        <v>2171735109</v>
      </c>
      <c r="M56" s="19"/>
    </row>
    <row r="57" spans="1:13" ht="18.75" customHeight="1">
      <c r="A57" s="6" t="str">
        <f t="shared" si="1"/>
        <v>C26</v>
      </c>
      <c r="B57" s="3">
        <v>41567</v>
      </c>
      <c r="C57" s="3">
        <v>41567</v>
      </c>
      <c r="D57" s="4"/>
      <c r="E57" s="22" t="s">
        <v>100</v>
      </c>
      <c r="F57" s="5" t="s">
        <v>201</v>
      </c>
      <c r="G57" s="5"/>
      <c r="H57" s="5"/>
      <c r="I57" s="28" t="s">
        <v>53</v>
      </c>
      <c r="J57" s="21"/>
      <c r="K57" s="5">
        <v>12600000</v>
      </c>
      <c r="L57" s="4">
        <f t="shared" si="4"/>
        <v>2159135109</v>
      </c>
      <c r="M57" s="19"/>
    </row>
    <row r="58" spans="1:13" ht="18.75" customHeight="1">
      <c r="A58" s="6" t="str">
        <f t="shared" si="1"/>
        <v>C26</v>
      </c>
      <c r="B58" s="3">
        <v>41567</v>
      </c>
      <c r="C58" s="3">
        <v>41567</v>
      </c>
      <c r="D58" s="4"/>
      <c r="E58" s="22" t="s">
        <v>100</v>
      </c>
      <c r="F58" s="5" t="s">
        <v>202</v>
      </c>
      <c r="G58" s="5"/>
      <c r="H58" s="5"/>
      <c r="I58" s="28" t="s">
        <v>35</v>
      </c>
      <c r="J58" s="21"/>
      <c r="K58" s="5">
        <v>1260000</v>
      </c>
      <c r="L58" s="4">
        <f t="shared" si="4"/>
        <v>2157875109</v>
      </c>
      <c r="M58" s="19"/>
    </row>
    <row r="59" spans="1:13" ht="18" customHeight="1">
      <c r="A59" s="6" t="str">
        <f t="shared" si="1"/>
        <v>C27</v>
      </c>
      <c r="B59" s="3">
        <v>41569</v>
      </c>
      <c r="C59" s="3">
        <v>41569</v>
      </c>
      <c r="D59" s="22"/>
      <c r="E59" s="22" t="s">
        <v>101</v>
      </c>
      <c r="F59" s="30" t="s">
        <v>198</v>
      </c>
      <c r="G59" s="50"/>
      <c r="H59" s="50"/>
      <c r="I59" s="28" t="s">
        <v>193</v>
      </c>
      <c r="J59" s="21"/>
      <c r="K59" s="5">
        <v>260000</v>
      </c>
      <c r="L59" s="4">
        <f t="shared" si="4"/>
        <v>2157615109</v>
      </c>
      <c r="M59" s="19"/>
    </row>
    <row r="60" spans="1:13" ht="18.75" customHeight="1">
      <c r="A60" s="6" t="str">
        <f t="shared" si="1"/>
        <v>C28</v>
      </c>
      <c r="B60" s="3">
        <v>41569</v>
      </c>
      <c r="C60" s="3">
        <v>41569</v>
      </c>
      <c r="D60" s="4"/>
      <c r="E60" s="22" t="s">
        <v>102</v>
      </c>
      <c r="F60" s="5" t="s">
        <v>438</v>
      </c>
      <c r="G60" s="5"/>
      <c r="H60" s="5"/>
      <c r="I60" s="28" t="s">
        <v>183</v>
      </c>
      <c r="J60" s="21"/>
      <c r="K60" s="5">
        <v>4222797</v>
      </c>
      <c r="L60" s="4">
        <f t="shared" si="4"/>
        <v>2153392312</v>
      </c>
      <c r="M60" s="19"/>
    </row>
    <row r="61" spans="1:13" ht="18.75" customHeight="1">
      <c r="A61" s="6" t="str">
        <f t="shared" si="1"/>
        <v>C29</v>
      </c>
      <c r="B61" s="3">
        <v>41570</v>
      </c>
      <c r="C61" s="3">
        <v>41570</v>
      </c>
      <c r="D61" s="22"/>
      <c r="E61" s="22" t="s">
        <v>103</v>
      </c>
      <c r="F61" s="30" t="s">
        <v>201</v>
      </c>
      <c r="G61" s="50"/>
      <c r="H61" s="50"/>
      <c r="I61" s="28" t="s">
        <v>53</v>
      </c>
      <c r="J61" s="21"/>
      <c r="K61" s="5">
        <v>12000000</v>
      </c>
      <c r="L61" s="4">
        <f t="shared" si="4"/>
        <v>2141392312</v>
      </c>
      <c r="M61" s="19"/>
    </row>
    <row r="62" spans="1:13" ht="18.75" customHeight="1">
      <c r="A62" s="6" t="str">
        <f t="shared" si="1"/>
        <v>C29</v>
      </c>
      <c r="B62" s="3">
        <v>41570</v>
      </c>
      <c r="C62" s="3">
        <v>41570</v>
      </c>
      <c r="D62" s="22"/>
      <c r="E62" s="22" t="s">
        <v>103</v>
      </c>
      <c r="F62" s="30" t="s">
        <v>202</v>
      </c>
      <c r="G62" s="50"/>
      <c r="H62" s="50"/>
      <c r="I62" s="28" t="s">
        <v>35</v>
      </c>
      <c r="J62" s="21"/>
      <c r="K62" s="5">
        <v>1200000</v>
      </c>
      <c r="L62" s="4">
        <f t="shared" ref="L62:L77" si="5">IF(F62&lt;&gt;"",L61+J62-K62,0)</f>
        <v>2140192312</v>
      </c>
      <c r="M62" s="19"/>
    </row>
    <row r="63" spans="1:13" ht="18.75" customHeight="1">
      <c r="A63" s="6" t="str">
        <f t="shared" si="1"/>
        <v>T04</v>
      </c>
      <c r="B63" s="3">
        <v>41571</v>
      </c>
      <c r="C63" s="3">
        <v>41571</v>
      </c>
      <c r="D63" s="4" t="s">
        <v>42</v>
      </c>
      <c r="E63" s="22"/>
      <c r="F63" s="5" t="s">
        <v>269</v>
      </c>
      <c r="G63" s="5"/>
      <c r="H63" s="5"/>
      <c r="I63" s="28" t="s">
        <v>36</v>
      </c>
      <c r="J63" s="21">
        <v>80000000</v>
      </c>
      <c r="K63" s="5"/>
      <c r="L63" s="4">
        <f t="shared" si="5"/>
        <v>2220192312</v>
      </c>
      <c r="M63" s="19"/>
    </row>
    <row r="64" spans="1:13" ht="18.75" customHeight="1">
      <c r="A64" s="6" t="str">
        <f t="shared" si="1"/>
        <v>C30</v>
      </c>
      <c r="B64" s="3">
        <v>41575</v>
      </c>
      <c r="C64" s="3">
        <v>41575</v>
      </c>
      <c r="D64" s="4"/>
      <c r="E64" s="22" t="s">
        <v>104</v>
      </c>
      <c r="F64" s="5" t="s">
        <v>439</v>
      </c>
      <c r="G64" s="5"/>
      <c r="H64" s="5"/>
      <c r="I64" s="28" t="s">
        <v>192</v>
      </c>
      <c r="J64" s="21"/>
      <c r="K64" s="5">
        <v>4718182</v>
      </c>
      <c r="L64" s="4">
        <f t="shared" si="5"/>
        <v>2215474130</v>
      </c>
      <c r="M64" s="19"/>
    </row>
    <row r="65" spans="1:13" ht="18.75" customHeight="1">
      <c r="A65" s="6" t="str">
        <f t="shared" si="1"/>
        <v>C30</v>
      </c>
      <c r="B65" s="3">
        <v>41575</v>
      </c>
      <c r="C65" s="3">
        <v>41575</v>
      </c>
      <c r="D65" s="22"/>
      <c r="E65" s="22" t="s">
        <v>104</v>
      </c>
      <c r="F65" s="30" t="s">
        <v>440</v>
      </c>
      <c r="G65" s="50"/>
      <c r="H65" s="50"/>
      <c r="I65" s="28" t="s">
        <v>35</v>
      </c>
      <c r="J65" s="21"/>
      <c r="K65" s="5">
        <v>471818</v>
      </c>
      <c r="L65" s="4">
        <f t="shared" si="5"/>
        <v>2215002312</v>
      </c>
      <c r="M65" s="19"/>
    </row>
    <row r="66" spans="1:13" s="41" customFormat="1" ht="18" customHeight="1">
      <c r="A66" s="6" t="str">
        <f t="shared" si="1"/>
        <v>C31</v>
      </c>
      <c r="B66" s="3">
        <v>41575</v>
      </c>
      <c r="C66" s="3">
        <v>41575</v>
      </c>
      <c r="D66" s="22"/>
      <c r="E66" s="22" t="s">
        <v>105</v>
      </c>
      <c r="F66" s="30" t="s">
        <v>199</v>
      </c>
      <c r="G66" s="50"/>
      <c r="H66" s="50"/>
      <c r="I66" s="28" t="s">
        <v>192</v>
      </c>
      <c r="J66" s="21"/>
      <c r="K66" s="5">
        <v>16000000</v>
      </c>
      <c r="L66" s="32">
        <f t="shared" si="5"/>
        <v>2199002312</v>
      </c>
      <c r="M66" s="40"/>
    </row>
    <row r="67" spans="1:13" ht="18" customHeight="1">
      <c r="A67" s="6" t="str">
        <f t="shared" si="1"/>
        <v>C31</v>
      </c>
      <c r="B67" s="3">
        <v>41575</v>
      </c>
      <c r="C67" s="3">
        <v>41575</v>
      </c>
      <c r="D67" s="22"/>
      <c r="E67" s="22" t="s">
        <v>105</v>
      </c>
      <c r="F67" s="30" t="s">
        <v>200</v>
      </c>
      <c r="G67" s="50"/>
      <c r="H67" s="50"/>
      <c r="I67" s="28" t="s">
        <v>35</v>
      </c>
      <c r="J67" s="21"/>
      <c r="K67" s="5">
        <v>1600000</v>
      </c>
      <c r="L67" s="4">
        <f t="shared" si="5"/>
        <v>2197402312</v>
      </c>
      <c r="M67" s="19"/>
    </row>
    <row r="68" spans="1:13" ht="18.75" customHeight="1">
      <c r="A68" s="6" t="str">
        <f t="shared" si="1"/>
        <v>C32</v>
      </c>
      <c r="B68" s="3">
        <v>41575</v>
      </c>
      <c r="C68" s="3">
        <v>41575</v>
      </c>
      <c r="D68" s="4"/>
      <c r="E68" s="22" t="s">
        <v>106</v>
      </c>
      <c r="F68" s="5" t="s">
        <v>283</v>
      </c>
      <c r="G68" s="5"/>
      <c r="H68" s="5"/>
      <c r="I68" s="28" t="s">
        <v>34</v>
      </c>
      <c r="J68" s="21"/>
      <c r="K68" s="5">
        <v>15570000</v>
      </c>
      <c r="L68" s="4">
        <f t="shared" si="5"/>
        <v>2181832312</v>
      </c>
      <c r="M68" s="19"/>
    </row>
    <row r="69" spans="1:13" ht="18.75" customHeight="1">
      <c r="A69" s="6" t="str">
        <f t="shared" si="1"/>
        <v>T05</v>
      </c>
      <c r="B69" s="3">
        <v>41576</v>
      </c>
      <c r="C69" s="3">
        <v>41576</v>
      </c>
      <c r="D69" s="4" t="s">
        <v>43</v>
      </c>
      <c r="E69" s="22"/>
      <c r="F69" s="5" t="s">
        <v>269</v>
      </c>
      <c r="G69" s="5"/>
      <c r="H69" s="5"/>
      <c r="I69" s="28" t="s">
        <v>36</v>
      </c>
      <c r="J69" s="21">
        <v>723000000</v>
      </c>
      <c r="K69" s="5"/>
      <c r="L69" s="4">
        <f t="shared" si="5"/>
        <v>2904832312</v>
      </c>
      <c r="M69" s="19"/>
    </row>
    <row r="70" spans="1:13" ht="18.75" customHeight="1">
      <c r="A70" s="6" t="str">
        <f t="shared" si="1"/>
        <v>C33</v>
      </c>
      <c r="B70" s="3">
        <v>41576</v>
      </c>
      <c r="C70" s="3">
        <v>41576</v>
      </c>
      <c r="D70" s="4"/>
      <c r="E70" s="22" t="s">
        <v>107</v>
      </c>
      <c r="F70" s="5" t="s">
        <v>436</v>
      </c>
      <c r="G70" s="5"/>
      <c r="H70" s="5"/>
      <c r="I70" s="28" t="s">
        <v>34</v>
      </c>
      <c r="J70" s="21"/>
      <c r="K70" s="5">
        <v>7634000</v>
      </c>
      <c r="L70" s="4">
        <f t="shared" si="5"/>
        <v>2897198312</v>
      </c>
      <c r="M70" s="19"/>
    </row>
    <row r="71" spans="1:13" ht="18.75" customHeight="1">
      <c r="A71" s="6" t="str">
        <f t="shared" si="1"/>
        <v>C34</v>
      </c>
      <c r="B71" s="3">
        <v>41576</v>
      </c>
      <c r="C71" s="3">
        <v>41576</v>
      </c>
      <c r="D71" s="4"/>
      <c r="E71" s="22" t="s">
        <v>108</v>
      </c>
      <c r="F71" s="5" t="s">
        <v>194</v>
      </c>
      <c r="G71" s="5"/>
      <c r="H71" s="5"/>
      <c r="I71" s="28" t="s">
        <v>120</v>
      </c>
      <c r="J71" s="21"/>
      <c r="K71" s="5">
        <v>600000000</v>
      </c>
      <c r="L71" s="4">
        <f t="shared" si="5"/>
        <v>2297198312</v>
      </c>
      <c r="M71" s="19"/>
    </row>
    <row r="72" spans="1:13" ht="18.75" customHeight="1">
      <c r="A72" s="6" t="str">
        <f t="shared" si="1"/>
        <v>C35</v>
      </c>
      <c r="B72" s="3">
        <v>41576</v>
      </c>
      <c r="C72" s="3">
        <v>41576</v>
      </c>
      <c r="D72" s="4"/>
      <c r="E72" s="22" t="s">
        <v>109</v>
      </c>
      <c r="F72" s="5" t="s">
        <v>272</v>
      </c>
      <c r="G72" s="5"/>
      <c r="H72" s="5"/>
      <c r="I72" s="28" t="s">
        <v>120</v>
      </c>
      <c r="J72" s="21"/>
      <c r="K72" s="5">
        <v>550000000</v>
      </c>
      <c r="L72" s="4">
        <f t="shared" si="5"/>
        <v>1747198312</v>
      </c>
      <c r="M72" s="19"/>
    </row>
    <row r="73" spans="1:13" ht="18.75" customHeight="1">
      <c r="A73" s="6" t="str">
        <f t="shared" si="1"/>
        <v>C36</v>
      </c>
      <c r="B73" s="3">
        <v>41578</v>
      </c>
      <c r="C73" s="3">
        <v>41578</v>
      </c>
      <c r="D73" s="4"/>
      <c r="E73" s="22" t="s">
        <v>110</v>
      </c>
      <c r="F73" s="5" t="s">
        <v>49</v>
      </c>
      <c r="G73" s="5"/>
      <c r="H73" s="5"/>
      <c r="I73" s="28" t="s">
        <v>192</v>
      </c>
      <c r="J73" s="21"/>
      <c r="K73" s="5">
        <v>4095227</v>
      </c>
      <c r="L73" s="4">
        <f t="shared" si="5"/>
        <v>1743103085</v>
      </c>
      <c r="M73" s="19"/>
    </row>
    <row r="74" spans="1:13" ht="18.75" customHeight="1">
      <c r="A74" s="6" t="str">
        <f t="shared" si="1"/>
        <v>C36</v>
      </c>
      <c r="B74" s="3">
        <v>41578</v>
      </c>
      <c r="C74" s="3">
        <v>41578</v>
      </c>
      <c r="D74" s="22"/>
      <c r="E74" s="22" t="s">
        <v>110</v>
      </c>
      <c r="F74" s="30" t="s">
        <v>55</v>
      </c>
      <c r="G74" s="50"/>
      <c r="H74" s="50"/>
      <c r="I74" s="28" t="s">
        <v>35</v>
      </c>
      <c r="J74" s="21"/>
      <c r="K74" s="5">
        <v>409523</v>
      </c>
      <c r="L74" s="4">
        <f t="shared" si="5"/>
        <v>1742693562</v>
      </c>
      <c r="M74" s="19"/>
    </row>
    <row r="75" spans="1:13" ht="18.75" customHeight="1">
      <c r="A75" s="6" t="str">
        <f t="shared" si="1"/>
        <v>C37</v>
      </c>
      <c r="B75" s="3">
        <v>41578</v>
      </c>
      <c r="C75" s="3">
        <v>41578</v>
      </c>
      <c r="D75" s="22"/>
      <c r="E75" s="22" t="s">
        <v>111</v>
      </c>
      <c r="F75" s="30" t="s">
        <v>49</v>
      </c>
      <c r="G75" s="50"/>
      <c r="H75" s="50"/>
      <c r="I75" s="28" t="s">
        <v>192</v>
      </c>
      <c r="J75" s="21"/>
      <c r="K75" s="5">
        <v>564436</v>
      </c>
      <c r="L75" s="4">
        <f t="shared" si="5"/>
        <v>1742129126</v>
      </c>
      <c r="M75" s="19"/>
    </row>
    <row r="76" spans="1:13" ht="18.75" customHeight="1">
      <c r="A76" s="6" t="str">
        <f t="shared" si="1"/>
        <v>C37</v>
      </c>
      <c r="B76" s="3">
        <v>41578</v>
      </c>
      <c r="C76" s="3">
        <v>41578</v>
      </c>
      <c r="D76" s="4"/>
      <c r="E76" s="22" t="s">
        <v>111</v>
      </c>
      <c r="F76" s="5" t="s">
        <v>52</v>
      </c>
      <c r="G76" s="5"/>
      <c r="H76" s="5"/>
      <c r="I76" s="28" t="s">
        <v>53</v>
      </c>
      <c r="J76" s="21"/>
      <c r="K76" s="5">
        <v>3844909</v>
      </c>
      <c r="L76" s="4">
        <f t="shared" si="5"/>
        <v>1738284217</v>
      </c>
      <c r="M76" s="19"/>
    </row>
    <row r="77" spans="1:13" ht="18" customHeight="1">
      <c r="A77" s="6" t="str">
        <f t="shared" si="1"/>
        <v>C37</v>
      </c>
      <c r="B77" s="3">
        <v>41578</v>
      </c>
      <c r="C77" s="3">
        <v>41578</v>
      </c>
      <c r="D77" s="4"/>
      <c r="E77" s="22" t="s">
        <v>111</v>
      </c>
      <c r="F77" s="5" t="s">
        <v>180</v>
      </c>
      <c r="G77" s="5"/>
      <c r="H77" s="5"/>
      <c r="I77" s="28" t="s">
        <v>35</v>
      </c>
      <c r="J77" s="21"/>
      <c r="K77" s="5">
        <v>440935</v>
      </c>
      <c r="L77" s="4">
        <f t="shared" si="5"/>
        <v>1737843282</v>
      </c>
      <c r="M77" s="19"/>
    </row>
    <row r="78" spans="1:13" ht="18" customHeight="1">
      <c r="A78" s="6" t="str">
        <f t="shared" ref="A78:A79" si="6">D78&amp;E78</f>
        <v>C38</v>
      </c>
      <c r="B78" s="3">
        <v>41578</v>
      </c>
      <c r="C78" s="3">
        <v>41578</v>
      </c>
      <c r="D78" s="4"/>
      <c r="E78" s="22" t="s">
        <v>121</v>
      </c>
      <c r="F78" s="5" t="s">
        <v>207</v>
      </c>
      <c r="G78" s="5"/>
      <c r="H78" s="5"/>
      <c r="I78" s="28" t="s">
        <v>56</v>
      </c>
      <c r="J78" s="21"/>
      <c r="K78" s="5">
        <v>777000000</v>
      </c>
      <c r="L78" s="4">
        <f t="shared" ref="L78:L79" si="7">IF(F78&lt;&gt;"",L77+J78-K78,0)</f>
        <v>960843282</v>
      </c>
      <c r="M78" s="19"/>
    </row>
    <row r="79" spans="1:13" ht="18" customHeight="1">
      <c r="A79" s="6" t="str">
        <f t="shared" si="6"/>
        <v>C39</v>
      </c>
      <c r="B79" s="3">
        <v>41578</v>
      </c>
      <c r="C79" s="3">
        <v>41578</v>
      </c>
      <c r="D79" s="4"/>
      <c r="E79" s="22" t="s">
        <v>122</v>
      </c>
      <c r="F79" s="5" t="s">
        <v>441</v>
      </c>
      <c r="G79" s="5"/>
      <c r="H79" s="5"/>
      <c r="I79" s="28" t="s">
        <v>37</v>
      </c>
      <c r="J79" s="21"/>
      <c r="K79" s="5">
        <v>124383206</v>
      </c>
      <c r="L79" s="4">
        <f t="shared" si="7"/>
        <v>836460076</v>
      </c>
      <c r="M79" s="19"/>
    </row>
    <row r="80" spans="1:13" ht="18" customHeight="1">
      <c r="B80" s="3"/>
      <c r="C80" s="3"/>
      <c r="D80" s="22"/>
      <c r="E80" s="22"/>
      <c r="F80" s="30"/>
      <c r="G80" s="30"/>
      <c r="H80" s="5"/>
      <c r="I80" s="28"/>
      <c r="J80" s="21"/>
      <c r="K80" s="5"/>
      <c r="L80" s="4"/>
      <c r="M80" s="19"/>
    </row>
    <row r="81" spans="2:13" ht="18" customHeight="1">
      <c r="B81" s="19"/>
      <c r="C81" s="19"/>
      <c r="D81" s="19"/>
      <c r="E81" s="19"/>
      <c r="F81" s="19" t="s">
        <v>29</v>
      </c>
      <c r="G81" s="19"/>
      <c r="H81" s="19"/>
      <c r="I81" s="4" t="s">
        <v>30</v>
      </c>
      <c r="J81" s="19">
        <f>SUM(J13:J80)</f>
        <v>4853000000</v>
      </c>
      <c r="K81" s="19">
        <f>SUM(K13:K80)</f>
        <v>4566271801</v>
      </c>
      <c r="L81" s="4" t="s">
        <v>30</v>
      </c>
      <c r="M81" s="4" t="s">
        <v>30</v>
      </c>
    </row>
    <row r="82" spans="2:13" ht="18" customHeight="1">
      <c r="B82" s="25"/>
      <c r="C82" s="25"/>
      <c r="D82" s="25"/>
      <c r="E82" s="25"/>
      <c r="F82" s="25" t="s">
        <v>31</v>
      </c>
      <c r="G82" s="25"/>
      <c r="H82" s="25"/>
      <c r="I82" s="26" t="s">
        <v>30</v>
      </c>
      <c r="J82" s="26" t="s">
        <v>30</v>
      </c>
      <c r="K82" s="26" t="s">
        <v>30</v>
      </c>
      <c r="L82" s="25">
        <f>L12+J81-K81</f>
        <v>836460076</v>
      </c>
      <c r="M82" s="26" t="s">
        <v>30</v>
      </c>
    </row>
    <row r="84" spans="2:13">
      <c r="B84" s="27" t="s">
        <v>46</v>
      </c>
    </row>
    <row r="85" spans="2:13">
      <c r="B85" s="27" t="s">
        <v>304</v>
      </c>
    </row>
    <row r="86" spans="2:13">
      <c r="L86" s="8" t="s">
        <v>305</v>
      </c>
    </row>
    <row r="87" spans="2:13" s="7" customFormat="1" ht="14.25">
      <c r="C87" s="7" t="s">
        <v>33</v>
      </c>
      <c r="F87" s="7" t="s">
        <v>13</v>
      </c>
      <c r="L87" s="7" t="s">
        <v>14</v>
      </c>
    </row>
    <row r="88" spans="2:13" s="2" customFormat="1">
      <c r="C88" s="2" t="s">
        <v>15</v>
      </c>
      <c r="F88" s="2" t="s">
        <v>15</v>
      </c>
      <c r="L88" s="2" t="s">
        <v>16</v>
      </c>
    </row>
    <row r="89" spans="2:13" s="2" customFormat="1"/>
  </sheetData>
  <autoFilter ref="B11:M82"/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>
    <tabColor indexed="31"/>
  </sheetPr>
  <dimension ref="A1:M80"/>
  <sheetViews>
    <sheetView topLeftCell="B25" zoomScale="90" workbookViewId="0">
      <selection activeCell="J1" sqref="J1:M3"/>
    </sheetView>
  </sheetViews>
  <sheetFormatPr defaultRowHeight="15"/>
  <cols>
    <col min="1" max="1" width="5.140625" style="6" hidden="1" customWidth="1"/>
    <col min="2" max="2" width="10.85546875" style="6" customWidth="1"/>
    <col min="3" max="3" width="10.28515625" style="6" customWidth="1"/>
    <col min="4" max="5" width="6.85546875" style="6" customWidth="1"/>
    <col min="6" max="6" width="40.42578125" style="6" customWidth="1"/>
    <col min="7" max="8" width="13.85546875" style="6" hidden="1" customWidth="1"/>
    <col min="9" max="9" width="7.140625" style="6" customWidth="1"/>
    <col min="10" max="11" width="15.5703125" style="6" customWidth="1"/>
    <col min="12" max="12" width="14.71093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0" t="s">
        <v>472</v>
      </c>
      <c r="K1" s="400"/>
      <c r="L1" s="400"/>
      <c r="M1" s="400"/>
    </row>
    <row r="2" spans="1:13" s="11" customFormat="1" ht="16.5" customHeight="1">
      <c r="B2" s="1" t="s">
        <v>48</v>
      </c>
      <c r="C2" s="12"/>
      <c r="D2" s="12"/>
      <c r="E2" s="12"/>
      <c r="F2" s="12"/>
      <c r="G2" s="12"/>
      <c r="H2" s="12"/>
      <c r="J2" s="401" t="s">
        <v>473</v>
      </c>
      <c r="K2" s="401"/>
      <c r="L2" s="401"/>
      <c r="M2" s="401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01"/>
      <c r="K3" s="401"/>
      <c r="L3" s="401"/>
      <c r="M3" s="401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6" spans="1:13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</row>
    <row r="7" spans="1:13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</row>
    <row r="8" spans="1:13">
      <c r="B8" s="15"/>
      <c r="L8" s="15" t="s">
        <v>19</v>
      </c>
    </row>
    <row r="9" spans="1:13" ht="27" customHeight="1">
      <c r="B9" s="404" t="s">
        <v>20</v>
      </c>
      <c r="C9" s="404" t="s">
        <v>21</v>
      </c>
      <c r="D9" s="403" t="s">
        <v>2</v>
      </c>
      <c r="E9" s="403"/>
      <c r="F9" s="403" t="s">
        <v>3</v>
      </c>
      <c r="G9" s="404" t="s">
        <v>73</v>
      </c>
      <c r="H9" s="404" t="s">
        <v>74</v>
      </c>
      <c r="I9" s="404" t="s">
        <v>22</v>
      </c>
      <c r="J9" s="403" t="s">
        <v>23</v>
      </c>
      <c r="K9" s="403"/>
      <c r="L9" s="403" t="s">
        <v>24</v>
      </c>
      <c r="M9" s="403" t="s">
        <v>4</v>
      </c>
    </row>
    <row r="10" spans="1:13" ht="16.5" customHeight="1">
      <c r="B10" s="405"/>
      <c r="C10" s="405"/>
      <c r="D10" s="16" t="s">
        <v>5</v>
      </c>
      <c r="E10" s="16" t="s">
        <v>6</v>
      </c>
      <c r="F10" s="403"/>
      <c r="G10" s="405"/>
      <c r="H10" s="405"/>
      <c r="I10" s="405"/>
      <c r="J10" s="16" t="s">
        <v>25</v>
      </c>
      <c r="K10" s="16" t="s">
        <v>26</v>
      </c>
      <c r="L10" s="403"/>
      <c r="M10" s="403"/>
    </row>
    <row r="11" spans="1:13" s="18" customFormat="1" ht="11.25" customHeight="1">
      <c r="B11" s="17" t="s">
        <v>7</v>
      </c>
      <c r="C11" s="17" t="s">
        <v>8</v>
      </c>
      <c r="D11" s="17" t="s">
        <v>9</v>
      </c>
      <c r="E11" s="17" t="s">
        <v>10</v>
      </c>
      <c r="F11" s="17" t="s">
        <v>11</v>
      </c>
      <c r="G11" s="17"/>
      <c r="H11" s="17"/>
      <c r="I11" s="17" t="s">
        <v>27</v>
      </c>
      <c r="J11" s="17">
        <v>1</v>
      </c>
      <c r="K11" s="17">
        <v>2</v>
      </c>
      <c r="L11" s="17">
        <v>3</v>
      </c>
      <c r="M11" s="17" t="s">
        <v>12</v>
      </c>
    </row>
    <row r="12" spans="1:13" ht="17.25" customHeight="1">
      <c r="B12" s="19"/>
      <c r="C12" s="19"/>
      <c r="D12" s="19"/>
      <c r="E12" s="19"/>
      <c r="F12" s="19" t="s">
        <v>28</v>
      </c>
      <c r="G12" s="19"/>
      <c r="H12" s="19"/>
      <c r="I12" s="20"/>
      <c r="J12" s="5"/>
      <c r="K12" s="19"/>
      <c r="L12" s="5">
        <f>'10'!L82</f>
        <v>836460076</v>
      </c>
      <c r="M12" s="19"/>
    </row>
    <row r="13" spans="1:13" ht="17.25" customHeight="1">
      <c r="A13" s="6" t="str">
        <f>D13&amp;E13</f>
        <v>C01</v>
      </c>
      <c r="B13" s="3">
        <v>41579</v>
      </c>
      <c r="C13" s="3">
        <v>41578</v>
      </c>
      <c r="D13" s="22"/>
      <c r="E13" s="22" t="s">
        <v>75</v>
      </c>
      <c r="F13" s="5" t="s">
        <v>442</v>
      </c>
      <c r="G13" s="5"/>
      <c r="H13" s="5"/>
      <c r="I13" s="28" t="s">
        <v>192</v>
      </c>
      <c r="J13" s="21"/>
      <c r="K13" s="5">
        <v>2287191</v>
      </c>
      <c r="L13" s="4">
        <f t="shared" ref="L13:L61" si="0">IF(F13&lt;&gt;"",L12+J13-K13,0)</f>
        <v>834172885</v>
      </c>
      <c r="M13" s="19"/>
    </row>
    <row r="14" spans="1:13" ht="17.25" customHeight="1">
      <c r="A14" s="6" t="str">
        <f t="shared" ref="A14:A66" si="1">D14&amp;E14</f>
        <v>C01</v>
      </c>
      <c r="B14" s="3">
        <v>41579</v>
      </c>
      <c r="C14" s="3">
        <v>41578</v>
      </c>
      <c r="D14" s="4"/>
      <c r="E14" s="22" t="s">
        <v>75</v>
      </c>
      <c r="F14" s="5" t="s">
        <v>443</v>
      </c>
      <c r="G14" s="5"/>
      <c r="H14" s="5"/>
      <c r="I14" s="28" t="s">
        <v>35</v>
      </c>
      <c r="J14" s="21"/>
      <c r="K14" s="5">
        <v>228719</v>
      </c>
      <c r="L14" s="4">
        <f t="shared" si="0"/>
        <v>833944166</v>
      </c>
      <c r="M14" s="19"/>
    </row>
    <row r="15" spans="1:13" s="61" customFormat="1" ht="17.25" customHeight="1">
      <c r="A15" s="6" t="str">
        <f t="shared" si="1"/>
        <v>C02</v>
      </c>
      <c r="B15" s="3">
        <v>41579</v>
      </c>
      <c r="C15" s="3">
        <v>41578</v>
      </c>
      <c r="D15" s="4"/>
      <c r="E15" s="22" t="s">
        <v>76</v>
      </c>
      <c r="F15" s="5" t="s">
        <v>203</v>
      </c>
      <c r="G15" s="5"/>
      <c r="H15" s="5"/>
      <c r="I15" s="28" t="s">
        <v>53</v>
      </c>
      <c r="J15" s="21"/>
      <c r="K15" s="5">
        <v>14102500</v>
      </c>
      <c r="L15" s="4">
        <f t="shared" si="0"/>
        <v>819841666</v>
      </c>
      <c r="M15" s="60"/>
    </row>
    <row r="16" spans="1:13" ht="17.25" customHeight="1">
      <c r="A16" s="6" t="str">
        <f t="shared" si="1"/>
        <v>C02</v>
      </c>
      <c r="B16" s="3">
        <v>41579</v>
      </c>
      <c r="C16" s="3">
        <v>41578</v>
      </c>
      <c r="D16" s="22"/>
      <c r="E16" s="22" t="s">
        <v>76</v>
      </c>
      <c r="F16" s="30" t="s">
        <v>54</v>
      </c>
      <c r="G16" s="50"/>
      <c r="H16" s="50"/>
      <c r="I16" s="28" t="s">
        <v>35</v>
      </c>
      <c r="J16" s="21"/>
      <c r="K16" s="5">
        <v>583800</v>
      </c>
      <c r="L16" s="4">
        <f t="shared" si="0"/>
        <v>819257866</v>
      </c>
      <c r="M16" s="19"/>
    </row>
    <row r="17" spans="1:13" ht="17.25" customHeight="1">
      <c r="A17" s="6" t="str">
        <f t="shared" si="1"/>
        <v>C02</v>
      </c>
      <c r="B17" s="3">
        <v>41579</v>
      </c>
      <c r="C17" s="3">
        <v>41578</v>
      </c>
      <c r="D17" s="4"/>
      <c r="E17" s="22" t="s">
        <v>76</v>
      </c>
      <c r="F17" s="5" t="s">
        <v>204</v>
      </c>
      <c r="G17" s="5"/>
      <c r="H17" s="5"/>
      <c r="I17" s="28" t="s">
        <v>35</v>
      </c>
      <c r="J17" s="21"/>
      <c r="K17" s="5">
        <v>242650</v>
      </c>
      <c r="L17" s="4">
        <f t="shared" si="0"/>
        <v>819015216</v>
      </c>
      <c r="M17" s="19"/>
    </row>
    <row r="18" spans="1:13" ht="17.25" customHeight="1">
      <c r="A18" s="6" t="str">
        <f t="shared" si="1"/>
        <v>C03</v>
      </c>
      <c r="B18" s="3">
        <v>41579</v>
      </c>
      <c r="C18" s="3">
        <v>41579</v>
      </c>
      <c r="D18" s="4"/>
      <c r="E18" s="22" t="s">
        <v>77</v>
      </c>
      <c r="F18" s="5" t="s">
        <v>411</v>
      </c>
      <c r="G18" s="5"/>
      <c r="H18" s="5"/>
      <c r="I18" s="28" t="s">
        <v>34</v>
      </c>
      <c r="J18" s="21"/>
      <c r="K18" s="5">
        <v>18000400</v>
      </c>
      <c r="L18" s="4">
        <f t="shared" si="0"/>
        <v>801014816</v>
      </c>
      <c r="M18" s="19"/>
    </row>
    <row r="19" spans="1:13" ht="17.25" customHeight="1">
      <c r="A19" s="6" t="str">
        <f t="shared" si="1"/>
        <v>C04</v>
      </c>
      <c r="B19" s="3">
        <v>41581</v>
      </c>
      <c r="C19" s="3">
        <v>41581</v>
      </c>
      <c r="D19" s="4"/>
      <c r="E19" s="22" t="s">
        <v>78</v>
      </c>
      <c r="F19" s="5" t="s">
        <v>411</v>
      </c>
      <c r="G19" s="5"/>
      <c r="H19" s="5"/>
      <c r="I19" s="28" t="s">
        <v>34</v>
      </c>
      <c r="J19" s="21"/>
      <c r="K19" s="5">
        <v>18000400</v>
      </c>
      <c r="L19" s="4">
        <f t="shared" si="0"/>
        <v>783014416</v>
      </c>
      <c r="M19" s="19"/>
    </row>
    <row r="20" spans="1:13" ht="17.25" customHeight="1">
      <c r="A20" s="6" t="str">
        <f t="shared" si="1"/>
        <v>C05</v>
      </c>
      <c r="B20" s="3">
        <v>41583</v>
      </c>
      <c r="C20" s="3">
        <v>41583</v>
      </c>
      <c r="D20" s="4"/>
      <c r="E20" s="22" t="s">
        <v>79</v>
      </c>
      <c r="F20" s="62" t="s">
        <v>411</v>
      </c>
      <c r="G20" s="5"/>
      <c r="H20" s="5"/>
      <c r="I20" s="28" t="s">
        <v>34</v>
      </c>
      <c r="J20" s="21"/>
      <c r="K20" s="5">
        <v>18000400</v>
      </c>
      <c r="L20" s="4">
        <f t="shared" si="0"/>
        <v>765014016</v>
      </c>
      <c r="M20" s="19"/>
    </row>
    <row r="21" spans="1:13" s="61" customFormat="1" ht="17.25" customHeight="1">
      <c r="A21" s="6" t="str">
        <f t="shared" si="1"/>
        <v>C06</v>
      </c>
      <c r="B21" s="3">
        <v>41583</v>
      </c>
      <c r="C21" s="3">
        <v>41583</v>
      </c>
      <c r="D21" s="22"/>
      <c r="E21" s="22" t="s">
        <v>80</v>
      </c>
      <c r="F21" s="30" t="s">
        <v>422</v>
      </c>
      <c r="G21" s="50"/>
      <c r="H21" s="50"/>
      <c r="I21" s="28" t="s">
        <v>34</v>
      </c>
      <c r="J21" s="21"/>
      <c r="K21" s="5">
        <v>14123106</v>
      </c>
      <c r="L21" s="4">
        <f t="shared" si="0"/>
        <v>750890910</v>
      </c>
      <c r="M21" s="60"/>
    </row>
    <row r="22" spans="1:13" s="61" customFormat="1" ht="17.25" customHeight="1">
      <c r="A22" s="6" t="str">
        <f t="shared" si="1"/>
        <v>C07</v>
      </c>
      <c r="B22" s="3">
        <v>41584</v>
      </c>
      <c r="C22" s="3">
        <v>41584</v>
      </c>
      <c r="D22" s="22"/>
      <c r="E22" s="22" t="s">
        <v>81</v>
      </c>
      <c r="F22" s="30" t="s">
        <v>201</v>
      </c>
      <c r="G22" s="50"/>
      <c r="H22" s="50"/>
      <c r="I22" s="28" t="s">
        <v>53</v>
      </c>
      <c r="J22" s="21"/>
      <c r="K22" s="5">
        <v>5400000</v>
      </c>
      <c r="L22" s="4">
        <f t="shared" si="0"/>
        <v>745490910</v>
      </c>
      <c r="M22" s="60"/>
    </row>
    <row r="23" spans="1:13" ht="17.25" customHeight="1">
      <c r="A23" s="6" t="str">
        <f t="shared" si="1"/>
        <v>C07</v>
      </c>
      <c r="B23" s="3">
        <v>41584</v>
      </c>
      <c r="C23" s="3">
        <v>41584</v>
      </c>
      <c r="D23" s="4"/>
      <c r="E23" s="22" t="s">
        <v>81</v>
      </c>
      <c r="F23" s="5" t="s">
        <v>202</v>
      </c>
      <c r="G23" s="5"/>
      <c r="H23" s="5"/>
      <c r="I23" s="28" t="s">
        <v>35</v>
      </c>
      <c r="J23" s="21"/>
      <c r="K23" s="5">
        <v>540000</v>
      </c>
      <c r="L23" s="4">
        <f t="shared" si="0"/>
        <v>744950910</v>
      </c>
      <c r="M23" s="19"/>
    </row>
    <row r="24" spans="1:13" ht="17.25" customHeight="1">
      <c r="A24" s="6" t="str">
        <f t="shared" si="1"/>
        <v>T01</v>
      </c>
      <c r="B24" s="3">
        <v>41585</v>
      </c>
      <c r="C24" s="3">
        <v>41585</v>
      </c>
      <c r="D24" s="4" t="s">
        <v>39</v>
      </c>
      <c r="E24" s="22"/>
      <c r="F24" s="5" t="s">
        <v>269</v>
      </c>
      <c r="G24" s="5"/>
      <c r="H24" s="5"/>
      <c r="I24" s="28" t="s">
        <v>36</v>
      </c>
      <c r="J24" s="21">
        <v>1500000000</v>
      </c>
      <c r="K24" s="5"/>
      <c r="L24" s="4">
        <f t="shared" si="0"/>
        <v>2244950910</v>
      </c>
      <c r="M24" s="19"/>
    </row>
    <row r="25" spans="1:13" ht="17.25" customHeight="1">
      <c r="A25" s="6" t="str">
        <f t="shared" si="1"/>
        <v>C08</v>
      </c>
      <c r="B25" s="3">
        <v>41585</v>
      </c>
      <c r="C25" s="3">
        <v>41585</v>
      </c>
      <c r="D25" s="22"/>
      <c r="E25" s="22" t="s">
        <v>82</v>
      </c>
      <c r="F25" s="5" t="s">
        <v>444</v>
      </c>
      <c r="G25" s="5"/>
      <c r="H25" s="5"/>
      <c r="I25" s="28" t="s">
        <v>192</v>
      </c>
      <c r="J25" s="21"/>
      <c r="K25" s="5">
        <v>254880</v>
      </c>
      <c r="L25" s="4">
        <f t="shared" si="0"/>
        <v>2244696030</v>
      </c>
      <c r="M25" s="19"/>
    </row>
    <row r="26" spans="1:13" ht="17.25" customHeight="1">
      <c r="A26" s="6" t="str">
        <f t="shared" si="1"/>
        <v>C08</v>
      </c>
      <c r="B26" s="3">
        <v>41585</v>
      </c>
      <c r="C26" s="3">
        <v>41585</v>
      </c>
      <c r="D26" s="4"/>
      <c r="E26" s="22" t="s">
        <v>82</v>
      </c>
      <c r="F26" s="5" t="s">
        <v>445</v>
      </c>
      <c r="G26" s="5"/>
      <c r="H26" s="5"/>
      <c r="I26" s="28" t="s">
        <v>35</v>
      </c>
      <c r="J26" s="21"/>
      <c r="K26" s="5">
        <v>25488</v>
      </c>
      <c r="L26" s="4">
        <f t="shared" si="0"/>
        <v>2244670542</v>
      </c>
      <c r="M26" s="19"/>
    </row>
    <row r="27" spans="1:13" ht="17.25" customHeight="1">
      <c r="A27" s="6" t="str">
        <f t="shared" si="1"/>
        <v>C09</v>
      </c>
      <c r="B27" s="3">
        <v>41585</v>
      </c>
      <c r="C27" s="3">
        <v>41585</v>
      </c>
      <c r="D27" s="4"/>
      <c r="E27" s="22" t="s">
        <v>83</v>
      </c>
      <c r="F27" s="5" t="s">
        <v>422</v>
      </c>
      <c r="G27" s="5"/>
      <c r="H27" s="5"/>
      <c r="I27" s="28" t="s">
        <v>34</v>
      </c>
      <c r="J27" s="21"/>
      <c r="K27" s="5">
        <v>3649540</v>
      </c>
      <c r="L27" s="4">
        <f t="shared" si="0"/>
        <v>2241021002</v>
      </c>
      <c r="M27" s="19"/>
    </row>
    <row r="28" spans="1:13" ht="17.25" customHeight="1">
      <c r="A28" s="6" t="str">
        <f t="shared" si="1"/>
        <v>C10</v>
      </c>
      <c r="B28" s="3">
        <v>41585</v>
      </c>
      <c r="C28" s="3">
        <v>41585</v>
      </c>
      <c r="D28" s="4"/>
      <c r="E28" s="22" t="s">
        <v>84</v>
      </c>
      <c r="F28" s="5" t="s">
        <v>194</v>
      </c>
      <c r="G28" s="5"/>
      <c r="H28" s="5"/>
      <c r="I28" s="28" t="s">
        <v>120</v>
      </c>
      <c r="J28" s="21"/>
      <c r="K28" s="5">
        <v>600000000</v>
      </c>
      <c r="L28" s="4">
        <f t="shared" si="0"/>
        <v>1641021002</v>
      </c>
      <c r="M28" s="19"/>
    </row>
    <row r="29" spans="1:13" ht="17.25" customHeight="1">
      <c r="A29" s="6" t="str">
        <f t="shared" si="1"/>
        <v>C11</v>
      </c>
      <c r="B29" s="3">
        <v>41585</v>
      </c>
      <c r="C29" s="3">
        <v>41585</v>
      </c>
      <c r="D29" s="22"/>
      <c r="E29" s="22" t="s">
        <v>85</v>
      </c>
      <c r="F29" s="5" t="s">
        <v>272</v>
      </c>
      <c r="G29" s="5"/>
      <c r="H29" s="5"/>
      <c r="I29" s="28" t="s">
        <v>120</v>
      </c>
      <c r="J29" s="21"/>
      <c r="K29" s="5">
        <v>350000000</v>
      </c>
      <c r="L29" s="4">
        <f t="shared" si="0"/>
        <v>1291021002</v>
      </c>
      <c r="M29" s="19"/>
    </row>
    <row r="30" spans="1:13" ht="17.25" customHeight="1">
      <c r="A30" s="6" t="str">
        <f t="shared" si="1"/>
        <v>C12</v>
      </c>
      <c r="B30" s="3">
        <v>41586</v>
      </c>
      <c r="C30" s="3">
        <v>41586</v>
      </c>
      <c r="D30" s="22"/>
      <c r="E30" s="22" t="s">
        <v>86</v>
      </c>
      <c r="F30" s="5" t="s">
        <v>411</v>
      </c>
      <c r="G30" s="5"/>
      <c r="H30" s="5"/>
      <c r="I30" s="28" t="s">
        <v>34</v>
      </c>
      <c r="J30" s="21"/>
      <c r="K30" s="5">
        <v>18000400</v>
      </c>
      <c r="L30" s="4">
        <f t="shared" si="0"/>
        <v>1273020602</v>
      </c>
      <c r="M30" s="19"/>
    </row>
    <row r="31" spans="1:13" ht="17.25" customHeight="1">
      <c r="A31" s="6" t="str">
        <f t="shared" si="1"/>
        <v>C13</v>
      </c>
      <c r="B31" s="3">
        <v>41587</v>
      </c>
      <c r="C31" s="3">
        <v>41587</v>
      </c>
      <c r="D31" s="4"/>
      <c r="E31" s="22" t="s">
        <v>87</v>
      </c>
      <c r="F31" s="5" t="s">
        <v>446</v>
      </c>
      <c r="G31" s="5"/>
      <c r="H31" s="5"/>
      <c r="I31" s="28" t="s">
        <v>193</v>
      </c>
      <c r="J31" s="21"/>
      <c r="K31" s="5">
        <v>950400</v>
      </c>
      <c r="L31" s="4">
        <f t="shared" si="0"/>
        <v>1272070202</v>
      </c>
      <c r="M31" s="19"/>
    </row>
    <row r="32" spans="1:13" ht="17.25" customHeight="1">
      <c r="A32" s="6" t="str">
        <f t="shared" si="1"/>
        <v>C13</v>
      </c>
      <c r="B32" s="3">
        <v>41587</v>
      </c>
      <c r="C32" s="3">
        <v>41587</v>
      </c>
      <c r="D32" s="4"/>
      <c r="E32" s="22" t="s">
        <v>87</v>
      </c>
      <c r="F32" s="5" t="s">
        <v>447</v>
      </c>
      <c r="G32" s="5"/>
      <c r="H32" s="5"/>
      <c r="I32" s="28" t="s">
        <v>193</v>
      </c>
      <c r="J32" s="21"/>
      <c r="K32" s="5">
        <v>2640000</v>
      </c>
      <c r="L32" s="4">
        <f t="shared" si="0"/>
        <v>1269430202</v>
      </c>
      <c r="M32" s="19"/>
    </row>
    <row r="33" spans="1:13" ht="17.25" customHeight="1">
      <c r="A33" s="6" t="str">
        <f t="shared" si="1"/>
        <v>C13</v>
      </c>
      <c r="B33" s="3">
        <v>41587</v>
      </c>
      <c r="C33" s="3">
        <v>41587</v>
      </c>
      <c r="D33" s="4"/>
      <c r="E33" s="22" t="s">
        <v>87</v>
      </c>
      <c r="F33" s="5" t="s">
        <v>448</v>
      </c>
      <c r="G33" s="5"/>
      <c r="H33" s="5"/>
      <c r="I33" s="28" t="s">
        <v>35</v>
      </c>
      <c r="J33" s="21"/>
      <c r="K33" s="5">
        <v>264000</v>
      </c>
      <c r="L33" s="4">
        <f t="shared" si="0"/>
        <v>1269166202</v>
      </c>
      <c r="M33" s="19"/>
    </row>
    <row r="34" spans="1:13" s="61" customFormat="1" ht="17.25" customHeight="1">
      <c r="A34" s="6" t="str">
        <f t="shared" si="1"/>
        <v>C14</v>
      </c>
      <c r="B34" s="3">
        <v>41587</v>
      </c>
      <c r="C34" s="3">
        <v>41587</v>
      </c>
      <c r="D34" s="22"/>
      <c r="E34" s="22" t="s">
        <v>88</v>
      </c>
      <c r="F34" s="30" t="s">
        <v>201</v>
      </c>
      <c r="G34" s="50"/>
      <c r="H34" s="50"/>
      <c r="I34" s="28" t="s">
        <v>53</v>
      </c>
      <c r="J34" s="21"/>
      <c r="K34" s="5">
        <v>6480000</v>
      </c>
      <c r="L34" s="4">
        <f t="shared" si="0"/>
        <v>1262686202</v>
      </c>
      <c r="M34" s="60"/>
    </row>
    <row r="35" spans="1:13" s="61" customFormat="1" ht="17.25" customHeight="1">
      <c r="A35" s="6" t="str">
        <f t="shared" si="1"/>
        <v>C14</v>
      </c>
      <c r="B35" s="3">
        <v>41587</v>
      </c>
      <c r="C35" s="3">
        <v>41587</v>
      </c>
      <c r="D35" s="22"/>
      <c r="E35" s="22" t="s">
        <v>88</v>
      </c>
      <c r="F35" s="30" t="s">
        <v>202</v>
      </c>
      <c r="G35" s="50"/>
      <c r="H35" s="50"/>
      <c r="I35" s="28" t="s">
        <v>35</v>
      </c>
      <c r="J35" s="21"/>
      <c r="K35" s="5">
        <v>648000</v>
      </c>
      <c r="L35" s="4">
        <f t="shared" si="0"/>
        <v>1262038202</v>
      </c>
      <c r="M35" s="60"/>
    </row>
    <row r="36" spans="1:13" ht="17.25" customHeight="1">
      <c r="A36" s="6" t="str">
        <f t="shared" si="1"/>
        <v>C15</v>
      </c>
      <c r="B36" s="3">
        <v>41588</v>
      </c>
      <c r="C36" s="3">
        <v>41588</v>
      </c>
      <c r="D36" s="4"/>
      <c r="E36" s="22" t="s">
        <v>89</v>
      </c>
      <c r="F36" s="5" t="s">
        <v>49</v>
      </c>
      <c r="G36" s="5"/>
      <c r="H36" s="5"/>
      <c r="I36" s="28" t="s">
        <v>192</v>
      </c>
      <c r="J36" s="21"/>
      <c r="K36" s="5">
        <v>2014409</v>
      </c>
      <c r="L36" s="4">
        <f t="shared" si="0"/>
        <v>1260023793</v>
      </c>
      <c r="M36" s="19"/>
    </row>
    <row r="37" spans="1:13" ht="17.25" customHeight="1">
      <c r="A37" s="6" t="str">
        <f t="shared" si="1"/>
        <v>C15</v>
      </c>
      <c r="B37" s="3">
        <v>41588</v>
      </c>
      <c r="C37" s="3">
        <v>41588</v>
      </c>
      <c r="D37" s="22"/>
      <c r="E37" s="22" t="s">
        <v>89</v>
      </c>
      <c r="F37" s="30" t="s">
        <v>55</v>
      </c>
      <c r="G37" s="50"/>
      <c r="H37" s="50"/>
      <c r="I37" s="28" t="s">
        <v>35</v>
      </c>
      <c r="J37" s="21"/>
      <c r="K37" s="5">
        <v>201441</v>
      </c>
      <c r="L37" s="4">
        <f t="shared" si="0"/>
        <v>1259822352</v>
      </c>
      <c r="M37" s="19"/>
    </row>
    <row r="38" spans="1:13" ht="17.25" customHeight="1">
      <c r="A38" s="6" t="str">
        <f t="shared" si="1"/>
        <v>C16</v>
      </c>
      <c r="B38" s="3">
        <v>41589</v>
      </c>
      <c r="C38" s="3">
        <v>41589</v>
      </c>
      <c r="D38" s="4"/>
      <c r="E38" s="22" t="s">
        <v>90</v>
      </c>
      <c r="F38" s="62" t="s">
        <v>49</v>
      </c>
      <c r="G38" s="5"/>
      <c r="H38" s="5"/>
      <c r="I38" s="28" t="s">
        <v>192</v>
      </c>
      <c r="J38" s="21"/>
      <c r="K38" s="5">
        <v>108545</v>
      </c>
      <c r="L38" s="4">
        <f t="shared" si="0"/>
        <v>1259713807</v>
      </c>
      <c r="M38" s="19"/>
    </row>
    <row r="39" spans="1:13" ht="17.25" customHeight="1">
      <c r="A39" s="6" t="str">
        <f t="shared" si="1"/>
        <v>C16</v>
      </c>
      <c r="B39" s="3">
        <v>41589</v>
      </c>
      <c r="C39" s="3">
        <v>41589</v>
      </c>
      <c r="D39" s="22"/>
      <c r="E39" s="22" t="s">
        <v>90</v>
      </c>
      <c r="F39" s="5" t="s">
        <v>55</v>
      </c>
      <c r="G39" s="5"/>
      <c r="H39" s="5"/>
      <c r="I39" s="28" t="s">
        <v>35</v>
      </c>
      <c r="J39" s="21"/>
      <c r="K39" s="5">
        <v>10855</v>
      </c>
      <c r="L39" s="4">
        <f t="shared" si="0"/>
        <v>1259702952</v>
      </c>
      <c r="M39" s="19"/>
    </row>
    <row r="40" spans="1:13" s="61" customFormat="1" ht="17.25" customHeight="1">
      <c r="A40" s="6" t="str">
        <f t="shared" si="1"/>
        <v>C17</v>
      </c>
      <c r="B40" s="3">
        <v>41589</v>
      </c>
      <c r="C40" s="3">
        <v>41589</v>
      </c>
      <c r="D40" s="22"/>
      <c r="E40" s="22" t="s">
        <v>91</v>
      </c>
      <c r="F40" s="30" t="s">
        <v>196</v>
      </c>
      <c r="G40" s="50"/>
      <c r="H40" s="50"/>
      <c r="I40" s="28" t="s">
        <v>193</v>
      </c>
      <c r="J40" s="21"/>
      <c r="K40" s="5">
        <v>100000</v>
      </c>
      <c r="L40" s="4">
        <f t="shared" si="0"/>
        <v>1259602952</v>
      </c>
      <c r="M40" s="60"/>
    </row>
    <row r="41" spans="1:13" ht="17.25" customHeight="1">
      <c r="A41" s="6" t="str">
        <f t="shared" si="1"/>
        <v>C17</v>
      </c>
      <c r="B41" s="3">
        <v>41589</v>
      </c>
      <c r="C41" s="3">
        <v>41589</v>
      </c>
      <c r="D41" s="22"/>
      <c r="E41" s="22" t="s">
        <v>91</v>
      </c>
      <c r="F41" s="5" t="s">
        <v>438</v>
      </c>
      <c r="G41" s="5"/>
      <c r="H41" s="5"/>
      <c r="I41" s="28" t="s">
        <v>183</v>
      </c>
      <c r="J41" s="21"/>
      <c r="K41" s="5">
        <v>3186684</v>
      </c>
      <c r="L41" s="4">
        <f t="shared" si="0"/>
        <v>1256416268</v>
      </c>
      <c r="M41" s="19"/>
    </row>
    <row r="42" spans="1:13" ht="17.25" customHeight="1">
      <c r="A42" s="6" t="str">
        <f t="shared" si="1"/>
        <v>C18</v>
      </c>
      <c r="B42" s="3">
        <v>41589</v>
      </c>
      <c r="C42" s="3">
        <v>41589</v>
      </c>
      <c r="D42" s="4"/>
      <c r="E42" s="22" t="s">
        <v>92</v>
      </c>
      <c r="F42" s="5" t="s">
        <v>209</v>
      </c>
      <c r="G42" s="5"/>
      <c r="H42" s="5"/>
      <c r="I42" s="28" t="s">
        <v>192</v>
      </c>
      <c r="J42" s="21"/>
      <c r="K42" s="5">
        <v>980000</v>
      </c>
      <c r="L42" s="4">
        <f t="shared" si="0"/>
        <v>1255436268</v>
      </c>
      <c r="M42" s="19"/>
    </row>
    <row r="43" spans="1:13" ht="17.25" customHeight="1">
      <c r="A43" s="6" t="str">
        <f t="shared" si="1"/>
        <v>C18</v>
      </c>
      <c r="B43" s="3">
        <v>41589</v>
      </c>
      <c r="C43" s="3">
        <v>41589</v>
      </c>
      <c r="D43" s="4"/>
      <c r="E43" s="22" t="s">
        <v>92</v>
      </c>
      <c r="F43" s="5" t="s">
        <v>210</v>
      </c>
      <c r="G43" s="5"/>
      <c r="H43" s="5"/>
      <c r="I43" s="28" t="s">
        <v>35</v>
      </c>
      <c r="J43" s="21"/>
      <c r="K43" s="5">
        <v>98000</v>
      </c>
      <c r="L43" s="4">
        <f t="shared" si="0"/>
        <v>1255338268</v>
      </c>
      <c r="M43" s="19"/>
    </row>
    <row r="44" spans="1:13" ht="17.25" customHeight="1">
      <c r="A44" s="6" t="str">
        <f t="shared" si="1"/>
        <v>C19</v>
      </c>
      <c r="B44" s="3">
        <v>41591</v>
      </c>
      <c r="C44" s="3">
        <v>41591</v>
      </c>
      <c r="D44" s="4"/>
      <c r="E44" s="22" t="s">
        <v>93</v>
      </c>
      <c r="F44" s="5" t="s">
        <v>201</v>
      </c>
      <c r="G44" s="5"/>
      <c r="H44" s="5"/>
      <c r="I44" s="28" t="s">
        <v>53</v>
      </c>
      <c r="J44" s="21"/>
      <c r="K44" s="5">
        <v>6120000</v>
      </c>
      <c r="L44" s="4">
        <f t="shared" si="0"/>
        <v>1249218268</v>
      </c>
      <c r="M44" s="19"/>
    </row>
    <row r="45" spans="1:13" ht="17.25" customHeight="1">
      <c r="A45" s="6" t="str">
        <f t="shared" si="1"/>
        <v>C19</v>
      </c>
      <c r="B45" s="3">
        <v>41591</v>
      </c>
      <c r="C45" s="3">
        <v>41591</v>
      </c>
      <c r="D45" s="4"/>
      <c r="E45" s="22" t="s">
        <v>93</v>
      </c>
      <c r="F45" s="62" t="s">
        <v>202</v>
      </c>
      <c r="G45" s="5"/>
      <c r="H45" s="5"/>
      <c r="I45" s="28" t="s">
        <v>35</v>
      </c>
      <c r="J45" s="21"/>
      <c r="K45" s="5">
        <v>612000</v>
      </c>
      <c r="L45" s="4">
        <f t="shared" si="0"/>
        <v>1248606268</v>
      </c>
      <c r="M45" s="19"/>
    </row>
    <row r="46" spans="1:13" ht="17.25" customHeight="1">
      <c r="A46" s="6" t="str">
        <f t="shared" si="1"/>
        <v>T02</v>
      </c>
      <c r="B46" s="3">
        <v>41592</v>
      </c>
      <c r="C46" s="3">
        <v>41592</v>
      </c>
      <c r="D46" s="4" t="s">
        <v>40</v>
      </c>
      <c r="E46" s="22"/>
      <c r="F46" s="5" t="s">
        <v>269</v>
      </c>
      <c r="G46" s="5"/>
      <c r="H46" s="5"/>
      <c r="I46" s="28" t="s">
        <v>36</v>
      </c>
      <c r="J46" s="21">
        <v>160000000</v>
      </c>
      <c r="K46" s="5"/>
      <c r="L46" s="4">
        <f t="shared" si="0"/>
        <v>1408606268</v>
      </c>
      <c r="M46" s="19"/>
    </row>
    <row r="47" spans="1:13" ht="17.25" customHeight="1">
      <c r="A47" s="6" t="str">
        <f t="shared" si="1"/>
        <v>C20</v>
      </c>
      <c r="B47" s="3">
        <v>41593</v>
      </c>
      <c r="C47" s="3">
        <v>41593</v>
      </c>
      <c r="D47" s="4"/>
      <c r="E47" s="22" t="s">
        <v>94</v>
      </c>
      <c r="F47" s="5" t="s">
        <v>52</v>
      </c>
      <c r="G47" s="5"/>
      <c r="H47" s="5"/>
      <c r="I47" s="28" t="s">
        <v>53</v>
      </c>
      <c r="J47" s="21"/>
      <c r="K47" s="5">
        <v>3480655</v>
      </c>
      <c r="L47" s="4">
        <f t="shared" si="0"/>
        <v>1405125613</v>
      </c>
      <c r="M47" s="19"/>
    </row>
    <row r="48" spans="1:13" ht="17.25" customHeight="1">
      <c r="A48" s="6" t="str">
        <f t="shared" si="1"/>
        <v>C20</v>
      </c>
      <c r="B48" s="3">
        <v>41593</v>
      </c>
      <c r="C48" s="3">
        <v>41593</v>
      </c>
      <c r="D48" s="4"/>
      <c r="E48" s="22" t="s">
        <v>94</v>
      </c>
      <c r="F48" s="5" t="s">
        <v>49</v>
      </c>
      <c r="G48" s="5"/>
      <c r="H48" s="5"/>
      <c r="I48" s="28" t="s">
        <v>192</v>
      </c>
      <c r="J48" s="21"/>
      <c r="K48" s="5">
        <v>257782</v>
      </c>
      <c r="L48" s="4">
        <f t="shared" si="0"/>
        <v>1404867831</v>
      </c>
      <c r="M48" s="19"/>
    </row>
    <row r="49" spans="1:13" ht="17.25" customHeight="1">
      <c r="A49" s="6" t="str">
        <f t="shared" si="1"/>
        <v>C20</v>
      </c>
      <c r="B49" s="3">
        <v>41593</v>
      </c>
      <c r="C49" s="3">
        <v>41593</v>
      </c>
      <c r="D49" s="22"/>
      <c r="E49" s="22" t="s">
        <v>94</v>
      </c>
      <c r="F49" s="5" t="s">
        <v>180</v>
      </c>
      <c r="G49" s="5"/>
      <c r="H49" s="5"/>
      <c r="I49" s="28" t="s">
        <v>35</v>
      </c>
      <c r="J49" s="21"/>
      <c r="K49" s="5">
        <v>373843</v>
      </c>
      <c r="L49" s="4">
        <f t="shared" si="0"/>
        <v>1404493988</v>
      </c>
      <c r="M49" s="19"/>
    </row>
    <row r="50" spans="1:13" ht="17.25" customHeight="1">
      <c r="A50" s="6" t="str">
        <f t="shared" si="1"/>
        <v>T03</v>
      </c>
      <c r="B50" s="3">
        <v>41597</v>
      </c>
      <c r="C50" s="3">
        <v>41597</v>
      </c>
      <c r="D50" s="22" t="s">
        <v>41</v>
      </c>
      <c r="E50" s="22"/>
      <c r="F50" s="5" t="s">
        <v>269</v>
      </c>
      <c r="G50" s="5"/>
      <c r="H50" s="5"/>
      <c r="I50" s="28" t="s">
        <v>36</v>
      </c>
      <c r="J50" s="21">
        <v>805000000</v>
      </c>
      <c r="K50" s="5"/>
      <c r="L50" s="4">
        <f t="shared" si="0"/>
        <v>2209493988</v>
      </c>
      <c r="M50" s="19"/>
    </row>
    <row r="51" spans="1:13" ht="17.25" customHeight="1">
      <c r="A51" s="6" t="str">
        <f t="shared" si="1"/>
        <v>C21</v>
      </c>
      <c r="B51" s="3">
        <v>41597</v>
      </c>
      <c r="C51" s="3">
        <v>41597</v>
      </c>
      <c r="D51" s="4"/>
      <c r="E51" s="22" t="s">
        <v>95</v>
      </c>
      <c r="F51" s="5" t="s">
        <v>449</v>
      </c>
      <c r="G51" s="5"/>
      <c r="H51" s="5"/>
      <c r="I51" s="28" t="s">
        <v>34</v>
      </c>
      <c r="J51" s="21"/>
      <c r="K51" s="5">
        <v>5610000</v>
      </c>
      <c r="L51" s="4">
        <f t="shared" si="0"/>
        <v>2203883988</v>
      </c>
      <c r="M51" s="19"/>
    </row>
    <row r="52" spans="1:13" ht="17.25" customHeight="1">
      <c r="A52" s="6" t="str">
        <f t="shared" si="1"/>
        <v>C22</v>
      </c>
      <c r="B52" s="3">
        <v>41598</v>
      </c>
      <c r="C52" s="3">
        <v>41598</v>
      </c>
      <c r="D52" s="4"/>
      <c r="E52" s="22" t="s">
        <v>96</v>
      </c>
      <c r="F52" s="5" t="s">
        <v>49</v>
      </c>
      <c r="G52" s="5"/>
      <c r="H52" s="5"/>
      <c r="I52" s="28" t="s">
        <v>192</v>
      </c>
      <c r="J52" s="21"/>
      <c r="K52" s="5">
        <v>3439727</v>
      </c>
      <c r="L52" s="4">
        <f t="shared" si="0"/>
        <v>2200444261</v>
      </c>
      <c r="M52" s="19"/>
    </row>
    <row r="53" spans="1:13" ht="17.25" customHeight="1">
      <c r="A53" s="6" t="str">
        <f t="shared" si="1"/>
        <v>C22</v>
      </c>
      <c r="B53" s="3">
        <v>41598</v>
      </c>
      <c r="C53" s="3">
        <v>41598</v>
      </c>
      <c r="D53" s="4"/>
      <c r="E53" s="22" t="s">
        <v>96</v>
      </c>
      <c r="F53" s="5" t="s">
        <v>55</v>
      </c>
      <c r="G53" s="5"/>
      <c r="H53" s="5"/>
      <c r="I53" s="28" t="s">
        <v>35</v>
      </c>
      <c r="J53" s="21"/>
      <c r="K53" s="5">
        <v>343973</v>
      </c>
      <c r="L53" s="4">
        <f t="shared" si="0"/>
        <v>2200100288</v>
      </c>
      <c r="M53" s="19"/>
    </row>
    <row r="54" spans="1:13" s="61" customFormat="1" ht="17.25" customHeight="1">
      <c r="A54" s="6" t="str">
        <f t="shared" si="1"/>
        <v>T04</v>
      </c>
      <c r="B54" s="3">
        <v>41603</v>
      </c>
      <c r="C54" s="3">
        <v>41603</v>
      </c>
      <c r="D54" s="4" t="s">
        <v>42</v>
      </c>
      <c r="E54" s="52"/>
      <c r="F54" s="62" t="s">
        <v>269</v>
      </c>
      <c r="G54" s="5"/>
      <c r="H54" s="5"/>
      <c r="I54" s="28" t="s">
        <v>36</v>
      </c>
      <c r="J54" s="21">
        <v>252000000</v>
      </c>
      <c r="K54" s="5"/>
      <c r="L54" s="4">
        <f t="shared" si="0"/>
        <v>2452100288</v>
      </c>
      <c r="M54" s="60"/>
    </row>
    <row r="55" spans="1:13" s="61" customFormat="1" ht="17.25" customHeight="1">
      <c r="A55" s="6" t="str">
        <f t="shared" si="1"/>
        <v>C23</v>
      </c>
      <c r="B55" s="3">
        <v>41603</v>
      </c>
      <c r="C55" s="3">
        <v>41603</v>
      </c>
      <c r="D55" s="22"/>
      <c r="E55" s="22" t="s">
        <v>97</v>
      </c>
      <c r="F55" s="30" t="s">
        <v>450</v>
      </c>
      <c r="G55" s="50"/>
      <c r="H55" s="50"/>
      <c r="I55" s="28" t="s">
        <v>192</v>
      </c>
      <c r="J55" s="21"/>
      <c r="K55" s="5">
        <v>395000</v>
      </c>
      <c r="L55" s="4">
        <f t="shared" si="0"/>
        <v>2451705288</v>
      </c>
      <c r="M55" s="60"/>
    </row>
    <row r="56" spans="1:13" s="61" customFormat="1" ht="17.25" customHeight="1">
      <c r="A56" s="6" t="str">
        <f t="shared" si="1"/>
        <v>T05</v>
      </c>
      <c r="B56" s="3">
        <v>41606</v>
      </c>
      <c r="C56" s="3">
        <v>41606</v>
      </c>
      <c r="D56" s="22" t="s">
        <v>43</v>
      </c>
      <c r="E56" s="22"/>
      <c r="F56" s="30" t="s">
        <v>269</v>
      </c>
      <c r="G56" s="50"/>
      <c r="H56" s="50"/>
      <c r="I56" s="28" t="s">
        <v>36</v>
      </c>
      <c r="J56" s="21">
        <v>1778000000</v>
      </c>
      <c r="K56" s="5"/>
      <c r="L56" s="4">
        <f t="shared" si="0"/>
        <v>4229705288</v>
      </c>
      <c r="M56" s="60"/>
    </row>
    <row r="57" spans="1:13" ht="17.25" customHeight="1">
      <c r="A57" s="6" t="str">
        <f t="shared" si="1"/>
        <v>C24</v>
      </c>
      <c r="B57" s="3">
        <v>41606</v>
      </c>
      <c r="C57" s="3">
        <v>41606</v>
      </c>
      <c r="D57" s="4"/>
      <c r="E57" s="22" t="s">
        <v>98</v>
      </c>
      <c r="F57" s="62" t="s">
        <v>198</v>
      </c>
      <c r="G57" s="5"/>
      <c r="H57" s="5"/>
      <c r="I57" s="28" t="s">
        <v>193</v>
      </c>
      <c r="J57" s="21"/>
      <c r="K57" s="5">
        <v>40000</v>
      </c>
      <c r="L57" s="4">
        <f t="shared" si="0"/>
        <v>4229665288</v>
      </c>
      <c r="M57" s="19"/>
    </row>
    <row r="58" spans="1:13" ht="17.25" customHeight="1">
      <c r="A58" s="6" t="str">
        <f t="shared" si="1"/>
        <v>C25</v>
      </c>
      <c r="B58" s="3">
        <v>41606</v>
      </c>
      <c r="C58" s="3">
        <v>41606</v>
      </c>
      <c r="D58" s="4"/>
      <c r="E58" s="22" t="s">
        <v>99</v>
      </c>
      <c r="F58" s="62" t="s">
        <v>451</v>
      </c>
      <c r="G58" s="5"/>
      <c r="H58" s="5"/>
      <c r="I58" s="28" t="s">
        <v>192</v>
      </c>
      <c r="J58" s="21"/>
      <c r="K58" s="5">
        <v>16000000</v>
      </c>
      <c r="L58" s="4">
        <f t="shared" si="0"/>
        <v>4213665288</v>
      </c>
      <c r="M58" s="19"/>
    </row>
    <row r="59" spans="1:13" ht="17.25" customHeight="1">
      <c r="A59" s="6" t="str">
        <f t="shared" si="1"/>
        <v>C25</v>
      </c>
      <c r="B59" s="3">
        <v>41606</v>
      </c>
      <c r="C59" s="3">
        <v>41606</v>
      </c>
      <c r="D59" s="22"/>
      <c r="E59" s="22" t="s">
        <v>99</v>
      </c>
      <c r="F59" s="5" t="s">
        <v>452</v>
      </c>
      <c r="G59" s="5"/>
      <c r="H59" s="5"/>
      <c r="I59" s="28" t="s">
        <v>35</v>
      </c>
      <c r="J59" s="21"/>
      <c r="K59" s="5">
        <v>1600000</v>
      </c>
      <c r="L59" s="4">
        <f t="shared" si="0"/>
        <v>4212065288</v>
      </c>
      <c r="M59" s="19"/>
    </row>
    <row r="60" spans="1:13" ht="17.25" customHeight="1">
      <c r="A60" s="6" t="str">
        <f t="shared" si="1"/>
        <v>C26</v>
      </c>
      <c r="B60" s="3">
        <v>41606</v>
      </c>
      <c r="C60" s="3">
        <v>41606</v>
      </c>
      <c r="D60" s="22"/>
      <c r="E60" s="22" t="s">
        <v>100</v>
      </c>
      <c r="F60" s="5" t="s">
        <v>194</v>
      </c>
      <c r="G60" s="5"/>
      <c r="H60" s="5"/>
      <c r="I60" s="28" t="s">
        <v>120</v>
      </c>
      <c r="J60" s="21"/>
      <c r="K60" s="5">
        <v>610000000</v>
      </c>
      <c r="L60" s="4">
        <f t="shared" si="0"/>
        <v>3602065288</v>
      </c>
      <c r="M60" s="19"/>
    </row>
    <row r="61" spans="1:13" ht="17.25" customHeight="1">
      <c r="A61" s="6" t="str">
        <f t="shared" si="1"/>
        <v>C27</v>
      </c>
      <c r="B61" s="3">
        <v>41606</v>
      </c>
      <c r="C61" s="3">
        <v>41606</v>
      </c>
      <c r="D61" s="22"/>
      <c r="E61" s="22" t="s">
        <v>101</v>
      </c>
      <c r="F61" s="5" t="s">
        <v>272</v>
      </c>
      <c r="G61" s="5"/>
      <c r="H61" s="5"/>
      <c r="I61" s="28" t="s">
        <v>120</v>
      </c>
      <c r="J61" s="21"/>
      <c r="K61" s="5">
        <v>420000000</v>
      </c>
      <c r="L61" s="4">
        <f t="shared" si="0"/>
        <v>3182065288</v>
      </c>
      <c r="M61" s="19"/>
    </row>
    <row r="62" spans="1:13" ht="17.25" customHeight="1">
      <c r="A62" s="6" t="str">
        <f t="shared" si="1"/>
        <v>C28</v>
      </c>
      <c r="B62" s="3">
        <v>41607</v>
      </c>
      <c r="C62" s="3">
        <v>41607</v>
      </c>
      <c r="D62" s="22"/>
      <c r="E62" s="22" t="s">
        <v>102</v>
      </c>
      <c r="F62" s="5" t="s">
        <v>453</v>
      </c>
      <c r="G62" s="5"/>
      <c r="H62" s="5"/>
      <c r="I62" s="28" t="s">
        <v>34</v>
      </c>
      <c r="J62" s="21"/>
      <c r="K62" s="5">
        <v>4000000</v>
      </c>
      <c r="L62" s="4">
        <f t="shared" ref="L62:L66" si="2">IF(F62&lt;&gt;"",L61+J62-K62,0)</f>
        <v>3178065288</v>
      </c>
      <c r="M62" s="19"/>
    </row>
    <row r="63" spans="1:13" ht="17.25" customHeight="1">
      <c r="A63" s="6" t="str">
        <f t="shared" si="1"/>
        <v>C29</v>
      </c>
      <c r="B63" s="3">
        <v>41608</v>
      </c>
      <c r="C63" s="3">
        <v>41608</v>
      </c>
      <c r="D63" s="4"/>
      <c r="E63" s="22" t="s">
        <v>103</v>
      </c>
      <c r="F63" s="62" t="s">
        <v>49</v>
      </c>
      <c r="G63" s="5"/>
      <c r="H63" s="5"/>
      <c r="I63" s="28" t="s">
        <v>192</v>
      </c>
      <c r="J63" s="21"/>
      <c r="K63" s="5">
        <v>4841909</v>
      </c>
      <c r="L63" s="4">
        <f t="shared" si="2"/>
        <v>3173223379</v>
      </c>
      <c r="M63" s="19"/>
    </row>
    <row r="64" spans="1:13" ht="17.25" customHeight="1">
      <c r="A64" s="6" t="str">
        <f t="shared" si="1"/>
        <v>C29</v>
      </c>
      <c r="B64" s="3">
        <v>41608</v>
      </c>
      <c r="C64" s="3">
        <v>41608</v>
      </c>
      <c r="D64" s="4"/>
      <c r="E64" s="22" t="s">
        <v>103</v>
      </c>
      <c r="F64" s="5" t="s">
        <v>55</v>
      </c>
      <c r="G64" s="5"/>
      <c r="H64" s="5"/>
      <c r="I64" s="28" t="s">
        <v>35</v>
      </c>
      <c r="J64" s="21"/>
      <c r="K64" s="5">
        <v>484191</v>
      </c>
      <c r="L64" s="4">
        <f t="shared" si="2"/>
        <v>3172739188</v>
      </c>
      <c r="M64" s="19"/>
    </row>
    <row r="65" spans="1:13" ht="17.25" customHeight="1">
      <c r="A65" s="6" t="str">
        <f t="shared" si="1"/>
        <v>C30</v>
      </c>
      <c r="B65" s="3">
        <v>41608</v>
      </c>
      <c r="C65" s="3">
        <v>41608</v>
      </c>
      <c r="D65" s="4"/>
      <c r="E65" s="22" t="s">
        <v>104</v>
      </c>
      <c r="F65" s="5" t="s">
        <v>454</v>
      </c>
      <c r="G65" s="5"/>
      <c r="H65" s="5"/>
      <c r="I65" s="28" t="s">
        <v>192</v>
      </c>
      <c r="J65" s="21"/>
      <c r="K65" s="5">
        <v>1000000</v>
      </c>
      <c r="L65" s="4">
        <f t="shared" si="2"/>
        <v>3171739188</v>
      </c>
      <c r="M65" s="19"/>
    </row>
    <row r="66" spans="1:13" ht="17.25" customHeight="1">
      <c r="A66" s="6" t="str">
        <f t="shared" si="1"/>
        <v>C31</v>
      </c>
      <c r="B66" s="3">
        <v>41608</v>
      </c>
      <c r="C66" s="3">
        <v>41608</v>
      </c>
      <c r="D66" s="4"/>
      <c r="E66" s="22" t="s">
        <v>105</v>
      </c>
      <c r="F66" s="5" t="s">
        <v>455</v>
      </c>
      <c r="G66" s="5"/>
      <c r="H66" s="5"/>
      <c r="I66" s="28" t="s">
        <v>37</v>
      </c>
      <c r="J66" s="21"/>
      <c r="K66" s="5">
        <v>118632975</v>
      </c>
      <c r="L66" s="4">
        <f t="shared" si="2"/>
        <v>3053106213</v>
      </c>
      <c r="M66" s="19"/>
    </row>
    <row r="67" spans="1:13" ht="17.25" customHeight="1">
      <c r="A67" s="6" t="str">
        <f t="shared" ref="A67" si="3">D67&amp;E67</f>
        <v/>
      </c>
      <c r="B67" s="55"/>
      <c r="C67" s="55"/>
      <c r="D67" s="56"/>
      <c r="E67" s="22"/>
      <c r="F67" s="57"/>
      <c r="G67" s="57"/>
      <c r="H67" s="57"/>
      <c r="I67" s="58"/>
      <c r="J67" s="59"/>
      <c r="K67" s="57"/>
      <c r="L67" s="4"/>
      <c r="M67" s="60"/>
    </row>
    <row r="68" spans="1:13" ht="17.25" customHeight="1">
      <c r="B68" s="19"/>
      <c r="C68" s="19"/>
      <c r="D68" s="19"/>
      <c r="E68" s="19"/>
      <c r="F68" s="19" t="s">
        <v>29</v>
      </c>
      <c r="G68" s="19"/>
      <c r="H68" s="19"/>
      <c r="I68" s="4" t="s">
        <v>30</v>
      </c>
      <c r="J68" s="19">
        <f>SUM(J13:J67)</f>
        <v>4495000000</v>
      </c>
      <c r="K68" s="19">
        <f>SUM(K13:K67)</f>
        <v>2278353863</v>
      </c>
      <c r="L68" s="4" t="s">
        <v>30</v>
      </c>
      <c r="M68" s="4" t="s">
        <v>30</v>
      </c>
    </row>
    <row r="69" spans="1:13" ht="17.25" customHeight="1">
      <c r="B69" s="25"/>
      <c r="C69" s="25"/>
      <c r="D69" s="25"/>
      <c r="E69" s="25"/>
      <c r="F69" s="25" t="s">
        <v>31</v>
      </c>
      <c r="G69" s="25"/>
      <c r="H69" s="25"/>
      <c r="I69" s="26" t="s">
        <v>30</v>
      </c>
      <c r="J69" s="26" t="s">
        <v>30</v>
      </c>
      <c r="K69" s="26" t="s">
        <v>30</v>
      </c>
      <c r="L69" s="25">
        <f>L12+J68-K68</f>
        <v>3053106213</v>
      </c>
      <c r="M69" s="26" t="s">
        <v>30</v>
      </c>
    </row>
    <row r="71" spans="1:13">
      <c r="B71" s="27" t="s">
        <v>46</v>
      </c>
    </row>
    <row r="72" spans="1:13">
      <c r="B72" s="27" t="s">
        <v>304</v>
      </c>
    </row>
    <row r="73" spans="1:13">
      <c r="L73" s="8" t="s">
        <v>306</v>
      </c>
    </row>
    <row r="74" spans="1:13" s="7" customFormat="1" ht="14.25">
      <c r="C74" s="7" t="s">
        <v>33</v>
      </c>
      <c r="F74" s="7" t="s">
        <v>13</v>
      </c>
      <c r="L74" s="7" t="s">
        <v>14</v>
      </c>
    </row>
    <row r="75" spans="1:13" s="2" customFormat="1">
      <c r="C75" s="2" t="s">
        <v>15</v>
      </c>
      <c r="F75" s="2" t="s">
        <v>15</v>
      </c>
      <c r="L75" s="2" t="s">
        <v>16</v>
      </c>
    </row>
    <row r="79" spans="1:13">
      <c r="K79" s="6">
        <v>1073503277</v>
      </c>
    </row>
    <row r="80" spans="1:13">
      <c r="K80" s="6">
        <f>K68-K79</f>
        <v>1204850586</v>
      </c>
    </row>
  </sheetData>
  <autoFilter ref="B11:M66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>
    <tabColor indexed="31"/>
  </sheetPr>
  <dimension ref="A1:M103"/>
  <sheetViews>
    <sheetView topLeftCell="B1" zoomScale="90" workbookViewId="0">
      <selection activeCell="J1" sqref="J1:M3"/>
    </sheetView>
  </sheetViews>
  <sheetFormatPr defaultRowHeight="15"/>
  <cols>
    <col min="1" max="1" width="4.7109375" style="6" hidden="1" customWidth="1"/>
    <col min="2" max="2" width="12" style="6" customWidth="1"/>
    <col min="3" max="3" width="12.140625" style="6" customWidth="1"/>
    <col min="4" max="5" width="7" style="6" customWidth="1"/>
    <col min="6" max="6" width="28.42578125" style="6" customWidth="1"/>
    <col min="7" max="8" width="15.28515625" style="6" hidden="1" customWidth="1"/>
    <col min="9" max="9" width="7.140625" style="6" customWidth="1"/>
    <col min="10" max="10" width="15.7109375" style="6" customWidth="1"/>
    <col min="11" max="11" width="16.5703125" style="6" customWidth="1"/>
    <col min="12" max="12" width="17.71093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0" t="s">
        <v>472</v>
      </c>
      <c r="K1" s="400"/>
      <c r="L1" s="400"/>
      <c r="M1" s="400"/>
    </row>
    <row r="2" spans="1:13" s="11" customFormat="1" ht="16.5" customHeight="1">
      <c r="B2" s="1" t="s">
        <v>48</v>
      </c>
      <c r="C2" s="12"/>
      <c r="D2" s="12"/>
      <c r="E2" s="12"/>
      <c r="F2" s="12"/>
      <c r="G2" s="12"/>
      <c r="H2" s="12"/>
      <c r="J2" s="401" t="s">
        <v>473</v>
      </c>
      <c r="K2" s="401"/>
      <c r="L2" s="401"/>
      <c r="M2" s="401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01"/>
      <c r="K3" s="401"/>
      <c r="L3" s="401"/>
      <c r="M3" s="401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6" spans="1:13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</row>
    <row r="7" spans="1:13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</row>
    <row r="8" spans="1:13">
      <c r="B8" s="15"/>
      <c r="L8" s="15" t="s">
        <v>19</v>
      </c>
    </row>
    <row r="9" spans="1:13" ht="34.5" customHeight="1">
      <c r="B9" s="404" t="s">
        <v>20</v>
      </c>
      <c r="C9" s="404" t="s">
        <v>21</v>
      </c>
      <c r="D9" s="403" t="s">
        <v>2</v>
      </c>
      <c r="E9" s="403"/>
      <c r="F9" s="403" t="s">
        <v>3</v>
      </c>
      <c r="G9" s="404" t="s">
        <v>73</v>
      </c>
      <c r="H9" s="404" t="s">
        <v>74</v>
      </c>
      <c r="I9" s="404" t="s">
        <v>22</v>
      </c>
      <c r="J9" s="403" t="s">
        <v>23</v>
      </c>
      <c r="K9" s="403"/>
      <c r="L9" s="403" t="s">
        <v>24</v>
      </c>
      <c r="M9" s="403" t="s">
        <v>4</v>
      </c>
    </row>
    <row r="10" spans="1:13" ht="20.25" customHeight="1">
      <c r="B10" s="405"/>
      <c r="C10" s="405"/>
      <c r="D10" s="16" t="s">
        <v>5</v>
      </c>
      <c r="E10" s="16" t="s">
        <v>6</v>
      </c>
      <c r="F10" s="403"/>
      <c r="G10" s="405"/>
      <c r="H10" s="405"/>
      <c r="I10" s="405"/>
      <c r="J10" s="16" t="s">
        <v>25</v>
      </c>
      <c r="K10" s="16" t="s">
        <v>26</v>
      </c>
      <c r="L10" s="403"/>
      <c r="M10" s="403"/>
    </row>
    <row r="11" spans="1:13" s="18" customFormat="1" ht="11.25" customHeight="1">
      <c r="B11" s="17" t="s">
        <v>7</v>
      </c>
      <c r="C11" s="17" t="s">
        <v>8</v>
      </c>
      <c r="D11" s="17" t="s">
        <v>9</v>
      </c>
      <c r="E11" s="17" t="s">
        <v>10</v>
      </c>
      <c r="F11" s="17" t="s">
        <v>11</v>
      </c>
      <c r="G11" s="17"/>
      <c r="H11" s="17"/>
      <c r="I11" s="17" t="s">
        <v>27</v>
      </c>
      <c r="J11" s="17">
        <v>1</v>
      </c>
      <c r="K11" s="17">
        <v>2</v>
      </c>
      <c r="L11" s="17">
        <v>3</v>
      </c>
      <c r="M11" s="17" t="s">
        <v>12</v>
      </c>
    </row>
    <row r="12" spans="1:13" ht="18" customHeight="1">
      <c r="B12" s="19"/>
      <c r="C12" s="19"/>
      <c r="D12" s="19"/>
      <c r="E12" s="19"/>
      <c r="F12" s="19" t="s">
        <v>28</v>
      </c>
      <c r="G12" s="19"/>
      <c r="H12" s="19"/>
      <c r="I12" s="20"/>
      <c r="J12" s="5"/>
      <c r="K12" s="19"/>
      <c r="L12" s="5">
        <f>'11'!L69</f>
        <v>3053106213</v>
      </c>
      <c r="M12" s="19"/>
    </row>
    <row r="13" spans="1:13" ht="18" customHeight="1">
      <c r="A13" s="6" t="str">
        <f>D13&amp;E13</f>
        <v>C01</v>
      </c>
      <c r="B13" s="3">
        <v>41610</v>
      </c>
      <c r="C13" s="3">
        <v>41607</v>
      </c>
      <c r="D13" s="4"/>
      <c r="E13" s="22" t="s">
        <v>75</v>
      </c>
      <c r="F13" s="5" t="s">
        <v>456</v>
      </c>
      <c r="G13" s="5"/>
      <c r="H13" s="5"/>
      <c r="I13" s="28" t="s">
        <v>53</v>
      </c>
      <c r="J13" s="21"/>
      <c r="K13" s="21">
        <v>14648500</v>
      </c>
      <c r="L13" s="4">
        <f t="shared" ref="L13:L44" si="0">IF(F13&lt;&gt;"",L12+J13-K13,0)</f>
        <v>3038457713</v>
      </c>
      <c r="M13" s="19"/>
    </row>
    <row r="14" spans="1:13" ht="18" customHeight="1">
      <c r="A14" s="6" t="str">
        <f t="shared" ref="A14:A77" si="1">D14&amp;E14</f>
        <v>C01</v>
      </c>
      <c r="B14" s="3">
        <v>41610</v>
      </c>
      <c r="C14" s="3">
        <v>41607</v>
      </c>
      <c r="D14" s="4"/>
      <c r="E14" s="22" t="s">
        <v>75</v>
      </c>
      <c r="F14" s="5" t="s">
        <v>54</v>
      </c>
      <c r="G14" s="5"/>
      <c r="H14" s="5"/>
      <c r="I14" s="28" t="s">
        <v>35</v>
      </c>
      <c r="J14" s="21"/>
      <c r="K14" s="21">
        <v>563100</v>
      </c>
      <c r="L14" s="4">
        <f t="shared" si="0"/>
        <v>3037894613</v>
      </c>
      <c r="M14" s="19"/>
    </row>
    <row r="15" spans="1:13" ht="18" customHeight="1">
      <c r="A15" s="6" t="str">
        <f t="shared" si="1"/>
        <v>C01</v>
      </c>
      <c r="B15" s="3">
        <v>41610</v>
      </c>
      <c r="C15" s="3">
        <v>41607</v>
      </c>
      <c r="D15" s="4"/>
      <c r="E15" s="22" t="s">
        <v>75</v>
      </c>
      <c r="F15" s="5" t="s">
        <v>118</v>
      </c>
      <c r="G15" s="5"/>
      <c r="H15" s="5"/>
      <c r="I15" s="28" t="s">
        <v>35</v>
      </c>
      <c r="J15" s="21"/>
      <c r="K15" s="21">
        <v>242650</v>
      </c>
      <c r="L15" s="4">
        <f t="shared" si="0"/>
        <v>3037651963</v>
      </c>
      <c r="M15" s="19"/>
    </row>
    <row r="16" spans="1:13" ht="18" customHeight="1">
      <c r="A16" s="6" t="str">
        <f t="shared" si="1"/>
        <v>C02</v>
      </c>
      <c r="B16" s="3">
        <v>41610</v>
      </c>
      <c r="C16" s="3">
        <v>41608</v>
      </c>
      <c r="D16" s="4"/>
      <c r="E16" s="22" t="s">
        <v>76</v>
      </c>
      <c r="F16" s="5" t="s">
        <v>49</v>
      </c>
      <c r="G16" s="5"/>
      <c r="H16" s="5"/>
      <c r="I16" s="28" t="s">
        <v>192</v>
      </c>
      <c r="J16" s="21"/>
      <c r="K16" s="21">
        <v>601491</v>
      </c>
      <c r="L16" s="4">
        <f t="shared" si="0"/>
        <v>3037050472</v>
      </c>
      <c r="M16" s="19"/>
    </row>
    <row r="17" spans="1:13" ht="18" customHeight="1">
      <c r="A17" s="6" t="str">
        <f t="shared" si="1"/>
        <v>C02</v>
      </c>
      <c r="B17" s="3">
        <v>41610</v>
      </c>
      <c r="C17" s="3">
        <v>41608</v>
      </c>
      <c r="D17" s="4"/>
      <c r="E17" s="22" t="s">
        <v>76</v>
      </c>
      <c r="F17" s="5" t="s">
        <v>208</v>
      </c>
      <c r="G17" s="5"/>
      <c r="H17" s="5"/>
      <c r="I17" s="28" t="s">
        <v>53</v>
      </c>
      <c r="J17" s="21"/>
      <c r="K17" s="21">
        <v>4755545</v>
      </c>
      <c r="L17" s="4">
        <f t="shared" si="0"/>
        <v>3032294927</v>
      </c>
      <c r="M17" s="19"/>
    </row>
    <row r="18" spans="1:13" ht="18.75" customHeight="1">
      <c r="A18" s="6" t="str">
        <f t="shared" si="1"/>
        <v>C02</v>
      </c>
      <c r="B18" s="3">
        <v>41610</v>
      </c>
      <c r="C18" s="3">
        <v>41608</v>
      </c>
      <c r="D18" s="4"/>
      <c r="E18" s="22" t="s">
        <v>76</v>
      </c>
      <c r="F18" s="5" t="s">
        <v>457</v>
      </c>
      <c r="G18" s="5"/>
      <c r="H18" s="5"/>
      <c r="I18" s="28" t="s">
        <v>35</v>
      </c>
      <c r="J18" s="21"/>
      <c r="K18" s="21">
        <v>535704</v>
      </c>
      <c r="L18" s="4">
        <f t="shared" si="0"/>
        <v>3031759223</v>
      </c>
      <c r="M18" s="19"/>
    </row>
    <row r="19" spans="1:13" ht="18.75" customHeight="1">
      <c r="A19" s="6" t="str">
        <f t="shared" si="1"/>
        <v>C03</v>
      </c>
      <c r="B19" s="3">
        <v>41610</v>
      </c>
      <c r="C19" s="3">
        <v>41608</v>
      </c>
      <c r="D19" s="4"/>
      <c r="E19" s="22" t="s">
        <v>77</v>
      </c>
      <c r="F19" s="5" t="s">
        <v>458</v>
      </c>
      <c r="G19" s="5"/>
      <c r="H19" s="5"/>
      <c r="I19" s="28" t="s">
        <v>192</v>
      </c>
      <c r="J19" s="21"/>
      <c r="K19" s="21">
        <v>2224039</v>
      </c>
      <c r="L19" s="4">
        <f t="shared" si="0"/>
        <v>3029535184</v>
      </c>
      <c r="M19" s="19"/>
    </row>
    <row r="20" spans="1:13" ht="18.75" customHeight="1">
      <c r="A20" s="6" t="str">
        <f t="shared" si="1"/>
        <v>C03</v>
      </c>
      <c r="B20" s="3">
        <v>41610</v>
      </c>
      <c r="C20" s="3">
        <v>41608</v>
      </c>
      <c r="D20" s="4"/>
      <c r="E20" s="22" t="s">
        <v>77</v>
      </c>
      <c r="F20" s="5" t="s">
        <v>459</v>
      </c>
      <c r="G20" s="5"/>
      <c r="H20" s="5"/>
      <c r="I20" s="28" t="s">
        <v>35</v>
      </c>
      <c r="J20" s="21"/>
      <c r="K20" s="21">
        <v>222404</v>
      </c>
      <c r="L20" s="4">
        <f t="shared" si="0"/>
        <v>3029312780</v>
      </c>
      <c r="M20" s="19"/>
    </row>
    <row r="21" spans="1:13" ht="18.75" customHeight="1">
      <c r="A21" s="6" t="str">
        <f t="shared" si="1"/>
        <v>C04</v>
      </c>
      <c r="B21" s="3">
        <v>41610</v>
      </c>
      <c r="C21" s="3">
        <v>41610</v>
      </c>
      <c r="D21" s="4"/>
      <c r="E21" s="22" t="s">
        <v>78</v>
      </c>
      <c r="F21" s="5" t="s">
        <v>195</v>
      </c>
      <c r="G21" s="5"/>
      <c r="H21" s="5"/>
      <c r="I21" s="28" t="s">
        <v>36</v>
      </c>
      <c r="J21" s="21"/>
      <c r="K21" s="21">
        <v>64000000</v>
      </c>
      <c r="L21" s="4">
        <f t="shared" si="0"/>
        <v>2965312780</v>
      </c>
      <c r="M21" s="19"/>
    </row>
    <row r="22" spans="1:13" ht="18.75" customHeight="1">
      <c r="A22" s="6" t="str">
        <f t="shared" si="1"/>
        <v>C05</v>
      </c>
      <c r="B22" s="3">
        <v>41611</v>
      </c>
      <c r="C22" s="3">
        <v>41611</v>
      </c>
      <c r="D22" s="4"/>
      <c r="E22" s="22" t="s">
        <v>79</v>
      </c>
      <c r="F22" s="5" t="s">
        <v>194</v>
      </c>
      <c r="G22" s="5"/>
      <c r="H22" s="5"/>
      <c r="I22" s="28" t="s">
        <v>120</v>
      </c>
      <c r="J22" s="21"/>
      <c r="K22" s="21">
        <v>600000000</v>
      </c>
      <c r="L22" s="4">
        <f t="shared" si="0"/>
        <v>2365312780</v>
      </c>
      <c r="M22" s="19"/>
    </row>
    <row r="23" spans="1:13" ht="18.75" customHeight="1">
      <c r="A23" s="6" t="str">
        <f t="shared" si="1"/>
        <v>C06</v>
      </c>
      <c r="B23" s="3">
        <v>41611</v>
      </c>
      <c r="C23" s="3">
        <v>41611</v>
      </c>
      <c r="D23" s="4"/>
      <c r="E23" s="22" t="s">
        <v>80</v>
      </c>
      <c r="F23" s="5" t="s">
        <v>460</v>
      </c>
      <c r="G23" s="5"/>
      <c r="H23" s="5"/>
      <c r="I23" s="28" t="s">
        <v>192</v>
      </c>
      <c r="J23" s="21"/>
      <c r="K23" s="21">
        <v>98400</v>
      </c>
      <c r="L23" s="4">
        <f t="shared" si="0"/>
        <v>2365214380</v>
      </c>
      <c r="M23" s="19"/>
    </row>
    <row r="24" spans="1:13" ht="18.75" customHeight="1">
      <c r="A24" s="6" t="str">
        <f t="shared" si="1"/>
        <v>C06</v>
      </c>
      <c r="B24" s="3">
        <v>41611</v>
      </c>
      <c r="C24" s="3">
        <v>41611</v>
      </c>
      <c r="D24" s="4"/>
      <c r="E24" s="22" t="s">
        <v>80</v>
      </c>
      <c r="F24" s="5" t="s">
        <v>461</v>
      </c>
      <c r="G24" s="5"/>
      <c r="H24" s="5"/>
      <c r="I24" s="28" t="s">
        <v>35</v>
      </c>
      <c r="J24" s="21"/>
      <c r="K24" s="21">
        <v>9840</v>
      </c>
      <c r="L24" s="4">
        <f t="shared" si="0"/>
        <v>2365204540</v>
      </c>
      <c r="M24" s="19"/>
    </row>
    <row r="25" spans="1:13" ht="18.75" customHeight="1">
      <c r="A25" s="6" t="str">
        <f t="shared" si="1"/>
        <v>C07</v>
      </c>
      <c r="B25" s="3">
        <v>41611</v>
      </c>
      <c r="C25" s="3">
        <v>41611</v>
      </c>
      <c r="D25" s="4"/>
      <c r="E25" s="22" t="s">
        <v>81</v>
      </c>
      <c r="F25" s="5" t="s">
        <v>220</v>
      </c>
      <c r="G25" s="5"/>
      <c r="H25" s="5"/>
      <c r="I25" s="28" t="s">
        <v>192</v>
      </c>
      <c r="J25" s="21"/>
      <c r="K25" s="21">
        <v>4527000</v>
      </c>
      <c r="L25" s="4">
        <f t="shared" si="0"/>
        <v>2360677540</v>
      </c>
      <c r="M25" s="19"/>
    </row>
    <row r="26" spans="1:13" ht="18.75" customHeight="1">
      <c r="A26" s="6" t="str">
        <f t="shared" si="1"/>
        <v>C07</v>
      </c>
      <c r="B26" s="3">
        <v>41611</v>
      </c>
      <c r="C26" s="3">
        <v>41611</v>
      </c>
      <c r="D26" s="4"/>
      <c r="E26" s="22" t="s">
        <v>81</v>
      </c>
      <c r="F26" s="5" t="s">
        <v>462</v>
      </c>
      <c r="G26" s="5"/>
      <c r="H26" s="5"/>
      <c r="I26" s="28" t="s">
        <v>35</v>
      </c>
      <c r="J26" s="21"/>
      <c r="K26" s="21">
        <v>452700</v>
      </c>
      <c r="L26" s="4">
        <f t="shared" si="0"/>
        <v>2360224840</v>
      </c>
      <c r="M26" s="19"/>
    </row>
    <row r="27" spans="1:13" ht="18.75" customHeight="1">
      <c r="A27" s="6" t="str">
        <f t="shared" si="1"/>
        <v>C08</v>
      </c>
      <c r="B27" s="3">
        <v>41612</v>
      </c>
      <c r="C27" s="3">
        <v>41612</v>
      </c>
      <c r="D27" s="4"/>
      <c r="E27" s="22" t="s">
        <v>82</v>
      </c>
      <c r="F27" s="5" t="s">
        <v>463</v>
      </c>
      <c r="G27" s="5"/>
      <c r="H27" s="5"/>
      <c r="I27" s="28" t="s">
        <v>192</v>
      </c>
      <c r="J27" s="21"/>
      <c r="K27" s="21">
        <v>2865000</v>
      </c>
      <c r="L27" s="4">
        <f t="shared" si="0"/>
        <v>2357359840</v>
      </c>
      <c r="M27" s="19"/>
    </row>
    <row r="28" spans="1:13" s="41" customFormat="1" ht="18.75" customHeight="1">
      <c r="A28" s="6" t="str">
        <f t="shared" si="1"/>
        <v>C08</v>
      </c>
      <c r="B28" s="3">
        <v>41612</v>
      </c>
      <c r="C28" s="3">
        <v>41612</v>
      </c>
      <c r="D28" s="4"/>
      <c r="E28" s="22" t="s">
        <v>82</v>
      </c>
      <c r="F28" s="5" t="s">
        <v>464</v>
      </c>
      <c r="G28" s="5"/>
      <c r="H28" s="5"/>
      <c r="I28" s="28" t="s">
        <v>35</v>
      </c>
      <c r="J28" s="21"/>
      <c r="K28" s="21">
        <v>286500</v>
      </c>
      <c r="L28" s="4">
        <f t="shared" si="0"/>
        <v>2357073340</v>
      </c>
      <c r="M28" s="40"/>
    </row>
    <row r="29" spans="1:13" s="41" customFormat="1" ht="18.75" customHeight="1">
      <c r="A29" s="6" t="str">
        <f t="shared" si="1"/>
        <v>C09</v>
      </c>
      <c r="B29" s="3">
        <v>41613</v>
      </c>
      <c r="C29" s="3">
        <v>41613</v>
      </c>
      <c r="D29" s="4"/>
      <c r="E29" s="22" t="s">
        <v>83</v>
      </c>
      <c r="F29" s="5" t="s">
        <v>220</v>
      </c>
      <c r="G29" s="5"/>
      <c r="H29" s="5"/>
      <c r="I29" s="28" t="s">
        <v>192</v>
      </c>
      <c r="J29" s="21"/>
      <c r="K29" s="21">
        <v>5499091</v>
      </c>
      <c r="L29" s="4">
        <f t="shared" si="0"/>
        <v>2351574249</v>
      </c>
      <c r="M29" s="40"/>
    </row>
    <row r="30" spans="1:13" s="41" customFormat="1" ht="18.75" customHeight="1">
      <c r="A30" s="6" t="str">
        <f t="shared" si="1"/>
        <v>C09</v>
      </c>
      <c r="B30" s="3">
        <v>41613</v>
      </c>
      <c r="C30" s="3">
        <v>41613</v>
      </c>
      <c r="D30" s="4"/>
      <c r="E30" s="22" t="s">
        <v>83</v>
      </c>
      <c r="F30" s="5" t="s">
        <v>462</v>
      </c>
      <c r="G30" s="5"/>
      <c r="H30" s="5"/>
      <c r="I30" s="28" t="s">
        <v>35</v>
      </c>
      <c r="J30" s="21"/>
      <c r="K30" s="21">
        <v>549909</v>
      </c>
      <c r="L30" s="4">
        <f t="shared" si="0"/>
        <v>2351024340</v>
      </c>
      <c r="M30" s="40"/>
    </row>
    <row r="31" spans="1:13" s="41" customFormat="1" ht="18.75" customHeight="1">
      <c r="A31" s="6" t="str">
        <f t="shared" si="1"/>
        <v>C10</v>
      </c>
      <c r="B31" s="3">
        <v>41613</v>
      </c>
      <c r="C31" s="3">
        <v>41613</v>
      </c>
      <c r="D31" s="4"/>
      <c r="E31" s="22" t="s">
        <v>84</v>
      </c>
      <c r="F31" s="5" t="s">
        <v>201</v>
      </c>
      <c r="G31" s="5"/>
      <c r="H31" s="5"/>
      <c r="I31" s="28" t="s">
        <v>53</v>
      </c>
      <c r="J31" s="21"/>
      <c r="K31" s="21">
        <v>9900000</v>
      </c>
      <c r="L31" s="4">
        <f t="shared" si="0"/>
        <v>2341124340</v>
      </c>
      <c r="M31" s="40"/>
    </row>
    <row r="32" spans="1:13" s="41" customFormat="1" ht="18.75" customHeight="1">
      <c r="A32" s="6" t="str">
        <f t="shared" si="1"/>
        <v>C10</v>
      </c>
      <c r="B32" s="3">
        <v>41613</v>
      </c>
      <c r="C32" s="3">
        <v>41613</v>
      </c>
      <c r="D32" s="4"/>
      <c r="E32" s="22" t="s">
        <v>84</v>
      </c>
      <c r="F32" s="5" t="s">
        <v>202</v>
      </c>
      <c r="G32" s="5"/>
      <c r="H32" s="5"/>
      <c r="I32" s="28" t="s">
        <v>35</v>
      </c>
      <c r="J32" s="21"/>
      <c r="K32" s="21">
        <v>990000</v>
      </c>
      <c r="L32" s="4">
        <f t="shared" si="0"/>
        <v>2340134340</v>
      </c>
      <c r="M32" s="40"/>
    </row>
    <row r="33" spans="1:13" s="41" customFormat="1" ht="18.75" customHeight="1">
      <c r="A33" s="6" t="str">
        <f t="shared" si="1"/>
        <v>C11</v>
      </c>
      <c r="B33" s="3">
        <v>41616</v>
      </c>
      <c r="C33" s="3">
        <v>41616</v>
      </c>
      <c r="D33" s="4"/>
      <c r="E33" s="22" t="s">
        <v>85</v>
      </c>
      <c r="F33" s="5" t="s">
        <v>201</v>
      </c>
      <c r="G33" s="5"/>
      <c r="H33" s="5"/>
      <c r="I33" s="28" t="s">
        <v>53</v>
      </c>
      <c r="J33" s="21"/>
      <c r="K33" s="21">
        <v>10320000</v>
      </c>
      <c r="L33" s="4">
        <f t="shared" si="0"/>
        <v>2329814340</v>
      </c>
      <c r="M33" s="40"/>
    </row>
    <row r="34" spans="1:13" s="41" customFormat="1" ht="18.75" customHeight="1">
      <c r="A34" s="6" t="str">
        <f t="shared" si="1"/>
        <v>C11</v>
      </c>
      <c r="B34" s="3">
        <v>41616</v>
      </c>
      <c r="C34" s="3">
        <v>41616</v>
      </c>
      <c r="D34" s="4"/>
      <c r="E34" s="22" t="s">
        <v>85</v>
      </c>
      <c r="F34" s="5" t="s">
        <v>202</v>
      </c>
      <c r="G34" s="5"/>
      <c r="H34" s="5"/>
      <c r="I34" s="28" t="s">
        <v>35</v>
      </c>
      <c r="J34" s="21"/>
      <c r="K34" s="21">
        <v>1032000</v>
      </c>
      <c r="L34" s="4">
        <f t="shared" si="0"/>
        <v>2328782340</v>
      </c>
      <c r="M34" s="40"/>
    </row>
    <row r="35" spans="1:13" s="41" customFormat="1" ht="18.75" customHeight="1">
      <c r="A35" s="6" t="str">
        <f t="shared" si="1"/>
        <v>C12</v>
      </c>
      <c r="B35" s="3">
        <v>41616</v>
      </c>
      <c r="C35" s="3">
        <v>41616</v>
      </c>
      <c r="D35" s="4"/>
      <c r="E35" s="22" t="s">
        <v>86</v>
      </c>
      <c r="F35" s="5" t="s">
        <v>194</v>
      </c>
      <c r="G35" s="5"/>
      <c r="H35" s="5"/>
      <c r="I35" s="28" t="s">
        <v>120</v>
      </c>
      <c r="J35" s="21"/>
      <c r="K35" s="21">
        <v>600000000</v>
      </c>
      <c r="L35" s="4">
        <f t="shared" si="0"/>
        <v>1728782340</v>
      </c>
      <c r="M35" s="40"/>
    </row>
    <row r="36" spans="1:13" s="41" customFormat="1" ht="18.75" customHeight="1">
      <c r="A36" s="6" t="str">
        <f t="shared" si="1"/>
        <v>C13</v>
      </c>
      <c r="B36" s="3">
        <v>41618</v>
      </c>
      <c r="C36" s="3">
        <v>41618</v>
      </c>
      <c r="D36" s="4"/>
      <c r="E36" s="22" t="s">
        <v>87</v>
      </c>
      <c r="F36" s="5" t="s">
        <v>218</v>
      </c>
      <c r="G36" s="5"/>
      <c r="H36" s="5"/>
      <c r="I36" s="28" t="s">
        <v>53</v>
      </c>
      <c r="J36" s="21"/>
      <c r="K36" s="21">
        <v>5520000</v>
      </c>
      <c r="L36" s="4">
        <f t="shared" si="0"/>
        <v>1723262340</v>
      </c>
      <c r="M36" s="40"/>
    </row>
    <row r="37" spans="1:13" s="41" customFormat="1" ht="18.75" customHeight="1">
      <c r="A37" s="6" t="str">
        <f t="shared" si="1"/>
        <v>C14</v>
      </c>
      <c r="B37" s="3">
        <v>41618</v>
      </c>
      <c r="C37" s="3">
        <v>41618</v>
      </c>
      <c r="D37" s="4"/>
      <c r="E37" s="22" t="s">
        <v>88</v>
      </c>
      <c r="F37" s="5" t="s">
        <v>49</v>
      </c>
      <c r="G37" s="5"/>
      <c r="H37" s="5"/>
      <c r="I37" s="28" t="s">
        <v>192</v>
      </c>
      <c r="J37" s="21"/>
      <c r="K37" s="21">
        <v>4535182</v>
      </c>
      <c r="L37" s="4">
        <f t="shared" si="0"/>
        <v>1718727158</v>
      </c>
      <c r="M37" s="40"/>
    </row>
    <row r="38" spans="1:13" ht="18.75" customHeight="1">
      <c r="A38" s="6" t="str">
        <f t="shared" si="1"/>
        <v>C14</v>
      </c>
      <c r="B38" s="3">
        <v>41618</v>
      </c>
      <c r="C38" s="3">
        <v>41618</v>
      </c>
      <c r="D38" s="4"/>
      <c r="E38" s="22" t="s">
        <v>88</v>
      </c>
      <c r="F38" s="5" t="s">
        <v>55</v>
      </c>
      <c r="G38" s="5"/>
      <c r="H38" s="5"/>
      <c r="I38" s="28" t="s">
        <v>35</v>
      </c>
      <c r="J38" s="21"/>
      <c r="K38" s="21">
        <v>453518</v>
      </c>
      <c r="L38" s="4">
        <f t="shared" si="0"/>
        <v>1718273640</v>
      </c>
      <c r="M38" s="19"/>
    </row>
    <row r="39" spans="1:13" ht="18.75" customHeight="1">
      <c r="A39" s="6" t="str">
        <f t="shared" si="1"/>
        <v>C15</v>
      </c>
      <c r="B39" s="3">
        <v>41618</v>
      </c>
      <c r="C39" s="3">
        <v>41618</v>
      </c>
      <c r="D39" s="4"/>
      <c r="E39" s="22" t="s">
        <v>89</v>
      </c>
      <c r="F39" s="5" t="s">
        <v>201</v>
      </c>
      <c r="G39" s="5"/>
      <c r="H39" s="5"/>
      <c r="I39" s="28" t="s">
        <v>53</v>
      </c>
      <c r="J39" s="21"/>
      <c r="K39" s="21">
        <v>10860000</v>
      </c>
      <c r="L39" s="4">
        <f t="shared" si="0"/>
        <v>1707413640</v>
      </c>
      <c r="M39" s="19"/>
    </row>
    <row r="40" spans="1:13" ht="18.75" customHeight="1">
      <c r="A40" s="6" t="str">
        <f t="shared" si="1"/>
        <v>C15</v>
      </c>
      <c r="B40" s="3">
        <v>41618</v>
      </c>
      <c r="C40" s="3">
        <v>41618</v>
      </c>
      <c r="D40" s="4"/>
      <c r="E40" s="22" t="s">
        <v>89</v>
      </c>
      <c r="F40" s="5" t="s">
        <v>202</v>
      </c>
      <c r="G40" s="5"/>
      <c r="H40" s="5"/>
      <c r="I40" s="28" t="s">
        <v>35</v>
      </c>
      <c r="J40" s="21"/>
      <c r="K40" s="21">
        <v>1086000</v>
      </c>
      <c r="L40" s="4">
        <f t="shared" si="0"/>
        <v>1706327640</v>
      </c>
      <c r="M40" s="19"/>
    </row>
    <row r="41" spans="1:13" ht="18.75" customHeight="1">
      <c r="A41" s="6" t="str">
        <f t="shared" si="1"/>
        <v>C16</v>
      </c>
      <c r="B41" s="3">
        <v>41619</v>
      </c>
      <c r="C41" s="3">
        <v>41619</v>
      </c>
      <c r="D41" s="4"/>
      <c r="E41" s="22" t="s">
        <v>90</v>
      </c>
      <c r="F41" s="5" t="s">
        <v>465</v>
      </c>
      <c r="G41" s="5"/>
      <c r="H41" s="5"/>
      <c r="I41" s="28" t="s">
        <v>192</v>
      </c>
      <c r="J41" s="21"/>
      <c r="K41" s="21">
        <v>308500</v>
      </c>
      <c r="L41" s="4">
        <f t="shared" si="0"/>
        <v>1706019140</v>
      </c>
      <c r="M41" s="19"/>
    </row>
    <row r="42" spans="1:13" ht="18.75" customHeight="1">
      <c r="A42" s="6" t="str">
        <f t="shared" si="1"/>
        <v>C17</v>
      </c>
      <c r="B42" s="3">
        <v>41620</v>
      </c>
      <c r="C42" s="3">
        <v>41620</v>
      </c>
      <c r="D42" s="4"/>
      <c r="E42" s="22" t="s">
        <v>91</v>
      </c>
      <c r="F42" s="5" t="s">
        <v>195</v>
      </c>
      <c r="G42" s="5"/>
      <c r="H42" s="5"/>
      <c r="I42" s="28" t="s">
        <v>36</v>
      </c>
      <c r="J42" s="21"/>
      <c r="K42" s="21">
        <v>200000000</v>
      </c>
      <c r="L42" s="4">
        <f t="shared" si="0"/>
        <v>1506019140</v>
      </c>
      <c r="M42" s="19"/>
    </row>
    <row r="43" spans="1:13" ht="18.75" customHeight="1">
      <c r="A43" s="6" t="str">
        <f t="shared" si="1"/>
        <v>C18</v>
      </c>
      <c r="B43" s="3">
        <v>41621</v>
      </c>
      <c r="C43" s="3">
        <v>41621</v>
      </c>
      <c r="D43" s="4"/>
      <c r="E43" s="22" t="s">
        <v>92</v>
      </c>
      <c r="F43" s="5" t="s">
        <v>201</v>
      </c>
      <c r="G43" s="5"/>
      <c r="H43" s="5"/>
      <c r="I43" s="28" t="s">
        <v>53</v>
      </c>
      <c r="J43" s="21"/>
      <c r="K43" s="21">
        <v>9240000</v>
      </c>
      <c r="L43" s="4">
        <f t="shared" si="0"/>
        <v>1496779140</v>
      </c>
      <c r="M43" s="19"/>
    </row>
    <row r="44" spans="1:13" ht="18.75" customHeight="1">
      <c r="A44" s="6" t="str">
        <f t="shared" si="1"/>
        <v>C18</v>
      </c>
      <c r="B44" s="3">
        <v>41621</v>
      </c>
      <c r="C44" s="3">
        <v>41621</v>
      </c>
      <c r="D44" s="4"/>
      <c r="E44" s="22" t="s">
        <v>92</v>
      </c>
      <c r="F44" s="30" t="s">
        <v>202</v>
      </c>
      <c r="G44" s="50"/>
      <c r="H44" s="50"/>
      <c r="I44" s="28" t="s">
        <v>35</v>
      </c>
      <c r="J44" s="21"/>
      <c r="K44" s="21">
        <v>924000</v>
      </c>
      <c r="L44" s="4">
        <f t="shared" si="0"/>
        <v>1495855140</v>
      </c>
      <c r="M44" s="19"/>
    </row>
    <row r="45" spans="1:13" ht="18.75" customHeight="1">
      <c r="A45" s="6" t="str">
        <f t="shared" si="1"/>
        <v>C19</v>
      </c>
      <c r="B45" s="3">
        <v>41623</v>
      </c>
      <c r="C45" s="3">
        <v>41623</v>
      </c>
      <c r="D45" s="4"/>
      <c r="E45" s="22" t="s">
        <v>93</v>
      </c>
      <c r="F45" s="30" t="s">
        <v>49</v>
      </c>
      <c r="G45" s="50"/>
      <c r="H45" s="50"/>
      <c r="I45" s="28" t="s">
        <v>192</v>
      </c>
      <c r="J45" s="21"/>
      <c r="K45" s="21">
        <v>386673</v>
      </c>
      <c r="L45" s="4">
        <f t="shared" ref="L45:L76" si="2">IF(F45&lt;&gt;"",L44+J45-K45,0)</f>
        <v>1495468467</v>
      </c>
      <c r="M45" s="19"/>
    </row>
    <row r="46" spans="1:13" ht="18.75" customHeight="1">
      <c r="A46" s="6" t="str">
        <f t="shared" si="1"/>
        <v>C19</v>
      </c>
      <c r="B46" s="3">
        <v>41623</v>
      </c>
      <c r="C46" s="3">
        <v>41623</v>
      </c>
      <c r="D46" s="4"/>
      <c r="E46" s="22" t="s">
        <v>93</v>
      </c>
      <c r="F46" s="5" t="s">
        <v>208</v>
      </c>
      <c r="G46" s="5"/>
      <c r="H46" s="5"/>
      <c r="I46" s="28" t="s">
        <v>53</v>
      </c>
      <c r="J46" s="21"/>
      <c r="K46" s="21">
        <v>5059091</v>
      </c>
      <c r="L46" s="4">
        <f t="shared" si="2"/>
        <v>1490409376</v>
      </c>
      <c r="M46" s="19"/>
    </row>
    <row r="47" spans="1:13" ht="18.75" customHeight="1">
      <c r="A47" s="6" t="str">
        <f t="shared" si="1"/>
        <v>C19</v>
      </c>
      <c r="B47" s="3">
        <v>41623</v>
      </c>
      <c r="C47" s="3">
        <v>41623</v>
      </c>
      <c r="D47" s="4"/>
      <c r="E47" s="22" t="s">
        <v>93</v>
      </c>
      <c r="F47" s="5" t="s">
        <v>180</v>
      </c>
      <c r="G47" s="5"/>
      <c r="H47" s="5"/>
      <c r="I47" s="28" t="s">
        <v>35</v>
      </c>
      <c r="J47" s="21"/>
      <c r="K47" s="21">
        <v>544576</v>
      </c>
      <c r="L47" s="4">
        <f t="shared" si="2"/>
        <v>1489864800</v>
      </c>
      <c r="M47" s="19"/>
    </row>
    <row r="48" spans="1:13" ht="18.75" customHeight="1">
      <c r="A48" s="6" t="str">
        <f t="shared" si="1"/>
        <v>C20</v>
      </c>
      <c r="B48" s="3">
        <v>41623</v>
      </c>
      <c r="C48" s="3">
        <v>41623</v>
      </c>
      <c r="D48" s="4"/>
      <c r="E48" s="22" t="s">
        <v>94</v>
      </c>
      <c r="F48" s="5" t="s">
        <v>201</v>
      </c>
      <c r="G48" s="5"/>
      <c r="H48" s="5"/>
      <c r="I48" s="28" t="s">
        <v>53</v>
      </c>
      <c r="J48" s="21"/>
      <c r="K48" s="5">
        <v>9720000</v>
      </c>
      <c r="L48" s="4">
        <f t="shared" si="2"/>
        <v>1480144800</v>
      </c>
      <c r="M48" s="19"/>
    </row>
    <row r="49" spans="1:13" ht="18.75" customHeight="1">
      <c r="A49" s="6" t="str">
        <f t="shared" si="1"/>
        <v>C20</v>
      </c>
      <c r="B49" s="3">
        <v>41623</v>
      </c>
      <c r="C49" s="3">
        <v>41623</v>
      </c>
      <c r="D49" s="4"/>
      <c r="E49" s="22" t="s">
        <v>94</v>
      </c>
      <c r="F49" s="5" t="s">
        <v>202</v>
      </c>
      <c r="G49" s="5"/>
      <c r="H49" s="5"/>
      <c r="I49" s="28" t="s">
        <v>35</v>
      </c>
      <c r="J49" s="21"/>
      <c r="K49" s="21">
        <v>972000</v>
      </c>
      <c r="L49" s="4">
        <f t="shared" si="2"/>
        <v>1479172800</v>
      </c>
      <c r="M49" s="19"/>
    </row>
    <row r="50" spans="1:13" ht="18.75" customHeight="1">
      <c r="A50" s="6" t="str">
        <f t="shared" si="1"/>
        <v>C21</v>
      </c>
      <c r="B50" s="3">
        <v>41623</v>
      </c>
      <c r="C50" s="3">
        <v>41623</v>
      </c>
      <c r="D50" s="4"/>
      <c r="E50" s="22" t="s">
        <v>95</v>
      </c>
      <c r="F50" s="5" t="s">
        <v>272</v>
      </c>
      <c r="G50" s="5"/>
      <c r="H50" s="5"/>
      <c r="I50" s="28" t="s">
        <v>120</v>
      </c>
      <c r="J50" s="21"/>
      <c r="K50" s="21">
        <v>600000000</v>
      </c>
      <c r="L50" s="4">
        <f t="shared" si="2"/>
        <v>879172800</v>
      </c>
      <c r="M50" s="19"/>
    </row>
    <row r="51" spans="1:13" ht="18.75" customHeight="1">
      <c r="A51" s="6" t="str">
        <f t="shared" si="1"/>
        <v>C22</v>
      </c>
      <c r="B51" s="3">
        <v>41623</v>
      </c>
      <c r="C51" s="3">
        <v>41623</v>
      </c>
      <c r="D51" s="4"/>
      <c r="E51" s="22" t="s">
        <v>96</v>
      </c>
      <c r="F51" s="30" t="s">
        <v>194</v>
      </c>
      <c r="G51" s="50"/>
      <c r="H51" s="50"/>
      <c r="I51" s="28" t="s">
        <v>120</v>
      </c>
      <c r="J51" s="21"/>
      <c r="K51" s="21">
        <v>600000000</v>
      </c>
      <c r="L51" s="4">
        <f t="shared" si="2"/>
        <v>279172800</v>
      </c>
      <c r="M51" s="19"/>
    </row>
    <row r="52" spans="1:13" s="61" customFormat="1" ht="18.75" customHeight="1">
      <c r="A52" s="6" t="str">
        <f t="shared" si="1"/>
        <v>T01</v>
      </c>
      <c r="B52" s="3">
        <v>41626</v>
      </c>
      <c r="C52" s="3">
        <v>41626</v>
      </c>
      <c r="D52" s="4" t="s">
        <v>39</v>
      </c>
      <c r="E52" s="22"/>
      <c r="F52" s="54" t="s">
        <v>269</v>
      </c>
      <c r="G52" s="50"/>
      <c r="H52" s="50"/>
      <c r="I52" s="28" t="s">
        <v>36</v>
      </c>
      <c r="J52" s="21">
        <v>1910000000</v>
      </c>
      <c r="K52" s="5"/>
      <c r="L52" s="4">
        <f t="shared" si="2"/>
        <v>2189172800</v>
      </c>
      <c r="M52" s="60"/>
    </row>
    <row r="53" spans="1:13" ht="18.75" customHeight="1">
      <c r="A53" s="6" t="str">
        <f t="shared" si="1"/>
        <v>C23</v>
      </c>
      <c r="B53" s="3">
        <v>41626</v>
      </c>
      <c r="C53" s="3">
        <v>41626</v>
      </c>
      <c r="D53" s="4"/>
      <c r="E53" s="22" t="s">
        <v>97</v>
      </c>
      <c r="F53" s="5" t="s">
        <v>49</v>
      </c>
      <c r="G53" s="5"/>
      <c r="H53" s="5"/>
      <c r="I53" s="28" t="s">
        <v>192</v>
      </c>
      <c r="J53" s="21"/>
      <c r="K53" s="21">
        <v>171855</v>
      </c>
      <c r="L53" s="4">
        <f t="shared" si="2"/>
        <v>2189000945</v>
      </c>
      <c r="M53" s="19"/>
    </row>
    <row r="54" spans="1:13" ht="18.75" customHeight="1">
      <c r="A54" s="6" t="str">
        <f t="shared" si="1"/>
        <v>C23</v>
      </c>
      <c r="B54" s="3">
        <v>41626</v>
      </c>
      <c r="C54" s="3">
        <v>41626</v>
      </c>
      <c r="D54" s="4"/>
      <c r="E54" s="22" t="s">
        <v>97</v>
      </c>
      <c r="F54" s="5" t="s">
        <v>208</v>
      </c>
      <c r="G54" s="5"/>
      <c r="H54" s="5"/>
      <c r="I54" s="28" t="s">
        <v>53</v>
      </c>
      <c r="J54" s="21"/>
      <c r="K54" s="21">
        <v>1214182</v>
      </c>
      <c r="L54" s="4">
        <f t="shared" si="2"/>
        <v>2187786763</v>
      </c>
      <c r="M54" s="19"/>
    </row>
    <row r="55" spans="1:13" ht="18.75" customHeight="1">
      <c r="A55" s="6" t="str">
        <f t="shared" si="1"/>
        <v>C23</v>
      </c>
      <c r="B55" s="3">
        <v>41626</v>
      </c>
      <c r="C55" s="3">
        <v>41626</v>
      </c>
      <c r="D55" s="4"/>
      <c r="E55" s="22" t="s">
        <v>97</v>
      </c>
      <c r="F55" s="5" t="s">
        <v>180</v>
      </c>
      <c r="G55" s="5"/>
      <c r="H55" s="5"/>
      <c r="I55" s="28" t="s">
        <v>35</v>
      </c>
      <c r="J55" s="21"/>
      <c r="K55" s="21">
        <v>138603</v>
      </c>
      <c r="L55" s="4">
        <f t="shared" si="2"/>
        <v>2187648160</v>
      </c>
      <c r="M55" s="19"/>
    </row>
    <row r="56" spans="1:13" ht="18.75" customHeight="1">
      <c r="A56" s="6" t="str">
        <f t="shared" si="1"/>
        <v>C24</v>
      </c>
      <c r="B56" s="3">
        <v>41626</v>
      </c>
      <c r="C56" s="3">
        <v>41626</v>
      </c>
      <c r="D56" s="4"/>
      <c r="E56" s="22" t="s">
        <v>98</v>
      </c>
      <c r="F56" s="5" t="s">
        <v>272</v>
      </c>
      <c r="G56" s="5"/>
      <c r="H56" s="5"/>
      <c r="I56" s="28" t="s">
        <v>120</v>
      </c>
      <c r="J56" s="21"/>
      <c r="K56" s="21">
        <v>600000000</v>
      </c>
      <c r="L56" s="4">
        <f t="shared" si="2"/>
        <v>1587648160</v>
      </c>
      <c r="M56" s="19"/>
    </row>
    <row r="57" spans="1:13" ht="18.75" customHeight="1">
      <c r="A57" s="6" t="str">
        <f t="shared" si="1"/>
        <v>C25</v>
      </c>
      <c r="B57" s="3">
        <v>41626</v>
      </c>
      <c r="C57" s="3">
        <v>41626</v>
      </c>
      <c r="D57" s="4"/>
      <c r="E57" s="22" t="s">
        <v>99</v>
      </c>
      <c r="F57" s="30" t="s">
        <v>194</v>
      </c>
      <c r="G57" s="50"/>
      <c r="H57" s="50"/>
      <c r="I57" s="28" t="s">
        <v>120</v>
      </c>
      <c r="J57" s="21"/>
      <c r="K57" s="21">
        <v>650000000</v>
      </c>
      <c r="L57" s="4">
        <f t="shared" si="2"/>
        <v>937648160</v>
      </c>
      <c r="M57" s="19"/>
    </row>
    <row r="58" spans="1:13" ht="18.75" customHeight="1">
      <c r="A58" s="6" t="str">
        <f t="shared" si="1"/>
        <v>C26</v>
      </c>
      <c r="B58" s="3">
        <v>41626</v>
      </c>
      <c r="C58" s="3">
        <v>41626</v>
      </c>
      <c r="D58" s="4"/>
      <c r="E58" s="22" t="s">
        <v>100</v>
      </c>
      <c r="F58" s="5" t="s">
        <v>201</v>
      </c>
      <c r="G58" s="5"/>
      <c r="H58" s="5"/>
      <c r="I58" s="28" t="s">
        <v>53</v>
      </c>
      <c r="J58" s="21"/>
      <c r="K58" s="21">
        <v>9480000</v>
      </c>
      <c r="L58" s="4">
        <f t="shared" si="2"/>
        <v>928168160</v>
      </c>
      <c r="M58" s="19"/>
    </row>
    <row r="59" spans="1:13" ht="18.75" customHeight="1">
      <c r="A59" s="6" t="str">
        <f t="shared" si="1"/>
        <v>C26</v>
      </c>
      <c r="B59" s="3">
        <v>41626</v>
      </c>
      <c r="C59" s="3">
        <v>41626</v>
      </c>
      <c r="D59" s="4"/>
      <c r="E59" s="22" t="s">
        <v>100</v>
      </c>
      <c r="F59" s="5" t="s">
        <v>202</v>
      </c>
      <c r="G59" s="5"/>
      <c r="H59" s="5"/>
      <c r="I59" s="28" t="s">
        <v>35</v>
      </c>
      <c r="J59" s="21"/>
      <c r="K59" s="21">
        <v>948000</v>
      </c>
      <c r="L59" s="4">
        <f t="shared" si="2"/>
        <v>927220160</v>
      </c>
      <c r="M59" s="19"/>
    </row>
    <row r="60" spans="1:13" ht="18.75" customHeight="1">
      <c r="A60" s="6" t="str">
        <f t="shared" si="1"/>
        <v>T02</v>
      </c>
      <c r="B60" s="3">
        <v>41610</v>
      </c>
      <c r="C60" s="3">
        <v>41610</v>
      </c>
      <c r="D60" s="4" t="s">
        <v>40</v>
      </c>
      <c r="E60" s="22"/>
      <c r="F60" s="5" t="s">
        <v>388</v>
      </c>
      <c r="G60" s="5"/>
      <c r="H60" s="5"/>
      <c r="I60" s="28" t="s">
        <v>387</v>
      </c>
      <c r="J60" s="21">
        <v>2000000000</v>
      </c>
      <c r="K60" s="21"/>
      <c r="L60" s="4">
        <f t="shared" si="2"/>
        <v>2927220160</v>
      </c>
      <c r="M60" s="19"/>
    </row>
    <row r="61" spans="1:13" ht="18.75" customHeight="1">
      <c r="A61" s="6" t="str">
        <f t="shared" si="1"/>
        <v>C27</v>
      </c>
      <c r="B61" s="3">
        <v>41627</v>
      </c>
      <c r="C61" s="3">
        <v>41627</v>
      </c>
      <c r="D61" s="4"/>
      <c r="E61" s="22" t="s">
        <v>101</v>
      </c>
      <c r="F61" s="5" t="s">
        <v>195</v>
      </c>
      <c r="G61" s="5"/>
      <c r="H61" s="5"/>
      <c r="I61" s="28" t="s">
        <v>36</v>
      </c>
      <c r="J61" s="21"/>
      <c r="K61" s="21">
        <v>155000000</v>
      </c>
      <c r="L61" s="4">
        <f t="shared" si="2"/>
        <v>2772220160</v>
      </c>
      <c r="M61" s="19"/>
    </row>
    <row r="62" spans="1:13" ht="18.75" customHeight="1">
      <c r="A62" s="6" t="str">
        <f t="shared" si="1"/>
        <v>C28</v>
      </c>
      <c r="B62" s="3">
        <v>41627</v>
      </c>
      <c r="C62" s="3">
        <v>41627</v>
      </c>
      <c r="D62" s="4"/>
      <c r="E62" s="22" t="s">
        <v>102</v>
      </c>
      <c r="F62" s="5" t="s">
        <v>272</v>
      </c>
      <c r="G62" s="5"/>
      <c r="H62" s="5"/>
      <c r="I62" s="28" t="s">
        <v>120</v>
      </c>
      <c r="J62" s="21"/>
      <c r="K62" s="21">
        <v>600000000</v>
      </c>
      <c r="L62" s="4">
        <f t="shared" si="2"/>
        <v>2172220160</v>
      </c>
      <c r="M62" s="19"/>
    </row>
    <row r="63" spans="1:13" ht="18.75" customHeight="1">
      <c r="A63" s="6" t="str">
        <f t="shared" si="1"/>
        <v>C29</v>
      </c>
      <c r="B63" s="3">
        <v>41627</v>
      </c>
      <c r="C63" s="3">
        <v>41627</v>
      </c>
      <c r="D63" s="4"/>
      <c r="E63" s="22" t="s">
        <v>103</v>
      </c>
      <c r="F63" s="5" t="s">
        <v>194</v>
      </c>
      <c r="G63" s="5"/>
      <c r="H63" s="5"/>
      <c r="I63" s="28" t="s">
        <v>120</v>
      </c>
      <c r="J63" s="21"/>
      <c r="K63" s="21">
        <v>600000000</v>
      </c>
      <c r="L63" s="4">
        <f t="shared" si="2"/>
        <v>1572220160</v>
      </c>
      <c r="M63" s="19"/>
    </row>
    <row r="64" spans="1:13" ht="18.75" customHeight="1">
      <c r="A64" s="6" t="str">
        <f t="shared" si="1"/>
        <v>C30</v>
      </c>
      <c r="B64" s="3">
        <v>41628</v>
      </c>
      <c r="C64" s="3">
        <v>41628</v>
      </c>
      <c r="D64" s="4"/>
      <c r="E64" s="22" t="s">
        <v>104</v>
      </c>
      <c r="F64" s="5" t="s">
        <v>201</v>
      </c>
      <c r="G64" s="5"/>
      <c r="H64" s="5"/>
      <c r="I64" s="28" t="s">
        <v>53</v>
      </c>
      <c r="J64" s="21"/>
      <c r="K64" s="21">
        <v>8760000</v>
      </c>
      <c r="L64" s="4">
        <f t="shared" si="2"/>
        <v>1563460160</v>
      </c>
      <c r="M64" s="19"/>
    </row>
    <row r="65" spans="1:13" ht="18.75" customHeight="1">
      <c r="A65" s="6" t="str">
        <f t="shared" si="1"/>
        <v>C30</v>
      </c>
      <c r="B65" s="3">
        <v>41628</v>
      </c>
      <c r="C65" s="3">
        <v>41628</v>
      </c>
      <c r="D65" s="4"/>
      <c r="E65" s="22" t="s">
        <v>104</v>
      </c>
      <c r="F65" s="5" t="s">
        <v>202</v>
      </c>
      <c r="G65" s="5"/>
      <c r="H65" s="5"/>
      <c r="I65" s="28" t="s">
        <v>35</v>
      </c>
      <c r="J65" s="21"/>
      <c r="K65" s="5">
        <v>876000</v>
      </c>
      <c r="L65" s="4">
        <f t="shared" si="2"/>
        <v>1562584160</v>
      </c>
      <c r="M65" s="19"/>
    </row>
    <row r="66" spans="1:13" ht="18.75" customHeight="1">
      <c r="A66" s="6" t="str">
        <f t="shared" si="1"/>
        <v>C31</v>
      </c>
      <c r="B66" s="3">
        <v>41631</v>
      </c>
      <c r="C66" s="3">
        <v>41631</v>
      </c>
      <c r="D66" s="4"/>
      <c r="E66" s="22" t="s">
        <v>105</v>
      </c>
      <c r="F66" s="5" t="s">
        <v>49</v>
      </c>
      <c r="G66" s="5"/>
      <c r="H66" s="5"/>
      <c r="I66" s="28" t="s">
        <v>192</v>
      </c>
      <c r="J66" s="21"/>
      <c r="K66" s="21">
        <v>3135055</v>
      </c>
      <c r="L66" s="4">
        <f t="shared" si="2"/>
        <v>1559449105</v>
      </c>
      <c r="M66" s="19"/>
    </row>
    <row r="67" spans="1:13" ht="18.75" customHeight="1">
      <c r="A67" s="6" t="str">
        <f t="shared" si="1"/>
        <v>C31</v>
      </c>
      <c r="B67" s="3">
        <v>41631</v>
      </c>
      <c r="C67" s="3">
        <v>41631</v>
      </c>
      <c r="D67" s="4"/>
      <c r="E67" s="22" t="s">
        <v>105</v>
      </c>
      <c r="F67" s="30" t="s">
        <v>55</v>
      </c>
      <c r="G67" s="50"/>
      <c r="H67" s="50"/>
      <c r="I67" s="28" t="s">
        <v>35</v>
      </c>
      <c r="J67" s="21"/>
      <c r="K67" s="21">
        <v>313505</v>
      </c>
      <c r="L67" s="4">
        <f t="shared" si="2"/>
        <v>1559135600</v>
      </c>
      <c r="M67" s="19"/>
    </row>
    <row r="68" spans="1:13" ht="18.75" customHeight="1">
      <c r="A68" s="6" t="str">
        <f t="shared" si="1"/>
        <v>C32</v>
      </c>
      <c r="B68" s="3">
        <v>41631</v>
      </c>
      <c r="C68" s="3">
        <v>41631</v>
      </c>
      <c r="D68" s="4"/>
      <c r="E68" s="22" t="s">
        <v>106</v>
      </c>
      <c r="F68" s="30" t="s">
        <v>195</v>
      </c>
      <c r="G68" s="50"/>
      <c r="H68" s="50"/>
      <c r="I68" s="28" t="s">
        <v>36</v>
      </c>
      <c r="J68" s="21"/>
      <c r="K68" s="21">
        <v>60000000</v>
      </c>
      <c r="L68" s="4">
        <f t="shared" si="2"/>
        <v>1499135600</v>
      </c>
      <c r="M68" s="19"/>
    </row>
    <row r="69" spans="1:13" ht="18.75" customHeight="1">
      <c r="A69" s="6" t="str">
        <f t="shared" si="1"/>
        <v>C33</v>
      </c>
      <c r="B69" s="3">
        <v>41631</v>
      </c>
      <c r="C69" s="3">
        <v>41631</v>
      </c>
      <c r="D69" s="4"/>
      <c r="E69" s="22" t="s">
        <v>107</v>
      </c>
      <c r="F69" s="5" t="s">
        <v>198</v>
      </c>
      <c r="G69" s="5"/>
      <c r="H69" s="5"/>
      <c r="I69" s="28" t="s">
        <v>193</v>
      </c>
      <c r="J69" s="21"/>
      <c r="K69" s="21">
        <v>220000</v>
      </c>
      <c r="L69" s="4">
        <f t="shared" si="2"/>
        <v>1498915600</v>
      </c>
      <c r="M69" s="19"/>
    </row>
    <row r="70" spans="1:13" ht="18.75" customHeight="1">
      <c r="A70" s="6" t="str">
        <f t="shared" si="1"/>
        <v>C34</v>
      </c>
      <c r="B70" s="3">
        <v>41631</v>
      </c>
      <c r="C70" s="3">
        <v>41631</v>
      </c>
      <c r="D70" s="4"/>
      <c r="E70" s="22" t="s">
        <v>108</v>
      </c>
      <c r="F70" s="5" t="s">
        <v>201</v>
      </c>
      <c r="G70" s="5"/>
      <c r="H70" s="5"/>
      <c r="I70" s="28" t="s">
        <v>53</v>
      </c>
      <c r="J70" s="21"/>
      <c r="K70" s="21">
        <v>9000000</v>
      </c>
      <c r="L70" s="4">
        <f t="shared" si="2"/>
        <v>1489915600</v>
      </c>
      <c r="M70" s="19"/>
    </row>
    <row r="71" spans="1:13" ht="18.75" customHeight="1">
      <c r="A71" s="6" t="str">
        <f t="shared" si="1"/>
        <v>C34</v>
      </c>
      <c r="B71" s="3">
        <v>41631</v>
      </c>
      <c r="C71" s="3">
        <v>41631</v>
      </c>
      <c r="D71" s="4"/>
      <c r="E71" s="22" t="s">
        <v>108</v>
      </c>
      <c r="F71" s="5" t="s">
        <v>202</v>
      </c>
      <c r="G71" s="5"/>
      <c r="H71" s="5"/>
      <c r="I71" s="28" t="s">
        <v>35</v>
      </c>
      <c r="J71" s="21"/>
      <c r="K71" s="21">
        <v>900000</v>
      </c>
      <c r="L71" s="4">
        <f t="shared" si="2"/>
        <v>1489015600</v>
      </c>
      <c r="M71" s="19"/>
    </row>
    <row r="72" spans="1:13" ht="18.75" customHeight="1">
      <c r="A72" s="6" t="str">
        <f t="shared" si="1"/>
        <v>C35</v>
      </c>
      <c r="B72" s="3">
        <v>41632</v>
      </c>
      <c r="C72" s="3">
        <v>41632</v>
      </c>
      <c r="D72" s="4"/>
      <c r="E72" s="22" t="s">
        <v>109</v>
      </c>
      <c r="F72" s="5" t="s">
        <v>422</v>
      </c>
      <c r="G72" s="5"/>
      <c r="H72" s="5"/>
      <c r="I72" s="28" t="s">
        <v>34</v>
      </c>
      <c r="J72" s="21"/>
      <c r="K72" s="21">
        <v>4213902</v>
      </c>
      <c r="L72" s="4">
        <f t="shared" si="2"/>
        <v>1484801698</v>
      </c>
      <c r="M72" s="19"/>
    </row>
    <row r="73" spans="1:13" ht="18.75" customHeight="1">
      <c r="A73" s="6" t="str">
        <f t="shared" si="1"/>
        <v>C36</v>
      </c>
      <c r="B73" s="3">
        <v>41632</v>
      </c>
      <c r="C73" s="3">
        <v>41632</v>
      </c>
      <c r="D73" s="4"/>
      <c r="E73" s="22" t="s">
        <v>110</v>
      </c>
      <c r="F73" s="30" t="s">
        <v>272</v>
      </c>
      <c r="G73" s="50"/>
      <c r="H73" s="50"/>
      <c r="I73" s="28" t="s">
        <v>120</v>
      </c>
      <c r="J73" s="21"/>
      <c r="K73" s="21">
        <v>600000000</v>
      </c>
      <c r="L73" s="4">
        <f t="shared" si="2"/>
        <v>884801698</v>
      </c>
      <c r="M73" s="19"/>
    </row>
    <row r="74" spans="1:13" s="41" customFormat="1" ht="18.75" customHeight="1">
      <c r="A74" s="6" t="str">
        <f t="shared" si="1"/>
        <v>C37</v>
      </c>
      <c r="B74" s="3">
        <v>41632</v>
      </c>
      <c r="C74" s="3">
        <v>41632</v>
      </c>
      <c r="D74" s="4"/>
      <c r="E74" s="22" t="s">
        <v>111</v>
      </c>
      <c r="F74" s="5" t="s">
        <v>194</v>
      </c>
      <c r="G74" s="5"/>
      <c r="H74" s="5"/>
      <c r="I74" s="28" t="s">
        <v>120</v>
      </c>
      <c r="J74" s="21"/>
      <c r="K74" s="21">
        <v>650000000</v>
      </c>
      <c r="L74" s="4">
        <f t="shared" si="2"/>
        <v>234801698</v>
      </c>
      <c r="M74" s="40"/>
    </row>
    <row r="75" spans="1:13" ht="18.75" customHeight="1">
      <c r="A75" s="6" t="str">
        <f t="shared" si="1"/>
        <v>T03</v>
      </c>
      <c r="B75" s="3">
        <v>41635</v>
      </c>
      <c r="C75" s="3">
        <v>41635</v>
      </c>
      <c r="D75" s="4" t="s">
        <v>41</v>
      </c>
      <c r="E75" s="22"/>
      <c r="F75" s="5" t="s">
        <v>269</v>
      </c>
      <c r="G75" s="5"/>
      <c r="H75" s="5"/>
      <c r="I75" s="28" t="s">
        <v>36</v>
      </c>
      <c r="J75" s="21">
        <v>1400000000</v>
      </c>
      <c r="K75" s="5"/>
      <c r="L75" s="4">
        <f t="shared" si="2"/>
        <v>1634801698</v>
      </c>
      <c r="M75" s="19"/>
    </row>
    <row r="76" spans="1:13" ht="18.75" customHeight="1">
      <c r="A76" s="6" t="str">
        <f t="shared" si="1"/>
        <v>C38</v>
      </c>
      <c r="B76" s="3">
        <v>41636</v>
      </c>
      <c r="C76" s="3">
        <v>41636</v>
      </c>
      <c r="D76" s="4"/>
      <c r="E76" s="22" t="s">
        <v>121</v>
      </c>
      <c r="F76" s="5" t="s">
        <v>466</v>
      </c>
      <c r="G76" s="5"/>
      <c r="H76" s="5"/>
      <c r="I76" s="28" t="s">
        <v>192</v>
      </c>
      <c r="J76" s="21"/>
      <c r="K76" s="21">
        <v>700000</v>
      </c>
      <c r="L76" s="4">
        <f t="shared" si="2"/>
        <v>1634101698</v>
      </c>
      <c r="M76" s="19"/>
    </row>
    <row r="77" spans="1:13" ht="18.75" customHeight="1">
      <c r="A77" s="6" t="str">
        <f t="shared" si="1"/>
        <v>C39</v>
      </c>
      <c r="B77" s="3">
        <v>41636</v>
      </c>
      <c r="C77" s="3">
        <v>41636</v>
      </c>
      <c r="D77" s="4"/>
      <c r="E77" s="22" t="s">
        <v>122</v>
      </c>
      <c r="F77" s="5" t="s">
        <v>199</v>
      </c>
      <c r="G77" s="5"/>
      <c r="H77" s="5"/>
      <c r="I77" s="28" t="s">
        <v>192</v>
      </c>
      <c r="J77" s="21"/>
      <c r="K77" s="21">
        <v>16000000</v>
      </c>
      <c r="L77" s="4">
        <f t="shared" ref="L77:L94" si="3">IF(F77&lt;&gt;"",L76+J77-K77,0)</f>
        <v>1618101698</v>
      </c>
      <c r="M77" s="19"/>
    </row>
    <row r="78" spans="1:13" ht="18.75" customHeight="1">
      <c r="A78" s="6" t="str">
        <f t="shared" ref="A78:A88" si="4">D78&amp;E78</f>
        <v>C39</v>
      </c>
      <c r="B78" s="3">
        <v>41636</v>
      </c>
      <c r="C78" s="3">
        <v>41636</v>
      </c>
      <c r="D78" s="4"/>
      <c r="E78" s="22" t="s">
        <v>122</v>
      </c>
      <c r="F78" s="5" t="s">
        <v>200</v>
      </c>
      <c r="G78" s="5"/>
      <c r="H78" s="5"/>
      <c r="I78" s="28" t="s">
        <v>35</v>
      </c>
      <c r="J78" s="21"/>
      <c r="K78" s="21">
        <v>1600000</v>
      </c>
      <c r="L78" s="4">
        <f t="shared" si="3"/>
        <v>1616501698</v>
      </c>
      <c r="M78" s="19"/>
    </row>
    <row r="79" spans="1:13" ht="18.75" customHeight="1">
      <c r="A79" s="6" t="str">
        <f t="shared" si="4"/>
        <v>C40</v>
      </c>
      <c r="B79" s="3">
        <v>41636</v>
      </c>
      <c r="C79" s="3">
        <v>41636</v>
      </c>
      <c r="D79" s="4"/>
      <c r="E79" s="22" t="s">
        <v>123</v>
      </c>
      <c r="F79" s="5" t="s">
        <v>49</v>
      </c>
      <c r="G79" s="5"/>
      <c r="H79" s="5"/>
      <c r="I79" s="28" t="s">
        <v>192</v>
      </c>
      <c r="J79" s="21"/>
      <c r="K79" s="21">
        <v>2557745</v>
      </c>
      <c r="L79" s="4">
        <f t="shared" si="3"/>
        <v>1613943953</v>
      </c>
      <c r="M79" s="19"/>
    </row>
    <row r="80" spans="1:13" ht="18.75" customHeight="1">
      <c r="A80" s="6" t="str">
        <f t="shared" si="4"/>
        <v>C40</v>
      </c>
      <c r="B80" s="3">
        <v>41636</v>
      </c>
      <c r="C80" s="3">
        <v>41636</v>
      </c>
      <c r="D80" s="4"/>
      <c r="E80" s="22" t="s">
        <v>123</v>
      </c>
      <c r="F80" s="5" t="s">
        <v>55</v>
      </c>
      <c r="G80" s="5"/>
      <c r="H80" s="5"/>
      <c r="I80" s="28" t="s">
        <v>35</v>
      </c>
      <c r="J80" s="21"/>
      <c r="K80" s="21">
        <v>255775</v>
      </c>
      <c r="L80" s="4">
        <f t="shared" si="3"/>
        <v>1613688178</v>
      </c>
      <c r="M80" s="19"/>
    </row>
    <row r="81" spans="1:13" ht="18.75" customHeight="1">
      <c r="A81" s="6" t="str">
        <f t="shared" si="4"/>
        <v>C41</v>
      </c>
      <c r="B81" s="3">
        <v>41636</v>
      </c>
      <c r="C81" s="3">
        <v>41636</v>
      </c>
      <c r="D81" s="4"/>
      <c r="E81" s="22" t="s">
        <v>124</v>
      </c>
      <c r="F81" s="5" t="s">
        <v>272</v>
      </c>
      <c r="G81" s="5"/>
      <c r="H81" s="5"/>
      <c r="I81" s="28" t="s">
        <v>120</v>
      </c>
      <c r="J81" s="21"/>
      <c r="K81" s="21">
        <v>550000000</v>
      </c>
      <c r="L81" s="4">
        <f t="shared" si="3"/>
        <v>1063688178</v>
      </c>
      <c r="M81" s="19"/>
    </row>
    <row r="82" spans="1:13" ht="18.75" customHeight="1">
      <c r="A82" s="6" t="str">
        <f t="shared" si="4"/>
        <v>C42</v>
      </c>
      <c r="B82" s="3">
        <v>41636</v>
      </c>
      <c r="C82" s="3">
        <v>41636</v>
      </c>
      <c r="D82" s="4"/>
      <c r="E82" s="22" t="s">
        <v>125</v>
      </c>
      <c r="F82" s="30" t="s">
        <v>194</v>
      </c>
      <c r="G82" s="50"/>
      <c r="H82" s="50"/>
      <c r="I82" s="28" t="s">
        <v>120</v>
      </c>
      <c r="J82" s="21"/>
      <c r="K82" s="21">
        <v>500000000</v>
      </c>
      <c r="L82" s="4">
        <f t="shared" si="3"/>
        <v>563688178</v>
      </c>
      <c r="M82" s="19"/>
    </row>
    <row r="83" spans="1:13" ht="18.75" customHeight="1">
      <c r="A83" s="6" t="str">
        <f t="shared" si="4"/>
        <v>T04</v>
      </c>
      <c r="B83" s="3">
        <v>41610</v>
      </c>
      <c r="C83" s="3">
        <v>41610</v>
      </c>
      <c r="D83" s="4" t="s">
        <v>42</v>
      </c>
      <c r="E83" s="22"/>
      <c r="F83" s="30" t="s">
        <v>386</v>
      </c>
      <c r="G83" s="50"/>
      <c r="H83" s="50"/>
      <c r="I83" s="28" t="s">
        <v>387</v>
      </c>
      <c r="J83" s="21">
        <v>1000000000</v>
      </c>
      <c r="K83" s="21"/>
      <c r="L83" s="4">
        <f t="shared" si="3"/>
        <v>1563688178</v>
      </c>
      <c r="M83" s="19"/>
    </row>
    <row r="84" spans="1:13" ht="18.75" customHeight="1">
      <c r="A84" s="6" t="str">
        <f t="shared" si="4"/>
        <v>C43</v>
      </c>
      <c r="B84" s="3">
        <v>41639</v>
      </c>
      <c r="C84" s="3">
        <v>41639</v>
      </c>
      <c r="D84" s="4"/>
      <c r="E84" s="22" t="s">
        <v>126</v>
      </c>
      <c r="F84" s="5" t="s">
        <v>49</v>
      </c>
      <c r="G84" s="5"/>
      <c r="H84" s="5"/>
      <c r="I84" s="28" t="s">
        <v>192</v>
      </c>
      <c r="J84" s="21"/>
      <c r="K84" s="21">
        <v>1189127</v>
      </c>
      <c r="L84" s="4">
        <f t="shared" si="3"/>
        <v>1562499051</v>
      </c>
      <c r="M84" s="19"/>
    </row>
    <row r="85" spans="1:13" ht="18.75" customHeight="1">
      <c r="A85" s="6" t="str">
        <f t="shared" si="4"/>
        <v>C43</v>
      </c>
      <c r="B85" s="3">
        <v>41639</v>
      </c>
      <c r="C85" s="3">
        <v>41639</v>
      </c>
      <c r="D85" s="4"/>
      <c r="E85" s="22" t="s">
        <v>126</v>
      </c>
      <c r="F85" s="5" t="s">
        <v>55</v>
      </c>
      <c r="G85" s="5"/>
      <c r="H85" s="5"/>
      <c r="I85" s="28" t="s">
        <v>35</v>
      </c>
      <c r="J85" s="21"/>
      <c r="K85" s="21">
        <v>118913</v>
      </c>
      <c r="L85" s="4">
        <f t="shared" si="3"/>
        <v>1562380138</v>
      </c>
      <c r="M85" s="19"/>
    </row>
    <row r="86" spans="1:13" ht="18.75" customHeight="1">
      <c r="A86" s="6" t="str">
        <f t="shared" si="4"/>
        <v>C44</v>
      </c>
      <c r="B86" s="3">
        <v>41639</v>
      </c>
      <c r="C86" s="3">
        <v>41639</v>
      </c>
      <c r="D86" s="4"/>
      <c r="E86" s="22" t="s">
        <v>221</v>
      </c>
      <c r="F86" s="5" t="s">
        <v>49</v>
      </c>
      <c r="G86" s="5"/>
      <c r="H86" s="5"/>
      <c r="I86" s="28" t="s">
        <v>192</v>
      </c>
      <c r="J86" s="21"/>
      <c r="K86" s="21">
        <v>594245</v>
      </c>
      <c r="L86" s="4">
        <f t="shared" si="3"/>
        <v>1561785893</v>
      </c>
      <c r="M86" s="19"/>
    </row>
    <row r="87" spans="1:13" ht="18.75" customHeight="1">
      <c r="A87" s="6" t="str">
        <f t="shared" si="4"/>
        <v>C44</v>
      </c>
      <c r="B87" s="3">
        <v>41639</v>
      </c>
      <c r="C87" s="3">
        <v>41639</v>
      </c>
      <c r="D87" s="4"/>
      <c r="E87" s="22" t="s">
        <v>221</v>
      </c>
      <c r="F87" s="5" t="s">
        <v>208</v>
      </c>
      <c r="G87" s="5"/>
      <c r="H87" s="5"/>
      <c r="I87" s="28" t="s">
        <v>53</v>
      </c>
      <c r="J87" s="21"/>
      <c r="K87" s="21">
        <v>4686136</v>
      </c>
      <c r="L87" s="4">
        <f t="shared" si="3"/>
        <v>1557099757</v>
      </c>
      <c r="M87" s="19"/>
    </row>
    <row r="88" spans="1:13" ht="18.75" customHeight="1">
      <c r="A88" s="6" t="str">
        <f t="shared" si="4"/>
        <v>C44</v>
      </c>
      <c r="B88" s="3">
        <v>41639</v>
      </c>
      <c r="C88" s="3">
        <v>41639</v>
      </c>
      <c r="D88" s="4"/>
      <c r="E88" s="22" t="s">
        <v>221</v>
      </c>
      <c r="F88" s="5" t="s">
        <v>180</v>
      </c>
      <c r="G88" s="5"/>
      <c r="H88" s="5"/>
      <c r="I88" s="28" t="s">
        <v>35</v>
      </c>
      <c r="J88" s="21"/>
      <c r="K88" s="21">
        <v>528039</v>
      </c>
      <c r="L88" s="4">
        <f t="shared" si="3"/>
        <v>1556571718</v>
      </c>
      <c r="M88" s="19"/>
    </row>
    <row r="89" spans="1:13" ht="18.75" customHeight="1">
      <c r="A89" s="6" t="str">
        <f t="shared" ref="A89:A94" si="5">D89&amp;E89</f>
        <v>C45</v>
      </c>
      <c r="B89" s="3">
        <v>41639</v>
      </c>
      <c r="C89" s="3">
        <v>41639</v>
      </c>
      <c r="D89" s="4"/>
      <c r="E89" s="22" t="s">
        <v>222</v>
      </c>
      <c r="F89" s="5" t="s">
        <v>429</v>
      </c>
      <c r="G89" s="5"/>
      <c r="H89" s="5"/>
      <c r="I89" s="28" t="s">
        <v>38</v>
      </c>
      <c r="J89" s="21"/>
      <c r="K89" s="21">
        <v>430673</v>
      </c>
      <c r="L89" s="4">
        <f t="shared" si="3"/>
        <v>1556141045</v>
      </c>
      <c r="M89" s="19"/>
    </row>
    <row r="90" spans="1:13" ht="18.75" customHeight="1">
      <c r="A90" s="6" t="str">
        <f t="shared" si="5"/>
        <v>C46</v>
      </c>
      <c r="B90" s="3">
        <v>41639</v>
      </c>
      <c r="C90" s="3">
        <v>41639</v>
      </c>
      <c r="D90" s="4"/>
      <c r="E90" s="22" t="s">
        <v>223</v>
      </c>
      <c r="F90" s="5" t="s">
        <v>467</v>
      </c>
      <c r="G90" s="5"/>
      <c r="H90" s="5"/>
      <c r="I90" s="28" t="s">
        <v>37</v>
      </c>
      <c r="J90" s="21"/>
      <c r="K90" s="21">
        <v>126788937</v>
      </c>
      <c r="L90" s="4">
        <f t="shared" si="3"/>
        <v>1429352108</v>
      </c>
      <c r="M90" s="19"/>
    </row>
    <row r="91" spans="1:13" ht="18.75" customHeight="1">
      <c r="A91" s="6" t="str">
        <f t="shared" si="5"/>
        <v>T05</v>
      </c>
      <c r="B91" s="3">
        <v>41639</v>
      </c>
      <c r="C91" s="3">
        <v>41639</v>
      </c>
      <c r="D91" s="4" t="s">
        <v>43</v>
      </c>
      <c r="E91" s="22"/>
      <c r="F91" s="5" t="s">
        <v>468</v>
      </c>
      <c r="G91" s="5"/>
      <c r="H91" s="5"/>
      <c r="I91" s="28" t="s">
        <v>120</v>
      </c>
      <c r="J91" s="21">
        <v>5585206</v>
      </c>
      <c r="K91" s="21"/>
      <c r="L91" s="4">
        <f t="shared" si="3"/>
        <v>1434937314</v>
      </c>
      <c r="M91" s="19"/>
    </row>
    <row r="92" spans="1:13" ht="18.75" customHeight="1">
      <c r="A92" s="6" t="str">
        <f t="shared" si="5"/>
        <v>T06</v>
      </c>
      <c r="B92" s="3">
        <v>41639</v>
      </c>
      <c r="C92" s="3">
        <v>41639</v>
      </c>
      <c r="D92" s="4" t="s">
        <v>44</v>
      </c>
      <c r="E92" s="22"/>
      <c r="F92" s="5" t="s">
        <v>469</v>
      </c>
      <c r="G92" s="5"/>
      <c r="H92" s="5"/>
      <c r="I92" s="28" t="s">
        <v>120</v>
      </c>
      <c r="J92" s="21">
        <v>583900</v>
      </c>
      <c r="K92" s="21"/>
      <c r="L92" s="4">
        <f t="shared" si="3"/>
        <v>1435521214</v>
      </c>
      <c r="M92" s="19"/>
    </row>
    <row r="93" spans="1:13" ht="18.75" customHeight="1">
      <c r="A93" s="6" t="str">
        <f t="shared" si="5"/>
        <v>T07</v>
      </c>
      <c r="B93" s="3">
        <v>41639</v>
      </c>
      <c r="C93" s="3">
        <v>41639</v>
      </c>
      <c r="D93" s="4" t="s">
        <v>57</v>
      </c>
      <c r="E93" s="22"/>
      <c r="F93" s="5" t="s">
        <v>470</v>
      </c>
      <c r="G93" s="5"/>
      <c r="H93" s="5"/>
      <c r="I93" s="28" t="s">
        <v>236</v>
      </c>
      <c r="J93" s="21">
        <v>1151166</v>
      </c>
      <c r="K93" s="21"/>
      <c r="L93" s="4">
        <f t="shared" si="3"/>
        <v>1436672380</v>
      </c>
      <c r="M93" s="19"/>
    </row>
    <row r="94" spans="1:13" ht="18.75" customHeight="1">
      <c r="A94" s="6" t="str">
        <f t="shared" si="5"/>
        <v>C48</v>
      </c>
      <c r="B94" s="3">
        <v>41639</v>
      </c>
      <c r="C94" s="3">
        <v>41639</v>
      </c>
      <c r="D94" s="4"/>
      <c r="E94" s="22" t="s">
        <v>229</v>
      </c>
      <c r="F94" s="5" t="s">
        <v>471</v>
      </c>
      <c r="G94" s="5"/>
      <c r="H94" s="5"/>
      <c r="I94" s="28" t="s">
        <v>182</v>
      </c>
      <c r="J94" s="21"/>
      <c r="K94" s="5">
        <v>624978750</v>
      </c>
      <c r="L94" s="4">
        <f t="shared" si="3"/>
        <v>811693630</v>
      </c>
      <c r="M94" s="19"/>
    </row>
    <row r="95" spans="1:13" ht="18.75" customHeight="1">
      <c r="B95" s="3"/>
      <c r="C95" s="3"/>
      <c r="D95" s="4"/>
      <c r="E95" s="22"/>
      <c r="F95" s="5"/>
      <c r="G95" s="5"/>
      <c r="H95" s="5"/>
      <c r="I95" s="28"/>
      <c r="J95" s="21"/>
      <c r="K95" s="21"/>
      <c r="L95" s="4"/>
      <c r="M95" s="19"/>
    </row>
    <row r="96" spans="1:13" ht="17.25" customHeight="1">
      <c r="B96" s="19"/>
      <c r="C96" s="19"/>
      <c r="D96" s="19"/>
      <c r="E96" s="19"/>
      <c r="F96" s="19" t="s">
        <v>29</v>
      </c>
      <c r="G96" s="19"/>
      <c r="H96" s="19"/>
      <c r="I96" s="4" t="s">
        <v>30</v>
      </c>
      <c r="J96" s="19">
        <f>SUM(J13:J94)</f>
        <v>6317320272</v>
      </c>
      <c r="K96" s="19">
        <f>SUM(K13:K94)</f>
        <v>8558732855</v>
      </c>
      <c r="L96" s="4" t="s">
        <v>30</v>
      </c>
      <c r="M96" s="4" t="s">
        <v>30</v>
      </c>
    </row>
    <row r="97" spans="2:13" ht="17.25" customHeight="1">
      <c r="B97" s="25"/>
      <c r="C97" s="25"/>
      <c r="D97" s="25"/>
      <c r="E97" s="25"/>
      <c r="F97" s="25" t="s">
        <v>31</v>
      </c>
      <c r="G97" s="25"/>
      <c r="H97" s="25"/>
      <c r="I97" s="26" t="s">
        <v>30</v>
      </c>
      <c r="J97" s="26" t="s">
        <v>30</v>
      </c>
      <c r="K97" s="26" t="s">
        <v>30</v>
      </c>
      <c r="L97" s="25">
        <f>L12+J96-K96</f>
        <v>811693630</v>
      </c>
      <c r="M97" s="26" t="s">
        <v>30</v>
      </c>
    </row>
    <row r="99" spans="2:13">
      <c r="B99" s="27" t="s">
        <v>46</v>
      </c>
    </row>
    <row r="100" spans="2:13">
      <c r="B100" s="27" t="s">
        <v>308</v>
      </c>
    </row>
    <row r="101" spans="2:13">
      <c r="L101" s="8" t="s">
        <v>309</v>
      </c>
    </row>
    <row r="102" spans="2:13" s="7" customFormat="1" ht="14.25">
      <c r="C102" s="7" t="s">
        <v>33</v>
      </c>
      <c r="F102" s="7" t="s">
        <v>13</v>
      </c>
      <c r="L102" s="7" t="s">
        <v>14</v>
      </c>
    </row>
    <row r="103" spans="2:13" s="2" customFormat="1">
      <c r="C103" s="2" t="s">
        <v>15</v>
      </c>
      <c r="F103" s="2" t="s">
        <v>15</v>
      </c>
      <c r="L103" s="2" t="s">
        <v>16</v>
      </c>
    </row>
  </sheetData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6" enableFormatConditionsCalculation="0">
    <tabColor indexed="10"/>
  </sheetPr>
  <dimension ref="A1:N737"/>
  <sheetViews>
    <sheetView topLeftCell="A8" workbookViewId="0">
      <pane ySplit="4" topLeftCell="A573" activePane="bottomLeft" state="frozen"/>
      <selection activeCell="A8" sqref="A8"/>
      <selection pane="bottomLeft" activeCell="I592" sqref="I592"/>
    </sheetView>
  </sheetViews>
  <sheetFormatPr defaultRowHeight="15.75"/>
  <cols>
    <col min="1" max="1" width="3.5703125" style="182" customWidth="1"/>
    <col min="2" max="2" width="9" style="183" customWidth="1"/>
    <col min="3" max="3" width="5.42578125" style="184" customWidth="1"/>
    <col min="4" max="4" width="9.5703125" style="183" customWidth="1"/>
    <col min="5" max="5" width="43.85546875" style="185" customWidth="1"/>
    <col min="6" max="6" width="10.140625" style="185" hidden="1" customWidth="1"/>
    <col min="7" max="7" width="6.5703125" style="182" customWidth="1"/>
    <col min="8" max="10" width="15.28515625" style="182" customWidth="1"/>
    <col min="11" max="11" width="6.42578125" style="182" customWidth="1"/>
    <col min="12" max="12" width="10.7109375" style="182" bestFit="1" customWidth="1"/>
    <col min="13" max="13" width="9.85546875" style="182" bestFit="1" customWidth="1"/>
    <col min="14" max="16384" width="9.140625" style="182"/>
  </cols>
  <sheetData>
    <row r="1" spans="1:14" s="125" customFormat="1" ht="16.5" customHeight="1">
      <c r="B1" s="126" t="s">
        <v>127</v>
      </c>
      <c r="C1" s="127"/>
      <c r="D1" s="128"/>
      <c r="E1" s="129"/>
      <c r="F1" s="129"/>
      <c r="I1" s="420" t="s">
        <v>128</v>
      </c>
      <c r="J1" s="420"/>
      <c r="K1" s="420"/>
      <c r="L1" s="130"/>
      <c r="M1" s="130"/>
    </row>
    <row r="2" spans="1:14" s="125" customFormat="1" ht="16.5" customHeight="1">
      <c r="B2" s="419" t="s">
        <v>129</v>
      </c>
      <c r="C2" s="419"/>
      <c r="D2" s="419"/>
      <c r="E2" s="419"/>
      <c r="F2" s="131"/>
      <c r="I2" s="411" t="s">
        <v>130</v>
      </c>
      <c r="J2" s="411"/>
      <c r="K2" s="411"/>
      <c r="L2" s="132"/>
      <c r="M2" s="132"/>
    </row>
    <row r="3" spans="1:14" s="125" customFormat="1" ht="16.5" customHeight="1">
      <c r="B3" s="419"/>
      <c r="C3" s="419"/>
      <c r="D3" s="419"/>
      <c r="E3" s="419"/>
      <c r="F3" s="131"/>
      <c r="I3" s="411" t="s">
        <v>131</v>
      </c>
      <c r="J3" s="411"/>
      <c r="K3" s="411"/>
    </row>
    <row r="4" spans="1:14" s="125" customFormat="1" ht="19.5" customHeight="1">
      <c r="B4" s="421" t="s">
        <v>132</v>
      </c>
      <c r="C4" s="421"/>
      <c r="D4" s="421"/>
      <c r="E4" s="421"/>
      <c r="F4" s="421"/>
      <c r="G4" s="421"/>
      <c r="H4" s="421"/>
      <c r="I4" s="421"/>
      <c r="J4" s="421"/>
      <c r="K4" s="421"/>
    </row>
    <row r="5" spans="1:14" s="125" customFormat="1" ht="15">
      <c r="B5" s="411" t="s">
        <v>133</v>
      </c>
      <c r="C5" s="411"/>
      <c r="D5" s="411"/>
      <c r="E5" s="411"/>
      <c r="F5" s="411"/>
      <c r="G5" s="411"/>
      <c r="H5" s="411"/>
      <c r="I5" s="411"/>
      <c r="J5" s="411"/>
      <c r="K5" s="411"/>
    </row>
    <row r="6" spans="1:14" s="125" customFormat="1" ht="15">
      <c r="B6" s="411" t="s">
        <v>134</v>
      </c>
      <c r="C6" s="411"/>
      <c r="D6" s="411"/>
      <c r="E6" s="411"/>
      <c r="F6" s="411"/>
      <c r="G6" s="411"/>
      <c r="H6" s="411"/>
      <c r="I6" s="411"/>
      <c r="J6" s="411"/>
      <c r="K6" s="411"/>
    </row>
    <row r="7" spans="1:14" s="125" customFormat="1" ht="5.25" customHeight="1">
      <c r="B7" s="133"/>
      <c r="C7" s="132"/>
      <c r="D7" s="133"/>
      <c r="E7" s="134"/>
      <c r="F7" s="134"/>
      <c r="G7" s="132"/>
      <c r="H7" s="132"/>
      <c r="I7" s="132"/>
      <c r="J7" s="132"/>
      <c r="K7" s="132"/>
    </row>
    <row r="8" spans="1:14" s="142" customFormat="1" ht="17.25" customHeight="1">
      <c r="A8" s="417" t="s">
        <v>114</v>
      </c>
      <c r="B8" s="422" t="s">
        <v>135</v>
      </c>
      <c r="C8" s="415" t="s">
        <v>136</v>
      </c>
      <c r="D8" s="416"/>
      <c r="E8" s="412" t="s">
        <v>3</v>
      </c>
      <c r="F8" s="141"/>
      <c r="G8" s="412" t="s">
        <v>22</v>
      </c>
      <c r="H8" s="414" t="s">
        <v>66</v>
      </c>
      <c r="I8" s="415"/>
      <c r="J8" s="416"/>
      <c r="K8" s="412" t="s">
        <v>4</v>
      </c>
    </row>
    <row r="9" spans="1:14" s="142" customFormat="1" ht="29.25" customHeight="1">
      <c r="A9" s="418"/>
      <c r="B9" s="423"/>
      <c r="C9" s="140" t="s">
        <v>137</v>
      </c>
      <c r="D9" s="143" t="s">
        <v>138</v>
      </c>
      <c r="E9" s="413"/>
      <c r="F9" s="144"/>
      <c r="G9" s="413"/>
      <c r="H9" s="141" t="s">
        <v>139</v>
      </c>
      <c r="I9" s="141" t="s">
        <v>140</v>
      </c>
      <c r="J9" s="141" t="s">
        <v>141</v>
      </c>
      <c r="K9" s="413"/>
    </row>
    <row r="10" spans="1:14" s="148" customFormat="1" ht="12">
      <c r="A10" s="145"/>
      <c r="B10" s="146" t="s">
        <v>7</v>
      </c>
      <c r="C10" s="147" t="s">
        <v>8</v>
      </c>
      <c r="D10" s="146" t="s">
        <v>9</v>
      </c>
      <c r="E10" s="147" t="s">
        <v>10</v>
      </c>
      <c r="F10" s="147"/>
      <c r="G10" s="147" t="s">
        <v>11</v>
      </c>
      <c r="H10" s="147">
        <v>1</v>
      </c>
      <c r="I10" s="147">
        <v>2</v>
      </c>
      <c r="J10" s="147">
        <v>3</v>
      </c>
      <c r="K10" s="147" t="s">
        <v>27</v>
      </c>
    </row>
    <row r="11" spans="1:14" s="142" customFormat="1" ht="17.25" customHeight="1">
      <c r="A11" s="149"/>
      <c r="B11" s="150"/>
      <c r="C11" s="151"/>
      <c r="D11" s="150"/>
      <c r="E11" s="152" t="s">
        <v>142</v>
      </c>
      <c r="F11" s="152"/>
      <c r="G11" s="153"/>
      <c r="H11" s="154"/>
      <c r="I11" s="153"/>
      <c r="J11" s="154">
        <v>467088665</v>
      </c>
      <c r="K11" s="153"/>
      <c r="L11" s="155">
        <f>J11+'Q4-VND'!J11+M11</f>
        <v>469355387</v>
      </c>
      <c r="M11" s="156">
        <v>109992</v>
      </c>
      <c r="N11" s="142" t="s">
        <v>143</v>
      </c>
    </row>
    <row r="12" spans="1:14" s="142" customFormat="1" ht="19.5" customHeight="1">
      <c r="A12" s="142">
        <f t="shared" ref="A12:A75" si="0">IF(B12&lt;&gt;"",MONTH(B12),"")</f>
        <v>1</v>
      </c>
      <c r="B12" s="157">
        <v>41276</v>
      </c>
      <c r="C12" s="158" t="s">
        <v>145</v>
      </c>
      <c r="D12" s="157">
        <v>41276</v>
      </c>
      <c r="E12" s="159" t="s">
        <v>474</v>
      </c>
      <c r="F12" s="159"/>
      <c r="G12" s="160" t="s">
        <v>192</v>
      </c>
      <c r="H12" s="161">
        <v>11000</v>
      </c>
      <c r="I12" s="161"/>
      <c r="J12" s="162">
        <f>IF(B12&lt;&gt;"",J11+H12-I12,0)</f>
        <v>467099665</v>
      </c>
      <c r="K12" s="162"/>
    </row>
    <row r="13" spans="1:14" s="142" customFormat="1" ht="19.5" customHeight="1">
      <c r="A13" s="142">
        <f t="shared" si="0"/>
        <v>1</v>
      </c>
      <c r="B13" s="157">
        <v>41276</v>
      </c>
      <c r="C13" s="158" t="s">
        <v>145</v>
      </c>
      <c r="D13" s="157">
        <v>41276</v>
      </c>
      <c r="E13" s="159" t="s">
        <v>475</v>
      </c>
      <c r="F13" s="159"/>
      <c r="G13" s="158" t="s">
        <v>34</v>
      </c>
      <c r="H13" s="161"/>
      <c r="I13" s="161">
        <v>15882900</v>
      </c>
      <c r="J13" s="162">
        <f t="shared" ref="J13:J76" si="1">IF(B13&lt;&gt;"",J12+H13-I13,0)</f>
        <v>451216765</v>
      </c>
      <c r="K13" s="162"/>
    </row>
    <row r="14" spans="1:14" s="142" customFormat="1" ht="19.5" customHeight="1">
      <c r="A14" s="142">
        <f t="shared" si="0"/>
        <v>1</v>
      </c>
      <c r="B14" s="157">
        <v>41276</v>
      </c>
      <c r="C14" s="158" t="s">
        <v>145</v>
      </c>
      <c r="D14" s="157">
        <v>41276</v>
      </c>
      <c r="E14" s="159" t="s">
        <v>187</v>
      </c>
      <c r="F14" s="159"/>
      <c r="G14" s="160" t="s">
        <v>192</v>
      </c>
      <c r="H14" s="161"/>
      <c r="I14" s="161">
        <v>20000</v>
      </c>
      <c r="J14" s="162">
        <f t="shared" si="1"/>
        <v>451196765</v>
      </c>
      <c r="K14" s="162"/>
    </row>
    <row r="15" spans="1:14" s="142" customFormat="1" ht="19.5" customHeight="1">
      <c r="A15" s="142">
        <f t="shared" si="0"/>
        <v>1</v>
      </c>
      <c r="B15" s="157">
        <v>41276</v>
      </c>
      <c r="C15" s="158" t="s">
        <v>145</v>
      </c>
      <c r="D15" s="157">
        <v>41276</v>
      </c>
      <c r="E15" s="159" t="s">
        <v>188</v>
      </c>
      <c r="F15" s="159"/>
      <c r="G15" s="160" t="s">
        <v>35</v>
      </c>
      <c r="H15" s="161"/>
      <c r="I15" s="161">
        <v>2000</v>
      </c>
      <c r="J15" s="162">
        <f t="shared" si="1"/>
        <v>451194765</v>
      </c>
      <c r="K15" s="162"/>
    </row>
    <row r="16" spans="1:14" s="142" customFormat="1" ht="19.5" customHeight="1">
      <c r="A16" s="142">
        <f t="shared" si="0"/>
        <v>1</v>
      </c>
      <c r="B16" s="157">
        <v>41276</v>
      </c>
      <c r="C16" s="158" t="s">
        <v>145</v>
      </c>
      <c r="D16" s="157">
        <v>41276</v>
      </c>
      <c r="E16" s="159" t="s">
        <v>476</v>
      </c>
      <c r="F16" s="159"/>
      <c r="G16" s="158" t="s">
        <v>192</v>
      </c>
      <c r="H16" s="161"/>
      <c r="I16" s="161">
        <v>15000</v>
      </c>
      <c r="J16" s="162">
        <f t="shared" si="1"/>
        <v>451179765</v>
      </c>
      <c r="K16" s="162"/>
    </row>
    <row r="17" spans="1:11" s="142" customFormat="1" ht="19.5" customHeight="1">
      <c r="A17" s="142">
        <f t="shared" si="0"/>
        <v>1</v>
      </c>
      <c r="B17" s="157">
        <v>41276</v>
      </c>
      <c r="C17" s="158" t="s">
        <v>145</v>
      </c>
      <c r="D17" s="157">
        <v>41276</v>
      </c>
      <c r="E17" s="159" t="s">
        <v>477</v>
      </c>
      <c r="F17" s="159"/>
      <c r="G17" s="158" t="s">
        <v>35</v>
      </c>
      <c r="H17" s="161"/>
      <c r="I17" s="161">
        <v>1500</v>
      </c>
      <c r="J17" s="162">
        <f t="shared" si="1"/>
        <v>451178265</v>
      </c>
      <c r="K17" s="162"/>
    </row>
    <row r="18" spans="1:11" s="142" customFormat="1" ht="19.5" customHeight="1">
      <c r="A18" s="142">
        <f t="shared" si="0"/>
        <v>1</v>
      </c>
      <c r="B18" s="157">
        <v>41276</v>
      </c>
      <c r="C18" s="158" t="s">
        <v>145</v>
      </c>
      <c r="D18" s="157">
        <v>41276</v>
      </c>
      <c r="E18" s="159" t="s">
        <v>478</v>
      </c>
      <c r="F18" s="159"/>
      <c r="G18" s="158" t="s">
        <v>34</v>
      </c>
      <c r="H18" s="161"/>
      <c r="I18" s="161">
        <v>50000000</v>
      </c>
      <c r="J18" s="162">
        <f t="shared" si="1"/>
        <v>401178265</v>
      </c>
      <c r="K18" s="162"/>
    </row>
    <row r="19" spans="1:11" s="142" customFormat="1" ht="19.5" customHeight="1">
      <c r="A19" s="142">
        <f t="shared" si="0"/>
        <v>1</v>
      </c>
      <c r="B19" s="157">
        <v>41276</v>
      </c>
      <c r="C19" s="158" t="s">
        <v>145</v>
      </c>
      <c r="D19" s="157">
        <v>41276</v>
      </c>
      <c r="E19" s="159" t="s">
        <v>187</v>
      </c>
      <c r="F19" s="159"/>
      <c r="G19" s="158" t="s">
        <v>192</v>
      </c>
      <c r="H19" s="161"/>
      <c r="I19" s="161">
        <v>10000</v>
      </c>
      <c r="J19" s="162">
        <f t="shared" si="1"/>
        <v>401168265</v>
      </c>
      <c r="K19" s="162"/>
    </row>
    <row r="20" spans="1:11" s="142" customFormat="1" ht="19.5" customHeight="1">
      <c r="A20" s="142">
        <f t="shared" si="0"/>
        <v>1</v>
      </c>
      <c r="B20" s="157">
        <v>41276</v>
      </c>
      <c r="C20" s="158" t="s">
        <v>145</v>
      </c>
      <c r="D20" s="157">
        <v>41276</v>
      </c>
      <c r="E20" s="159" t="s">
        <v>188</v>
      </c>
      <c r="F20" s="159"/>
      <c r="G20" s="158" t="s">
        <v>35</v>
      </c>
      <c r="H20" s="161"/>
      <c r="I20" s="161">
        <v>1000</v>
      </c>
      <c r="J20" s="162">
        <f t="shared" si="1"/>
        <v>401167265</v>
      </c>
      <c r="K20" s="162"/>
    </row>
    <row r="21" spans="1:11" s="142" customFormat="1" ht="19.5" customHeight="1">
      <c r="A21" s="142">
        <f t="shared" si="0"/>
        <v>1</v>
      </c>
      <c r="B21" s="157">
        <v>41276</v>
      </c>
      <c r="C21" s="158" t="s">
        <v>145</v>
      </c>
      <c r="D21" s="157">
        <v>41276</v>
      </c>
      <c r="E21" s="159" t="s">
        <v>187</v>
      </c>
      <c r="F21" s="159"/>
      <c r="G21" s="160" t="s">
        <v>192</v>
      </c>
      <c r="H21" s="161"/>
      <c r="I21" s="161">
        <v>11000</v>
      </c>
      <c r="J21" s="162">
        <f t="shared" si="1"/>
        <v>401156265</v>
      </c>
      <c r="K21" s="162"/>
    </row>
    <row r="22" spans="1:11" s="142" customFormat="1" ht="19.5" customHeight="1">
      <c r="A22" s="142">
        <f t="shared" si="0"/>
        <v>1</v>
      </c>
      <c r="B22" s="157">
        <v>41277</v>
      </c>
      <c r="C22" s="158" t="s">
        <v>148</v>
      </c>
      <c r="D22" s="157">
        <v>41277</v>
      </c>
      <c r="E22" s="159" t="s">
        <v>479</v>
      </c>
      <c r="F22" s="159"/>
      <c r="G22" s="158" t="s">
        <v>182</v>
      </c>
      <c r="H22" s="161">
        <v>1700000000</v>
      </c>
      <c r="I22" s="161"/>
      <c r="J22" s="162">
        <f t="shared" si="1"/>
        <v>2101156265</v>
      </c>
      <c r="K22" s="162"/>
    </row>
    <row r="23" spans="1:11" s="142" customFormat="1" ht="19.5" customHeight="1">
      <c r="A23" s="142">
        <f t="shared" si="0"/>
        <v>1</v>
      </c>
      <c r="B23" s="157">
        <v>41277</v>
      </c>
      <c r="C23" s="158" t="s">
        <v>148</v>
      </c>
      <c r="D23" s="157">
        <v>41277</v>
      </c>
      <c r="E23" s="159" t="s">
        <v>480</v>
      </c>
      <c r="F23" s="159"/>
      <c r="G23" s="158" t="s">
        <v>147</v>
      </c>
      <c r="H23" s="161"/>
      <c r="I23" s="161">
        <v>2083000000</v>
      </c>
      <c r="J23" s="162">
        <f t="shared" si="1"/>
        <v>18156265</v>
      </c>
      <c r="K23" s="162"/>
    </row>
    <row r="24" spans="1:11" s="142" customFormat="1" ht="19.5" customHeight="1">
      <c r="A24" s="142">
        <f t="shared" si="0"/>
        <v>1</v>
      </c>
      <c r="B24" s="157">
        <v>41277</v>
      </c>
      <c r="C24" s="158" t="s">
        <v>145</v>
      </c>
      <c r="D24" s="157">
        <v>41277</v>
      </c>
      <c r="E24" s="159" t="s">
        <v>481</v>
      </c>
      <c r="F24" s="159"/>
      <c r="G24" s="160" t="s">
        <v>150</v>
      </c>
      <c r="H24" s="161"/>
      <c r="I24" s="161">
        <v>6214611</v>
      </c>
      <c r="J24" s="162">
        <f t="shared" si="1"/>
        <v>11941654</v>
      </c>
      <c r="K24" s="162"/>
    </row>
    <row r="25" spans="1:11" s="142" customFormat="1" ht="19.5" customHeight="1">
      <c r="A25" s="142">
        <f t="shared" si="0"/>
        <v>1</v>
      </c>
      <c r="B25" s="157">
        <v>41278</v>
      </c>
      <c r="C25" s="158" t="s">
        <v>145</v>
      </c>
      <c r="D25" s="157">
        <v>41278</v>
      </c>
      <c r="E25" s="159" t="s">
        <v>482</v>
      </c>
      <c r="F25" s="159"/>
      <c r="G25" s="160" t="s">
        <v>147</v>
      </c>
      <c r="H25" s="161">
        <v>2092477650</v>
      </c>
      <c r="I25" s="161"/>
      <c r="J25" s="162">
        <f t="shared" si="1"/>
        <v>2104419304</v>
      </c>
      <c r="K25" s="162"/>
    </row>
    <row r="26" spans="1:11" s="142" customFormat="1" ht="19.5" customHeight="1">
      <c r="A26" s="142">
        <f t="shared" si="0"/>
        <v>1</v>
      </c>
      <c r="B26" s="157">
        <v>41278</v>
      </c>
      <c r="C26" s="158" t="s">
        <v>148</v>
      </c>
      <c r="D26" s="157">
        <v>41278</v>
      </c>
      <c r="E26" s="159" t="s">
        <v>483</v>
      </c>
      <c r="F26" s="159"/>
      <c r="G26" s="158" t="s">
        <v>182</v>
      </c>
      <c r="H26" s="161"/>
      <c r="I26" s="161">
        <v>1500000000</v>
      </c>
      <c r="J26" s="162">
        <f t="shared" si="1"/>
        <v>604419304</v>
      </c>
      <c r="K26" s="162"/>
    </row>
    <row r="27" spans="1:11" s="142" customFormat="1" ht="19.5" customHeight="1">
      <c r="A27" s="142">
        <f t="shared" si="0"/>
        <v>1</v>
      </c>
      <c r="B27" s="157">
        <v>41278</v>
      </c>
      <c r="C27" s="158" t="s">
        <v>484</v>
      </c>
      <c r="D27" s="157">
        <v>41278</v>
      </c>
      <c r="E27" s="159" t="s">
        <v>485</v>
      </c>
      <c r="F27" s="159"/>
      <c r="G27" s="160" t="s">
        <v>144</v>
      </c>
      <c r="H27" s="161"/>
      <c r="I27" s="161">
        <v>603000000</v>
      </c>
      <c r="J27" s="162">
        <f t="shared" si="1"/>
        <v>1419304</v>
      </c>
      <c r="K27" s="162"/>
    </row>
    <row r="28" spans="1:11" s="142" customFormat="1" ht="19.5" customHeight="1">
      <c r="A28" s="142">
        <f t="shared" si="0"/>
        <v>1</v>
      </c>
      <c r="B28" s="157">
        <v>41284</v>
      </c>
      <c r="C28" s="158" t="s">
        <v>486</v>
      </c>
      <c r="D28" s="157">
        <v>41284</v>
      </c>
      <c r="E28" s="159" t="s">
        <v>271</v>
      </c>
      <c r="F28" s="159"/>
      <c r="G28" s="158" t="s">
        <v>144</v>
      </c>
      <c r="H28" s="161">
        <v>26000000</v>
      </c>
      <c r="I28" s="161"/>
      <c r="J28" s="162">
        <f t="shared" si="1"/>
        <v>27419304</v>
      </c>
      <c r="K28" s="162"/>
    </row>
    <row r="29" spans="1:11" s="142" customFormat="1" ht="19.5" customHeight="1">
      <c r="A29" s="142">
        <f t="shared" si="0"/>
        <v>1</v>
      </c>
      <c r="B29" s="157">
        <v>41284</v>
      </c>
      <c r="C29" s="158" t="s">
        <v>145</v>
      </c>
      <c r="D29" s="157">
        <v>41284</v>
      </c>
      <c r="E29" s="159" t="s">
        <v>487</v>
      </c>
      <c r="F29" s="159"/>
      <c r="G29" s="158" t="s">
        <v>150</v>
      </c>
      <c r="H29" s="161"/>
      <c r="I29" s="161">
        <v>10796886</v>
      </c>
      <c r="J29" s="162">
        <f t="shared" si="1"/>
        <v>16622418</v>
      </c>
      <c r="K29" s="162"/>
    </row>
    <row r="30" spans="1:11" s="142" customFormat="1" ht="19.5" customHeight="1">
      <c r="A30" s="142">
        <f t="shared" si="0"/>
        <v>1</v>
      </c>
      <c r="B30" s="157">
        <v>41284</v>
      </c>
      <c r="C30" s="158" t="s">
        <v>145</v>
      </c>
      <c r="D30" s="157">
        <v>41284</v>
      </c>
      <c r="E30" s="159" t="s">
        <v>488</v>
      </c>
      <c r="F30" s="159"/>
      <c r="G30" s="160" t="s">
        <v>150</v>
      </c>
      <c r="H30" s="161"/>
      <c r="I30" s="161">
        <v>15114889</v>
      </c>
      <c r="J30" s="162">
        <f t="shared" si="1"/>
        <v>1507529</v>
      </c>
      <c r="K30" s="162"/>
    </row>
    <row r="31" spans="1:11" s="142" customFormat="1" ht="19.5" customHeight="1">
      <c r="A31" s="142">
        <f t="shared" si="0"/>
        <v>1</v>
      </c>
      <c r="B31" s="157">
        <v>41288</v>
      </c>
      <c r="C31" s="158" t="s">
        <v>148</v>
      </c>
      <c r="D31" s="157">
        <v>41288</v>
      </c>
      <c r="E31" s="159" t="s">
        <v>489</v>
      </c>
      <c r="F31" s="159"/>
      <c r="G31" s="158" t="s">
        <v>166</v>
      </c>
      <c r="H31" s="161">
        <v>39500000</v>
      </c>
      <c r="I31" s="161"/>
      <c r="J31" s="162">
        <f t="shared" si="1"/>
        <v>41007529</v>
      </c>
      <c r="K31" s="162"/>
    </row>
    <row r="32" spans="1:11" s="142" customFormat="1" ht="19.5" customHeight="1">
      <c r="A32" s="142">
        <f t="shared" si="0"/>
        <v>1</v>
      </c>
      <c r="B32" s="157">
        <v>41289</v>
      </c>
      <c r="C32" s="158" t="s">
        <v>145</v>
      </c>
      <c r="D32" s="157">
        <v>41289</v>
      </c>
      <c r="E32" s="159" t="s">
        <v>490</v>
      </c>
      <c r="F32" s="159"/>
      <c r="G32" s="158" t="s">
        <v>34</v>
      </c>
      <c r="H32" s="161"/>
      <c r="I32" s="161">
        <v>21162130</v>
      </c>
      <c r="J32" s="162">
        <f t="shared" si="1"/>
        <v>19845399</v>
      </c>
      <c r="K32" s="162"/>
    </row>
    <row r="33" spans="1:11" s="142" customFormat="1" ht="19.5" customHeight="1">
      <c r="A33" s="142">
        <f t="shared" si="0"/>
        <v>1</v>
      </c>
      <c r="B33" s="157">
        <v>41289</v>
      </c>
      <c r="C33" s="158" t="s">
        <v>145</v>
      </c>
      <c r="D33" s="157">
        <v>41289</v>
      </c>
      <c r="E33" s="159" t="s">
        <v>187</v>
      </c>
      <c r="F33" s="159"/>
      <c r="G33" s="160" t="s">
        <v>192</v>
      </c>
      <c r="H33" s="161"/>
      <c r="I33" s="161">
        <v>20000</v>
      </c>
      <c r="J33" s="162">
        <f t="shared" si="1"/>
        <v>19825399</v>
      </c>
      <c r="K33" s="162"/>
    </row>
    <row r="34" spans="1:11" s="142" customFormat="1" ht="19.5" customHeight="1">
      <c r="A34" s="142">
        <f t="shared" si="0"/>
        <v>1</v>
      </c>
      <c r="B34" s="157">
        <v>41289</v>
      </c>
      <c r="C34" s="158" t="s">
        <v>145</v>
      </c>
      <c r="D34" s="157">
        <v>41289</v>
      </c>
      <c r="E34" s="159" t="s">
        <v>188</v>
      </c>
      <c r="F34" s="159"/>
      <c r="G34" s="158" t="s">
        <v>35</v>
      </c>
      <c r="H34" s="161"/>
      <c r="I34" s="161">
        <v>2000</v>
      </c>
      <c r="J34" s="162">
        <f t="shared" si="1"/>
        <v>19823399</v>
      </c>
      <c r="K34" s="162"/>
    </row>
    <row r="35" spans="1:11" s="142" customFormat="1" ht="19.5" customHeight="1">
      <c r="A35" s="142">
        <f t="shared" si="0"/>
        <v>1</v>
      </c>
      <c r="B35" s="157">
        <v>41290</v>
      </c>
      <c r="C35" s="158" t="s">
        <v>145</v>
      </c>
      <c r="D35" s="157">
        <v>41290</v>
      </c>
      <c r="E35" s="159" t="s">
        <v>491</v>
      </c>
      <c r="F35" s="159"/>
      <c r="G35" s="160" t="s">
        <v>166</v>
      </c>
      <c r="H35" s="161">
        <v>36000000</v>
      </c>
      <c r="I35" s="161"/>
      <c r="J35" s="162">
        <f t="shared" si="1"/>
        <v>55823399</v>
      </c>
      <c r="K35" s="162"/>
    </row>
    <row r="36" spans="1:11" s="142" customFormat="1" ht="19.5" customHeight="1">
      <c r="A36" s="142">
        <f t="shared" si="0"/>
        <v>1</v>
      </c>
      <c r="B36" s="157">
        <v>41290</v>
      </c>
      <c r="C36" s="158" t="s">
        <v>145</v>
      </c>
      <c r="D36" s="157">
        <v>41290</v>
      </c>
      <c r="E36" s="159" t="s">
        <v>492</v>
      </c>
      <c r="F36" s="159"/>
      <c r="G36" s="158" t="s">
        <v>34</v>
      </c>
      <c r="H36" s="161"/>
      <c r="I36" s="161">
        <v>42050915</v>
      </c>
      <c r="J36" s="162">
        <f t="shared" si="1"/>
        <v>13772484</v>
      </c>
      <c r="K36" s="162"/>
    </row>
    <row r="37" spans="1:11" s="142" customFormat="1" ht="19.5" customHeight="1">
      <c r="A37" s="142">
        <f t="shared" si="0"/>
        <v>1</v>
      </c>
      <c r="B37" s="157">
        <v>41290</v>
      </c>
      <c r="C37" s="158" t="s">
        <v>145</v>
      </c>
      <c r="D37" s="157">
        <v>41290</v>
      </c>
      <c r="E37" s="159" t="s">
        <v>187</v>
      </c>
      <c r="F37" s="159"/>
      <c r="G37" s="160" t="s">
        <v>192</v>
      </c>
      <c r="H37" s="161"/>
      <c r="I37" s="161">
        <v>10000</v>
      </c>
      <c r="J37" s="162">
        <f t="shared" si="1"/>
        <v>13762484</v>
      </c>
      <c r="K37" s="162"/>
    </row>
    <row r="38" spans="1:11" s="142" customFormat="1" ht="19.5" customHeight="1">
      <c r="A38" s="142">
        <f t="shared" si="0"/>
        <v>1</v>
      </c>
      <c r="B38" s="157">
        <v>41290</v>
      </c>
      <c r="C38" s="158" t="s">
        <v>145</v>
      </c>
      <c r="D38" s="157">
        <v>41290</v>
      </c>
      <c r="E38" s="159" t="s">
        <v>188</v>
      </c>
      <c r="F38" s="159"/>
      <c r="G38" s="160" t="s">
        <v>35</v>
      </c>
      <c r="H38" s="161"/>
      <c r="I38" s="161">
        <v>1000</v>
      </c>
      <c r="J38" s="162">
        <f t="shared" si="1"/>
        <v>13761484</v>
      </c>
      <c r="K38" s="162"/>
    </row>
    <row r="39" spans="1:11" s="142" customFormat="1" ht="19.5" customHeight="1">
      <c r="A39" s="142">
        <f t="shared" si="0"/>
        <v>1</v>
      </c>
      <c r="B39" s="157">
        <v>41290</v>
      </c>
      <c r="C39" s="158" t="s">
        <v>145</v>
      </c>
      <c r="D39" s="157">
        <v>41290</v>
      </c>
      <c r="E39" s="159" t="s">
        <v>493</v>
      </c>
      <c r="F39" s="159"/>
      <c r="G39" s="160" t="s">
        <v>56</v>
      </c>
      <c r="H39" s="161"/>
      <c r="I39" s="161">
        <v>12000000</v>
      </c>
      <c r="J39" s="162">
        <f t="shared" si="1"/>
        <v>1761484</v>
      </c>
      <c r="K39" s="162"/>
    </row>
    <row r="40" spans="1:11" s="142" customFormat="1" ht="19.5" customHeight="1">
      <c r="A40" s="142">
        <f t="shared" si="0"/>
        <v>1</v>
      </c>
      <c r="B40" s="157">
        <v>41291</v>
      </c>
      <c r="C40" s="158" t="s">
        <v>148</v>
      </c>
      <c r="D40" s="157">
        <v>41291</v>
      </c>
      <c r="E40" s="159" t="s">
        <v>494</v>
      </c>
      <c r="F40" s="159"/>
      <c r="G40" s="158" t="s">
        <v>36</v>
      </c>
      <c r="H40" s="161">
        <v>10000000</v>
      </c>
      <c r="I40" s="161"/>
      <c r="J40" s="162">
        <f t="shared" si="1"/>
        <v>11761484</v>
      </c>
      <c r="K40" s="162"/>
    </row>
    <row r="41" spans="1:11" s="142" customFormat="1" ht="19.5" customHeight="1">
      <c r="A41" s="142">
        <f t="shared" si="0"/>
        <v>1</v>
      </c>
      <c r="B41" s="157">
        <v>41291</v>
      </c>
      <c r="C41" s="158" t="s">
        <v>145</v>
      </c>
      <c r="D41" s="157">
        <v>41291</v>
      </c>
      <c r="E41" s="159" t="s">
        <v>495</v>
      </c>
      <c r="F41" s="159"/>
      <c r="G41" s="160" t="s">
        <v>150</v>
      </c>
      <c r="H41" s="161"/>
      <c r="I41" s="161">
        <v>11193655</v>
      </c>
      <c r="J41" s="162">
        <f t="shared" si="1"/>
        <v>567829</v>
      </c>
      <c r="K41" s="162"/>
    </row>
    <row r="42" spans="1:11" s="142" customFormat="1" ht="19.5" customHeight="1">
      <c r="A42" s="142">
        <f t="shared" si="0"/>
        <v>1</v>
      </c>
      <c r="B42" s="157">
        <v>41298</v>
      </c>
      <c r="C42" s="158" t="s">
        <v>148</v>
      </c>
      <c r="D42" s="157">
        <v>41298</v>
      </c>
      <c r="E42" s="159" t="s">
        <v>496</v>
      </c>
      <c r="F42" s="159"/>
      <c r="G42" s="158" t="s">
        <v>158</v>
      </c>
      <c r="H42" s="161">
        <v>78853</v>
      </c>
      <c r="I42" s="161"/>
      <c r="J42" s="162">
        <f t="shared" si="1"/>
        <v>646682</v>
      </c>
      <c r="K42" s="162"/>
    </row>
    <row r="43" spans="1:11" s="142" customFormat="1" ht="19.5" customHeight="1">
      <c r="A43" s="142">
        <f t="shared" si="0"/>
        <v>1</v>
      </c>
      <c r="B43" s="157">
        <v>41302</v>
      </c>
      <c r="C43" s="158" t="s">
        <v>148</v>
      </c>
      <c r="D43" s="157">
        <v>41302</v>
      </c>
      <c r="E43" s="159" t="s">
        <v>489</v>
      </c>
      <c r="F43" s="159"/>
      <c r="G43" s="158" t="s">
        <v>166</v>
      </c>
      <c r="H43" s="161">
        <v>14500000</v>
      </c>
      <c r="I43" s="161"/>
      <c r="J43" s="162">
        <f t="shared" si="1"/>
        <v>15146682</v>
      </c>
      <c r="K43" s="162"/>
    </row>
    <row r="44" spans="1:11" s="142" customFormat="1" ht="19.5" customHeight="1">
      <c r="A44" s="142">
        <f t="shared" si="0"/>
        <v>1</v>
      </c>
      <c r="B44" s="157">
        <v>41302</v>
      </c>
      <c r="C44" s="158" t="s">
        <v>148</v>
      </c>
      <c r="D44" s="157">
        <v>41302</v>
      </c>
      <c r="E44" s="159" t="s">
        <v>491</v>
      </c>
      <c r="F44" s="159"/>
      <c r="G44" s="160" t="s">
        <v>166</v>
      </c>
      <c r="H44" s="161">
        <v>144292387</v>
      </c>
      <c r="I44" s="161"/>
      <c r="J44" s="162">
        <f t="shared" si="1"/>
        <v>159439069</v>
      </c>
      <c r="K44" s="162"/>
    </row>
    <row r="45" spans="1:11" s="142" customFormat="1" ht="19.5" customHeight="1">
      <c r="A45" s="142">
        <f t="shared" si="0"/>
        <v>1</v>
      </c>
      <c r="B45" s="157">
        <v>41302</v>
      </c>
      <c r="C45" s="158" t="s">
        <v>486</v>
      </c>
      <c r="D45" s="157">
        <v>41302</v>
      </c>
      <c r="E45" s="159" t="s">
        <v>271</v>
      </c>
      <c r="F45" s="159"/>
      <c r="G45" s="160" t="s">
        <v>144</v>
      </c>
      <c r="H45" s="161">
        <v>153000000</v>
      </c>
      <c r="I45" s="161"/>
      <c r="J45" s="162">
        <f t="shared" si="1"/>
        <v>312439069</v>
      </c>
      <c r="K45" s="162"/>
    </row>
    <row r="46" spans="1:11" s="142" customFormat="1" ht="19.5" customHeight="1">
      <c r="A46" s="142">
        <f t="shared" si="0"/>
        <v>1</v>
      </c>
      <c r="B46" s="157">
        <v>41302</v>
      </c>
      <c r="C46" s="158" t="s">
        <v>145</v>
      </c>
      <c r="D46" s="157">
        <v>41302</v>
      </c>
      <c r="E46" s="159" t="s">
        <v>497</v>
      </c>
      <c r="F46" s="159"/>
      <c r="G46" s="160" t="s">
        <v>34</v>
      </c>
      <c r="H46" s="161"/>
      <c r="I46" s="161">
        <v>153110000</v>
      </c>
      <c r="J46" s="162">
        <f t="shared" si="1"/>
        <v>159329069</v>
      </c>
      <c r="K46" s="162"/>
    </row>
    <row r="47" spans="1:11" s="142" customFormat="1" ht="19.5" customHeight="1">
      <c r="A47" s="142">
        <f t="shared" si="0"/>
        <v>1</v>
      </c>
      <c r="B47" s="157">
        <v>41302</v>
      </c>
      <c r="C47" s="158" t="s">
        <v>145</v>
      </c>
      <c r="D47" s="157">
        <v>41302</v>
      </c>
      <c r="E47" s="159" t="s">
        <v>498</v>
      </c>
      <c r="F47" s="159"/>
      <c r="G47" s="160" t="s">
        <v>192</v>
      </c>
      <c r="H47" s="161"/>
      <c r="I47" s="161">
        <v>122294</v>
      </c>
      <c r="J47" s="162">
        <f t="shared" si="1"/>
        <v>159206775</v>
      </c>
      <c r="K47" s="162"/>
    </row>
    <row r="48" spans="1:11" s="142" customFormat="1" ht="19.5" customHeight="1">
      <c r="A48" s="142">
        <f t="shared" si="0"/>
        <v>1</v>
      </c>
      <c r="B48" s="157">
        <v>41302</v>
      </c>
      <c r="C48" s="158" t="s">
        <v>145</v>
      </c>
      <c r="D48" s="157">
        <v>41302</v>
      </c>
      <c r="E48" s="159" t="s">
        <v>499</v>
      </c>
      <c r="F48" s="159"/>
      <c r="G48" s="158" t="s">
        <v>35</v>
      </c>
      <c r="H48" s="161"/>
      <c r="I48" s="161">
        <v>12230</v>
      </c>
      <c r="J48" s="162">
        <f t="shared" si="1"/>
        <v>159194545</v>
      </c>
      <c r="K48" s="162"/>
    </row>
    <row r="49" spans="1:11" s="142" customFormat="1" ht="19.5" customHeight="1">
      <c r="A49" s="142">
        <f t="shared" si="0"/>
        <v>1</v>
      </c>
      <c r="B49" s="157">
        <v>41304</v>
      </c>
      <c r="C49" s="158" t="s">
        <v>486</v>
      </c>
      <c r="D49" s="157">
        <v>41304</v>
      </c>
      <c r="E49" s="159" t="s">
        <v>271</v>
      </c>
      <c r="F49" s="159"/>
      <c r="G49" s="160" t="s">
        <v>144</v>
      </c>
      <c r="H49" s="161">
        <v>116000000</v>
      </c>
      <c r="I49" s="161"/>
      <c r="J49" s="162">
        <f t="shared" si="1"/>
        <v>275194545</v>
      </c>
      <c r="K49" s="162"/>
    </row>
    <row r="50" spans="1:11" s="142" customFormat="1" ht="19.5" customHeight="1">
      <c r="A50" s="142">
        <f t="shared" si="0"/>
        <v>1</v>
      </c>
      <c r="B50" s="157">
        <v>41304</v>
      </c>
      <c r="C50" s="158" t="s">
        <v>145</v>
      </c>
      <c r="D50" s="157">
        <v>41304</v>
      </c>
      <c r="E50" s="159" t="s">
        <v>497</v>
      </c>
      <c r="F50" s="159"/>
      <c r="G50" s="160" t="s">
        <v>34</v>
      </c>
      <c r="H50" s="161"/>
      <c r="I50" s="161">
        <v>274551900</v>
      </c>
      <c r="J50" s="162">
        <f t="shared" si="1"/>
        <v>642645</v>
      </c>
      <c r="K50" s="162"/>
    </row>
    <row r="51" spans="1:11" s="142" customFormat="1" ht="19.5" customHeight="1">
      <c r="A51" s="142">
        <f t="shared" si="0"/>
        <v>1</v>
      </c>
      <c r="B51" s="157">
        <v>41304</v>
      </c>
      <c r="C51" s="158" t="s">
        <v>145</v>
      </c>
      <c r="D51" s="157">
        <v>41304</v>
      </c>
      <c r="E51" s="159" t="s">
        <v>498</v>
      </c>
      <c r="F51" s="159"/>
      <c r="G51" s="158" t="s">
        <v>192</v>
      </c>
      <c r="H51" s="161"/>
      <c r="I51" s="161">
        <v>171883</v>
      </c>
      <c r="J51" s="162">
        <f t="shared" si="1"/>
        <v>470762</v>
      </c>
      <c r="K51" s="162"/>
    </row>
    <row r="52" spans="1:11" s="142" customFormat="1" ht="19.5" customHeight="1">
      <c r="A52" s="142">
        <f t="shared" si="0"/>
        <v>1</v>
      </c>
      <c r="B52" s="157">
        <v>41304</v>
      </c>
      <c r="C52" s="158" t="s">
        <v>145</v>
      </c>
      <c r="D52" s="157">
        <v>41304</v>
      </c>
      <c r="E52" s="159" t="s">
        <v>499</v>
      </c>
      <c r="F52" s="159"/>
      <c r="G52" s="160" t="s">
        <v>35</v>
      </c>
      <c r="H52" s="161"/>
      <c r="I52" s="161">
        <v>17189</v>
      </c>
      <c r="J52" s="162">
        <f t="shared" si="1"/>
        <v>453573</v>
      </c>
      <c r="K52" s="162"/>
    </row>
    <row r="53" spans="1:11" s="142" customFormat="1" ht="19.5" customHeight="1">
      <c r="A53" s="142">
        <f t="shared" si="0"/>
        <v>2</v>
      </c>
      <c r="B53" s="157">
        <v>41312</v>
      </c>
      <c r="C53" s="158" t="s">
        <v>486</v>
      </c>
      <c r="D53" s="157">
        <v>41312</v>
      </c>
      <c r="E53" s="159" t="s">
        <v>318</v>
      </c>
      <c r="F53" s="159"/>
      <c r="G53" s="160" t="s">
        <v>144</v>
      </c>
      <c r="H53" s="161">
        <v>49000000</v>
      </c>
      <c r="I53" s="161"/>
      <c r="J53" s="162">
        <f t="shared" si="1"/>
        <v>49453573</v>
      </c>
      <c r="K53" s="162"/>
    </row>
    <row r="54" spans="1:11" s="142" customFormat="1" ht="19.5" customHeight="1">
      <c r="A54" s="142">
        <f t="shared" si="0"/>
        <v>2</v>
      </c>
      <c r="B54" s="157">
        <v>41312</v>
      </c>
      <c r="C54" s="158" t="s">
        <v>145</v>
      </c>
      <c r="D54" s="157">
        <v>41312</v>
      </c>
      <c r="E54" s="159" t="s">
        <v>500</v>
      </c>
      <c r="F54" s="159"/>
      <c r="G54" s="158" t="s">
        <v>150</v>
      </c>
      <c r="H54" s="161"/>
      <c r="I54" s="161">
        <v>5318160</v>
      </c>
      <c r="J54" s="162">
        <f t="shared" si="1"/>
        <v>44135413</v>
      </c>
      <c r="K54" s="162"/>
    </row>
    <row r="55" spans="1:11" s="142" customFormat="1" ht="19.5" customHeight="1">
      <c r="A55" s="142">
        <f t="shared" si="0"/>
        <v>2</v>
      </c>
      <c r="B55" s="157">
        <v>41312</v>
      </c>
      <c r="C55" s="158" t="s">
        <v>145</v>
      </c>
      <c r="D55" s="157">
        <v>41312</v>
      </c>
      <c r="E55" s="159" t="s">
        <v>501</v>
      </c>
      <c r="F55" s="159"/>
      <c r="G55" s="158" t="s">
        <v>150</v>
      </c>
      <c r="H55" s="161"/>
      <c r="I55" s="161">
        <v>17248643</v>
      </c>
      <c r="J55" s="162">
        <f t="shared" si="1"/>
        <v>26886770</v>
      </c>
      <c r="K55" s="162"/>
    </row>
    <row r="56" spans="1:11" s="142" customFormat="1" ht="19.5" customHeight="1">
      <c r="A56" s="142">
        <f t="shared" si="0"/>
        <v>2</v>
      </c>
      <c r="B56" s="157">
        <v>41312</v>
      </c>
      <c r="C56" s="158" t="s">
        <v>145</v>
      </c>
      <c r="D56" s="157">
        <v>41312</v>
      </c>
      <c r="E56" s="159" t="s">
        <v>502</v>
      </c>
      <c r="F56" s="159"/>
      <c r="G56" s="160" t="s">
        <v>150</v>
      </c>
      <c r="H56" s="161"/>
      <c r="I56" s="161">
        <v>10770946</v>
      </c>
      <c r="J56" s="162">
        <f t="shared" si="1"/>
        <v>16115824</v>
      </c>
      <c r="K56" s="162"/>
    </row>
    <row r="57" spans="1:11" s="142" customFormat="1" ht="19.5" customHeight="1">
      <c r="A57" s="142">
        <f t="shared" si="0"/>
        <v>2</v>
      </c>
      <c r="B57" s="157">
        <v>41312</v>
      </c>
      <c r="C57" s="158" t="s">
        <v>145</v>
      </c>
      <c r="D57" s="157">
        <v>41312</v>
      </c>
      <c r="E57" s="159" t="s">
        <v>503</v>
      </c>
      <c r="F57" s="159"/>
      <c r="G57" s="158" t="s">
        <v>150</v>
      </c>
      <c r="H57" s="161"/>
      <c r="I57" s="161">
        <v>15078574</v>
      </c>
      <c r="J57" s="162">
        <f t="shared" si="1"/>
        <v>1037250</v>
      </c>
      <c r="K57" s="162"/>
    </row>
    <row r="58" spans="1:11" s="142" customFormat="1" ht="19.5" customHeight="1">
      <c r="A58" s="142">
        <f t="shared" si="0"/>
        <v>2</v>
      </c>
      <c r="B58" s="157">
        <v>41324</v>
      </c>
      <c r="C58" s="158" t="s">
        <v>486</v>
      </c>
      <c r="D58" s="157">
        <v>41324</v>
      </c>
      <c r="E58" s="159" t="s">
        <v>318</v>
      </c>
      <c r="F58" s="159"/>
      <c r="G58" s="158" t="s">
        <v>144</v>
      </c>
      <c r="H58" s="161">
        <v>39000000</v>
      </c>
      <c r="I58" s="161"/>
      <c r="J58" s="162">
        <f t="shared" si="1"/>
        <v>40037250</v>
      </c>
      <c r="K58" s="162"/>
    </row>
    <row r="59" spans="1:11" s="142" customFormat="1" ht="19.5" customHeight="1">
      <c r="A59" s="142">
        <f t="shared" si="0"/>
        <v>2</v>
      </c>
      <c r="B59" s="157">
        <v>41324</v>
      </c>
      <c r="C59" s="158" t="s">
        <v>145</v>
      </c>
      <c r="D59" s="157">
        <v>41324</v>
      </c>
      <c r="E59" s="159" t="s">
        <v>504</v>
      </c>
      <c r="F59" s="159"/>
      <c r="G59" s="160" t="s">
        <v>150</v>
      </c>
      <c r="H59" s="161"/>
      <c r="I59" s="161">
        <v>11199259</v>
      </c>
      <c r="J59" s="162">
        <f t="shared" si="1"/>
        <v>28837991</v>
      </c>
      <c r="K59" s="162"/>
    </row>
    <row r="60" spans="1:11" s="142" customFormat="1" ht="19.5" customHeight="1">
      <c r="A60" s="142">
        <f t="shared" si="0"/>
        <v>2</v>
      </c>
      <c r="B60" s="157">
        <v>41324</v>
      </c>
      <c r="C60" s="158" t="s">
        <v>145</v>
      </c>
      <c r="D60" s="157">
        <v>41324</v>
      </c>
      <c r="E60" s="159" t="s">
        <v>505</v>
      </c>
      <c r="F60" s="159"/>
      <c r="G60" s="158" t="s">
        <v>150</v>
      </c>
      <c r="H60" s="161"/>
      <c r="I60" s="161">
        <v>10668118</v>
      </c>
      <c r="J60" s="162">
        <f t="shared" si="1"/>
        <v>18169873</v>
      </c>
      <c r="K60" s="162"/>
    </row>
    <row r="61" spans="1:11" s="142" customFormat="1" ht="19.5" customHeight="1">
      <c r="A61" s="142">
        <f t="shared" si="0"/>
        <v>2</v>
      </c>
      <c r="B61" s="157">
        <v>41324</v>
      </c>
      <c r="C61" s="158" t="s">
        <v>145</v>
      </c>
      <c r="D61" s="157">
        <v>41324</v>
      </c>
      <c r="E61" s="159" t="s">
        <v>506</v>
      </c>
      <c r="F61" s="159"/>
      <c r="G61" s="158" t="s">
        <v>150</v>
      </c>
      <c r="H61" s="161"/>
      <c r="I61" s="161">
        <v>17038685</v>
      </c>
      <c r="J61" s="162">
        <f t="shared" si="1"/>
        <v>1131188</v>
      </c>
      <c r="K61" s="162"/>
    </row>
    <row r="62" spans="1:11" s="142" customFormat="1" ht="19.5" customHeight="1">
      <c r="A62" s="142">
        <f t="shared" si="0"/>
        <v>2</v>
      </c>
      <c r="B62" s="157">
        <v>41328</v>
      </c>
      <c r="C62" s="158" t="s">
        <v>148</v>
      </c>
      <c r="D62" s="157">
        <v>41328</v>
      </c>
      <c r="E62" s="159" t="s">
        <v>496</v>
      </c>
      <c r="F62" s="159"/>
      <c r="G62" s="160" t="s">
        <v>158</v>
      </c>
      <c r="H62" s="161">
        <v>9502</v>
      </c>
      <c r="I62" s="161"/>
      <c r="J62" s="162">
        <f t="shared" si="1"/>
        <v>1140690</v>
      </c>
      <c r="K62" s="162"/>
    </row>
    <row r="63" spans="1:11" s="142" customFormat="1" ht="19.5" customHeight="1">
      <c r="A63" s="142">
        <f t="shared" si="0"/>
        <v>3</v>
      </c>
      <c r="B63" s="157">
        <v>41334</v>
      </c>
      <c r="C63" s="158" t="s">
        <v>486</v>
      </c>
      <c r="D63" s="157">
        <v>41334</v>
      </c>
      <c r="E63" s="159" t="s">
        <v>227</v>
      </c>
      <c r="F63" s="159"/>
      <c r="G63" s="158" t="s">
        <v>144</v>
      </c>
      <c r="H63" s="161">
        <v>14000000</v>
      </c>
      <c r="I63" s="161"/>
      <c r="J63" s="162">
        <f t="shared" si="1"/>
        <v>15140690</v>
      </c>
      <c r="K63" s="162"/>
    </row>
    <row r="64" spans="1:11" s="142" customFormat="1" ht="19.5" customHeight="1">
      <c r="A64" s="142">
        <f t="shared" si="0"/>
        <v>3</v>
      </c>
      <c r="B64" s="157">
        <v>41334</v>
      </c>
      <c r="C64" s="158" t="s">
        <v>145</v>
      </c>
      <c r="D64" s="157">
        <v>41334</v>
      </c>
      <c r="E64" s="159" t="s">
        <v>507</v>
      </c>
      <c r="F64" s="159"/>
      <c r="G64" s="160" t="s">
        <v>34</v>
      </c>
      <c r="H64" s="161"/>
      <c r="I64" s="161">
        <v>13626140</v>
      </c>
      <c r="J64" s="162">
        <f t="shared" si="1"/>
        <v>1514550</v>
      </c>
      <c r="K64" s="162"/>
    </row>
    <row r="65" spans="1:11" s="142" customFormat="1" ht="19.5" customHeight="1">
      <c r="A65" s="142">
        <f t="shared" si="0"/>
        <v>3</v>
      </c>
      <c r="B65" s="157">
        <v>41334</v>
      </c>
      <c r="C65" s="158" t="s">
        <v>145</v>
      </c>
      <c r="D65" s="157">
        <v>41334</v>
      </c>
      <c r="E65" s="159" t="s">
        <v>508</v>
      </c>
      <c r="F65" s="159"/>
      <c r="G65" s="160" t="s">
        <v>192</v>
      </c>
      <c r="H65" s="161"/>
      <c r="I65" s="161">
        <v>20000</v>
      </c>
      <c r="J65" s="162">
        <f t="shared" si="1"/>
        <v>1494550</v>
      </c>
      <c r="K65" s="162"/>
    </row>
    <row r="66" spans="1:11" s="142" customFormat="1" ht="19.5" customHeight="1">
      <c r="A66" s="142">
        <f t="shared" si="0"/>
        <v>3</v>
      </c>
      <c r="B66" s="157">
        <v>41334</v>
      </c>
      <c r="C66" s="158" t="s">
        <v>145</v>
      </c>
      <c r="D66" s="157">
        <v>41334</v>
      </c>
      <c r="E66" s="159" t="s">
        <v>243</v>
      </c>
      <c r="F66" s="159"/>
      <c r="G66" s="158" t="s">
        <v>35</v>
      </c>
      <c r="H66" s="161"/>
      <c r="I66" s="161">
        <v>2000</v>
      </c>
      <c r="J66" s="162">
        <f t="shared" si="1"/>
        <v>1492550</v>
      </c>
      <c r="K66" s="162"/>
    </row>
    <row r="67" spans="1:11" s="142" customFormat="1" ht="19.5" customHeight="1">
      <c r="A67" s="142">
        <f t="shared" si="0"/>
        <v>3</v>
      </c>
      <c r="B67" s="157">
        <v>41334</v>
      </c>
      <c r="C67" s="158" t="s">
        <v>145</v>
      </c>
      <c r="D67" s="157">
        <v>41334</v>
      </c>
      <c r="E67" s="159" t="s">
        <v>509</v>
      </c>
      <c r="F67" s="159"/>
      <c r="G67" s="158" t="s">
        <v>192</v>
      </c>
      <c r="H67" s="161"/>
      <c r="I67" s="161">
        <v>10000</v>
      </c>
      <c r="J67" s="162">
        <f t="shared" si="1"/>
        <v>1482550</v>
      </c>
      <c r="K67" s="162"/>
    </row>
    <row r="68" spans="1:11" s="142" customFormat="1" ht="19.5" customHeight="1">
      <c r="A68" s="142">
        <f t="shared" si="0"/>
        <v>3</v>
      </c>
      <c r="B68" s="157">
        <v>41334</v>
      </c>
      <c r="C68" s="158" t="s">
        <v>145</v>
      </c>
      <c r="D68" s="157">
        <v>41334</v>
      </c>
      <c r="E68" s="159" t="s">
        <v>510</v>
      </c>
      <c r="F68" s="159"/>
      <c r="G68" s="158" t="s">
        <v>35</v>
      </c>
      <c r="H68" s="161"/>
      <c r="I68" s="161">
        <v>1000</v>
      </c>
      <c r="J68" s="162">
        <f t="shared" si="1"/>
        <v>1481550</v>
      </c>
      <c r="K68" s="162"/>
    </row>
    <row r="69" spans="1:11" s="142" customFormat="1" ht="19.5" customHeight="1">
      <c r="A69" s="142">
        <f t="shared" si="0"/>
        <v>3</v>
      </c>
      <c r="B69" s="157">
        <v>41341</v>
      </c>
      <c r="C69" s="158" t="s">
        <v>486</v>
      </c>
      <c r="D69" s="157">
        <v>41341</v>
      </c>
      <c r="E69" s="159" t="s">
        <v>227</v>
      </c>
      <c r="F69" s="159"/>
      <c r="G69" s="158" t="s">
        <v>144</v>
      </c>
      <c r="H69" s="161">
        <v>44000000</v>
      </c>
      <c r="I69" s="161"/>
      <c r="J69" s="162">
        <f t="shared" si="1"/>
        <v>45481550</v>
      </c>
      <c r="K69" s="162"/>
    </row>
    <row r="70" spans="1:11" s="142" customFormat="1" ht="19.5" customHeight="1">
      <c r="A70" s="142">
        <f t="shared" si="0"/>
        <v>3</v>
      </c>
      <c r="B70" s="157">
        <v>41341</v>
      </c>
      <c r="C70" s="158" t="s">
        <v>145</v>
      </c>
      <c r="D70" s="157">
        <v>41341</v>
      </c>
      <c r="E70" s="159" t="s">
        <v>511</v>
      </c>
      <c r="F70" s="159"/>
      <c r="G70" s="160" t="s">
        <v>147</v>
      </c>
      <c r="H70" s="161">
        <v>929736000</v>
      </c>
      <c r="I70" s="161"/>
      <c r="J70" s="162">
        <f t="shared" si="1"/>
        <v>975217550</v>
      </c>
      <c r="K70" s="162"/>
    </row>
    <row r="71" spans="1:11" s="142" customFormat="1" ht="19.5" customHeight="1">
      <c r="A71" s="142">
        <f t="shared" si="0"/>
        <v>3</v>
      </c>
      <c r="B71" s="157">
        <v>41341</v>
      </c>
      <c r="C71" s="158" t="s">
        <v>145</v>
      </c>
      <c r="D71" s="157">
        <v>41341</v>
      </c>
      <c r="E71" s="159" t="s">
        <v>493</v>
      </c>
      <c r="F71" s="159"/>
      <c r="G71" s="158" t="s">
        <v>56</v>
      </c>
      <c r="H71" s="161"/>
      <c r="I71" s="161">
        <v>95000000</v>
      </c>
      <c r="J71" s="162">
        <f t="shared" si="1"/>
        <v>880217550</v>
      </c>
      <c r="K71" s="162"/>
    </row>
    <row r="72" spans="1:11" s="142" customFormat="1" ht="19.5" customHeight="1">
      <c r="A72" s="142">
        <f t="shared" si="0"/>
        <v>3</v>
      </c>
      <c r="B72" s="157">
        <v>41341</v>
      </c>
      <c r="C72" s="158" t="s">
        <v>145</v>
      </c>
      <c r="D72" s="157">
        <v>41341</v>
      </c>
      <c r="E72" s="159" t="s">
        <v>512</v>
      </c>
      <c r="F72" s="159"/>
      <c r="G72" s="160" t="s">
        <v>34</v>
      </c>
      <c r="H72" s="161"/>
      <c r="I72" s="161">
        <v>15339450</v>
      </c>
      <c r="J72" s="162">
        <f t="shared" si="1"/>
        <v>864878100</v>
      </c>
      <c r="K72" s="162"/>
    </row>
    <row r="73" spans="1:11" s="142" customFormat="1" ht="19.5" customHeight="1">
      <c r="A73" s="142">
        <f t="shared" si="0"/>
        <v>3</v>
      </c>
      <c r="B73" s="157">
        <v>41341</v>
      </c>
      <c r="C73" s="158" t="s">
        <v>145</v>
      </c>
      <c r="D73" s="157">
        <v>41341</v>
      </c>
      <c r="E73" s="159" t="s">
        <v>513</v>
      </c>
      <c r="F73" s="159"/>
      <c r="G73" s="160" t="s">
        <v>192</v>
      </c>
      <c r="H73" s="161"/>
      <c r="I73" s="161">
        <v>10000</v>
      </c>
      <c r="J73" s="162">
        <f t="shared" si="1"/>
        <v>864868100</v>
      </c>
      <c r="K73" s="162"/>
    </row>
    <row r="74" spans="1:11" s="142" customFormat="1" ht="19.5" customHeight="1">
      <c r="A74" s="142">
        <f t="shared" si="0"/>
        <v>3</v>
      </c>
      <c r="B74" s="157">
        <v>41341</v>
      </c>
      <c r="C74" s="158" t="s">
        <v>145</v>
      </c>
      <c r="D74" s="157">
        <v>41341</v>
      </c>
      <c r="E74" s="159" t="s">
        <v>510</v>
      </c>
      <c r="F74" s="159"/>
      <c r="G74" s="160" t="s">
        <v>35</v>
      </c>
      <c r="H74" s="161"/>
      <c r="I74" s="161">
        <v>1000</v>
      </c>
      <c r="J74" s="162">
        <f t="shared" si="1"/>
        <v>864867100</v>
      </c>
      <c r="K74" s="162"/>
    </row>
    <row r="75" spans="1:11" s="142" customFormat="1" ht="19.5" customHeight="1">
      <c r="A75" s="142">
        <f t="shared" si="0"/>
        <v>3</v>
      </c>
      <c r="B75" s="157">
        <v>41341</v>
      </c>
      <c r="C75" s="158" t="s">
        <v>145</v>
      </c>
      <c r="D75" s="157">
        <v>41341</v>
      </c>
      <c r="E75" s="159" t="s">
        <v>514</v>
      </c>
      <c r="F75" s="159"/>
      <c r="G75" s="158" t="s">
        <v>34</v>
      </c>
      <c r="H75" s="161"/>
      <c r="I75" s="161">
        <v>18665160</v>
      </c>
      <c r="J75" s="162">
        <f t="shared" si="1"/>
        <v>846201940</v>
      </c>
      <c r="K75" s="162"/>
    </row>
    <row r="76" spans="1:11" s="142" customFormat="1" ht="19.5" customHeight="1">
      <c r="A76" s="142">
        <f t="shared" ref="A76:A139" si="2">IF(B76&lt;&gt;"",MONTH(B76),"")</f>
        <v>3</v>
      </c>
      <c r="B76" s="157">
        <v>41341</v>
      </c>
      <c r="C76" s="158" t="s">
        <v>145</v>
      </c>
      <c r="D76" s="157">
        <v>41341</v>
      </c>
      <c r="E76" s="159" t="s">
        <v>513</v>
      </c>
      <c r="F76" s="159"/>
      <c r="G76" s="158" t="s">
        <v>192</v>
      </c>
      <c r="H76" s="161"/>
      <c r="I76" s="161">
        <v>10000</v>
      </c>
      <c r="J76" s="162">
        <f t="shared" si="1"/>
        <v>846191940</v>
      </c>
      <c r="K76" s="162"/>
    </row>
    <row r="77" spans="1:11" s="142" customFormat="1" ht="19.5" customHeight="1">
      <c r="A77" s="142">
        <f t="shared" si="2"/>
        <v>3</v>
      </c>
      <c r="B77" s="157">
        <v>41341</v>
      </c>
      <c r="C77" s="158" t="s">
        <v>145</v>
      </c>
      <c r="D77" s="157">
        <v>41341</v>
      </c>
      <c r="E77" s="159" t="s">
        <v>510</v>
      </c>
      <c r="F77" s="159"/>
      <c r="G77" s="160" t="s">
        <v>35</v>
      </c>
      <c r="H77" s="161"/>
      <c r="I77" s="161">
        <v>1000</v>
      </c>
      <c r="J77" s="162">
        <f t="shared" ref="J77:J140" si="3">IF(B77&lt;&gt;"",J76+H77-I77,0)</f>
        <v>846190940</v>
      </c>
      <c r="K77" s="162"/>
    </row>
    <row r="78" spans="1:11" s="142" customFormat="1" ht="19.5" customHeight="1">
      <c r="A78" s="142">
        <f t="shared" si="2"/>
        <v>3</v>
      </c>
      <c r="B78" s="157">
        <v>41341</v>
      </c>
      <c r="C78" s="158" t="s">
        <v>145</v>
      </c>
      <c r="D78" s="157">
        <v>41341</v>
      </c>
      <c r="E78" s="159" t="s">
        <v>514</v>
      </c>
      <c r="F78" s="159"/>
      <c r="G78" s="160" t="s">
        <v>34</v>
      </c>
      <c r="H78" s="161"/>
      <c r="I78" s="161">
        <v>64728000</v>
      </c>
      <c r="J78" s="162">
        <f t="shared" si="3"/>
        <v>781462940</v>
      </c>
      <c r="K78" s="162"/>
    </row>
    <row r="79" spans="1:11" s="142" customFormat="1" ht="19.5" customHeight="1">
      <c r="A79" s="142">
        <f t="shared" si="2"/>
        <v>3</v>
      </c>
      <c r="B79" s="157">
        <v>41341</v>
      </c>
      <c r="C79" s="158" t="s">
        <v>145</v>
      </c>
      <c r="D79" s="157">
        <v>41341</v>
      </c>
      <c r="E79" s="159" t="s">
        <v>515</v>
      </c>
      <c r="F79" s="159"/>
      <c r="G79" s="160" t="s">
        <v>192</v>
      </c>
      <c r="H79" s="161"/>
      <c r="I79" s="161">
        <v>10000</v>
      </c>
      <c r="J79" s="162">
        <f t="shared" si="3"/>
        <v>781452940</v>
      </c>
      <c r="K79" s="162"/>
    </row>
    <row r="80" spans="1:11" s="142" customFormat="1" ht="19.5" customHeight="1">
      <c r="A80" s="142">
        <f t="shared" si="2"/>
        <v>3</v>
      </c>
      <c r="B80" s="157">
        <v>41341</v>
      </c>
      <c r="C80" s="158" t="s">
        <v>145</v>
      </c>
      <c r="D80" s="157">
        <v>41341</v>
      </c>
      <c r="E80" s="159" t="s">
        <v>510</v>
      </c>
      <c r="F80" s="159"/>
      <c r="G80" s="158" t="s">
        <v>35</v>
      </c>
      <c r="H80" s="161"/>
      <c r="I80" s="161">
        <v>1000</v>
      </c>
      <c r="J80" s="162">
        <f t="shared" si="3"/>
        <v>781451940</v>
      </c>
      <c r="K80" s="162"/>
    </row>
    <row r="81" spans="1:12" s="142" customFormat="1" ht="19.5" customHeight="1">
      <c r="A81" s="142">
        <f t="shared" si="2"/>
        <v>3</v>
      </c>
      <c r="B81" s="157">
        <v>41341</v>
      </c>
      <c r="C81" s="158" t="s">
        <v>145</v>
      </c>
      <c r="D81" s="157">
        <v>41341</v>
      </c>
      <c r="E81" s="159" t="s">
        <v>516</v>
      </c>
      <c r="F81" s="159"/>
      <c r="G81" s="158" t="s">
        <v>34</v>
      </c>
      <c r="H81" s="161"/>
      <c r="I81" s="161">
        <v>3076641</v>
      </c>
      <c r="J81" s="162">
        <f t="shared" si="3"/>
        <v>778375299</v>
      </c>
      <c r="K81" s="162"/>
    </row>
    <row r="82" spans="1:12" s="142" customFormat="1" ht="19.5" customHeight="1">
      <c r="A82" s="142">
        <f t="shared" si="2"/>
        <v>3</v>
      </c>
      <c r="B82" s="157">
        <v>41341</v>
      </c>
      <c r="C82" s="158" t="s">
        <v>145</v>
      </c>
      <c r="D82" s="157">
        <v>41341</v>
      </c>
      <c r="E82" s="159" t="s">
        <v>187</v>
      </c>
      <c r="F82" s="159"/>
      <c r="G82" s="160" t="s">
        <v>192</v>
      </c>
      <c r="H82" s="161"/>
      <c r="I82" s="161">
        <v>20000</v>
      </c>
      <c r="J82" s="162">
        <f t="shared" si="3"/>
        <v>778355299</v>
      </c>
      <c r="K82" s="162"/>
    </row>
    <row r="83" spans="1:12" s="142" customFormat="1" ht="19.5" customHeight="1">
      <c r="A83" s="142">
        <f t="shared" si="2"/>
        <v>3</v>
      </c>
      <c r="B83" s="157">
        <v>41341</v>
      </c>
      <c r="C83" s="158" t="s">
        <v>145</v>
      </c>
      <c r="D83" s="157">
        <v>41341</v>
      </c>
      <c r="E83" s="159" t="s">
        <v>188</v>
      </c>
      <c r="F83" s="159"/>
      <c r="G83" s="160" t="s">
        <v>35</v>
      </c>
      <c r="H83" s="161"/>
      <c r="I83" s="161">
        <v>2000</v>
      </c>
      <c r="J83" s="162">
        <f t="shared" si="3"/>
        <v>778353299</v>
      </c>
      <c r="K83" s="162"/>
      <c r="L83" s="155"/>
    </row>
    <row r="84" spans="1:12" s="142" customFormat="1" ht="19.5" customHeight="1">
      <c r="A84" s="142">
        <f t="shared" si="2"/>
        <v>3</v>
      </c>
      <c r="B84" s="157">
        <v>41341</v>
      </c>
      <c r="C84" s="158" t="s">
        <v>145</v>
      </c>
      <c r="D84" s="157">
        <v>41341</v>
      </c>
      <c r="E84" s="159" t="s">
        <v>517</v>
      </c>
      <c r="F84" s="159"/>
      <c r="G84" s="160" t="s">
        <v>34</v>
      </c>
      <c r="H84" s="161"/>
      <c r="I84" s="161">
        <v>2820000</v>
      </c>
      <c r="J84" s="162">
        <f t="shared" si="3"/>
        <v>775533299</v>
      </c>
      <c r="K84" s="162"/>
    </row>
    <row r="85" spans="1:12" s="142" customFormat="1" ht="19.5" customHeight="1">
      <c r="A85" s="142">
        <f t="shared" si="2"/>
        <v>3</v>
      </c>
      <c r="B85" s="157">
        <v>41341</v>
      </c>
      <c r="C85" s="158" t="s">
        <v>145</v>
      </c>
      <c r="D85" s="157">
        <v>41341</v>
      </c>
      <c r="E85" s="159" t="s">
        <v>187</v>
      </c>
      <c r="F85" s="159"/>
      <c r="G85" s="160" t="s">
        <v>192</v>
      </c>
      <c r="H85" s="161"/>
      <c r="I85" s="161">
        <v>10000</v>
      </c>
      <c r="J85" s="162">
        <f t="shared" si="3"/>
        <v>775523299</v>
      </c>
      <c r="K85" s="162"/>
    </row>
    <row r="86" spans="1:12" s="142" customFormat="1" ht="19.5" customHeight="1">
      <c r="A86" s="142">
        <f t="shared" si="2"/>
        <v>3</v>
      </c>
      <c r="B86" s="157">
        <v>41341</v>
      </c>
      <c r="C86" s="158" t="s">
        <v>145</v>
      </c>
      <c r="D86" s="157">
        <v>41341</v>
      </c>
      <c r="E86" s="159" t="s">
        <v>188</v>
      </c>
      <c r="F86" s="159"/>
      <c r="G86" s="160" t="s">
        <v>35</v>
      </c>
      <c r="H86" s="161"/>
      <c r="I86" s="161">
        <v>1000</v>
      </c>
      <c r="J86" s="162">
        <f t="shared" si="3"/>
        <v>775522299</v>
      </c>
      <c r="K86" s="162"/>
    </row>
    <row r="87" spans="1:12" s="142" customFormat="1" ht="19.5" customHeight="1">
      <c r="A87" s="142">
        <f t="shared" si="2"/>
        <v>3</v>
      </c>
      <c r="B87" s="157">
        <v>41341</v>
      </c>
      <c r="C87" s="158" t="s">
        <v>484</v>
      </c>
      <c r="D87" s="157">
        <v>41341</v>
      </c>
      <c r="E87" s="159" t="s">
        <v>518</v>
      </c>
      <c r="F87" s="159"/>
      <c r="G87" s="160" t="s">
        <v>144</v>
      </c>
      <c r="H87" s="161"/>
      <c r="I87" s="161">
        <v>775000000</v>
      </c>
      <c r="J87" s="162">
        <f t="shared" si="3"/>
        <v>522299</v>
      </c>
      <c r="K87" s="162"/>
    </row>
    <row r="88" spans="1:12" s="142" customFormat="1" ht="19.5" customHeight="1">
      <c r="A88" s="142">
        <f t="shared" si="2"/>
        <v>3</v>
      </c>
      <c r="B88" s="157">
        <v>41347</v>
      </c>
      <c r="C88" s="158" t="s">
        <v>148</v>
      </c>
      <c r="D88" s="157">
        <v>41347</v>
      </c>
      <c r="E88" s="159" t="s">
        <v>519</v>
      </c>
      <c r="F88" s="159"/>
      <c r="G88" s="158" t="s">
        <v>166</v>
      </c>
      <c r="H88" s="161">
        <v>852000000</v>
      </c>
      <c r="I88" s="161"/>
      <c r="J88" s="162">
        <f t="shared" si="3"/>
        <v>852522299</v>
      </c>
      <c r="K88" s="162"/>
    </row>
    <row r="89" spans="1:12" s="142" customFormat="1" ht="19.5" customHeight="1">
      <c r="A89" s="142">
        <f t="shared" si="2"/>
        <v>3</v>
      </c>
      <c r="B89" s="157">
        <v>41347</v>
      </c>
      <c r="C89" s="158" t="s">
        <v>145</v>
      </c>
      <c r="D89" s="157">
        <v>41347</v>
      </c>
      <c r="E89" s="159" t="s">
        <v>520</v>
      </c>
      <c r="F89" s="159"/>
      <c r="G89" s="160" t="s">
        <v>34</v>
      </c>
      <c r="H89" s="161"/>
      <c r="I89" s="161">
        <v>100000000</v>
      </c>
      <c r="J89" s="162">
        <f t="shared" si="3"/>
        <v>752522299</v>
      </c>
      <c r="K89" s="162"/>
    </row>
    <row r="90" spans="1:12" s="142" customFormat="1" ht="19.5" customHeight="1">
      <c r="A90" s="142">
        <f t="shared" si="2"/>
        <v>3</v>
      </c>
      <c r="B90" s="157">
        <v>41347</v>
      </c>
      <c r="C90" s="158" t="s">
        <v>145</v>
      </c>
      <c r="D90" s="157">
        <v>41347</v>
      </c>
      <c r="E90" s="159" t="s">
        <v>187</v>
      </c>
      <c r="F90" s="159"/>
      <c r="G90" s="158" t="s">
        <v>192</v>
      </c>
      <c r="H90" s="161"/>
      <c r="I90" s="161">
        <v>50000</v>
      </c>
      <c r="J90" s="162">
        <f t="shared" si="3"/>
        <v>752472299</v>
      </c>
      <c r="K90" s="162"/>
    </row>
    <row r="91" spans="1:12" s="142" customFormat="1" ht="19.5" customHeight="1">
      <c r="A91" s="142">
        <f t="shared" si="2"/>
        <v>3</v>
      </c>
      <c r="B91" s="157">
        <v>41347</v>
      </c>
      <c r="C91" s="158" t="s">
        <v>145</v>
      </c>
      <c r="D91" s="157">
        <v>41347</v>
      </c>
      <c r="E91" s="159" t="s">
        <v>188</v>
      </c>
      <c r="F91" s="159"/>
      <c r="G91" s="160" t="s">
        <v>35</v>
      </c>
      <c r="H91" s="161"/>
      <c r="I91" s="161">
        <v>5000</v>
      </c>
      <c r="J91" s="162">
        <f t="shared" si="3"/>
        <v>752467299</v>
      </c>
      <c r="K91" s="162"/>
    </row>
    <row r="92" spans="1:12" s="142" customFormat="1" ht="19.5" customHeight="1">
      <c r="A92" s="142">
        <f t="shared" si="2"/>
        <v>3</v>
      </c>
      <c r="B92" s="157">
        <v>41347</v>
      </c>
      <c r="C92" s="158" t="s">
        <v>145</v>
      </c>
      <c r="D92" s="157">
        <v>41347</v>
      </c>
      <c r="E92" s="159" t="s">
        <v>187</v>
      </c>
      <c r="F92" s="159"/>
      <c r="G92" s="160" t="s">
        <v>192</v>
      </c>
      <c r="H92" s="161"/>
      <c r="I92" s="161">
        <v>10000</v>
      </c>
      <c r="J92" s="162">
        <f t="shared" si="3"/>
        <v>752457299</v>
      </c>
      <c r="K92" s="162"/>
    </row>
    <row r="93" spans="1:12" s="142" customFormat="1" ht="19.5" customHeight="1">
      <c r="A93" s="142">
        <f t="shared" si="2"/>
        <v>3</v>
      </c>
      <c r="B93" s="157">
        <v>41347</v>
      </c>
      <c r="C93" s="158" t="s">
        <v>145</v>
      </c>
      <c r="D93" s="157">
        <v>41347</v>
      </c>
      <c r="E93" s="159" t="s">
        <v>188</v>
      </c>
      <c r="F93" s="159"/>
      <c r="G93" s="158" t="s">
        <v>35</v>
      </c>
      <c r="H93" s="161"/>
      <c r="I93" s="161">
        <v>1000</v>
      </c>
      <c r="J93" s="162">
        <f t="shared" si="3"/>
        <v>752456299</v>
      </c>
      <c r="K93" s="162"/>
    </row>
    <row r="94" spans="1:12" s="142" customFormat="1" ht="19.5" customHeight="1">
      <c r="A94" s="142">
        <f t="shared" si="2"/>
        <v>3</v>
      </c>
      <c r="B94" s="157">
        <v>41347</v>
      </c>
      <c r="C94" s="158" t="s">
        <v>145</v>
      </c>
      <c r="D94" s="157">
        <v>41347</v>
      </c>
      <c r="E94" s="159" t="s">
        <v>521</v>
      </c>
      <c r="F94" s="159"/>
      <c r="G94" s="160" t="s">
        <v>34</v>
      </c>
      <c r="H94" s="161"/>
      <c r="I94" s="161">
        <v>15605810</v>
      </c>
      <c r="J94" s="162">
        <f t="shared" si="3"/>
        <v>736850489</v>
      </c>
      <c r="K94" s="162"/>
    </row>
    <row r="95" spans="1:12" s="142" customFormat="1" ht="19.5" customHeight="1">
      <c r="A95" s="142">
        <f t="shared" si="2"/>
        <v>3</v>
      </c>
      <c r="B95" s="157">
        <v>41347</v>
      </c>
      <c r="C95" s="158" t="s">
        <v>145</v>
      </c>
      <c r="D95" s="157">
        <v>41347</v>
      </c>
      <c r="E95" s="159" t="s">
        <v>522</v>
      </c>
      <c r="F95" s="159"/>
      <c r="G95" s="160" t="s">
        <v>192</v>
      </c>
      <c r="H95" s="161"/>
      <c r="I95" s="161">
        <v>20000</v>
      </c>
      <c r="J95" s="162">
        <f t="shared" si="3"/>
        <v>736830489</v>
      </c>
      <c r="K95" s="162"/>
    </row>
    <row r="96" spans="1:12" s="142" customFormat="1" ht="19.5" customHeight="1">
      <c r="A96" s="142">
        <f t="shared" si="2"/>
        <v>3</v>
      </c>
      <c r="B96" s="157">
        <v>41347</v>
      </c>
      <c r="C96" s="158" t="s">
        <v>145</v>
      </c>
      <c r="D96" s="157">
        <v>41347</v>
      </c>
      <c r="E96" s="159" t="s">
        <v>523</v>
      </c>
      <c r="F96" s="159"/>
      <c r="G96" s="158" t="s">
        <v>35</v>
      </c>
      <c r="H96" s="161"/>
      <c r="I96" s="161">
        <v>2000</v>
      </c>
      <c r="J96" s="162">
        <f t="shared" si="3"/>
        <v>736828489</v>
      </c>
      <c r="K96" s="162"/>
    </row>
    <row r="97" spans="1:11" s="142" customFormat="1" ht="19.5" customHeight="1">
      <c r="A97" s="142">
        <f t="shared" si="2"/>
        <v>3</v>
      </c>
      <c r="B97" s="157">
        <v>41347</v>
      </c>
      <c r="C97" s="158" t="s">
        <v>145</v>
      </c>
      <c r="D97" s="157">
        <v>41347</v>
      </c>
      <c r="E97" s="159" t="s">
        <v>524</v>
      </c>
      <c r="F97" s="159"/>
      <c r="G97" s="160" t="s">
        <v>38</v>
      </c>
      <c r="H97" s="161"/>
      <c r="I97" s="161">
        <v>100000000</v>
      </c>
      <c r="J97" s="162">
        <f t="shared" si="3"/>
        <v>636828489</v>
      </c>
      <c r="K97" s="162"/>
    </row>
    <row r="98" spans="1:11" s="142" customFormat="1" ht="19.5" customHeight="1">
      <c r="A98" s="142">
        <f t="shared" si="2"/>
        <v>3</v>
      </c>
      <c r="B98" s="157">
        <v>41347</v>
      </c>
      <c r="C98" s="158" t="s">
        <v>484</v>
      </c>
      <c r="D98" s="157">
        <v>41347</v>
      </c>
      <c r="E98" s="159" t="s">
        <v>518</v>
      </c>
      <c r="F98" s="159"/>
      <c r="G98" s="160" t="s">
        <v>144</v>
      </c>
      <c r="H98" s="161"/>
      <c r="I98" s="161">
        <v>635000000</v>
      </c>
      <c r="J98" s="162">
        <f t="shared" si="3"/>
        <v>1828489</v>
      </c>
      <c r="K98" s="162"/>
    </row>
    <row r="99" spans="1:11" s="142" customFormat="1" ht="19.5" customHeight="1">
      <c r="A99" s="142">
        <f t="shared" si="2"/>
        <v>3</v>
      </c>
      <c r="B99" s="157">
        <v>41351</v>
      </c>
      <c r="C99" s="158" t="s">
        <v>145</v>
      </c>
      <c r="D99" s="157">
        <v>41351</v>
      </c>
      <c r="E99" s="159" t="s">
        <v>522</v>
      </c>
      <c r="F99" s="159"/>
      <c r="G99" s="158" t="s">
        <v>192</v>
      </c>
      <c r="H99" s="161"/>
      <c r="I99" s="161">
        <v>24000</v>
      </c>
      <c r="J99" s="162">
        <f t="shared" si="3"/>
        <v>1804489</v>
      </c>
      <c r="K99" s="162"/>
    </row>
    <row r="100" spans="1:11" s="142" customFormat="1" ht="19.5" customHeight="1">
      <c r="A100" s="142">
        <f t="shared" si="2"/>
        <v>3</v>
      </c>
      <c r="B100" s="157">
        <v>41351</v>
      </c>
      <c r="C100" s="158" t="s">
        <v>145</v>
      </c>
      <c r="D100" s="157">
        <v>41351</v>
      </c>
      <c r="E100" s="159" t="s">
        <v>523</v>
      </c>
      <c r="F100" s="159"/>
      <c r="G100" s="158" t="s">
        <v>35</v>
      </c>
      <c r="H100" s="161"/>
      <c r="I100" s="161">
        <v>2400</v>
      </c>
      <c r="J100" s="162">
        <f t="shared" si="3"/>
        <v>1802089</v>
      </c>
      <c r="K100" s="162"/>
    </row>
    <row r="101" spans="1:11" s="142" customFormat="1" ht="19.5" customHeight="1">
      <c r="A101" s="142">
        <f t="shared" si="2"/>
        <v>3</v>
      </c>
      <c r="B101" s="157">
        <v>41351</v>
      </c>
      <c r="C101" s="158" t="s">
        <v>145</v>
      </c>
      <c r="D101" s="157">
        <v>41351</v>
      </c>
      <c r="E101" s="159" t="s">
        <v>522</v>
      </c>
      <c r="F101" s="159"/>
      <c r="G101" s="160" t="s">
        <v>192</v>
      </c>
      <c r="H101" s="161"/>
      <c r="I101" s="161">
        <v>24000</v>
      </c>
      <c r="J101" s="162">
        <f t="shared" si="3"/>
        <v>1778089</v>
      </c>
      <c r="K101" s="162"/>
    </row>
    <row r="102" spans="1:11" s="142" customFormat="1" ht="19.5" customHeight="1">
      <c r="A102" s="142">
        <f t="shared" si="2"/>
        <v>3</v>
      </c>
      <c r="B102" s="157">
        <v>41351</v>
      </c>
      <c r="C102" s="158" t="s">
        <v>145</v>
      </c>
      <c r="D102" s="157">
        <v>41351</v>
      </c>
      <c r="E102" s="159" t="s">
        <v>523</v>
      </c>
      <c r="F102" s="159"/>
      <c r="G102" s="158" t="s">
        <v>35</v>
      </c>
      <c r="H102" s="161"/>
      <c r="I102" s="161">
        <v>2400</v>
      </c>
      <c r="J102" s="162">
        <f t="shared" si="3"/>
        <v>1775689</v>
      </c>
      <c r="K102" s="162"/>
    </row>
    <row r="103" spans="1:11" s="142" customFormat="1" ht="19.5" customHeight="1">
      <c r="A103" s="142">
        <f t="shared" si="2"/>
        <v>3</v>
      </c>
      <c r="B103" s="157">
        <v>41351</v>
      </c>
      <c r="C103" s="158" t="s">
        <v>145</v>
      </c>
      <c r="D103" s="157">
        <v>41351</v>
      </c>
      <c r="E103" s="159" t="s">
        <v>522</v>
      </c>
      <c r="F103" s="159"/>
      <c r="G103" s="158" t="s">
        <v>192</v>
      </c>
      <c r="H103" s="161"/>
      <c r="I103" s="161">
        <v>24000</v>
      </c>
      <c r="J103" s="162">
        <f t="shared" si="3"/>
        <v>1751689</v>
      </c>
      <c r="K103" s="162"/>
    </row>
    <row r="104" spans="1:11" s="142" customFormat="1" ht="19.5" customHeight="1">
      <c r="A104" s="142">
        <f t="shared" si="2"/>
        <v>3</v>
      </c>
      <c r="B104" s="157">
        <v>41351</v>
      </c>
      <c r="C104" s="158" t="s">
        <v>145</v>
      </c>
      <c r="D104" s="157">
        <v>41351</v>
      </c>
      <c r="E104" s="159" t="s">
        <v>523</v>
      </c>
      <c r="F104" s="159"/>
      <c r="G104" s="160" t="s">
        <v>35</v>
      </c>
      <c r="H104" s="161"/>
      <c r="I104" s="161">
        <v>2400</v>
      </c>
      <c r="J104" s="162">
        <f t="shared" si="3"/>
        <v>1749289</v>
      </c>
      <c r="K104" s="162"/>
    </row>
    <row r="105" spans="1:11" s="142" customFormat="1" ht="19.5" customHeight="1">
      <c r="A105" s="142">
        <f t="shared" si="2"/>
        <v>3</v>
      </c>
      <c r="B105" s="157">
        <v>41351</v>
      </c>
      <c r="C105" s="158" t="s">
        <v>145</v>
      </c>
      <c r="D105" s="157">
        <v>41351</v>
      </c>
      <c r="E105" s="159" t="s">
        <v>522</v>
      </c>
      <c r="F105" s="159"/>
      <c r="G105" s="158" t="s">
        <v>192</v>
      </c>
      <c r="H105" s="161"/>
      <c r="I105" s="161">
        <v>24000</v>
      </c>
      <c r="J105" s="162">
        <f t="shared" si="3"/>
        <v>1725289</v>
      </c>
      <c r="K105" s="162"/>
    </row>
    <row r="106" spans="1:11" s="142" customFormat="1" ht="19.5" customHeight="1">
      <c r="A106" s="142">
        <f t="shared" si="2"/>
        <v>3</v>
      </c>
      <c r="B106" s="157">
        <v>41351</v>
      </c>
      <c r="C106" s="158" t="s">
        <v>145</v>
      </c>
      <c r="D106" s="157">
        <v>41351</v>
      </c>
      <c r="E106" s="159" t="s">
        <v>523</v>
      </c>
      <c r="F106" s="159"/>
      <c r="G106" s="158" t="s">
        <v>35</v>
      </c>
      <c r="H106" s="161"/>
      <c r="I106" s="161">
        <v>2400</v>
      </c>
      <c r="J106" s="162">
        <f t="shared" si="3"/>
        <v>1722889</v>
      </c>
      <c r="K106" s="162"/>
    </row>
    <row r="107" spans="1:11" s="142" customFormat="1" ht="19.5" customHeight="1">
      <c r="A107" s="142">
        <f t="shared" si="2"/>
        <v>3</v>
      </c>
      <c r="B107" s="157">
        <v>41351</v>
      </c>
      <c r="C107" s="158" t="s">
        <v>145</v>
      </c>
      <c r="D107" s="157">
        <v>41351</v>
      </c>
      <c r="E107" s="159" t="s">
        <v>522</v>
      </c>
      <c r="F107" s="159"/>
      <c r="G107" s="160" t="s">
        <v>192</v>
      </c>
      <c r="H107" s="161"/>
      <c r="I107" s="161">
        <v>24000</v>
      </c>
      <c r="J107" s="162">
        <f t="shared" si="3"/>
        <v>1698889</v>
      </c>
      <c r="K107" s="162"/>
    </row>
    <row r="108" spans="1:11" s="142" customFormat="1" ht="19.5" customHeight="1">
      <c r="A108" s="142">
        <f t="shared" si="2"/>
        <v>3</v>
      </c>
      <c r="B108" s="157">
        <v>41351</v>
      </c>
      <c r="C108" s="158" t="s">
        <v>145</v>
      </c>
      <c r="D108" s="157">
        <v>41351</v>
      </c>
      <c r="E108" s="159" t="s">
        <v>523</v>
      </c>
      <c r="F108" s="159"/>
      <c r="G108" s="158" t="s">
        <v>35</v>
      </c>
      <c r="H108" s="161"/>
      <c r="I108" s="161">
        <v>2400</v>
      </c>
      <c r="J108" s="162">
        <f t="shared" si="3"/>
        <v>1696489</v>
      </c>
      <c r="K108" s="162"/>
    </row>
    <row r="109" spans="1:11" s="142" customFormat="1" ht="19.5" customHeight="1">
      <c r="A109" s="142">
        <f t="shared" si="2"/>
        <v>3</v>
      </c>
      <c r="B109" s="157">
        <v>41351</v>
      </c>
      <c r="C109" s="158" t="s">
        <v>145</v>
      </c>
      <c r="D109" s="157">
        <v>41351</v>
      </c>
      <c r="E109" s="159" t="s">
        <v>522</v>
      </c>
      <c r="F109" s="159"/>
      <c r="G109" s="158" t="s">
        <v>192</v>
      </c>
      <c r="H109" s="161"/>
      <c r="I109" s="161">
        <v>24000</v>
      </c>
      <c r="J109" s="162">
        <f t="shared" si="3"/>
        <v>1672489</v>
      </c>
      <c r="K109" s="162"/>
    </row>
    <row r="110" spans="1:11" s="142" customFormat="1" ht="19.5" customHeight="1">
      <c r="A110" s="142">
        <f t="shared" si="2"/>
        <v>3</v>
      </c>
      <c r="B110" s="157">
        <v>41351</v>
      </c>
      <c r="C110" s="158" t="s">
        <v>145</v>
      </c>
      <c r="D110" s="157">
        <v>41351</v>
      </c>
      <c r="E110" s="159" t="s">
        <v>523</v>
      </c>
      <c r="F110" s="159"/>
      <c r="G110" s="160" t="s">
        <v>35</v>
      </c>
      <c r="H110" s="161"/>
      <c r="I110" s="161">
        <v>2400</v>
      </c>
      <c r="J110" s="162">
        <f t="shared" si="3"/>
        <v>1670089</v>
      </c>
      <c r="K110" s="162"/>
    </row>
    <row r="111" spans="1:11" s="142" customFormat="1" ht="19.5" customHeight="1">
      <c r="A111" s="142">
        <f t="shared" si="2"/>
        <v>3</v>
      </c>
      <c r="B111" s="157">
        <v>41354</v>
      </c>
      <c r="C111" s="158" t="s">
        <v>148</v>
      </c>
      <c r="D111" s="157">
        <v>41354</v>
      </c>
      <c r="E111" s="159" t="s">
        <v>525</v>
      </c>
      <c r="F111" s="159"/>
      <c r="G111" s="158" t="s">
        <v>56</v>
      </c>
      <c r="H111" s="161">
        <v>30000000</v>
      </c>
      <c r="I111" s="161"/>
      <c r="J111" s="162">
        <f t="shared" si="3"/>
        <v>31670089</v>
      </c>
      <c r="K111" s="162"/>
    </row>
    <row r="112" spans="1:11" s="142" customFormat="1" ht="19.5" customHeight="1">
      <c r="A112" s="142">
        <f t="shared" si="2"/>
        <v>3</v>
      </c>
      <c r="B112" s="157">
        <v>41354</v>
      </c>
      <c r="C112" s="158" t="s">
        <v>486</v>
      </c>
      <c r="D112" s="157">
        <v>41354</v>
      </c>
      <c r="E112" s="159" t="s">
        <v>336</v>
      </c>
      <c r="F112" s="159"/>
      <c r="G112" s="160" t="s">
        <v>144</v>
      </c>
      <c r="H112" s="161">
        <v>61000000</v>
      </c>
      <c r="I112" s="161"/>
      <c r="J112" s="162">
        <f t="shared" si="3"/>
        <v>92670089</v>
      </c>
      <c r="K112" s="162"/>
    </row>
    <row r="113" spans="1:11" s="142" customFormat="1" ht="19.5" customHeight="1">
      <c r="A113" s="142">
        <f t="shared" si="2"/>
        <v>3</v>
      </c>
      <c r="B113" s="157">
        <v>41354</v>
      </c>
      <c r="C113" s="158" t="s">
        <v>145</v>
      </c>
      <c r="D113" s="157">
        <v>41354</v>
      </c>
      <c r="E113" s="159" t="s">
        <v>511</v>
      </c>
      <c r="F113" s="159"/>
      <c r="G113" s="160" t="s">
        <v>147</v>
      </c>
      <c r="H113" s="161">
        <v>584086500</v>
      </c>
      <c r="I113" s="161"/>
      <c r="J113" s="162">
        <f t="shared" si="3"/>
        <v>676756589</v>
      </c>
      <c r="K113" s="162"/>
    </row>
    <row r="114" spans="1:11" s="142" customFormat="1" ht="19.5" customHeight="1">
      <c r="A114" s="142">
        <f t="shared" si="2"/>
        <v>3</v>
      </c>
      <c r="B114" s="157">
        <v>41354</v>
      </c>
      <c r="C114" s="158" t="s">
        <v>145</v>
      </c>
      <c r="D114" s="157">
        <v>41354</v>
      </c>
      <c r="E114" s="159" t="s">
        <v>526</v>
      </c>
      <c r="F114" s="159"/>
      <c r="G114" s="158" t="s">
        <v>150</v>
      </c>
      <c r="H114" s="161"/>
      <c r="I114" s="161">
        <v>10167277</v>
      </c>
      <c r="J114" s="162">
        <f t="shared" si="3"/>
        <v>666589312</v>
      </c>
      <c r="K114" s="162"/>
    </row>
    <row r="115" spans="1:11" s="142" customFormat="1" ht="19.5" customHeight="1">
      <c r="A115" s="142">
        <f t="shared" si="2"/>
        <v>3</v>
      </c>
      <c r="B115" s="157">
        <v>41354</v>
      </c>
      <c r="C115" s="158" t="s">
        <v>145</v>
      </c>
      <c r="D115" s="157">
        <v>41354</v>
      </c>
      <c r="E115" s="159" t="s">
        <v>527</v>
      </c>
      <c r="F115" s="159"/>
      <c r="G115" s="158" t="s">
        <v>150</v>
      </c>
      <c r="H115" s="161"/>
      <c r="I115" s="161">
        <v>9682472</v>
      </c>
      <c r="J115" s="162">
        <f t="shared" si="3"/>
        <v>656906840</v>
      </c>
      <c r="K115" s="162"/>
    </row>
    <row r="116" spans="1:11" s="142" customFormat="1" ht="19.5" customHeight="1">
      <c r="A116" s="142">
        <f t="shared" si="2"/>
        <v>3</v>
      </c>
      <c r="B116" s="157">
        <v>41354</v>
      </c>
      <c r="C116" s="158" t="s">
        <v>145</v>
      </c>
      <c r="D116" s="157">
        <v>41354</v>
      </c>
      <c r="E116" s="159" t="s">
        <v>528</v>
      </c>
      <c r="F116" s="159"/>
      <c r="G116" s="160" t="s">
        <v>150</v>
      </c>
      <c r="H116" s="161"/>
      <c r="I116" s="161">
        <v>10653339</v>
      </c>
      <c r="J116" s="162">
        <f t="shared" si="3"/>
        <v>646253501</v>
      </c>
      <c r="K116" s="162"/>
    </row>
    <row r="117" spans="1:11" s="142" customFormat="1" ht="19.5" customHeight="1">
      <c r="A117" s="142">
        <f t="shared" si="2"/>
        <v>3</v>
      </c>
      <c r="B117" s="157">
        <v>41354</v>
      </c>
      <c r="C117" s="158" t="s">
        <v>145</v>
      </c>
      <c r="D117" s="157">
        <v>41354</v>
      </c>
      <c r="E117" s="159" t="s">
        <v>529</v>
      </c>
      <c r="F117" s="159"/>
      <c r="G117" s="160" t="s">
        <v>34</v>
      </c>
      <c r="H117" s="161"/>
      <c r="I117" s="161">
        <v>61000000</v>
      </c>
      <c r="J117" s="162">
        <f t="shared" si="3"/>
        <v>585253501</v>
      </c>
      <c r="K117" s="162"/>
    </row>
    <row r="118" spans="1:11" s="142" customFormat="1" ht="19.5" customHeight="1">
      <c r="A118" s="142">
        <f t="shared" si="2"/>
        <v>3</v>
      </c>
      <c r="B118" s="157">
        <v>41354</v>
      </c>
      <c r="C118" s="158" t="s">
        <v>145</v>
      </c>
      <c r="D118" s="157">
        <v>41354</v>
      </c>
      <c r="E118" s="159" t="s">
        <v>187</v>
      </c>
      <c r="F118" s="159"/>
      <c r="G118" s="158" t="s">
        <v>192</v>
      </c>
      <c r="H118" s="161"/>
      <c r="I118" s="161">
        <v>10000</v>
      </c>
      <c r="J118" s="162">
        <f t="shared" si="3"/>
        <v>585243501</v>
      </c>
      <c r="K118" s="162"/>
    </row>
    <row r="119" spans="1:11" s="142" customFormat="1" ht="19.5" customHeight="1">
      <c r="A119" s="142">
        <f t="shared" si="2"/>
        <v>3</v>
      </c>
      <c r="B119" s="157">
        <v>41354</v>
      </c>
      <c r="C119" s="158" t="s">
        <v>145</v>
      </c>
      <c r="D119" s="157">
        <v>41354</v>
      </c>
      <c r="E119" s="159" t="s">
        <v>188</v>
      </c>
      <c r="F119" s="159"/>
      <c r="G119" s="160" t="s">
        <v>35</v>
      </c>
      <c r="H119" s="161"/>
      <c r="I119" s="161">
        <v>1000</v>
      </c>
      <c r="J119" s="162">
        <f t="shared" si="3"/>
        <v>585242501</v>
      </c>
      <c r="K119" s="162"/>
    </row>
    <row r="120" spans="1:11" s="142" customFormat="1" ht="19.5" customHeight="1">
      <c r="A120" s="142">
        <f t="shared" si="2"/>
        <v>3</v>
      </c>
      <c r="B120" s="157">
        <v>41355</v>
      </c>
      <c r="C120" s="158" t="s">
        <v>145</v>
      </c>
      <c r="D120" s="157">
        <v>41355</v>
      </c>
      <c r="E120" s="159" t="s">
        <v>530</v>
      </c>
      <c r="F120" s="159"/>
      <c r="G120" s="160" t="s">
        <v>34</v>
      </c>
      <c r="H120" s="161"/>
      <c r="I120" s="161">
        <v>10823010</v>
      </c>
      <c r="J120" s="162">
        <f t="shared" si="3"/>
        <v>574419491</v>
      </c>
      <c r="K120" s="162"/>
    </row>
    <row r="121" spans="1:11" s="142" customFormat="1" ht="19.5" customHeight="1">
      <c r="A121" s="142">
        <f t="shared" si="2"/>
        <v>3</v>
      </c>
      <c r="B121" s="157">
        <v>41355</v>
      </c>
      <c r="C121" s="158" t="s">
        <v>145</v>
      </c>
      <c r="D121" s="157">
        <v>41355</v>
      </c>
      <c r="E121" s="159" t="s">
        <v>187</v>
      </c>
      <c r="F121" s="159"/>
      <c r="G121" s="158" t="s">
        <v>192</v>
      </c>
      <c r="H121" s="161"/>
      <c r="I121" s="161">
        <v>30000</v>
      </c>
      <c r="J121" s="162">
        <f t="shared" si="3"/>
        <v>574389491</v>
      </c>
      <c r="K121" s="162"/>
    </row>
    <row r="122" spans="1:11" s="142" customFormat="1" ht="19.5" customHeight="1">
      <c r="A122" s="142">
        <f t="shared" si="2"/>
        <v>3</v>
      </c>
      <c r="B122" s="157">
        <v>41355</v>
      </c>
      <c r="C122" s="158" t="s">
        <v>145</v>
      </c>
      <c r="D122" s="157">
        <v>41355</v>
      </c>
      <c r="E122" s="159" t="s">
        <v>188</v>
      </c>
      <c r="F122" s="159"/>
      <c r="G122" s="158" t="s">
        <v>35</v>
      </c>
      <c r="H122" s="161"/>
      <c r="I122" s="161">
        <v>3000</v>
      </c>
      <c r="J122" s="162">
        <f t="shared" si="3"/>
        <v>574386491</v>
      </c>
      <c r="K122" s="162"/>
    </row>
    <row r="123" spans="1:11" s="142" customFormat="1" ht="19.5" customHeight="1">
      <c r="A123" s="142">
        <f t="shared" si="2"/>
        <v>3</v>
      </c>
      <c r="B123" s="157">
        <v>41355</v>
      </c>
      <c r="C123" s="158" t="s">
        <v>484</v>
      </c>
      <c r="D123" s="157">
        <v>41355</v>
      </c>
      <c r="E123" s="159" t="s">
        <v>518</v>
      </c>
      <c r="F123" s="159"/>
      <c r="G123" s="158" t="s">
        <v>144</v>
      </c>
      <c r="H123" s="161"/>
      <c r="I123" s="161">
        <v>573000000</v>
      </c>
      <c r="J123" s="162">
        <f t="shared" si="3"/>
        <v>1386491</v>
      </c>
      <c r="K123" s="162"/>
    </row>
    <row r="124" spans="1:11" s="142" customFormat="1" ht="19.5" customHeight="1">
      <c r="A124" s="142">
        <f t="shared" si="2"/>
        <v>3</v>
      </c>
      <c r="B124" s="157">
        <v>41356</v>
      </c>
      <c r="C124" s="158" t="s">
        <v>148</v>
      </c>
      <c r="D124" s="157">
        <v>41356</v>
      </c>
      <c r="E124" s="159" t="s">
        <v>531</v>
      </c>
      <c r="F124" s="159"/>
      <c r="G124" s="160" t="s">
        <v>158</v>
      </c>
      <c r="H124" s="161">
        <v>18904</v>
      </c>
      <c r="I124" s="161"/>
      <c r="J124" s="162">
        <f t="shared" si="3"/>
        <v>1405395</v>
      </c>
      <c r="K124" s="162"/>
    </row>
    <row r="125" spans="1:11" s="142" customFormat="1" ht="19.5" customHeight="1">
      <c r="A125" s="142">
        <f t="shared" si="2"/>
        <v>3</v>
      </c>
      <c r="B125" s="157">
        <v>41359</v>
      </c>
      <c r="C125" s="158" t="s">
        <v>148</v>
      </c>
      <c r="D125" s="157">
        <v>41359</v>
      </c>
      <c r="E125" s="159" t="s">
        <v>532</v>
      </c>
      <c r="F125" s="159"/>
      <c r="G125" s="160" t="s">
        <v>166</v>
      </c>
      <c r="H125" s="161">
        <v>41000000</v>
      </c>
      <c r="I125" s="161"/>
      <c r="J125" s="162">
        <f t="shared" si="3"/>
        <v>42405395</v>
      </c>
      <c r="K125" s="162"/>
    </row>
    <row r="126" spans="1:11" s="142" customFormat="1" ht="19.5" customHeight="1">
      <c r="A126" s="142">
        <f t="shared" si="2"/>
        <v>3</v>
      </c>
      <c r="B126" s="157">
        <v>41359</v>
      </c>
      <c r="C126" s="158" t="s">
        <v>148</v>
      </c>
      <c r="D126" s="157">
        <v>41359</v>
      </c>
      <c r="E126" s="159" t="s">
        <v>533</v>
      </c>
      <c r="F126" s="159"/>
      <c r="G126" s="160" t="s">
        <v>182</v>
      </c>
      <c r="H126" s="161">
        <v>1000000000</v>
      </c>
      <c r="I126" s="161"/>
      <c r="J126" s="162">
        <f t="shared" si="3"/>
        <v>1042405395</v>
      </c>
      <c r="K126" s="162"/>
    </row>
    <row r="127" spans="1:11" s="142" customFormat="1" ht="19.5" customHeight="1">
      <c r="A127" s="142">
        <f t="shared" si="2"/>
        <v>3</v>
      </c>
      <c r="B127" s="157">
        <v>41359</v>
      </c>
      <c r="C127" s="158" t="s">
        <v>148</v>
      </c>
      <c r="D127" s="157">
        <v>41359</v>
      </c>
      <c r="E127" s="159" t="s">
        <v>534</v>
      </c>
      <c r="F127" s="159"/>
      <c r="G127" s="160" t="s">
        <v>147</v>
      </c>
      <c r="H127" s="161"/>
      <c r="I127" s="161">
        <v>1017541500</v>
      </c>
      <c r="J127" s="162">
        <f t="shared" si="3"/>
        <v>24863895</v>
      </c>
      <c r="K127" s="162"/>
    </row>
    <row r="128" spans="1:11" s="142" customFormat="1" ht="19.5" customHeight="1">
      <c r="A128" s="142">
        <f t="shared" si="2"/>
        <v>3</v>
      </c>
      <c r="B128" s="157">
        <v>41359</v>
      </c>
      <c r="C128" s="158" t="s">
        <v>145</v>
      </c>
      <c r="D128" s="157">
        <v>41359</v>
      </c>
      <c r="E128" s="159" t="s">
        <v>535</v>
      </c>
      <c r="F128" s="159"/>
      <c r="G128" s="160" t="s">
        <v>150</v>
      </c>
      <c r="H128" s="161"/>
      <c r="I128" s="161">
        <v>3990801</v>
      </c>
      <c r="J128" s="162">
        <f t="shared" si="3"/>
        <v>20873094</v>
      </c>
      <c r="K128" s="162"/>
    </row>
    <row r="129" spans="1:11" s="142" customFormat="1" ht="19.5" customHeight="1">
      <c r="A129" s="142">
        <f t="shared" si="2"/>
        <v>3</v>
      </c>
      <c r="B129" s="157">
        <v>41360</v>
      </c>
      <c r="C129" s="158" t="s">
        <v>145</v>
      </c>
      <c r="D129" s="157">
        <v>41360</v>
      </c>
      <c r="E129" s="159" t="s">
        <v>536</v>
      </c>
      <c r="F129" s="159"/>
      <c r="G129" s="160" t="s">
        <v>147</v>
      </c>
      <c r="H129" s="161">
        <v>1997238540</v>
      </c>
      <c r="I129" s="161"/>
      <c r="J129" s="162">
        <f t="shared" si="3"/>
        <v>2018111634</v>
      </c>
      <c r="K129" s="162"/>
    </row>
    <row r="130" spans="1:11" s="142" customFormat="1" ht="19.5" customHeight="1">
      <c r="A130" s="142">
        <f t="shared" si="2"/>
        <v>3</v>
      </c>
      <c r="B130" s="157">
        <v>41360</v>
      </c>
      <c r="C130" s="158" t="s">
        <v>145</v>
      </c>
      <c r="D130" s="157">
        <v>41360</v>
      </c>
      <c r="E130" s="159" t="s">
        <v>537</v>
      </c>
      <c r="F130" s="159"/>
      <c r="G130" s="160" t="s">
        <v>192</v>
      </c>
      <c r="H130" s="161"/>
      <c r="I130" s="161">
        <v>30000</v>
      </c>
      <c r="J130" s="162">
        <f t="shared" si="3"/>
        <v>2018081634</v>
      </c>
      <c r="K130" s="162"/>
    </row>
    <row r="131" spans="1:11" s="142" customFormat="1" ht="19.5" customHeight="1">
      <c r="A131" s="142">
        <f t="shared" si="2"/>
        <v>3</v>
      </c>
      <c r="B131" s="157">
        <v>41360</v>
      </c>
      <c r="C131" s="158" t="s">
        <v>145</v>
      </c>
      <c r="D131" s="157">
        <v>41360</v>
      </c>
      <c r="E131" s="159" t="s">
        <v>538</v>
      </c>
      <c r="F131" s="159"/>
      <c r="G131" s="160" t="s">
        <v>35</v>
      </c>
      <c r="H131" s="161"/>
      <c r="I131" s="161">
        <v>3000</v>
      </c>
      <c r="J131" s="162">
        <f t="shared" si="3"/>
        <v>2018078634</v>
      </c>
      <c r="K131" s="162"/>
    </row>
    <row r="132" spans="1:11" s="142" customFormat="1" ht="19.5" customHeight="1">
      <c r="A132" s="142">
        <f t="shared" si="2"/>
        <v>3</v>
      </c>
      <c r="B132" s="157">
        <v>41360</v>
      </c>
      <c r="C132" s="158" t="s">
        <v>145</v>
      </c>
      <c r="D132" s="157">
        <v>41360</v>
      </c>
      <c r="E132" s="159" t="s">
        <v>539</v>
      </c>
      <c r="F132" s="159"/>
      <c r="G132" s="158" t="s">
        <v>34</v>
      </c>
      <c r="H132" s="161"/>
      <c r="I132" s="161">
        <v>2885000</v>
      </c>
      <c r="J132" s="162">
        <f t="shared" si="3"/>
        <v>2015193634</v>
      </c>
      <c r="K132" s="162"/>
    </row>
    <row r="133" spans="1:11" s="142" customFormat="1" ht="19.5" customHeight="1">
      <c r="A133" s="142">
        <f t="shared" si="2"/>
        <v>3</v>
      </c>
      <c r="B133" s="157">
        <v>41360</v>
      </c>
      <c r="C133" s="158" t="s">
        <v>145</v>
      </c>
      <c r="D133" s="157">
        <v>41360</v>
      </c>
      <c r="E133" s="159" t="s">
        <v>537</v>
      </c>
      <c r="F133" s="159"/>
      <c r="G133" s="160" t="s">
        <v>192</v>
      </c>
      <c r="H133" s="161"/>
      <c r="I133" s="161">
        <v>10000</v>
      </c>
      <c r="J133" s="162">
        <f t="shared" si="3"/>
        <v>2015183634</v>
      </c>
      <c r="K133" s="162"/>
    </row>
    <row r="134" spans="1:11" s="142" customFormat="1" ht="19.5" customHeight="1">
      <c r="A134" s="142">
        <f t="shared" si="2"/>
        <v>3</v>
      </c>
      <c r="B134" s="157">
        <v>41360</v>
      </c>
      <c r="C134" s="158" t="s">
        <v>145</v>
      </c>
      <c r="D134" s="157">
        <v>41360</v>
      </c>
      <c r="E134" s="159" t="s">
        <v>538</v>
      </c>
      <c r="F134" s="159"/>
      <c r="G134" s="160" t="s">
        <v>35</v>
      </c>
      <c r="H134" s="161"/>
      <c r="I134" s="161">
        <v>1000</v>
      </c>
      <c r="J134" s="162">
        <f t="shared" si="3"/>
        <v>2015182634</v>
      </c>
      <c r="K134" s="162"/>
    </row>
    <row r="135" spans="1:11" s="142" customFormat="1" ht="19.5" customHeight="1">
      <c r="A135" s="142">
        <f t="shared" si="2"/>
        <v>3</v>
      </c>
      <c r="B135" s="157">
        <v>41360</v>
      </c>
      <c r="C135" s="158" t="s">
        <v>145</v>
      </c>
      <c r="D135" s="157">
        <v>41360</v>
      </c>
      <c r="E135" s="159" t="s">
        <v>539</v>
      </c>
      <c r="F135" s="159"/>
      <c r="G135" s="160" t="s">
        <v>34</v>
      </c>
      <c r="H135" s="161"/>
      <c r="I135" s="161">
        <v>1020000</v>
      </c>
      <c r="J135" s="162">
        <f t="shared" si="3"/>
        <v>2014162634</v>
      </c>
      <c r="K135" s="162"/>
    </row>
    <row r="136" spans="1:11" s="142" customFormat="1" ht="19.5" customHeight="1">
      <c r="A136" s="142">
        <f t="shared" si="2"/>
        <v>3</v>
      </c>
      <c r="B136" s="157">
        <v>41360</v>
      </c>
      <c r="C136" s="158" t="s">
        <v>145</v>
      </c>
      <c r="D136" s="157">
        <v>41360</v>
      </c>
      <c r="E136" s="159" t="s">
        <v>537</v>
      </c>
      <c r="F136" s="159"/>
      <c r="G136" s="160" t="s">
        <v>192</v>
      </c>
      <c r="H136" s="161"/>
      <c r="I136" s="161">
        <v>10000</v>
      </c>
      <c r="J136" s="162">
        <f t="shared" si="3"/>
        <v>2014152634</v>
      </c>
      <c r="K136" s="162"/>
    </row>
    <row r="137" spans="1:11" s="142" customFormat="1" ht="19.5" customHeight="1">
      <c r="A137" s="142">
        <f t="shared" si="2"/>
        <v>3</v>
      </c>
      <c r="B137" s="157">
        <v>41360</v>
      </c>
      <c r="C137" s="158" t="s">
        <v>145</v>
      </c>
      <c r="D137" s="157">
        <v>41360</v>
      </c>
      <c r="E137" s="159" t="s">
        <v>538</v>
      </c>
      <c r="F137" s="159"/>
      <c r="G137" s="160" t="s">
        <v>35</v>
      </c>
      <c r="H137" s="161"/>
      <c r="I137" s="161">
        <v>1000</v>
      </c>
      <c r="J137" s="162">
        <f t="shared" si="3"/>
        <v>2014151634</v>
      </c>
      <c r="K137" s="162"/>
    </row>
    <row r="138" spans="1:11" s="142" customFormat="1" ht="19.5" customHeight="1">
      <c r="A138" s="142">
        <f t="shared" si="2"/>
        <v>3</v>
      </c>
      <c r="B138" s="157">
        <v>41360</v>
      </c>
      <c r="C138" s="158" t="s">
        <v>145</v>
      </c>
      <c r="D138" s="157">
        <v>41360</v>
      </c>
      <c r="E138" s="159" t="s">
        <v>540</v>
      </c>
      <c r="F138" s="159"/>
      <c r="G138" s="160" t="s">
        <v>34</v>
      </c>
      <c r="H138" s="161"/>
      <c r="I138" s="161">
        <v>50000000</v>
      </c>
      <c r="J138" s="162">
        <f t="shared" si="3"/>
        <v>1964151634</v>
      </c>
      <c r="K138" s="162"/>
    </row>
    <row r="139" spans="1:11" s="142" customFormat="1" ht="19.5" customHeight="1">
      <c r="A139" s="142">
        <f t="shared" si="2"/>
        <v>3</v>
      </c>
      <c r="B139" s="157">
        <v>41360</v>
      </c>
      <c r="C139" s="158" t="s">
        <v>145</v>
      </c>
      <c r="D139" s="157">
        <v>41360</v>
      </c>
      <c r="E139" s="159" t="s">
        <v>541</v>
      </c>
      <c r="F139" s="159"/>
      <c r="G139" s="160" t="s">
        <v>192</v>
      </c>
      <c r="H139" s="161"/>
      <c r="I139" s="161">
        <v>25000</v>
      </c>
      <c r="J139" s="162">
        <f t="shared" si="3"/>
        <v>1964126634</v>
      </c>
      <c r="K139" s="162"/>
    </row>
    <row r="140" spans="1:11" s="142" customFormat="1" ht="19.5" customHeight="1">
      <c r="A140" s="142">
        <f t="shared" ref="A140:A203" si="4">IF(B140&lt;&gt;"",MONTH(B140),"")</f>
        <v>3</v>
      </c>
      <c r="B140" s="157">
        <v>41360</v>
      </c>
      <c r="C140" s="158" t="s">
        <v>145</v>
      </c>
      <c r="D140" s="157">
        <v>41360</v>
      </c>
      <c r="E140" s="159" t="s">
        <v>542</v>
      </c>
      <c r="F140" s="159"/>
      <c r="G140" s="160" t="s">
        <v>35</v>
      </c>
      <c r="H140" s="161"/>
      <c r="I140" s="161">
        <v>2500</v>
      </c>
      <c r="J140" s="162">
        <f t="shared" si="3"/>
        <v>1964124134</v>
      </c>
      <c r="K140" s="162"/>
    </row>
    <row r="141" spans="1:11" s="142" customFormat="1" ht="19.5" customHeight="1">
      <c r="A141" s="142">
        <f t="shared" si="4"/>
        <v>3</v>
      </c>
      <c r="B141" s="157">
        <v>41360</v>
      </c>
      <c r="C141" s="158" t="s">
        <v>145</v>
      </c>
      <c r="D141" s="157">
        <v>41360</v>
      </c>
      <c r="E141" s="159" t="s">
        <v>543</v>
      </c>
      <c r="F141" s="159"/>
      <c r="G141" s="160" t="s">
        <v>182</v>
      </c>
      <c r="H141" s="161"/>
      <c r="I141" s="161">
        <v>1000000000</v>
      </c>
      <c r="J141" s="162">
        <f t="shared" ref="J141:J204" si="5">IF(B141&lt;&gt;"",J140+H141-I141,0)</f>
        <v>964124134</v>
      </c>
      <c r="K141" s="162"/>
    </row>
    <row r="142" spans="1:11" s="142" customFormat="1" ht="19.5" customHeight="1">
      <c r="A142" s="142">
        <f t="shared" si="4"/>
        <v>3</v>
      </c>
      <c r="B142" s="157">
        <v>41360</v>
      </c>
      <c r="C142" s="158" t="s">
        <v>145</v>
      </c>
      <c r="D142" s="157">
        <v>41360</v>
      </c>
      <c r="E142" s="159" t="s">
        <v>544</v>
      </c>
      <c r="F142" s="159"/>
      <c r="G142" s="160" t="s">
        <v>38</v>
      </c>
      <c r="H142" s="161"/>
      <c r="I142" s="161">
        <v>32156663</v>
      </c>
      <c r="J142" s="162">
        <f t="shared" si="5"/>
        <v>931967471</v>
      </c>
      <c r="K142" s="162"/>
    </row>
    <row r="143" spans="1:11" s="142" customFormat="1" ht="19.5" customHeight="1">
      <c r="A143" s="142">
        <f t="shared" si="4"/>
        <v>3</v>
      </c>
      <c r="B143" s="157">
        <v>41360</v>
      </c>
      <c r="C143" s="158" t="s">
        <v>145</v>
      </c>
      <c r="D143" s="157">
        <v>41360</v>
      </c>
      <c r="E143" s="159" t="s">
        <v>545</v>
      </c>
      <c r="F143" s="159"/>
      <c r="G143" s="160" t="s">
        <v>156</v>
      </c>
      <c r="H143" s="161"/>
      <c r="I143" s="161">
        <v>19263388</v>
      </c>
      <c r="J143" s="162">
        <f t="shared" si="5"/>
        <v>912704083</v>
      </c>
      <c r="K143" s="162"/>
    </row>
    <row r="144" spans="1:11" s="142" customFormat="1" ht="19.5" customHeight="1">
      <c r="A144" s="142">
        <f t="shared" si="4"/>
        <v>3</v>
      </c>
      <c r="B144" s="157">
        <v>41360</v>
      </c>
      <c r="C144" s="158" t="s">
        <v>145</v>
      </c>
      <c r="D144" s="157">
        <v>41360</v>
      </c>
      <c r="E144" s="159" t="s">
        <v>546</v>
      </c>
      <c r="F144" s="159"/>
      <c r="G144" s="160" t="s">
        <v>231</v>
      </c>
      <c r="H144" s="161"/>
      <c r="I144" s="161">
        <v>8579949</v>
      </c>
      <c r="J144" s="162">
        <f t="shared" si="5"/>
        <v>904124134</v>
      </c>
      <c r="K144" s="162"/>
    </row>
    <row r="145" spans="1:11" s="142" customFormat="1" ht="19.5" customHeight="1">
      <c r="A145" s="142">
        <f t="shared" si="4"/>
        <v>3</v>
      </c>
      <c r="B145" s="157">
        <v>41360</v>
      </c>
      <c r="C145" s="158" t="s">
        <v>484</v>
      </c>
      <c r="D145" s="157">
        <v>41360</v>
      </c>
      <c r="E145" s="159" t="s">
        <v>518</v>
      </c>
      <c r="F145" s="159"/>
      <c r="G145" s="160" t="s">
        <v>144</v>
      </c>
      <c r="H145" s="161"/>
      <c r="I145" s="161">
        <v>903000000</v>
      </c>
      <c r="J145" s="162">
        <f t="shared" si="5"/>
        <v>1124134</v>
      </c>
      <c r="K145" s="162"/>
    </row>
    <row r="146" spans="1:11" s="142" customFormat="1" ht="19.5" customHeight="1">
      <c r="A146" s="142">
        <f t="shared" si="4"/>
        <v>3</v>
      </c>
      <c r="B146" s="157">
        <v>41362</v>
      </c>
      <c r="C146" s="158" t="s">
        <v>145</v>
      </c>
      <c r="D146" s="157">
        <v>41362</v>
      </c>
      <c r="E146" s="159" t="s">
        <v>547</v>
      </c>
      <c r="F146" s="159"/>
      <c r="G146" s="160" t="s">
        <v>192</v>
      </c>
      <c r="H146" s="161"/>
      <c r="I146" s="161">
        <v>314550</v>
      </c>
      <c r="J146" s="162">
        <f t="shared" si="5"/>
        <v>809584</v>
      </c>
      <c r="K146" s="162"/>
    </row>
    <row r="147" spans="1:11" s="142" customFormat="1" ht="19.5" customHeight="1">
      <c r="A147" s="142">
        <f t="shared" si="4"/>
        <v>3</v>
      </c>
      <c r="B147" s="157">
        <v>41362</v>
      </c>
      <c r="C147" s="158" t="s">
        <v>145</v>
      </c>
      <c r="D147" s="157">
        <v>41362</v>
      </c>
      <c r="E147" s="159" t="s">
        <v>548</v>
      </c>
      <c r="F147" s="159"/>
      <c r="G147" s="160" t="s">
        <v>35</v>
      </c>
      <c r="H147" s="161"/>
      <c r="I147" s="161">
        <v>31455</v>
      </c>
      <c r="J147" s="162">
        <f t="shared" si="5"/>
        <v>778129</v>
      </c>
      <c r="K147" s="162"/>
    </row>
    <row r="148" spans="1:11" s="142" customFormat="1" ht="19.5" customHeight="1">
      <c r="A148" s="142">
        <f t="shared" si="4"/>
        <v>4</v>
      </c>
      <c r="B148" s="157">
        <v>41366</v>
      </c>
      <c r="C148" s="158" t="s">
        <v>145</v>
      </c>
      <c r="D148" s="157">
        <v>41366</v>
      </c>
      <c r="E148" s="159" t="s">
        <v>549</v>
      </c>
      <c r="F148" s="159"/>
      <c r="G148" s="160" t="s">
        <v>192</v>
      </c>
      <c r="H148" s="161"/>
      <c r="I148" s="161">
        <v>6000</v>
      </c>
      <c r="J148" s="162">
        <f t="shared" si="5"/>
        <v>772129</v>
      </c>
      <c r="K148" s="162"/>
    </row>
    <row r="149" spans="1:11" s="142" customFormat="1" ht="19.5" customHeight="1">
      <c r="A149" s="142">
        <f t="shared" si="4"/>
        <v>4</v>
      </c>
      <c r="B149" s="157">
        <v>41366</v>
      </c>
      <c r="C149" s="158" t="s">
        <v>145</v>
      </c>
      <c r="D149" s="157">
        <v>41366</v>
      </c>
      <c r="E149" s="159" t="s">
        <v>550</v>
      </c>
      <c r="F149" s="159"/>
      <c r="G149" s="160" t="s">
        <v>35</v>
      </c>
      <c r="H149" s="161"/>
      <c r="I149" s="161">
        <v>600</v>
      </c>
      <c r="J149" s="162">
        <f t="shared" si="5"/>
        <v>771529</v>
      </c>
      <c r="K149" s="162"/>
    </row>
    <row r="150" spans="1:11" s="142" customFormat="1" ht="19.5" customHeight="1">
      <c r="A150" s="142">
        <f t="shared" si="4"/>
        <v>4</v>
      </c>
      <c r="B150" s="157">
        <v>41367</v>
      </c>
      <c r="C150" s="158" t="s">
        <v>486</v>
      </c>
      <c r="D150" s="157">
        <v>41367</v>
      </c>
      <c r="E150" s="159" t="s">
        <v>271</v>
      </c>
      <c r="F150" s="159"/>
      <c r="G150" s="160" t="s">
        <v>144</v>
      </c>
      <c r="H150" s="161">
        <v>1000000000</v>
      </c>
      <c r="I150" s="161"/>
      <c r="J150" s="162">
        <f t="shared" si="5"/>
        <v>1000771529</v>
      </c>
      <c r="K150" s="162"/>
    </row>
    <row r="151" spans="1:11" s="142" customFormat="1" ht="19.5" customHeight="1">
      <c r="A151" s="142">
        <f t="shared" si="4"/>
        <v>4</v>
      </c>
      <c r="B151" s="157">
        <v>41367</v>
      </c>
      <c r="C151" s="158" t="s">
        <v>148</v>
      </c>
      <c r="D151" s="157">
        <v>41367</v>
      </c>
      <c r="E151" s="159" t="s">
        <v>479</v>
      </c>
      <c r="F151" s="159"/>
      <c r="G151" s="160" t="s">
        <v>182</v>
      </c>
      <c r="H151" s="161">
        <v>1000000000</v>
      </c>
      <c r="I151" s="161"/>
      <c r="J151" s="162">
        <f t="shared" si="5"/>
        <v>2000771529</v>
      </c>
      <c r="K151" s="162"/>
    </row>
    <row r="152" spans="1:11" s="142" customFormat="1" ht="19.5" customHeight="1">
      <c r="A152" s="142">
        <f t="shared" si="4"/>
        <v>4</v>
      </c>
      <c r="B152" s="157">
        <v>41367</v>
      </c>
      <c r="C152" s="158" t="s">
        <v>145</v>
      </c>
      <c r="D152" s="157">
        <v>41367</v>
      </c>
      <c r="E152" s="159" t="s">
        <v>482</v>
      </c>
      <c r="F152" s="159"/>
      <c r="G152" s="160" t="s">
        <v>147</v>
      </c>
      <c r="H152" s="161">
        <v>1894165000</v>
      </c>
      <c r="I152" s="161"/>
      <c r="J152" s="162">
        <f t="shared" si="5"/>
        <v>3894936529</v>
      </c>
      <c r="K152" s="162"/>
    </row>
    <row r="153" spans="1:11" s="142" customFormat="1" ht="19.5" customHeight="1">
      <c r="A153" s="142">
        <f t="shared" si="4"/>
        <v>4</v>
      </c>
      <c r="B153" s="157">
        <v>41367</v>
      </c>
      <c r="C153" s="158" t="s">
        <v>148</v>
      </c>
      <c r="D153" s="157">
        <v>41367</v>
      </c>
      <c r="E153" s="159" t="s">
        <v>480</v>
      </c>
      <c r="F153" s="159"/>
      <c r="G153" s="160" t="s">
        <v>147</v>
      </c>
      <c r="H153" s="161"/>
      <c r="I153" s="161">
        <v>1911365500</v>
      </c>
      <c r="J153" s="162">
        <f t="shared" si="5"/>
        <v>1983571029</v>
      </c>
      <c r="K153" s="162"/>
    </row>
    <row r="154" spans="1:11" s="142" customFormat="1" ht="19.5" customHeight="1">
      <c r="A154" s="142">
        <f t="shared" si="4"/>
        <v>4</v>
      </c>
      <c r="B154" s="157">
        <v>41367</v>
      </c>
      <c r="C154" s="158" t="s">
        <v>145</v>
      </c>
      <c r="D154" s="157">
        <v>41367</v>
      </c>
      <c r="E154" s="159" t="s">
        <v>483</v>
      </c>
      <c r="F154" s="159"/>
      <c r="G154" s="158" t="s">
        <v>182</v>
      </c>
      <c r="H154" s="161"/>
      <c r="I154" s="161">
        <v>1000000000</v>
      </c>
      <c r="J154" s="162">
        <f t="shared" si="5"/>
        <v>983571029</v>
      </c>
      <c r="K154" s="162"/>
    </row>
    <row r="155" spans="1:11" s="142" customFormat="1" ht="19.5" customHeight="1">
      <c r="A155" s="142">
        <f t="shared" si="4"/>
        <v>4</v>
      </c>
      <c r="B155" s="157">
        <v>41367</v>
      </c>
      <c r="C155" s="158" t="s">
        <v>145</v>
      </c>
      <c r="D155" s="157">
        <v>41367</v>
      </c>
      <c r="E155" s="159" t="s">
        <v>551</v>
      </c>
      <c r="F155" s="159"/>
      <c r="G155" s="160" t="s">
        <v>34</v>
      </c>
      <c r="H155" s="161"/>
      <c r="I155" s="161">
        <v>12236340</v>
      </c>
      <c r="J155" s="162">
        <f t="shared" si="5"/>
        <v>971334689</v>
      </c>
      <c r="K155" s="162"/>
    </row>
    <row r="156" spans="1:11" s="142" customFormat="1" ht="19.5" customHeight="1">
      <c r="A156" s="142">
        <f t="shared" si="4"/>
        <v>4</v>
      </c>
      <c r="B156" s="157">
        <v>41367</v>
      </c>
      <c r="C156" s="158" t="s">
        <v>145</v>
      </c>
      <c r="D156" s="157">
        <v>41367</v>
      </c>
      <c r="E156" s="159" t="s">
        <v>187</v>
      </c>
      <c r="F156" s="159"/>
      <c r="G156" s="160" t="s">
        <v>192</v>
      </c>
      <c r="H156" s="161"/>
      <c r="I156" s="161">
        <v>20000</v>
      </c>
      <c r="J156" s="162">
        <f t="shared" si="5"/>
        <v>971314689</v>
      </c>
      <c r="K156" s="162"/>
    </row>
    <row r="157" spans="1:11" s="142" customFormat="1" ht="19.5" customHeight="1">
      <c r="A157" s="142">
        <f t="shared" si="4"/>
        <v>4</v>
      </c>
      <c r="B157" s="157">
        <v>41367</v>
      </c>
      <c r="C157" s="158" t="s">
        <v>145</v>
      </c>
      <c r="D157" s="157">
        <v>41367</v>
      </c>
      <c r="E157" s="159" t="s">
        <v>188</v>
      </c>
      <c r="F157" s="159"/>
      <c r="G157" s="160" t="s">
        <v>35</v>
      </c>
      <c r="H157" s="161"/>
      <c r="I157" s="161">
        <v>2000</v>
      </c>
      <c r="J157" s="162">
        <f t="shared" si="5"/>
        <v>971312689</v>
      </c>
      <c r="K157" s="162"/>
    </row>
    <row r="158" spans="1:11" s="142" customFormat="1" ht="19.5" customHeight="1">
      <c r="A158" s="142">
        <f t="shared" si="4"/>
        <v>4</v>
      </c>
      <c r="B158" s="157">
        <v>41367</v>
      </c>
      <c r="C158" s="158" t="s">
        <v>145</v>
      </c>
      <c r="D158" s="157">
        <v>41367</v>
      </c>
      <c r="E158" s="159" t="s">
        <v>552</v>
      </c>
      <c r="F158" s="159"/>
      <c r="G158" s="160" t="s">
        <v>150</v>
      </c>
      <c r="H158" s="161"/>
      <c r="I158" s="161">
        <v>5527091</v>
      </c>
      <c r="J158" s="162">
        <f t="shared" si="5"/>
        <v>965785598</v>
      </c>
      <c r="K158" s="162"/>
    </row>
    <row r="159" spans="1:11" s="142" customFormat="1" ht="19.5" customHeight="1">
      <c r="A159" s="142">
        <f t="shared" si="4"/>
        <v>4</v>
      </c>
      <c r="B159" s="157">
        <v>41367</v>
      </c>
      <c r="C159" s="158" t="s">
        <v>484</v>
      </c>
      <c r="D159" s="157">
        <v>41367</v>
      </c>
      <c r="E159" s="159" t="s">
        <v>485</v>
      </c>
      <c r="F159" s="159"/>
      <c r="G159" s="160" t="s">
        <v>144</v>
      </c>
      <c r="H159" s="161"/>
      <c r="I159" s="161">
        <v>964000000</v>
      </c>
      <c r="J159" s="162">
        <f t="shared" si="5"/>
        <v>1785598</v>
      </c>
      <c r="K159" s="162"/>
    </row>
    <row r="160" spans="1:11" s="142" customFormat="1" ht="19.5" customHeight="1">
      <c r="A160" s="142">
        <f t="shared" si="4"/>
        <v>4</v>
      </c>
      <c r="B160" s="157">
        <v>41369</v>
      </c>
      <c r="C160" s="158" t="s">
        <v>148</v>
      </c>
      <c r="D160" s="157">
        <v>41369</v>
      </c>
      <c r="E160" s="159" t="s">
        <v>491</v>
      </c>
      <c r="F160" s="159"/>
      <c r="G160" s="160" t="s">
        <v>166</v>
      </c>
      <c r="H160" s="161">
        <v>418000000</v>
      </c>
      <c r="I160" s="161"/>
      <c r="J160" s="162">
        <f t="shared" si="5"/>
        <v>419785598</v>
      </c>
      <c r="K160" s="162"/>
    </row>
    <row r="161" spans="1:11" s="142" customFormat="1" ht="19.5" customHeight="1">
      <c r="A161" s="142">
        <f t="shared" si="4"/>
        <v>4</v>
      </c>
      <c r="B161" s="157">
        <v>41369</v>
      </c>
      <c r="C161" s="158" t="s">
        <v>145</v>
      </c>
      <c r="D161" s="157">
        <v>41369</v>
      </c>
      <c r="E161" s="159" t="s">
        <v>497</v>
      </c>
      <c r="F161" s="159"/>
      <c r="G161" s="160" t="s">
        <v>34</v>
      </c>
      <c r="H161" s="161"/>
      <c r="I161" s="161">
        <v>318843000</v>
      </c>
      <c r="J161" s="162">
        <f t="shared" si="5"/>
        <v>100942598</v>
      </c>
      <c r="K161" s="162"/>
    </row>
    <row r="162" spans="1:11" s="142" customFormat="1" ht="19.5" customHeight="1">
      <c r="A162" s="142">
        <f t="shared" si="4"/>
        <v>4</v>
      </c>
      <c r="B162" s="157">
        <v>41369</v>
      </c>
      <c r="C162" s="158" t="s">
        <v>145</v>
      </c>
      <c r="D162" s="157">
        <v>41369</v>
      </c>
      <c r="E162" s="159" t="s">
        <v>187</v>
      </c>
      <c r="F162" s="159"/>
      <c r="G162" s="160" t="s">
        <v>192</v>
      </c>
      <c r="H162" s="161"/>
      <c r="I162" s="161">
        <v>159422</v>
      </c>
      <c r="J162" s="162">
        <f t="shared" si="5"/>
        <v>100783176</v>
      </c>
      <c r="K162" s="162"/>
    </row>
    <row r="163" spans="1:11" s="142" customFormat="1" ht="19.5" customHeight="1">
      <c r="A163" s="142">
        <f t="shared" si="4"/>
        <v>4</v>
      </c>
      <c r="B163" s="157">
        <v>41369</v>
      </c>
      <c r="C163" s="158" t="s">
        <v>145</v>
      </c>
      <c r="D163" s="157">
        <v>41369</v>
      </c>
      <c r="E163" s="159" t="s">
        <v>188</v>
      </c>
      <c r="F163" s="159"/>
      <c r="G163" s="160" t="s">
        <v>35</v>
      </c>
      <c r="H163" s="161"/>
      <c r="I163" s="161">
        <v>15942</v>
      </c>
      <c r="J163" s="162">
        <f t="shared" si="5"/>
        <v>100767234</v>
      </c>
      <c r="K163" s="162"/>
    </row>
    <row r="164" spans="1:11" s="142" customFormat="1" ht="19.5" customHeight="1">
      <c r="A164" s="142">
        <f t="shared" si="4"/>
        <v>4</v>
      </c>
      <c r="B164" s="157">
        <v>41370</v>
      </c>
      <c r="C164" s="158" t="s">
        <v>148</v>
      </c>
      <c r="D164" s="157">
        <v>41370</v>
      </c>
      <c r="E164" s="159" t="s">
        <v>479</v>
      </c>
      <c r="F164" s="159"/>
      <c r="G164" s="160" t="s">
        <v>182</v>
      </c>
      <c r="H164" s="161">
        <v>300000000</v>
      </c>
      <c r="I164" s="161"/>
      <c r="J164" s="162">
        <f t="shared" si="5"/>
        <v>400767234</v>
      </c>
      <c r="K164" s="162"/>
    </row>
    <row r="165" spans="1:11" s="142" customFormat="1" ht="19.5" customHeight="1">
      <c r="A165" s="142">
        <f t="shared" si="4"/>
        <v>4</v>
      </c>
      <c r="B165" s="157">
        <v>41370</v>
      </c>
      <c r="C165" s="158" t="s">
        <v>145</v>
      </c>
      <c r="D165" s="157">
        <v>41370</v>
      </c>
      <c r="E165" s="159" t="s">
        <v>553</v>
      </c>
      <c r="F165" s="159"/>
      <c r="G165" s="160" t="s">
        <v>150</v>
      </c>
      <c r="H165" s="161"/>
      <c r="I165" s="161">
        <v>5345830</v>
      </c>
      <c r="J165" s="162">
        <f t="shared" si="5"/>
        <v>395421404</v>
      </c>
      <c r="K165" s="162"/>
    </row>
    <row r="166" spans="1:11" s="142" customFormat="1" ht="19.5" customHeight="1">
      <c r="A166" s="142">
        <f t="shared" si="4"/>
        <v>4</v>
      </c>
      <c r="B166" s="157">
        <v>41370</v>
      </c>
      <c r="C166" s="158" t="s">
        <v>145</v>
      </c>
      <c r="D166" s="157">
        <v>41370</v>
      </c>
      <c r="E166" s="159" t="s">
        <v>554</v>
      </c>
      <c r="F166" s="159"/>
      <c r="G166" s="160" t="s">
        <v>150</v>
      </c>
      <c r="H166" s="161"/>
      <c r="I166" s="161">
        <v>17338167</v>
      </c>
      <c r="J166" s="162">
        <f t="shared" si="5"/>
        <v>378083237</v>
      </c>
      <c r="K166" s="162"/>
    </row>
    <row r="167" spans="1:11" s="142" customFormat="1" ht="19.5" customHeight="1">
      <c r="A167" s="142">
        <f t="shared" si="4"/>
        <v>4</v>
      </c>
      <c r="B167" s="157">
        <v>41370</v>
      </c>
      <c r="C167" s="158" t="s">
        <v>484</v>
      </c>
      <c r="D167" s="157">
        <v>41370</v>
      </c>
      <c r="E167" s="159" t="s">
        <v>485</v>
      </c>
      <c r="F167" s="159"/>
      <c r="G167" s="160" t="s">
        <v>144</v>
      </c>
      <c r="H167" s="161"/>
      <c r="I167" s="161">
        <v>377000000</v>
      </c>
      <c r="J167" s="162">
        <f t="shared" si="5"/>
        <v>1083237</v>
      </c>
      <c r="K167" s="162"/>
    </row>
    <row r="168" spans="1:11" s="142" customFormat="1" ht="19.5" customHeight="1">
      <c r="A168" s="142">
        <f t="shared" si="4"/>
        <v>4</v>
      </c>
      <c r="B168" s="157">
        <v>41377</v>
      </c>
      <c r="C168" s="158" t="s">
        <v>148</v>
      </c>
      <c r="D168" s="157">
        <v>41377</v>
      </c>
      <c r="E168" s="159" t="s">
        <v>491</v>
      </c>
      <c r="F168" s="159"/>
      <c r="G168" s="160" t="s">
        <v>166</v>
      </c>
      <c r="H168" s="161">
        <v>894000000</v>
      </c>
      <c r="I168" s="161"/>
      <c r="J168" s="162">
        <f t="shared" si="5"/>
        <v>895083237</v>
      </c>
      <c r="K168" s="162"/>
    </row>
    <row r="169" spans="1:11" s="142" customFormat="1" ht="19.5" customHeight="1">
      <c r="A169" s="142">
        <f t="shared" si="4"/>
        <v>4</v>
      </c>
      <c r="B169" s="157">
        <v>41377</v>
      </c>
      <c r="C169" s="158" t="s">
        <v>145</v>
      </c>
      <c r="D169" s="157">
        <v>41377</v>
      </c>
      <c r="E169" s="159" t="s">
        <v>555</v>
      </c>
      <c r="F169" s="159"/>
      <c r="G169" s="160" t="s">
        <v>34</v>
      </c>
      <c r="H169" s="161"/>
      <c r="I169" s="161">
        <v>22086350</v>
      </c>
      <c r="J169" s="162">
        <f t="shared" si="5"/>
        <v>872996887</v>
      </c>
      <c r="K169" s="162"/>
    </row>
    <row r="170" spans="1:11" s="142" customFormat="1" ht="19.5" customHeight="1">
      <c r="A170" s="142">
        <f t="shared" si="4"/>
        <v>4</v>
      </c>
      <c r="B170" s="157">
        <v>41377</v>
      </c>
      <c r="C170" s="158" t="s">
        <v>145</v>
      </c>
      <c r="D170" s="157">
        <v>41377</v>
      </c>
      <c r="E170" s="159" t="s">
        <v>187</v>
      </c>
      <c r="F170" s="159"/>
      <c r="G170" s="160" t="s">
        <v>192</v>
      </c>
      <c r="H170" s="161"/>
      <c r="I170" s="161">
        <v>20000</v>
      </c>
      <c r="J170" s="162">
        <f t="shared" si="5"/>
        <v>872976887</v>
      </c>
      <c r="K170" s="162"/>
    </row>
    <row r="171" spans="1:11" s="142" customFormat="1" ht="19.5" customHeight="1">
      <c r="A171" s="142">
        <f t="shared" si="4"/>
        <v>4</v>
      </c>
      <c r="B171" s="157">
        <v>41377</v>
      </c>
      <c r="C171" s="158" t="s">
        <v>145</v>
      </c>
      <c r="D171" s="157">
        <v>41377</v>
      </c>
      <c r="E171" s="159" t="s">
        <v>188</v>
      </c>
      <c r="F171" s="159"/>
      <c r="G171" s="160" t="s">
        <v>35</v>
      </c>
      <c r="H171" s="161"/>
      <c r="I171" s="161">
        <v>2000</v>
      </c>
      <c r="J171" s="162">
        <f t="shared" si="5"/>
        <v>872974887</v>
      </c>
      <c r="K171" s="162"/>
    </row>
    <row r="172" spans="1:11" s="142" customFormat="1" ht="19.5" customHeight="1">
      <c r="A172" s="142">
        <f t="shared" si="4"/>
        <v>4</v>
      </c>
      <c r="B172" s="157">
        <v>41377</v>
      </c>
      <c r="C172" s="158" t="s">
        <v>145</v>
      </c>
      <c r="D172" s="157">
        <v>41377</v>
      </c>
      <c r="E172" s="159" t="s">
        <v>478</v>
      </c>
      <c r="F172" s="159"/>
      <c r="G172" s="160" t="s">
        <v>34</v>
      </c>
      <c r="H172" s="161"/>
      <c r="I172" s="161">
        <v>50000000</v>
      </c>
      <c r="J172" s="162">
        <f t="shared" si="5"/>
        <v>822974887</v>
      </c>
      <c r="K172" s="162"/>
    </row>
    <row r="173" spans="1:11" s="142" customFormat="1" ht="19.5" customHeight="1">
      <c r="A173" s="142">
        <f t="shared" si="4"/>
        <v>4</v>
      </c>
      <c r="B173" s="157">
        <v>41377</v>
      </c>
      <c r="C173" s="158" t="s">
        <v>145</v>
      </c>
      <c r="D173" s="157">
        <v>41377</v>
      </c>
      <c r="E173" s="159" t="s">
        <v>187</v>
      </c>
      <c r="F173" s="159"/>
      <c r="G173" s="160" t="s">
        <v>192</v>
      </c>
      <c r="H173" s="161"/>
      <c r="I173" s="161">
        <v>25000</v>
      </c>
      <c r="J173" s="162">
        <f t="shared" si="5"/>
        <v>822949887</v>
      </c>
      <c r="K173" s="162"/>
    </row>
    <row r="174" spans="1:11" s="142" customFormat="1" ht="19.5" customHeight="1">
      <c r="A174" s="142">
        <f t="shared" si="4"/>
        <v>4</v>
      </c>
      <c r="B174" s="157">
        <v>41377</v>
      </c>
      <c r="C174" s="158" t="s">
        <v>145</v>
      </c>
      <c r="D174" s="157">
        <v>41377</v>
      </c>
      <c r="E174" s="159" t="s">
        <v>188</v>
      </c>
      <c r="F174" s="159"/>
      <c r="G174" s="160" t="s">
        <v>35</v>
      </c>
      <c r="H174" s="161"/>
      <c r="I174" s="161">
        <v>2500</v>
      </c>
      <c r="J174" s="162">
        <f t="shared" si="5"/>
        <v>822947387</v>
      </c>
      <c r="K174" s="162"/>
    </row>
    <row r="175" spans="1:11" s="142" customFormat="1" ht="19.5" customHeight="1">
      <c r="A175" s="142">
        <f t="shared" si="4"/>
        <v>4</v>
      </c>
      <c r="B175" s="157">
        <v>41377</v>
      </c>
      <c r="C175" s="158" t="s">
        <v>145</v>
      </c>
      <c r="D175" s="157">
        <v>41377</v>
      </c>
      <c r="E175" s="159" t="s">
        <v>556</v>
      </c>
      <c r="F175" s="159"/>
      <c r="G175" s="160" t="s">
        <v>34</v>
      </c>
      <c r="H175" s="161"/>
      <c r="I175" s="161">
        <v>7041000</v>
      </c>
      <c r="J175" s="162">
        <f t="shared" si="5"/>
        <v>815906387</v>
      </c>
      <c r="K175" s="162"/>
    </row>
    <row r="176" spans="1:11" s="142" customFormat="1" ht="19.5" customHeight="1">
      <c r="A176" s="142">
        <f t="shared" si="4"/>
        <v>4</v>
      </c>
      <c r="B176" s="157">
        <v>41377</v>
      </c>
      <c r="C176" s="158" t="s">
        <v>145</v>
      </c>
      <c r="D176" s="157">
        <v>41377</v>
      </c>
      <c r="E176" s="159" t="s">
        <v>187</v>
      </c>
      <c r="F176" s="159"/>
      <c r="G176" s="160" t="s">
        <v>192</v>
      </c>
      <c r="H176" s="161"/>
      <c r="I176" s="161">
        <v>10000</v>
      </c>
      <c r="J176" s="162">
        <f t="shared" si="5"/>
        <v>815896387</v>
      </c>
      <c r="K176" s="162"/>
    </row>
    <row r="177" spans="1:11" s="142" customFormat="1" ht="19.5" customHeight="1">
      <c r="A177" s="142">
        <f t="shared" si="4"/>
        <v>4</v>
      </c>
      <c r="B177" s="157">
        <v>41377</v>
      </c>
      <c r="C177" s="158" t="s">
        <v>145</v>
      </c>
      <c r="D177" s="157">
        <v>41377</v>
      </c>
      <c r="E177" s="159" t="s">
        <v>188</v>
      </c>
      <c r="F177" s="159"/>
      <c r="G177" s="160" t="s">
        <v>35</v>
      </c>
      <c r="H177" s="161"/>
      <c r="I177" s="161">
        <v>1000</v>
      </c>
      <c r="J177" s="162">
        <f t="shared" si="5"/>
        <v>815895387</v>
      </c>
      <c r="K177" s="162"/>
    </row>
    <row r="178" spans="1:11" s="142" customFormat="1" ht="19.5" customHeight="1">
      <c r="A178" s="142">
        <f t="shared" si="4"/>
        <v>4</v>
      </c>
      <c r="B178" s="157">
        <v>41377</v>
      </c>
      <c r="C178" s="158" t="s">
        <v>145</v>
      </c>
      <c r="D178" s="157">
        <v>41377</v>
      </c>
      <c r="E178" s="159" t="s">
        <v>557</v>
      </c>
      <c r="F178" s="159"/>
      <c r="G178" s="160" t="s">
        <v>34</v>
      </c>
      <c r="H178" s="161"/>
      <c r="I178" s="161">
        <v>3170000</v>
      </c>
      <c r="J178" s="162">
        <f t="shared" si="5"/>
        <v>812725387</v>
      </c>
      <c r="K178" s="162"/>
    </row>
    <row r="179" spans="1:11" s="142" customFormat="1" ht="19.5" customHeight="1">
      <c r="A179" s="142">
        <f t="shared" si="4"/>
        <v>4</v>
      </c>
      <c r="B179" s="157">
        <v>41377</v>
      </c>
      <c r="C179" s="158" t="s">
        <v>145</v>
      </c>
      <c r="D179" s="157">
        <v>41377</v>
      </c>
      <c r="E179" s="159" t="s">
        <v>187</v>
      </c>
      <c r="F179" s="159"/>
      <c r="G179" s="160" t="s">
        <v>192</v>
      </c>
      <c r="H179" s="161"/>
      <c r="I179" s="161">
        <v>10000</v>
      </c>
      <c r="J179" s="162">
        <f t="shared" si="5"/>
        <v>812715387</v>
      </c>
      <c r="K179" s="162"/>
    </row>
    <row r="180" spans="1:11" s="142" customFormat="1" ht="19.5" customHeight="1">
      <c r="A180" s="142">
        <f t="shared" si="4"/>
        <v>4</v>
      </c>
      <c r="B180" s="157">
        <v>41377</v>
      </c>
      <c r="C180" s="158" t="s">
        <v>145</v>
      </c>
      <c r="D180" s="157">
        <v>41377</v>
      </c>
      <c r="E180" s="159" t="s">
        <v>188</v>
      </c>
      <c r="F180" s="159"/>
      <c r="G180" s="160" t="s">
        <v>35</v>
      </c>
      <c r="H180" s="161"/>
      <c r="I180" s="161">
        <v>1000</v>
      </c>
      <c r="J180" s="162">
        <f t="shared" si="5"/>
        <v>812714387</v>
      </c>
      <c r="K180" s="162"/>
    </row>
    <row r="181" spans="1:11" s="142" customFormat="1" ht="19.5" customHeight="1">
      <c r="A181" s="142">
        <f t="shared" si="4"/>
        <v>4</v>
      </c>
      <c r="B181" s="157">
        <v>41377</v>
      </c>
      <c r="C181" s="158" t="s">
        <v>145</v>
      </c>
      <c r="D181" s="157">
        <v>41377</v>
      </c>
      <c r="E181" s="159" t="s">
        <v>558</v>
      </c>
      <c r="F181" s="159"/>
      <c r="G181" s="160" t="s">
        <v>34</v>
      </c>
      <c r="H181" s="161"/>
      <c r="I181" s="161">
        <v>180000</v>
      </c>
      <c r="J181" s="162">
        <f t="shared" si="5"/>
        <v>812534387</v>
      </c>
      <c r="K181" s="162"/>
    </row>
    <row r="182" spans="1:11" s="142" customFormat="1" ht="19.5" customHeight="1">
      <c r="A182" s="142">
        <f t="shared" si="4"/>
        <v>4</v>
      </c>
      <c r="B182" s="157">
        <v>41377</v>
      </c>
      <c r="C182" s="158" t="s">
        <v>145</v>
      </c>
      <c r="D182" s="157">
        <v>41377</v>
      </c>
      <c r="E182" s="159" t="s">
        <v>187</v>
      </c>
      <c r="F182" s="159"/>
      <c r="G182" s="160" t="s">
        <v>192</v>
      </c>
      <c r="H182" s="161"/>
      <c r="I182" s="161">
        <v>10000</v>
      </c>
      <c r="J182" s="162">
        <f t="shared" si="5"/>
        <v>812524387</v>
      </c>
      <c r="K182" s="162"/>
    </row>
    <row r="183" spans="1:11" s="142" customFormat="1" ht="19.5" customHeight="1">
      <c r="A183" s="142">
        <f t="shared" si="4"/>
        <v>4</v>
      </c>
      <c r="B183" s="157">
        <v>41377</v>
      </c>
      <c r="C183" s="158" t="s">
        <v>145</v>
      </c>
      <c r="D183" s="157">
        <v>41377</v>
      </c>
      <c r="E183" s="159" t="s">
        <v>188</v>
      </c>
      <c r="F183" s="159"/>
      <c r="G183" s="160" t="s">
        <v>35</v>
      </c>
      <c r="H183" s="161"/>
      <c r="I183" s="161">
        <v>1000</v>
      </c>
      <c r="J183" s="162">
        <f t="shared" si="5"/>
        <v>812523387</v>
      </c>
      <c r="K183" s="162"/>
    </row>
    <row r="184" spans="1:11" s="142" customFormat="1" ht="19.5" customHeight="1">
      <c r="A184" s="142">
        <f t="shared" si="4"/>
        <v>4</v>
      </c>
      <c r="B184" s="157">
        <v>41377</v>
      </c>
      <c r="C184" s="158" t="s">
        <v>484</v>
      </c>
      <c r="D184" s="157">
        <v>41377</v>
      </c>
      <c r="E184" s="159" t="s">
        <v>485</v>
      </c>
      <c r="F184" s="159"/>
      <c r="G184" s="160" t="s">
        <v>144</v>
      </c>
      <c r="H184" s="161"/>
      <c r="I184" s="161">
        <v>750000000</v>
      </c>
      <c r="J184" s="162">
        <f t="shared" si="5"/>
        <v>62523387</v>
      </c>
      <c r="K184" s="162"/>
    </row>
    <row r="185" spans="1:11" s="142" customFormat="1" ht="19.5" customHeight="1">
      <c r="A185" s="142">
        <f t="shared" si="4"/>
        <v>4</v>
      </c>
      <c r="B185" s="157">
        <v>41379</v>
      </c>
      <c r="C185" s="158" t="s">
        <v>145</v>
      </c>
      <c r="D185" s="157">
        <v>41379</v>
      </c>
      <c r="E185" s="159" t="s">
        <v>256</v>
      </c>
      <c r="F185" s="159"/>
      <c r="G185" s="160" t="s">
        <v>192</v>
      </c>
      <c r="H185" s="161"/>
      <c r="I185" s="161">
        <v>104600</v>
      </c>
      <c r="J185" s="162">
        <f t="shared" si="5"/>
        <v>62418787</v>
      </c>
      <c r="K185" s="162"/>
    </row>
    <row r="186" spans="1:11" s="142" customFormat="1" ht="19.5" customHeight="1">
      <c r="A186" s="142">
        <f t="shared" si="4"/>
        <v>4</v>
      </c>
      <c r="B186" s="157">
        <v>41379</v>
      </c>
      <c r="C186" s="158" t="s">
        <v>145</v>
      </c>
      <c r="D186" s="157">
        <v>41379</v>
      </c>
      <c r="E186" s="159" t="s">
        <v>257</v>
      </c>
      <c r="F186" s="159"/>
      <c r="G186" s="160" t="s">
        <v>35</v>
      </c>
      <c r="H186" s="161"/>
      <c r="I186" s="161">
        <v>10460</v>
      </c>
      <c r="J186" s="162">
        <f t="shared" si="5"/>
        <v>62408327</v>
      </c>
      <c r="K186" s="162"/>
    </row>
    <row r="187" spans="1:11" s="142" customFormat="1" ht="19.5" customHeight="1">
      <c r="A187" s="142">
        <f t="shared" si="4"/>
        <v>4</v>
      </c>
      <c r="B187" s="157">
        <v>41380</v>
      </c>
      <c r="C187" s="158" t="s">
        <v>145</v>
      </c>
      <c r="D187" s="157">
        <v>41380</v>
      </c>
      <c r="E187" s="159" t="s">
        <v>482</v>
      </c>
      <c r="F187" s="347"/>
      <c r="G187" s="160" t="s">
        <v>147</v>
      </c>
      <c r="H187" s="161">
        <v>1068603200</v>
      </c>
      <c r="I187" s="161"/>
      <c r="J187" s="162">
        <f t="shared" si="5"/>
        <v>1131011527</v>
      </c>
      <c r="K187" s="162"/>
    </row>
    <row r="188" spans="1:11" s="142" customFormat="1" ht="19.5" customHeight="1">
      <c r="A188" s="142">
        <f t="shared" si="4"/>
        <v>4</v>
      </c>
      <c r="B188" s="157">
        <v>41381</v>
      </c>
      <c r="C188" s="158" t="s">
        <v>148</v>
      </c>
      <c r="D188" s="157">
        <v>41381</v>
      </c>
      <c r="E188" s="159" t="s">
        <v>491</v>
      </c>
      <c r="F188" s="159"/>
      <c r="G188" s="160" t="s">
        <v>166</v>
      </c>
      <c r="H188" s="161">
        <v>538000000</v>
      </c>
      <c r="I188" s="161"/>
      <c r="J188" s="162">
        <f t="shared" si="5"/>
        <v>1669011527</v>
      </c>
      <c r="K188" s="162"/>
    </row>
    <row r="189" spans="1:11" s="142" customFormat="1" ht="19.5" customHeight="1">
      <c r="A189" s="142">
        <f t="shared" si="4"/>
        <v>4</v>
      </c>
      <c r="B189" s="157">
        <v>41381</v>
      </c>
      <c r="C189" s="158" t="s">
        <v>145</v>
      </c>
      <c r="D189" s="157">
        <v>41381</v>
      </c>
      <c r="E189" s="159" t="s">
        <v>482</v>
      </c>
      <c r="F189" s="159"/>
      <c r="G189" s="160" t="s">
        <v>147</v>
      </c>
      <c r="H189" s="161">
        <v>1193104500</v>
      </c>
      <c r="I189" s="161"/>
      <c r="J189" s="162">
        <f t="shared" si="5"/>
        <v>2862116027</v>
      </c>
      <c r="K189" s="162"/>
    </row>
    <row r="190" spans="1:11" s="142" customFormat="1" ht="19.5" customHeight="1">
      <c r="A190" s="142">
        <f t="shared" si="4"/>
        <v>4</v>
      </c>
      <c r="B190" s="157">
        <v>41381</v>
      </c>
      <c r="C190" s="158" t="s">
        <v>484</v>
      </c>
      <c r="D190" s="157">
        <v>41381</v>
      </c>
      <c r="E190" s="159" t="s">
        <v>485</v>
      </c>
      <c r="F190" s="159"/>
      <c r="G190" s="160" t="s">
        <v>144</v>
      </c>
      <c r="H190" s="161"/>
      <c r="I190" s="161">
        <v>1668000000</v>
      </c>
      <c r="J190" s="162">
        <f t="shared" si="5"/>
        <v>1194116027</v>
      </c>
      <c r="K190" s="162"/>
    </row>
    <row r="191" spans="1:11" s="142" customFormat="1" ht="19.5" customHeight="1">
      <c r="A191" s="142">
        <f t="shared" si="4"/>
        <v>4</v>
      </c>
      <c r="B191" s="157">
        <v>41382</v>
      </c>
      <c r="C191" s="158" t="s">
        <v>145</v>
      </c>
      <c r="D191" s="157">
        <v>41382</v>
      </c>
      <c r="E191" s="159" t="s">
        <v>559</v>
      </c>
      <c r="F191" s="159"/>
      <c r="G191" s="160" t="s">
        <v>150</v>
      </c>
      <c r="H191" s="161"/>
      <c r="I191" s="161">
        <v>11768311</v>
      </c>
      <c r="J191" s="162">
        <f t="shared" si="5"/>
        <v>1182347716</v>
      </c>
      <c r="K191" s="162"/>
    </row>
    <row r="192" spans="1:11" s="142" customFormat="1" ht="19.5" customHeight="1">
      <c r="A192" s="142">
        <f t="shared" si="4"/>
        <v>4</v>
      </c>
      <c r="B192" s="157">
        <v>41382</v>
      </c>
      <c r="C192" s="158" t="s">
        <v>484</v>
      </c>
      <c r="D192" s="157">
        <v>41382</v>
      </c>
      <c r="E192" s="159" t="s">
        <v>485</v>
      </c>
      <c r="F192" s="159"/>
      <c r="G192" s="160" t="s">
        <v>144</v>
      </c>
      <c r="H192" s="161"/>
      <c r="I192" s="161">
        <v>1162000000</v>
      </c>
      <c r="J192" s="162">
        <f t="shared" si="5"/>
        <v>20347716</v>
      </c>
      <c r="K192" s="162"/>
    </row>
    <row r="193" spans="1:11" s="142" customFormat="1" ht="19.5" customHeight="1">
      <c r="A193" s="142">
        <f t="shared" si="4"/>
        <v>4</v>
      </c>
      <c r="B193" s="157">
        <v>41388</v>
      </c>
      <c r="C193" s="158" t="s">
        <v>148</v>
      </c>
      <c r="D193" s="157">
        <v>41388</v>
      </c>
      <c r="E193" s="159" t="s">
        <v>496</v>
      </c>
      <c r="F193" s="159"/>
      <c r="G193" s="160" t="s">
        <v>158</v>
      </c>
      <c r="H193" s="161">
        <v>77688</v>
      </c>
      <c r="I193" s="161"/>
      <c r="J193" s="162">
        <f t="shared" si="5"/>
        <v>20425404</v>
      </c>
      <c r="K193" s="162"/>
    </row>
    <row r="194" spans="1:11" s="142" customFormat="1" ht="19.5" customHeight="1">
      <c r="A194" s="142">
        <f t="shared" si="4"/>
        <v>4</v>
      </c>
      <c r="B194" s="157">
        <v>41389</v>
      </c>
      <c r="C194" s="158" t="s">
        <v>486</v>
      </c>
      <c r="D194" s="157">
        <v>41389</v>
      </c>
      <c r="E194" s="159" t="s">
        <v>271</v>
      </c>
      <c r="F194" s="159"/>
      <c r="G194" s="160" t="s">
        <v>144</v>
      </c>
      <c r="H194" s="161">
        <v>40000000</v>
      </c>
      <c r="I194" s="161"/>
      <c r="J194" s="162">
        <f t="shared" si="5"/>
        <v>60425404</v>
      </c>
      <c r="K194" s="162"/>
    </row>
    <row r="195" spans="1:11" s="142" customFormat="1" ht="19.5" customHeight="1">
      <c r="A195" s="142">
        <f t="shared" si="4"/>
        <v>4</v>
      </c>
      <c r="B195" s="157">
        <v>41389</v>
      </c>
      <c r="C195" s="158" t="s">
        <v>145</v>
      </c>
      <c r="D195" s="157">
        <v>41389</v>
      </c>
      <c r="E195" s="159" t="s">
        <v>512</v>
      </c>
      <c r="F195" s="159"/>
      <c r="G195" s="160" t="s">
        <v>34</v>
      </c>
      <c r="H195" s="161"/>
      <c r="I195" s="161">
        <v>28571695</v>
      </c>
      <c r="J195" s="162">
        <f t="shared" si="5"/>
        <v>31853709</v>
      </c>
      <c r="K195" s="162"/>
    </row>
    <row r="196" spans="1:11" s="142" customFormat="1" ht="19.5" customHeight="1">
      <c r="A196" s="142">
        <f t="shared" si="4"/>
        <v>4</v>
      </c>
      <c r="B196" s="157">
        <v>41389</v>
      </c>
      <c r="C196" s="158" t="s">
        <v>145</v>
      </c>
      <c r="D196" s="157">
        <v>41389</v>
      </c>
      <c r="E196" s="159" t="s">
        <v>187</v>
      </c>
      <c r="F196" s="159"/>
      <c r="G196" s="160" t="s">
        <v>192</v>
      </c>
      <c r="H196" s="161"/>
      <c r="I196" s="161">
        <v>10000</v>
      </c>
      <c r="J196" s="162">
        <f t="shared" si="5"/>
        <v>31843709</v>
      </c>
      <c r="K196" s="162"/>
    </row>
    <row r="197" spans="1:11" s="142" customFormat="1" ht="19.5" customHeight="1">
      <c r="A197" s="142">
        <f t="shared" si="4"/>
        <v>4</v>
      </c>
      <c r="B197" s="157">
        <v>41389</v>
      </c>
      <c r="C197" s="158" t="s">
        <v>145</v>
      </c>
      <c r="D197" s="157">
        <v>41389</v>
      </c>
      <c r="E197" s="159" t="s">
        <v>188</v>
      </c>
      <c r="F197" s="159"/>
      <c r="G197" s="160" t="s">
        <v>35</v>
      </c>
      <c r="H197" s="161"/>
      <c r="I197" s="161">
        <v>1000</v>
      </c>
      <c r="J197" s="162">
        <f t="shared" si="5"/>
        <v>31842709</v>
      </c>
      <c r="K197" s="162"/>
    </row>
    <row r="198" spans="1:11" s="142" customFormat="1" ht="19.5" customHeight="1">
      <c r="A198" s="142">
        <f t="shared" si="4"/>
        <v>4</v>
      </c>
      <c r="B198" s="157">
        <v>41389</v>
      </c>
      <c r="C198" s="158" t="s">
        <v>145</v>
      </c>
      <c r="D198" s="157">
        <v>41389</v>
      </c>
      <c r="E198" s="159" t="s">
        <v>560</v>
      </c>
      <c r="F198" s="159"/>
      <c r="G198" s="160" t="s">
        <v>34</v>
      </c>
      <c r="H198" s="161"/>
      <c r="I198" s="161">
        <v>14100000</v>
      </c>
      <c r="J198" s="162">
        <f t="shared" si="5"/>
        <v>17742709</v>
      </c>
      <c r="K198" s="162"/>
    </row>
    <row r="199" spans="1:11" s="142" customFormat="1" ht="19.5" customHeight="1">
      <c r="A199" s="142">
        <f t="shared" si="4"/>
        <v>4</v>
      </c>
      <c r="B199" s="157">
        <v>41389</v>
      </c>
      <c r="C199" s="158" t="s">
        <v>145</v>
      </c>
      <c r="D199" s="157">
        <v>41389</v>
      </c>
      <c r="E199" s="159" t="s">
        <v>187</v>
      </c>
      <c r="F199" s="159"/>
      <c r="G199" s="160" t="s">
        <v>192</v>
      </c>
      <c r="H199" s="161"/>
      <c r="I199" s="161">
        <v>10000</v>
      </c>
      <c r="J199" s="162">
        <f t="shared" si="5"/>
        <v>17732709</v>
      </c>
      <c r="K199" s="162"/>
    </row>
    <row r="200" spans="1:11" s="142" customFormat="1" ht="19.5" customHeight="1">
      <c r="A200" s="142">
        <f t="shared" si="4"/>
        <v>4</v>
      </c>
      <c r="B200" s="157">
        <v>41389</v>
      </c>
      <c r="C200" s="158" t="s">
        <v>145</v>
      </c>
      <c r="D200" s="157">
        <v>41389</v>
      </c>
      <c r="E200" s="159" t="s">
        <v>188</v>
      </c>
      <c r="F200" s="159"/>
      <c r="G200" s="160" t="s">
        <v>35</v>
      </c>
      <c r="H200" s="161"/>
      <c r="I200" s="161">
        <v>1000</v>
      </c>
      <c r="J200" s="162">
        <f t="shared" si="5"/>
        <v>17731709</v>
      </c>
      <c r="K200" s="162"/>
    </row>
    <row r="201" spans="1:11" s="142" customFormat="1" ht="19.5" customHeight="1">
      <c r="A201" s="142">
        <f t="shared" si="4"/>
        <v>5</v>
      </c>
      <c r="B201" s="157">
        <v>41397</v>
      </c>
      <c r="C201" s="158" t="s">
        <v>484</v>
      </c>
      <c r="D201" s="157">
        <v>41397</v>
      </c>
      <c r="E201" s="159" t="s">
        <v>269</v>
      </c>
      <c r="F201" s="159"/>
      <c r="G201" s="160" t="s">
        <v>144</v>
      </c>
      <c r="H201" s="161"/>
      <c r="I201" s="161">
        <v>17000000</v>
      </c>
      <c r="J201" s="162">
        <f t="shared" si="5"/>
        <v>731709</v>
      </c>
      <c r="K201" s="162"/>
    </row>
    <row r="202" spans="1:11" s="142" customFormat="1" ht="19.5" customHeight="1">
      <c r="A202" s="142">
        <f t="shared" si="4"/>
        <v>5</v>
      </c>
      <c r="B202" s="157">
        <v>41403</v>
      </c>
      <c r="C202" s="158" t="s">
        <v>145</v>
      </c>
      <c r="D202" s="157">
        <v>41403</v>
      </c>
      <c r="E202" s="159" t="s">
        <v>482</v>
      </c>
      <c r="F202" s="159"/>
      <c r="G202" s="160" t="s">
        <v>147</v>
      </c>
      <c r="H202" s="161">
        <v>2307367600</v>
      </c>
      <c r="I202" s="161"/>
      <c r="J202" s="162">
        <f t="shared" si="5"/>
        <v>2308099309</v>
      </c>
      <c r="K202" s="162"/>
    </row>
    <row r="203" spans="1:11" s="142" customFormat="1" ht="19.5" customHeight="1">
      <c r="A203" s="142">
        <f t="shared" si="4"/>
        <v>5</v>
      </c>
      <c r="B203" s="157">
        <v>41403</v>
      </c>
      <c r="C203" s="158" t="s">
        <v>145</v>
      </c>
      <c r="D203" s="157">
        <v>41403</v>
      </c>
      <c r="E203" s="159" t="s">
        <v>561</v>
      </c>
      <c r="F203" s="159"/>
      <c r="G203" s="160" t="s">
        <v>150</v>
      </c>
      <c r="H203" s="161"/>
      <c r="I203" s="161">
        <v>5180871</v>
      </c>
      <c r="J203" s="162">
        <f t="shared" si="5"/>
        <v>2302918438</v>
      </c>
      <c r="K203" s="162"/>
    </row>
    <row r="204" spans="1:11" s="142" customFormat="1" ht="19.5" customHeight="1">
      <c r="A204" s="142">
        <f t="shared" ref="A204:A376" si="6">IF(B204&lt;&gt;"",MONTH(B204),"")</f>
        <v>5</v>
      </c>
      <c r="B204" s="157">
        <v>41403</v>
      </c>
      <c r="C204" s="158" t="s">
        <v>145</v>
      </c>
      <c r="D204" s="157">
        <v>41403</v>
      </c>
      <c r="E204" s="159" t="s">
        <v>562</v>
      </c>
      <c r="F204" s="159"/>
      <c r="G204" s="160" t="s">
        <v>150</v>
      </c>
      <c r="H204" s="161"/>
      <c r="I204" s="161">
        <v>16803238</v>
      </c>
      <c r="J204" s="162">
        <f t="shared" si="5"/>
        <v>2286115200</v>
      </c>
      <c r="K204" s="162"/>
    </row>
    <row r="205" spans="1:11" s="142" customFormat="1" ht="19.5" customHeight="1">
      <c r="A205" s="142">
        <f t="shared" si="6"/>
        <v>5</v>
      </c>
      <c r="B205" s="157">
        <v>41403</v>
      </c>
      <c r="C205" s="158" t="s">
        <v>145</v>
      </c>
      <c r="D205" s="157">
        <v>41403</v>
      </c>
      <c r="E205" s="159" t="s">
        <v>563</v>
      </c>
      <c r="F205" s="159"/>
      <c r="G205" s="160" t="s">
        <v>150</v>
      </c>
      <c r="H205" s="161"/>
      <c r="I205" s="161">
        <v>10492983</v>
      </c>
      <c r="J205" s="162">
        <f t="shared" ref="J205:J268" si="7">IF(B205&lt;&gt;"",J204+H205-I205,0)</f>
        <v>2275622217</v>
      </c>
      <c r="K205" s="162"/>
    </row>
    <row r="206" spans="1:11" s="142" customFormat="1" ht="19.5" customHeight="1">
      <c r="A206" s="142">
        <f t="shared" si="6"/>
        <v>5</v>
      </c>
      <c r="B206" s="157">
        <v>41403</v>
      </c>
      <c r="C206" s="158" t="s">
        <v>145</v>
      </c>
      <c r="D206" s="157">
        <v>41403</v>
      </c>
      <c r="E206" s="159" t="s">
        <v>564</v>
      </c>
      <c r="F206" s="159"/>
      <c r="G206" s="160" t="s">
        <v>150</v>
      </c>
      <c r="H206" s="161"/>
      <c r="I206" s="161">
        <v>14689127</v>
      </c>
      <c r="J206" s="162">
        <f t="shared" si="7"/>
        <v>2260933090</v>
      </c>
      <c r="K206" s="162"/>
    </row>
    <row r="207" spans="1:11" s="142" customFormat="1" ht="19.5" customHeight="1">
      <c r="A207" s="142">
        <f t="shared" si="6"/>
        <v>5</v>
      </c>
      <c r="B207" s="157">
        <v>41403</v>
      </c>
      <c r="C207" s="158" t="s">
        <v>145</v>
      </c>
      <c r="D207" s="157">
        <v>41403</v>
      </c>
      <c r="E207" s="159" t="s">
        <v>478</v>
      </c>
      <c r="F207" s="159"/>
      <c r="G207" s="160" t="s">
        <v>34</v>
      </c>
      <c r="H207" s="161"/>
      <c r="I207" s="161">
        <v>50000000</v>
      </c>
      <c r="J207" s="162">
        <f t="shared" si="7"/>
        <v>2210933090</v>
      </c>
      <c r="K207" s="162"/>
    </row>
    <row r="208" spans="1:11" s="142" customFormat="1" ht="19.5" customHeight="1">
      <c r="A208" s="142">
        <f t="shared" si="6"/>
        <v>5</v>
      </c>
      <c r="B208" s="157">
        <v>41403</v>
      </c>
      <c r="C208" s="158" t="s">
        <v>145</v>
      </c>
      <c r="D208" s="157">
        <v>41403</v>
      </c>
      <c r="E208" s="159" t="s">
        <v>187</v>
      </c>
      <c r="F208" s="159"/>
      <c r="G208" s="160" t="s">
        <v>192</v>
      </c>
      <c r="H208" s="161"/>
      <c r="I208" s="161">
        <v>25000</v>
      </c>
      <c r="J208" s="162">
        <f t="shared" si="7"/>
        <v>2210908090</v>
      </c>
      <c r="K208" s="162"/>
    </row>
    <row r="209" spans="1:11" s="142" customFormat="1" ht="19.5" customHeight="1">
      <c r="A209" s="142">
        <f t="shared" si="6"/>
        <v>5</v>
      </c>
      <c r="B209" s="157">
        <v>41403</v>
      </c>
      <c r="C209" s="158" t="s">
        <v>145</v>
      </c>
      <c r="D209" s="157">
        <v>41403</v>
      </c>
      <c r="E209" s="159" t="s">
        <v>188</v>
      </c>
      <c r="F209" s="159"/>
      <c r="G209" s="160" t="s">
        <v>35</v>
      </c>
      <c r="H209" s="161"/>
      <c r="I209" s="161">
        <v>2500</v>
      </c>
      <c r="J209" s="162">
        <f t="shared" si="7"/>
        <v>2210905590</v>
      </c>
      <c r="K209" s="162"/>
    </row>
    <row r="210" spans="1:11" s="142" customFormat="1" ht="19.5" customHeight="1">
      <c r="A210" s="142">
        <f t="shared" si="6"/>
        <v>5</v>
      </c>
      <c r="B210" s="157">
        <v>41403</v>
      </c>
      <c r="C210" s="158" t="s">
        <v>145</v>
      </c>
      <c r="D210" s="157">
        <v>41403</v>
      </c>
      <c r="E210" s="159" t="s">
        <v>478</v>
      </c>
      <c r="F210" s="159"/>
      <c r="G210" s="160" t="s">
        <v>34</v>
      </c>
      <c r="H210" s="161"/>
      <c r="I210" s="161">
        <v>39424000</v>
      </c>
      <c r="J210" s="162">
        <f t="shared" si="7"/>
        <v>2171481590</v>
      </c>
      <c r="K210" s="162"/>
    </row>
    <row r="211" spans="1:11" s="142" customFormat="1" ht="19.5" customHeight="1">
      <c r="A211" s="142">
        <f t="shared" si="6"/>
        <v>5</v>
      </c>
      <c r="B211" s="157">
        <v>41403</v>
      </c>
      <c r="C211" s="158" t="s">
        <v>145</v>
      </c>
      <c r="D211" s="157">
        <v>41403</v>
      </c>
      <c r="E211" s="159" t="s">
        <v>187</v>
      </c>
      <c r="F211" s="159"/>
      <c r="G211" s="160" t="s">
        <v>192</v>
      </c>
      <c r="H211" s="161"/>
      <c r="I211" s="161">
        <v>10000</v>
      </c>
      <c r="J211" s="162">
        <f t="shared" si="7"/>
        <v>2171471590</v>
      </c>
      <c r="K211" s="162"/>
    </row>
    <row r="212" spans="1:11" s="142" customFormat="1" ht="19.5" customHeight="1">
      <c r="A212" s="142">
        <f t="shared" si="6"/>
        <v>5</v>
      </c>
      <c r="B212" s="157">
        <v>41403</v>
      </c>
      <c r="C212" s="158" t="s">
        <v>145</v>
      </c>
      <c r="D212" s="157">
        <v>41403</v>
      </c>
      <c r="E212" s="159" t="s">
        <v>188</v>
      </c>
      <c r="F212" s="159"/>
      <c r="G212" s="160" t="s">
        <v>35</v>
      </c>
      <c r="H212" s="161"/>
      <c r="I212" s="161">
        <v>1000</v>
      </c>
      <c r="J212" s="162">
        <f t="shared" si="7"/>
        <v>2171470590</v>
      </c>
      <c r="K212" s="162"/>
    </row>
    <row r="213" spans="1:11" s="142" customFormat="1" ht="19.5" customHeight="1">
      <c r="A213" s="142">
        <f t="shared" si="6"/>
        <v>5</v>
      </c>
      <c r="B213" s="157">
        <v>41403</v>
      </c>
      <c r="C213" s="158" t="s">
        <v>145</v>
      </c>
      <c r="D213" s="157">
        <v>41403</v>
      </c>
      <c r="E213" s="159" t="s">
        <v>565</v>
      </c>
      <c r="F213" s="159"/>
      <c r="G213" s="160" t="s">
        <v>34</v>
      </c>
      <c r="H213" s="161"/>
      <c r="I213" s="161">
        <v>16178800</v>
      </c>
      <c r="J213" s="162">
        <f t="shared" si="7"/>
        <v>2155291790</v>
      </c>
      <c r="K213" s="162"/>
    </row>
    <row r="214" spans="1:11" s="142" customFormat="1" ht="19.5" customHeight="1">
      <c r="A214" s="142">
        <f t="shared" si="6"/>
        <v>5</v>
      </c>
      <c r="B214" s="157">
        <v>41403</v>
      </c>
      <c r="C214" s="158" t="s">
        <v>145</v>
      </c>
      <c r="D214" s="157">
        <v>41403</v>
      </c>
      <c r="E214" s="159" t="s">
        <v>566</v>
      </c>
      <c r="F214" s="159"/>
      <c r="G214" s="160" t="s">
        <v>192</v>
      </c>
      <c r="H214" s="161"/>
      <c r="I214" s="161">
        <v>20000</v>
      </c>
      <c r="J214" s="162">
        <f t="shared" si="7"/>
        <v>2155271790</v>
      </c>
      <c r="K214" s="162"/>
    </row>
    <row r="215" spans="1:11" s="142" customFormat="1" ht="19.5" customHeight="1">
      <c r="A215" s="142">
        <f t="shared" si="6"/>
        <v>5</v>
      </c>
      <c r="B215" s="157">
        <v>41403</v>
      </c>
      <c r="C215" s="158" t="s">
        <v>145</v>
      </c>
      <c r="D215" s="157">
        <v>41403</v>
      </c>
      <c r="E215" s="159" t="s">
        <v>567</v>
      </c>
      <c r="F215" s="159"/>
      <c r="G215" s="160" t="s">
        <v>35</v>
      </c>
      <c r="H215" s="161"/>
      <c r="I215" s="161">
        <v>2000</v>
      </c>
      <c r="J215" s="162">
        <f t="shared" si="7"/>
        <v>2155269790</v>
      </c>
      <c r="K215" s="162"/>
    </row>
    <row r="216" spans="1:11" s="142" customFormat="1" ht="19.5" customHeight="1">
      <c r="A216" s="142">
        <f t="shared" si="6"/>
        <v>5</v>
      </c>
      <c r="B216" s="157">
        <v>41403</v>
      </c>
      <c r="C216" s="158" t="s">
        <v>145</v>
      </c>
      <c r="D216" s="157">
        <v>41403</v>
      </c>
      <c r="E216" s="159" t="s">
        <v>568</v>
      </c>
      <c r="F216" s="159"/>
      <c r="G216" s="160" t="s">
        <v>34</v>
      </c>
      <c r="H216" s="161"/>
      <c r="I216" s="161">
        <v>52671500</v>
      </c>
      <c r="J216" s="162">
        <f t="shared" si="7"/>
        <v>2102598290</v>
      </c>
      <c r="K216" s="162"/>
    </row>
    <row r="217" spans="1:11" s="142" customFormat="1" ht="19.5" customHeight="1">
      <c r="A217" s="142">
        <f t="shared" si="6"/>
        <v>5</v>
      </c>
      <c r="B217" s="157">
        <v>41403</v>
      </c>
      <c r="C217" s="158" t="s">
        <v>145</v>
      </c>
      <c r="D217" s="157">
        <v>41403</v>
      </c>
      <c r="E217" s="159" t="s">
        <v>187</v>
      </c>
      <c r="F217" s="159"/>
      <c r="G217" s="160" t="s">
        <v>192</v>
      </c>
      <c r="H217" s="161"/>
      <c r="I217" s="161">
        <v>10000</v>
      </c>
      <c r="J217" s="162">
        <f t="shared" si="7"/>
        <v>2102588290</v>
      </c>
      <c r="K217" s="162"/>
    </row>
    <row r="218" spans="1:11" s="142" customFormat="1" ht="19.5" customHeight="1">
      <c r="A218" s="142">
        <f t="shared" si="6"/>
        <v>5</v>
      </c>
      <c r="B218" s="157">
        <v>41403</v>
      </c>
      <c r="C218" s="158" t="s">
        <v>145</v>
      </c>
      <c r="D218" s="157">
        <v>41403</v>
      </c>
      <c r="E218" s="159" t="s">
        <v>188</v>
      </c>
      <c r="F218" s="159"/>
      <c r="G218" s="160" t="s">
        <v>35</v>
      </c>
      <c r="H218" s="161"/>
      <c r="I218" s="161">
        <v>1000</v>
      </c>
      <c r="J218" s="162">
        <f t="shared" si="7"/>
        <v>2102587290</v>
      </c>
      <c r="K218" s="162"/>
    </row>
    <row r="219" spans="1:11" s="142" customFormat="1" ht="19.5" customHeight="1">
      <c r="A219" s="142">
        <f t="shared" si="6"/>
        <v>5</v>
      </c>
      <c r="B219" s="157">
        <v>41403</v>
      </c>
      <c r="C219" s="158" t="s">
        <v>145</v>
      </c>
      <c r="D219" s="157">
        <v>41403</v>
      </c>
      <c r="E219" s="159" t="s">
        <v>569</v>
      </c>
      <c r="F219" s="159"/>
      <c r="G219" s="160" t="s">
        <v>34</v>
      </c>
      <c r="H219" s="161"/>
      <c r="I219" s="161">
        <v>100000000</v>
      </c>
      <c r="J219" s="162">
        <f t="shared" si="7"/>
        <v>2002587290</v>
      </c>
      <c r="K219" s="162"/>
    </row>
    <row r="220" spans="1:11" s="142" customFormat="1" ht="19.5" customHeight="1">
      <c r="A220" s="142">
        <f t="shared" si="6"/>
        <v>5</v>
      </c>
      <c r="B220" s="157">
        <v>41403</v>
      </c>
      <c r="C220" s="158" t="s">
        <v>145</v>
      </c>
      <c r="D220" s="157">
        <v>41403</v>
      </c>
      <c r="E220" s="159" t="s">
        <v>187</v>
      </c>
      <c r="F220" s="159"/>
      <c r="G220" s="160" t="s">
        <v>192</v>
      </c>
      <c r="H220" s="161"/>
      <c r="I220" s="161">
        <v>50000</v>
      </c>
      <c r="J220" s="162">
        <f t="shared" si="7"/>
        <v>2002537290</v>
      </c>
      <c r="K220" s="162"/>
    </row>
    <row r="221" spans="1:11" s="142" customFormat="1" ht="19.5" customHeight="1">
      <c r="A221" s="142">
        <f t="shared" si="6"/>
        <v>5</v>
      </c>
      <c r="B221" s="157">
        <v>41403</v>
      </c>
      <c r="C221" s="158" t="s">
        <v>145</v>
      </c>
      <c r="D221" s="157">
        <v>41403</v>
      </c>
      <c r="E221" s="159" t="s">
        <v>188</v>
      </c>
      <c r="F221" s="159"/>
      <c r="G221" s="160" t="s">
        <v>35</v>
      </c>
      <c r="H221" s="161"/>
      <c r="I221" s="161">
        <v>5000</v>
      </c>
      <c r="J221" s="162">
        <f t="shared" si="7"/>
        <v>2002532290</v>
      </c>
      <c r="K221" s="162"/>
    </row>
    <row r="222" spans="1:11" s="142" customFormat="1" ht="19.5" customHeight="1">
      <c r="A222" s="142">
        <f t="shared" si="6"/>
        <v>5</v>
      </c>
      <c r="B222" s="157">
        <v>41403</v>
      </c>
      <c r="C222" s="158" t="s">
        <v>484</v>
      </c>
      <c r="D222" s="157">
        <v>41403</v>
      </c>
      <c r="E222" s="159" t="s">
        <v>269</v>
      </c>
      <c r="F222" s="159"/>
      <c r="G222" s="160" t="s">
        <v>144</v>
      </c>
      <c r="H222" s="161"/>
      <c r="I222" s="161">
        <v>2000000000</v>
      </c>
      <c r="J222" s="162">
        <f t="shared" si="7"/>
        <v>2532290</v>
      </c>
      <c r="K222" s="162"/>
    </row>
    <row r="223" spans="1:11" s="142" customFormat="1" ht="19.5" customHeight="1">
      <c r="A223" s="142">
        <f t="shared" si="6"/>
        <v>5</v>
      </c>
      <c r="B223" s="157">
        <v>41404</v>
      </c>
      <c r="C223" s="158" t="s">
        <v>486</v>
      </c>
      <c r="D223" s="157">
        <v>41404</v>
      </c>
      <c r="E223" s="159" t="s">
        <v>50</v>
      </c>
      <c r="F223" s="159"/>
      <c r="G223" s="160" t="s">
        <v>144</v>
      </c>
      <c r="H223" s="161">
        <v>87000000</v>
      </c>
      <c r="I223" s="161"/>
      <c r="J223" s="162">
        <f t="shared" si="7"/>
        <v>89532290</v>
      </c>
      <c r="K223" s="162"/>
    </row>
    <row r="224" spans="1:11" s="142" customFormat="1" ht="19.5" customHeight="1">
      <c r="A224" s="142">
        <f t="shared" si="6"/>
        <v>5</v>
      </c>
      <c r="B224" s="157">
        <v>41404</v>
      </c>
      <c r="C224" s="158" t="s">
        <v>145</v>
      </c>
      <c r="D224" s="157">
        <v>41404</v>
      </c>
      <c r="E224" s="159" t="s">
        <v>483</v>
      </c>
      <c r="F224" s="159"/>
      <c r="G224" s="160" t="s">
        <v>56</v>
      </c>
      <c r="H224" s="161"/>
      <c r="I224" s="161">
        <v>2000000</v>
      </c>
      <c r="J224" s="162">
        <f t="shared" si="7"/>
        <v>87532290</v>
      </c>
      <c r="K224" s="162"/>
    </row>
    <row r="225" spans="1:11" s="142" customFormat="1" ht="19.5" customHeight="1">
      <c r="A225" s="142">
        <f t="shared" si="6"/>
        <v>5</v>
      </c>
      <c r="B225" s="157">
        <v>41405</v>
      </c>
      <c r="C225" s="158" t="s">
        <v>145</v>
      </c>
      <c r="D225" s="157">
        <v>41405</v>
      </c>
      <c r="E225" s="159" t="s">
        <v>516</v>
      </c>
      <c r="F225" s="159"/>
      <c r="G225" s="160" t="s">
        <v>34</v>
      </c>
      <c r="H225" s="161"/>
      <c r="I225" s="161">
        <v>16940000</v>
      </c>
      <c r="J225" s="162">
        <f t="shared" si="7"/>
        <v>70592290</v>
      </c>
      <c r="K225" s="162"/>
    </row>
    <row r="226" spans="1:11" s="142" customFormat="1" ht="19.5" customHeight="1">
      <c r="A226" s="142">
        <f t="shared" si="6"/>
        <v>5</v>
      </c>
      <c r="B226" s="157">
        <v>41405</v>
      </c>
      <c r="C226" s="158" t="s">
        <v>145</v>
      </c>
      <c r="D226" s="157">
        <v>41405</v>
      </c>
      <c r="E226" s="159" t="s">
        <v>187</v>
      </c>
      <c r="F226" s="159"/>
      <c r="G226" s="160" t="s">
        <v>192</v>
      </c>
      <c r="H226" s="161"/>
      <c r="I226" s="161">
        <v>20000</v>
      </c>
      <c r="J226" s="162">
        <f t="shared" si="7"/>
        <v>70572290</v>
      </c>
      <c r="K226" s="162"/>
    </row>
    <row r="227" spans="1:11" s="142" customFormat="1" ht="19.5" customHeight="1">
      <c r="A227" s="142">
        <f t="shared" si="6"/>
        <v>5</v>
      </c>
      <c r="B227" s="157">
        <v>41405</v>
      </c>
      <c r="C227" s="158" t="s">
        <v>145</v>
      </c>
      <c r="D227" s="157">
        <v>41405</v>
      </c>
      <c r="E227" s="159" t="s">
        <v>188</v>
      </c>
      <c r="F227" s="159"/>
      <c r="G227" s="160" t="s">
        <v>35</v>
      </c>
      <c r="H227" s="161"/>
      <c r="I227" s="161">
        <v>2000</v>
      </c>
      <c r="J227" s="162">
        <f t="shared" si="7"/>
        <v>70570290</v>
      </c>
      <c r="K227" s="162"/>
    </row>
    <row r="228" spans="1:11" s="142" customFormat="1" ht="19.5" customHeight="1">
      <c r="A228" s="142">
        <f t="shared" si="6"/>
        <v>5</v>
      </c>
      <c r="B228" s="157">
        <v>41405</v>
      </c>
      <c r="C228" s="158" t="s">
        <v>145</v>
      </c>
      <c r="D228" s="157">
        <v>41405</v>
      </c>
      <c r="E228" s="159" t="s">
        <v>235</v>
      </c>
      <c r="F228" s="159"/>
      <c r="G228" s="160" t="s">
        <v>34</v>
      </c>
      <c r="H228" s="161"/>
      <c r="I228" s="161">
        <v>19267280</v>
      </c>
      <c r="J228" s="162">
        <f t="shared" si="7"/>
        <v>51303010</v>
      </c>
      <c r="K228" s="162"/>
    </row>
    <row r="229" spans="1:11" s="142" customFormat="1" ht="19.5" customHeight="1">
      <c r="A229" s="142">
        <f t="shared" si="6"/>
        <v>5</v>
      </c>
      <c r="B229" s="157">
        <v>41405</v>
      </c>
      <c r="C229" s="357" t="s">
        <v>145</v>
      </c>
      <c r="D229" s="157">
        <v>41405</v>
      </c>
      <c r="E229" s="159" t="s">
        <v>187</v>
      </c>
      <c r="F229" s="159"/>
      <c r="G229" s="160" t="s">
        <v>192</v>
      </c>
      <c r="H229" s="161"/>
      <c r="I229" s="161">
        <v>10000</v>
      </c>
      <c r="J229" s="162">
        <f t="shared" si="7"/>
        <v>51293010</v>
      </c>
      <c r="K229" s="162"/>
    </row>
    <row r="230" spans="1:11" s="142" customFormat="1" ht="19.5" customHeight="1">
      <c r="A230" s="142">
        <f t="shared" si="6"/>
        <v>5</v>
      </c>
      <c r="B230" s="157">
        <v>41405</v>
      </c>
      <c r="C230" s="158" t="s">
        <v>145</v>
      </c>
      <c r="D230" s="157">
        <v>41405</v>
      </c>
      <c r="E230" s="159" t="s">
        <v>188</v>
      </c>
      <c r="F230" s="159"/>
      <c r="G230" s="160" t="s">
        <v>35</v>
      </c>
      <c r="H230" s="161"/>
      <c r="I230" s="161">
        <v>1000</v>
      </c>
      <c r="J230" s="162">
        <f t="shared" si="7"/>
        <v>51292010</v>
      </c>
      <c r="K230" s="162"/>
    </row>
    <row r="231" spans="1:11" s="142" customFormat="1" ht="19.5" customHeight="1">
      <c r="A231" s="142">
        <f t="shared" si="6"/>
        <v>5</v>
      </c>
      <c r="B231" s="157">
        <v>41405</v>
      </c>
      <c r="C231" s="158" t="s">
        <v>145</v>
      </c>
      <c r="D231" s="157">
        <v>41405</v>
      </c>
      <c r="E231" s="159" t="s">
        <v>570</v>
      </c>
      <c r="F231" s="159"/>
      <c r="G231" s="160" t="s">
        <v>38</v>
      </c>
      <c r="H231" s="161"/>
      <c r="I231" s="161">
        <v>33804172</v>
      </c>
      <c r="J231" s="162">
        <f t="shared" si="7"/>
        <v>17487838</v>
      </c>
      <c r="K231" s="162"/>
    </row>
    <row r="232" spans="1:11" s="142" customFormat="1" ht="19.5" customHeight="1">
      <c r="A232" s="142">
        <f t="shared" si="6"/>
        <v>5</v>
      </c>
      <c r="B232" s="157">
        <v>41405</v>
      </c>
      <c r="C232" s="158" t="s">
        <v>145</v>
      </c>
      <c r="D232" s="157">
        <v>41405</v>
      </c>
      <c r="E232" s="159" t="s">
        <v>571</v>
      </c>
      <c r="F232" s="159"/>
      <c r="G232" s="160" t="s">
        <v>156</v>
      </c>
      <c r="H232" s="161"/>
      <c r="I232" s="161">
        <v>11354683</v>
      </c>
      <c r="J232" s="162">
        <f t="shared" si="7"/>
        <v>6133155</v>
      </c>
      <c r="K232" s="162"/>
    </row>
    <row r="233" spans="1:11" s="142" customFormat="1" ht="19.5" customHeight="1">
      <c r="A233" s="142">
        <f t="shared" si="6"/>
        <v>5</v>
      </c>
      <c r="B233" s="157">
        <v>41405</v>
      </c>
      <c r="C233" s="158" t="s">
        <v>145</v>
      </c>
      <c r="D233" s="157">
        <v>41405</v>
      </c>
      <c r="E233" s="159" t="s">
        <v>572</v>
      </c>
      <c r="F233" s="159"/>
      <c r="G233" s="160" t="s">
        <v>231</v>
      </c>
      <c r="H233" s="161"/>
      <c r="I233" s="161">
        <v>4841145</v>
      </c>
      <c r="J233" s="162">
        <f t="shared" si="7"/>
        <v>1292010</v>
      </c>
      <c r="K233" s="162"/>
    </row>
    <row r="234" spans="1:11" s="142" customFormat="1" ht="19.5" customHeight="1">
      <c r="A234" s="142">
        <f t="shared" si="6"/>
        <v>5</v>
      </c>
      <c r="B234" s="157">
        <v>41405</v>
      </c>
      <c r="C234" s="357" t="s">
        <v>145</v>
      </c>
      <c r="D234" s="157">
        <v>41405</v>
      </c>
      <c r="E234" s="159" t="s">
        <v>187</v>
      </c>
      <c r="F234" s="159"/>
      <c r="G234" s="160" t="s">
        <v>192</v>
      </c>
      <c r="H234" s="161"/>
      <c r="I234" s="161">
        <v>25000</v>
      </c>
      <c r="J234" s="162">
        <f t="shared" si="7"/>
        <v>1267010</v>
      </c>
      <c r="K234" s="162"/>
    </row>
    <row r="235" spans="1:11" s="142" customFormat="1" ht="19.5" customHeight="1">
      <c r="A235" s="142">
        <f t="shared" si="6"/>
        <v>5</v>
      </c>
      <c r="B235" s="157">
        <v>41405</v>
      </c>
      <c r="C235" s="158" t="s">
        <v>145</v>
      </c>
      <c r="D235" s="157">
        <v>41405</v>
      </c>
      <c r="E235" s="159" t="s">
        <v>188</v>
      </c>
      <c r="F235" s="159"/>
      <c r="G235" s="160" t="s">
        <v>35</v>
      </c>
      <c r="H235" s="161"/>
      <c r="I235" s="161">
        <v>2500</v>
      </c>
      <c r="J235" s="162">
        <f t="shared" si="7"/>
        <v>1264510</v>
      </c>
      <c r="K235" s="162"/>
    </row>
    <row r="236" spans="1:11" s="142" customFormat="1" ht="19.5" customHeight="1">
      <c r="A236" s="142">
        <f t="shared" si="6"/>
        <v>5</v>
      </c>
      <c r="B236" s="157">
        <v>41412</v>
      </c>
      <c r="C236" s="158" t="s">
        <v>148</v>
      </c>
      <c r="D236" s="157">
        <v>41412</v>
      </c>
      <c r="E236" s="159" t="s">
        <v>491</v>
      </c>
      <c r="F236" s="159"/>
      <c r="G236" s="160" t="s">
        <v>166</v>
      </c>
      <c r="H236" s="161">
        <v>554000000</v>
      </c>
      <c r="I236" s="161"/>
      <c r="J236" s="162">
        <f t="shared" si="7"/>
        <v>555264510</v>
      </c>
      <c r="K236" s="162"/>
    </row>
    <row r="237" spans="1:11" s="142" customFormat="1" ht="19.5" customHeight="1">
      <c r="A237" s="142">
        <f t="shared" si="6"/>
        <v>5</v>
      </c>
      <c r="B237" s="157">
        <v>41414</v>
      </c>
      <c r="C237" s="158" t="s">
        <v>145</v>
      </c>
      <c r="D237" s="157">
        <v>41414</v>
      </c>
      <c r="E237" s="159" t="s">
        <v>573</v>
      </c>
      <c r="F237" s="159"/>
      <c r="G237" s="160" t="s">
        <v>150</v>
      </c>
      <c r="H237" s="161"/>
      <c r="I237" s="161">
        <v>11449153</v>
      </c>
      <c r="J237" s="162">
        <f t="shared" si="7"/>
        <v>543815357</v>
      </c>
      <c r="K237" s="162"/>
    </row>
    <row r="238" spans="1:11" s="142" customFormat="1" ht="19.5" customHeight="1">
      <c r="A238" s="142">
        <f t="shared" si="6"/>
        <v>5</v>
      </c>
      <c r="B238" s="157">
        <v>41414</v>
      </c>
      <c r="C238" s="158" t="s">
        <v>145</v>
      </c>
      <c r="D238" s="157">
        <v>41414</v>
      </c>
      <c r="E238" s="159" t="s">
        <v>574</v>
      </c>
      <c r="F238" s="159"/>
      <c r="G238" s="160" t="s">
        <v>150</v>
      </c>
      <c r="H238" s="161"/>
      <c r="I238" s="161">
        <v>18840987</v>
      </c>
      <c r="J238" s="162">
        <f t="shared" si="7"/>
        <v>524974370</v>
      </c>
      <c r="K238" s="162"/>
    </row>
    <row r="239" spans="1:11" s="142" customFormat="1" ht="19.5" customHeight="1">
      <c r="A239" s="142">
        <f t="shared" si="6"/>
        <v>5</v>
      </c>
      <c r="B239" s="157">
        <v>41414</v>
      </c>
      <c r="C239" s="158" t="s">
        <v>145</v>
      </c>
      <c r="D239" s="157">
        <v>41414</v>
      </c>
      <c r="E239" s="159" t="s">
        <v>575</v>
      </c>
      <c r="F239" s="159"/>
      <c r="G239" s="160" t="s">
        <v>150</v>
      </c>
      <c r="H239" s="161"/>
      <c r="I239" s="161">
        <v>15471981</v>
      </c>
      <c r="J239" s="162">
        <f t="shared" si="7"/>
        <v>509502389</v>
      </c>
      <c r="K239" s="162"/>
    </row>
    <row r="240" spans="1:11" s="142" customFormat="1" ht="19.5" customHeight="1">
      <c r="A240" s="142">
        <f t="shared" si="6"/>
        <v>5</v>
      </c>
      <c r="B240" s="157">
        <v>41414</v>
      </c>
      <c r="C240" s="357" t="s">
        <v>484</v>
      </c>
      <c r="D240" s="157">
        <v>41414</v>
      </c>
      <c r="E240" s="159" t="s">
        <v>269</v>
      </c>
      <c r="F240" s="159"/>
      <c r="G240" s="160" t="s">
        <v>144</v>
      </c>
      <c r="H240" s="161"/>
      <c r="I240" s="161">
        <v>508000000</v>
      </c>
      <c r="J240" s="162">
        <f t="shared" si="7"/>
        <v>1502389</v>
      </c>
      <c r="K240" s="162"/>
    </row>
    <row r="241" spans="1:11" s="142" customFormat="1" ht="19.5" customHeight="1">
      <c r="A241" s="142">
        <f t="shared" si="6"/>
        <v>5</v>
      </c>
      <c r="B241" s="157">
        <v>41418</v>
      </c>
      <c r="C241" s="158" t="s">
        <v>148</v>
      </c>
      <c r="D241" s="157">
        <v>41418</v>
      </c>
      <c r="E241" s="159" t="s">
        <v>496</v>
      </c>
      <c r="F241" s="159"/>
      <c r="G241" s="160" t="s">
        <v>158</v>
      </c>
      <c r="H241" s="161">
        <v>37867</v>
      </c>
      <c r="I241" s="161"/>
      <c r="J241" s="162">
        <f t="shared" si="7"/>
        <v>1540256</v>
      </c>
      <c r="K241" s="162"/>
    </row>
    <row r="242" spans="1:11" s="142" customFormat="1" ht="19.5" customHeight="1">
      <c r="A242" s="142">
        <f t="shared" si="6"/>
        <v>5</v>
      </c>
      <c r="B242" s="157">
        <v>41421</v>
      </c>
      <c r="C242" s="158" t="s">
        <v>145</v>
      </c>
      <c r="D242" s="157">
        <v>41421</v>
      </c>
      <c r="E242" s="159" t="s">
        <v>576</v>
      </c>
      <c r="F242" s="159"/>
      <c r="G242" s="160" t="s">
        <v>192</v>
      </c>
      <c r="H242" s="161"/>
      <c r="I242" s="161">
        <v>105150</v>
      </c>
      <c r="J242" s="162">
        <f t="shared" si="7"/>
        <v>1435106</v>
      </c>
      <c r="K242" s="162"/>
    </row>
    <row r="243" spans="1:11" s="142" customFormat="1" ht="19.5" customHeight="1">
      <c r="A243" s="142">
        <f t="shared" si="6"/>
        <v>5</v>
      </c>
      <c r="B243" s="157">
        <v>41421</v>
      </c>
      <c r="C243" s="158" t="s">
        <v>145</v>
      </c>
      <c r="D243" s="157">
        <v>41421</v>
      </c>
      <c r="E243" s="159" t="s">
        <v>577</v>
      </c>
      <c r="F243" s="159"/>
      <c r="G243" s="160" t="s">
        <v>35</v>
      </c>
      <c r="H243" s="161"/>
      <c r="I243" s="161">
        <v>10515</v>
      </c>
      <c r="J243" s="162">
        <f t="shared" si="7"/>
        <v>1424591</v>
      </c>
      <c r="K243" s="162"/>
    </row>
    <row r="244" spans="1:11" s="142" customFormat="1" ht="19.5" customHeight="1">
      <c r="A244" s="142">
        <f t="shared" si="6"/>
        <v>5</v>
      </c>
      <c r="B244" s="157">
        <v>41423</v>
      </c>
      <c r="C244" s="158" t="s">
        <v>148</v>
      </c>
      <c r="D244" s="157">
        <v>41423</v>
      </c>
      <c r="E244" s="159" t="s">
        <v>491</v>
      </c>
      <c r="F244" s="159"/>
      <c r="G244" s="160" t="s">
        <v>166</v>
      </c>
      <c r="H244" s="161">
        <v>630000000</v>
      </c>
      <c r="I244" s="161"/>
      <c r="J244" s="162">
        <f t="shared" si="7"/>
        <v>631424591</v>
      </c>
      <c r="K244" s="162"/>
    </row>
    <row r="245" spans="1:11" s="142" customFormat="1" ht="19.5" customHeight="1">
      <c r="A245" s="142">
        <f t="shared" si="6"/>
        <v>5</v>
      </c>
      <c r="B245" s="157">
        <v>41423</v>
      </c>
      <c r="C245" s="158" t="s">
        <v>145</v>
      </c>
      <c r="D245" s="157">
        <v>41423</v>
      </c>
      <c r="E245" s="159" t="s">
        <v>568</v>
      </c>
      <c r="F245" s="159"/>
      <c r="G245" s="160" t="s">
        <v>34</v>
      </c>
      <c r="H245" s="161"/>
      <c r="I245" s="161">
        <v>56592000</v>
      </c>
      <c r="J245" s="162">
        <f t="shared" si="7"/>
        <v>574832591</v>
      </c>
      <c r="K245" s="162"/>
    </row>
    <row r="246" spans="1:11" s="142" customFormat="1" ht="19.5" customHeight="1">
      <c r="A246" s="142">
        <f t="shared" si="6"/>
        <v>5</v>
      </c>
      <c r="B246" s="157">
        <v>41423</v>
      </c>
      <c r="C246" s="158" t="s">
        <v>145</v>
      </c>
      <c r="D246" s="157">
        <v>41423</v>
      </c>
      <c r="E246" s="159" t="s">
        <v>187</v>
      </c>
      <c r="F246" s="159"/>
      <c r="G246" s="160" t="s">
        <v>192</v>
      </c>
      <c r="H246" s="161"/>
      <c r="I246" s="161">
        <v>10000</v>
      </c>
      <c r="J246" s="162">
        <f t="shared" si="7"/>
        <v>574822591</v>
      </c>
      <c r="K246" s="162"/>
    </row>
    <row r="247" spans="1:11" s="142" customFormat="1" ht="19.5" customHeight="1">
      <c r="A247" s="142">
        <f t="shared" si="6"/>
        <v>5</v>
      </c>
      <c r="B247" s="157">
        <v>41423</v>
      </c>
      <c r="C247" s="158" t="s">
        <v>145</v>
      </c>
      <c r="D247" s="157">
        <v>41423</v>
      </c>
      <c r="E247" s="159" t="s">
        <v>188</v>
      </c>
      <c r="F247" s="159"/>
      <c r="G247" s="160" t="s">
        <v>35</v>
      </c>
      <c r="H247" s="161"/>
      <c r="I247" s="161">
        <v>1000</v>
      </c>
      <c r="J247" s="162">
        <f t="shared" si="7"/>
        <v>574821591</v>
      </c>
      <c r="K247" s="162"/>
    </row>
    <row r="248" spans="1:11" s="142" customFormat="1" ht="19.5" customHeight="1">
      <c r="A248" s="142">
        <f t="shared" si="6"/>
        <v>5</v>
      </c>
      <c r="B248" s="157">
        <v>41423</v>
      </c>
      <c r="C248" s="158" t="s">
        <v>145</v>
      </c>
      <c r="D248" s="157">
        <v>41423</v>
      </c>
      <c r="E248" s="159" t="s">
        <v>578</v>
      </c>
      <c r="F248" s="159"/>
      <c r="G248" s="160" t="s">
        <v>34</v>
      </c>
      <c r="H248" s="161"/>
      <c r="I248" s="161">
        <v>1000000</v>
      </c>
      <c r="J248" s="162">
        <f t="shared" si="7"/>
        <v>573821591</v>
      </c>
      <c r="K248" s="162"/>
    </row>
    <row r="249" spans="1:11" s="142" customFormat="1" ht="19.5" customHeight="1">
      <c r="A249" s="142">
        <f t="shared" si="6"/>
        <v>5</v>
      </c>
      <c r="B249" s="157">
        <v>41423</v>
      </c>
      <c r="C249" s="158" t="s">
        <v>145</v>
      </c>
      <c r="D249" s="157">
        <v>41423</v>
      </c>
      <c r="E249" s="159" t="s">
        <v>187</v>
      </c>
      <c r="F249" s="159"/>
      <c r="G249" s="160" t="s">
        <v>192</v>
      </c>
      <c r="H249" s="161"/>
      <c r="I249" s="161">
        <v>10000</v>
      </c>
      <c r="J249" s="162">
        <f t="shared" si="7"/>
        <v>573811591</v>
      </c>
      <c r="K249" s="162"/>
    </row>
    <row r="250" spans="1:11" s="142" customFormat="1" ht="19.5" customHeight="1">
      <c r="A250" s="142">
        <f t="shared" si="6"/>
        <v>5</v>
      </c>
      <c r="B250" s="157">
        <v>41423</v>
      </c>
      <c r="C250" s="158" t="s">
        <v>145</v>
      </c>
      <c r="D250" s="157">
        <v>41423</v>
      </c>
      <c r="E250" s="159" t="s">
        <v>188</v>
      </c>
      <c r="F250" s="159"/>
      <c r="G250" s="160" t="s">
        <v>35</v>
      </c>
      <c r="H250" s="161"/>
      <c r="I250" s="161">
        <v>1000</v>
      </c>
      <c r="J250" s="162">
        <f t="shared" si="7"/>
        <v>573810591</v>
      </c>
      <c r="K250" s="162"/>
    </row>
    <row r="251" spans="1:11" s="142" customFormat="1" ht="19.5" customHeight="1">
      <c r="A251" s="142">
        <f t="shared" si="6"/>
        <v>5</v>
      </c>
      <c r="B251" s="157">
        <v>41423</v>
      </c>
      <c r="C251" s="158" t="s">
        <v>145</v>
      </c>
      <c r="D251" s="157">
        <v>41423</v>
      </c>
      <c r="E251" s="159" t="s">
        <v>516</v>
      </c>
      <c r="F251" s="159"/>
      <c r="G251" s="160" t="s">
        <v>34</v>
      </c>
      <c r="H251" s="161"/>
      <c r="I251" s="161">
        <v>7107913</v>
      </c>
      <c r="J251" s="162">
        <f t="shared" si="7"/>
        <v>566702678</v>
      </c>
      <c r="K251" s="162"/>
    </row>
    <row r="252" spans="1:11" s="142" customFormat="1" ht="19.5" customHeight="1">
      <c r="A252" s="142">
        <f t="shared" si="6"/>
        <v>5</v>
      </c>
      <c r="B252" s="157">
        <v>41423</v>
      </c>
      <c r="C252" s="158" t="s">
        <v>145</v>
      </c>
      <c r="D252" s="157">
        <v>41423</v>
      </c>
      <c r="E252" s="159" t="s">
        <v>187</v>
      </c>
      <c r="F252" s="159"/>
      <c r="G252" s="160" t="s">
        <v>192</v>
      </c>
      <c r="H252" s="161"/>
      <c r="I252" s="161">
        <v>20000</v>
      </c>
      <c r="J252" s="162">
        <f t="shared" si="7"/>
        <v>566682678</v>
      </c>
      <c r="K252" s="162"/>
    </row>
    <row r="253" spans="1:11" s="142" customFormat="1" ht="19.5" customHeight="1">
      <c r="A253" s="142">
        <f t="shared" si="6"/>
        <v>5</v>
      </c>
      <c r="B253" s="157">
        <v>41423</v>
      </c>
      <c r="C253" s="158" t="s">
        <v>145</v>
      </c>
      <c r="D253" s="157">
        <v>41423</v>
      </c>
      <c r="E253" s="159" t="s">
        <v>188</v>
      </c>
      <c r="F253" s="159"/>
      <c r="G253" s="160" t="s">
        <v>35</v>
      </c>
      <c r="H253" s="161"/>
      <c r="I253" s="161">
        <v>2000</v>
      </c>
      <c r="J253" s="162">
        <f t="shared" si="7"/>
        <v>566680678</v>
      </c>
      <c r="K253" s="162"/>
    </row>
    <row r="254" spans="1:11" s="142" customFormat="1" ht="19.5" customHeight="1">
      <c r="A254" s="142">
        <f t="shared" si="6"/>
        <v>5</v>
      </c>
      <c r="B254" s="157">
        <v>41423</v>
      </c>
      <c r="C254" s="158" t="s">
        <v>145</v>
      </c>
      <c r="D254" s="157">
        <v>41423</v>
      </c>
      <c r="E254" s="159" t="s">
        <v>576</v>
      </c>
      <c r="F254" s="159"/>
      <c r="G254" s="160" t="s">
        <v>192</v>
      </c>
      <c r="H254" s="161"/>
      <c r="I254" s="161">
        <v>105180</v>
      </c>
      <c r="J254" s="162">
        <f t="shared" si="7"/>
        <v>566575498</v>
      </c>
      <c r="K254" s="162"/>
    </row>
    <row r="255" spans="1:11" s="142" customFormat="1" ht="19.5" customHeight="1">
      <c r="A255" s="142">
        <f t="shared" si="6"/>
        <v>5</v>
      </c>
      <c r="B255" s="157">
        <v>41423</v>
      </c>
      <c r="C255" s="158" t="s">
        <v>145</v>
      </c>
      <c r="D255" s="157">
        <v>41423</v>
      </c>
      <c r="E255" s="159" t="s">
        <v>577</v>
      </c>
      <c r="F255" s="159"/>
      <c r="G255" s="160" t="s">
        <v>35</v>
      </c>
      <c r="H255" s="161"/>
      <c r="I255" s="161">
        <v>10518</v>
      </c>
      <c r="J255" s="162">
        <f t="shared" si="7"/>
        <v>566564980</v>
      </c>
      <c r="K255" s="162"/>
    </row>
    <row r="256" spans="1:11" s="142" customFormat="1" ht="19.5" customHeight="1">
      <c r="A256" s="142">
        <f t="shared" si="6"/>
        <v>5</v>
      </c>
      <c r="B256" s="157">
        <v>41423</v>
      </c>
      <c r="C256" s="158" t="s">
        <v>484</v>
      </c>
      <c r="D256" s="157">
        <v>41423</v>
      </c>
      <c r="E256" s="159" t="s">
        <v>269</v>
      </c>
      <c r="F256" s="159"/>
      <c r="G256" s="160" t="s">
        <v>144</v>
      </c>
      <c r="H256" s="161"/>
      <c r="I256" s="161">
        <v>566000000</v>
      </c>
      <c r="J256" s="162">
        <f t="shared" si="7"/>
        <v>564980</v>
      </c>
      <c r="K256" s="162"/>
    </row>
    <row r="257" spans="1:11" s="142" customFormat="1" ht="19.5" customHeight="1">
      <c r="A257" s="142">
        <f t="shared" si="6"/>
        <v>5</v>
      </c>
      <c r="B257" s="157">
        <v>41425</v>
      </c>
      <c r="C257" s="158" t="s">
        <v>148</v>
      </c>
      <c r="D257" s="157">
        <v>41425</v>
      </c>
      <c r="E257" s="159" t="s">
        <v>579</v>
      </c>
      <c r="F257" s="159"/>
      <c r="G257" s="160" t="s">
        <v>182</v>
      </c>
      <c r="H257" s="161">
        <v>500000000</v>
      </c>
      <c r="I257" s="161"/>
      <c r="J257" s="162">
        <f t="shared" si="7"/>
        <v>500564980</v>
      </c>
      <c r="K257" s="162"/>
    </row>
    <row r="258" spans="1:11" s="142" customFormat="1" ht="19.5" customHeight="1">
      <c r="A258" s="142">
        <f t="shared" si="6"/>
        <v>6</v>
      </c>
      <c r="B258" s="157">
        <v>41426</v>
      </c>
      <c r="C258" s="158" t="s">
        <v>484</v>
      </c>
      <c r="D258" s="157">
        <v>41426</v>
      </c>
      <c r="E258" s="159" t="s">
        <v>269</v>
      </c>
      <c r="F258" s="159"/>
      <c r="G258" s="160" t="s">
        <v>144</v>
      </c>
      <c r="H258" s="161"/>
      <c r="I258" s="161">
        <v>500000000</v>
      </c>
      <c r="J258" s="162">
        <f t="shared" si="7"/>
        <v>564980</v>
      </c>
      <c r="K258" s="162"/>
    </row>
    <row r="259" spans="1:11" s="142" customFormat="1" ht="19.5" customHeight="1">
      <c r="A259" s="142">
        <f t="shared" si="6"/>
        <v>6</v>
      </c>
      <c r="B259" s="157">
        <v>41428</v>
      </c>
      <c r="C259" s="158" t="s">
        <v>145</v>
      </c>
      <c r="D259" s="157">
        <v>41428</v>
      </c>
      <c r="E259" s="159" t="s">
        <v>248</v>
      </c>
      <c r="F259" s="159"/>
      <c r="G259" s="160" t="s">
        <v>147</v>
      </c>
      <c r="H259" s="161">
        <v>1258618800</v>
      </c>
      <c r="I259" s="161"/>
      <c r="J259" s="162">
        <f t="shared" si="7"/>
        <v>1259183780</v>
      </c>
      <c r="K259" s="162"/>
    </row>
    <row r="260" spans="1:11" s="142" customFormat="1" ht="19.5" customHeight="1">
      <c r="A260" s="142">
        <f t="shared" si="6"/>
        <v>6</v>
      </c>
      <c r="B260" s="157">
        <v>41429</v>
      </c>
      <c r="C260" s="158" t="s">
        <v>145</v>
      </c>
      <c r="D260" s="157">
        <v>41429</v>
      </c>
      <c r="E260" s="159" t="s">
        <v>569</v>
      </c>
      <c r="F260" s="159"/>
      <c r="G260" s="160" t="s">
        <v>34</v>
      </c>
      <c r="H260" s="161"/>
      <c r="I260" s="161">
        <v>154916329</v>
      </c>
      <c r="J260" s="162">
        <f t="shared" si="7"/>
        <v>1104267451</v>
      </c>
      <c r="K260" s="162"/>
    </row>
    <row r="261" spans="1:11" s="142" customFormat="1" ht="19.5" customHeight="1">
      <c r="A261" s="142">
        <f t="shared" si="6"/>
        <v>6</v>
      </c>
      <c r="B261" s="157">
        <v>41429</v>
      </c>
      <c r="C261" s="158" t="s">
        <v>145</v>
      </c>
      <c r="D261" s="157">
        <v>41429</v>
      </c>
      <c r="E261" s="159" t="s">
        <v>580</v>
      </c>
      <c r="F261" s="159"/>
      <c r="G261" s="160" t="s">
        <v>192</v>
      </c>
      <c r="H261" s="161"/>
      <c r="I261" s="161">
        <v>77458</v>
      </c>
      <c r="J261" s="162">
        <f t="shared" si="7"/>
        <v>1104189993</v>
      </c>
      <c r="K261" s="162"/>
    </row>
    <row r="262" spans="1:11" s="142" customFormat="1" ht="19.5" customHeight="1">
      <c r="A262" s="142">
        <f t="shared" si="6"/>
        <v>6</v>
      </c>
      <c r="B262" s="157">
        <v>41429</v>
      </c>
      <c r="C262" s="158" t="s">
        <v>145</v>
      </c>
      <c r="D262" s="157">
        <v>41429</v>
      </c>
      <c r="E262" s="159" t="s">
        <v>581</v>
      </c>
      <c r="F262" s="159"/>
      <c r="G262" s="160" t="s">
        <v>35</v>
      </c>
      <c r="H262" s="161"/>
      <c r="I262" s="161">
        <v>7746</v>
      </c>
      <c r="J262" s="162">
        <f t="shared" si="7"/>
        <v>1104182247</v>
      </c>
      <c r="K262" s="162"/>
    </row>
    <row r="263" spans="1:11" s="142" customFormat="1" ht="19.5" customHeight="1">
      <c r="A263" s="142">
        <f t="shared" si="6"/>
        <v>6</v>
      </c>
      <c r="B263" s="157">
        <v>41429</v>
      </c>
      <c r="C263" s="158" t="s">
        <v>484</v>
      </c>
      <c r="D263" s="157">
        <v>41429</v>
      </c>
      <c r="E263" s="159" t="s">
        <v>269</v>
      </c>
      <c r="F263" s="159"/>
      <c r="G263" s="160" t="s">
        <v>144</v>
      </c>
      <c r="H263" s="161"/>
      <c r="I263" s="161">
        <v>1102000000</v>
      </c>
      <c r="J263" s="162">
        <f t="shared" si="7"/>
        <v>2182247</v>
      </c>
      <c r="K263" s="162"/>
    </row>
    <row r="264" spans="1:11" s="142" customFormat="1" ht="19.5" customHeight="1">
      <c r="A264" s="142">
        <f t="shared" si="6"/>
        <v>6</v>
      </c>
      <c r="B264" s="157">
        <v>41436</v>
      </c>
      <c r="C264" s="158" t="s">
        <v>148</v>
      </c>
      <c r="D264" s="157">
        <v>41436</v>
      </c>
      <c r="E264" s="159" t="s">
        <v>491</v>
      </c>
      <c r="F264" s="159"/>
      <c r="G264" s="160" t="s">
        <v>166</v>
      </c>
      <c r="H264" s="161">
        <v>1492000000</v>
      </c>
      <c r="I264" s="161"/>
      <c r="J264" s="162">
        <f t="shared" si="7"/>
        <v>1494182247</v>
      </c>
      <c r="K264" s="162"/>
    </row>
    <row r="265" spans="1:11" s="142" customFormat="1" ht="19.5" customHeight="1">
      <c r="A265" s="142">
        <f t="shared" si="6"/>
        <v>6</v>
      </c>
      <c r="B265" s="157">
        <v>41436</v>
      </c>
      <c r="C265" s="158" t="s">
        <v>145</v>
      </c>
      <c r="D265" s="157">
        <v>41436</v>
      </c>
      <c r="E265" s="159" t="s">
        <v>582</v>
      </c>
      <c r="F265" s="159"/>
      <c r="G265" s="160" t="s">
        <v>34</v>
      </c>
      <c r="H265" s="161"/>
      <c r="I265" s="161">
        <v>60000000</v>
      </c>
      <c r="J265" s="162">
        <f t="shared" si="7"/>
        <v>1434182247</v>
      </c>
      <c r="K265" s="162"/>
    </row>
    <row r="266" spans="1:11" s="142" customFormat="1" ht="19.5" customHeight="1">
      <c r="A266" s="142">
        <f t="shared" si="6"/>
        <v>6</v>
      </c>
      <c r="B266" s="157">
        <v>41436</v>
      </c>
      <c r="C266" s="158" t="s">
        <v>145</v>
      </c>
      <c r="D266" s="157">
        <v>41436</v>
      </c>
      <c r="E266" s="159" t="s">
        <v>241</v>
      </c>
      <c r="F266" s="159"/>
      <c r="G266" s="160" t="s">
        <v>192</v>
      </c>
      <c r="H266" s="161"/>
      <c r="I266" s="161">
        <v>10000</v>
      </c>
      <c r="J266" s="162">
        <f t="shared" si="7"/>
        <v>1434172247</v>
      </c>
      <c r="K266" s="162"/>
    </row>
    <row r="267" spans="1:11" s="142" customFormat="1" ht="19.5" customHeight="1">
      <c r="A267" s="142">
        <f t="shared" si="6"/>
        <v>6</v>
      </c>
      <c r="B267" s="157">
        <v>41436</v>
      </c>
      <c r="C267" s="158" t="s">
        <v>145</v>
      </c>
      <c r="D267" s="157">
        <v>41436</v>
      </c>
      <c r="E267" s="159" t="s">
        <v>242</v>
      </c>
      <c r="F267" s="159"/>
      <c r="G267" s="160" t="s">
        <v>35</v>
      </c>
      <c r="H267" s="161"/>
      <c r="I267" s="161">
        <v>1000</v>
      </c>
      <c r="J267" s="162">
        <f t="shared" si="7"/>
        <v>1434171247</v>
      </c>
      <c r="K267" s="162"/>
    </row>
    <row r="268" spans="1:11" s="142" customFormat="1" ht="19.5" customHeight="1">
      <c r="A268" s="142">
        <f t="shared" si="6"/>
        <v>6</v>
      </c>
      <c r="B268" s="157">
        <v>41436</v>
      </c>
      <c r="C268" s="158" t="s">
        <v>145</v>
      </c>
      <c r="D268" s="157">
        <v>41436</v>
      </c>
      <c r="E268" s="159" t="s">
        <v>583</v>
      </c>
      <c r="F268" s="159"/>
      <c r="G268" s="160" t="s">
        <v>34</v>
      </c>
      <c r="H268" s="161"/>
      <c r="I268" s="161">
        <v>62535000</v>
      </c>
      <c r="J268" s="162">
        <f t="shared" si="7"/>
        <v>1371636247</v>
      </c>
      <c r="K268" s="162"/>
    </row>
    <row r="269" spans="1:11" s="142" customFormat="1" ht="19.5" customHeight="1">
      <c r="A269" s="142">
        <f t="shared" si="6"/>
        <v>6</v>
      </c>
      <c r="B269" s="157">
        <v>41436</v>
      </c>
      <c r="C269" s="158" t="s">
        <v>145</v>
      </c>
      <c r="D269" s="157">
        <v>41436</v>
      </c>
      <c r="E269" s="159" t="s">
        <v>241</v>
      </c>
      <c r="F269" s="159"/>
      <c r="G269" s="160" t="s">
        <v>192</v>
      </c>
      <c r="H269" s="161"/>
      <c r="I269" s="161">
        <v>10000</v>
      </c>
      <c r="J269" s="162">
        <f t="shared" ref="J269:J334" si="8">IF(B269&lt;&gt;"",J268+H269-I269,0)</f>
        <v>1371626247</v>
      </c>
      <c r="K269" s="162"/>
    </row>
    <row r="270" spans="1:11" s="142" customFormat="1" ht="19.5" customHeight="1">
      <c r="A270" s="142">
        <f t="shared" si="6"/>
        <v>6</v>
      </c>
      <c r="B270" s="157">
        <v>41436</v>
      </c>
      <c r="C270" s="158" t="s">
        <v>145</v>
      </c>
      <c r="D270" s="157">
        <v>41436</v>
      </c>
      <c r="E270" s="159" t="s">
        <v>242</v>
      </c>
      <c r="F270" s="159"/>
      <c r="G270" s="160" t="s">
        <v>35</v>
      </c>
      <c r="H270" s="161"/>
      <c r="I270" s="161">
        <v>1000</v>
      </c>
      <c r="J270" s="162">
        <f t="shared" si="8"/>
        <v>1371625247</v>
      </c>
      <c r="K270" s="162"/>
    </row>
    <row r="271" spans="1:11" s="142" customFormat="1" ht="19.5" customHeight="1">
      <c r="A271" s="142">
        <f t="shared" si="6"/>
        <v>6</v>
      </c>
      <c r="B271" s="157">
        <v>41436</v>
      </c>
      <c r="C271" s="357" t="s">
        <v>145</v>
      </c>
      <c r="D271" s="157">
        <v>41436</v>
      </c>
      <c r="E271" s="159" t="s">
        <v>584</v>
      </c>
      <c r="F271" s="159"/>
      <c r="G271" s="160" t="s">
        <v>34</v>
      </c>
      <c r="H271" s="161"/>
      <c r="I271" s="161">
        <v>5115000</v>
      </c>
      <c r="J271" s="162">
        <f t="shared" si="8"/>
        <v>1366510247</v>
      </c>
      <c r="K271" s="162"/>
    </row>
    <row r="272" spans="1:11" s="142" customFormat="1" ht="19.5" customHeight="1">
      <c r="A272" s="142">
        <f t="shared" si="6"/>
        <v>6</v>
      </c>
      <c r="B272" s="157">
        <v>41436</v>
      </c>
      <c r="C272" s="357" t="s">
        <v>145</v>
      </c>
      <c r="D272" s="157">
        <v>41436</v>
      </c>
      <c r="E272" s="159" t="s">
        <v>241</v>
      </c>
      <c r="F272" s="159"/>
      <c r="G272" s="160" t="s">
        <v>192</v>
      </c>
      <c r="H272" s="161"/>
      <c r="I272" s="161">
        <v>10000</v>
      </c>
      <c r="J272" s="162">
        <f t="shared" si="8"/>
        <v>1366500247</v>
      </c>
      <c r="K272" s="162"/>
    </row>
    <row r="273" spans="1:11" s="142" customFormat="1" ht="19.5" customHeight="1">
      <c r="A273" s="142">
        <f t="shared" si="6"/>
        <v>6</v>
      </c>
      <c r="B273" s="157">
        <v>41436</v>
      </c>
      <c r="C273" s="158" t="s">
        <v>145</v>
      </c>
      <c r="D273" s="157">
        <v>41436</v>
      </c>
      <c r="E273" s="159" t="s">
        <v>242</v>
      </c>
      <c r="F273" s="159"/>
      <c r="G273" s="160" t="s">
        <v>35</v>
      </c>
      <c r="H273" s="161"/>
      <c r="I273" s="161">
        <v>1000</v>
      </c>
      <c r="J273" s="162">
        <f t="shared" si="8"/>
        <v>1366499247</v>
      </c>
      <c r="K273" s="162"/>
    </row>
    <row r="274" spans="1:11" s="142" customFormat="1" ht="19.5" customHeight="1">
      <c r="A274" s="142">
        <f t="shared" si="6"/>
        <v>6</v>
      </c>
      <c r="B274" s="157">
        <v>41436</v>
      </c>
      <c r="C274" s="158" t="s">
        <v>145</v>
      </c>
      <c r="D274" s="157">
        <v>41436</v>
      </c>
      <c r="E274" s="159" t="s">
        <v>585</v>
      </c>
      <c r="F274" s="159"/>
      <c r="G274" s="160" t="s">
        <v>150</v>
      </c>
      <c r="H274" s="161"/>
      <c r="I274" s="161">
        <v>5375119</v>
      </c>
      <c r="J274" s="162">
        <f t="shared" si="8"/>
        <v>1361124128</v>
      </c>
      <c r="K274" s="162"/>
    </row>
    <row r="275" spans="1:11" s="142" customFormat="1" ht="19.5" customHeight="1">
      <c r="A275" s="142">
        <f t="shared" si="6"/>
        <v>6</v>
      </c>
      <c r="B275" s="157">
        <v>41436</v>
      </c>
      <c r="C275" s="158" t="s">
        <v>145</v>
      </c>
      <c r="D275" s="157">
        <v>41436</v>
      </c>
      <c r="E275" s="159" t="s">
        <v>586</v>
      </c>
      <c r="F275" s="159"/>
      <c r="G275" s="160" t="s">
        <v>150</v>
      </c>
      <c r="H275" s="161"/>
      <c r="I275" s="161">
        <v>17433375</v>
      </c>
      <c r="J275" s="162">
        <f t="shared" si="8"/>
        <v>1343690753</v>
      </c>
      <c r="K275" s="162"/>
    </row>
    <row r="276" spans="1:11" s="142" customFormat="1" ht="19.5" customHeight="1">
      <c r="A276" s="142">
        <f t="shared" si="6"/>
        <v>6</v>
      </c>
      <c r="B276" s="157">
        <v>41436</v>
      </c>
      <c r="C276" s="158" t="s">
        <v>145</v>
      </c>
      <c r="D276" s="157">
        <v>41436</v>
      </c>
      <c r="E276" s="159" t="s">
        <v>587</v>
      </c>
      <c r="F276" s="159"/>
      <c r="G276" s="160" t="s">
        <v>150</v>
      </c>
      <c r="H276" s="161"/>
      <c r="I276" s="161">
        <v>10886340</v>
      </c>
      <c r="J276" s="162">
        <f t="shared" si="8"/>
        <v>1332804413</v>
      </c>
      <c r="K276" s="162"/>
    </row>
    <row r="277" spans="1:11" s="142" customFormat="1" ht="19.5" customHeight="1">
      <c r="A277" s="142">
        <f t="shared" si="6"/>
        <v>6</v>
      </c>
      <c r="B277" s="157">
        <v>41436</v>
      </c>
      <c r="C277" s="158" t="s">
        <v>145</v>
      </c>
      <c r="D277" s="157">
        <v>41436</v>
      </c>
      <c r="E277" s="159" t="s">
        <v>588</v>
      </c>
      <c r="F277" s="159"/>
      <c r="G277" s="160" t="s">
        <v>150</v>
      </c>
      <c r="H277" s="161"/>
      <c r="I277" s="161">
        <v>15240161</v>
      </c>
      <c r="J277" s="162">
        <f t="shared" si="8"/>
        <v>1317564252</v>
      </c>
      <c r="K277" s="162"/>
    </row>
    <row r="278" spans="1:11" s="142" customFormat="1" ht="19.5" customHeight="1">
      <c r="A278" s="142">
        <f t="shared" si="6"/>
        <v>6</v>
      </c>
      <c r="B278" s="157">
        <v>41436</v>
      </c>
      <c r="C278" s="158" t="s">
        <v>145</v>
      </c>
      <c r="D278" s="157">
        <v>41436</v>
      </c>
      <c r="E278" s="159" t="s">
        <v>589</v>
      </c>
      <c r="F278" s="159"/>
      <c r="G278" s="160" t="s">
        <v>38</v>
      </c>
      <c r="H278" s="161"/>
      <c r="I278" s="161">
        <v>42135645</v>
      </c>
      <c r="J278" s="162">
        <f t="shared" si="8"/>
        <v>1275428607</v>
      </c>
      <c r="K278" s="162"/>
    </row>
    <row r="279" spans="1:11" s="142" customFormat="1" ht="19.5" customHeight="1">
      <c r="A279" s="142">
        <f t="shared" si="6"/>
        <v>6</v>
      </c>
      <c r="B279" s="157">
        <v>41436</v>
      </c>
      <c r="C279" s="158" t="s">
        <v>145</v>
      </c>
      <c r="D279" s="157">
        <v>41436</v>
      </c>
      <c r="E279" s="159" t="s">
        <v>590</v>
      </c>
      <c r="F279" s="159"/>
      <c r="G279" s="160" t="s">
        <v>156</v>
      </c>
      <c r="H279" s="161"/>
      <c r="I279" s="161">
        <v>5719357</v>
      </c>
      <c r="J279" s="162">
        <f t="shared" si="8"/>
        <v>1269709250</v>
      </c>
      <c r="K279" s="162"/>
    </row>
    <row r="280" spans="1:11" s="142" customFormat="1" ht="19.5" customHeight="1">
      <c r="A280" s="142">
        <f t="shared" si="6"/>
        <v>6</v>
      </c>
      <c r="B280" s="157">
        <v>41436</v>
      </c>
      <c r="C280" s="158" t="s">
        <v>145</v>
      </c>
      <c r="D280" s="157">
        <v>41436</v>
      </c>
      <c r="E280" s="159" t="s">
        <v>591</v>
      </c>
      <c r="F280" s="159"/>
      <c r="G280" s="160" t="s">
        <v>231</v>
      </c>
      <c r="H280" s="161"/>
      <c r="I280" s="161">
        <v>2144998</v>
      </c>
      <c r="J280" s="162">
        <f t="shared" si="8"/>
        <v>1267564252</v>
      </c>
      <c r="K280" s="162"/>
    </row>
    <row r="281" spans="1:11" s="142" customFormat="1" ht="19.5" customHeight="1">
      <c r="A281" s="142">
        <f t="shared" si="6"/>
        <v>6</v>
      </c>
      <c r="B281" s="157">
        <v>41436</v>
      </c>
      <c r="C281" s="158" t="s">
        <v>145</v>
      </c>
      <c r="D281" s="157">
        <v>41436</v>
      </c>
      <c r="E281" s="159" t="s">
        <v>592</v>
      </c>
      <c r="F281" s="159"/>
      <c r="G281" s="160" t="s">
        <v>192</v>
      </c>
      <c r="H281" s="161"/>
      <c r="I281" s="161">
        <v>25000</v>
      </c>
      <c r="J281" s="162">
        <f t="shared" si="8"/>
        <v>1267539252</v>
      </c>
      <c r="K281" s="162"/>
    </row>
    <row r="282" spans="1:11" s="142" customFormat="1" ht="19.5" customHeight="1">
      <c r="A282" s="142">
        <f t="shared" si="6"/>
        <v>6</v>
      </c>
      <c r="B282" s="157">
        <v>41436</v>
      </c>
      <c r="C282" s="158" t="s">
        <v>145</v>
      </c>
      <c r="D282" s="157">
        <v>41436</v>
      </c>
      <c r="E282" s="159" t="s">
        <v>593</v>
      </c>
      <c r="F282" s="159"/>
      <c r="G282" s="160" t="s">
        <v>35</v>
      </c>
      <c r="H282" s="161"/>
      <c r="I282" s="161">
        <v>2500</v>
      </c>
      <c r="J282" s="162">
        <f t="shared" si="8"/>
        <v>1267536752</v>
      </c>
      <c r="K282" s="162"/>
    </row>
    <row r="283" spans="1:11" s="142" customFormat="1" ht="19.5" customHeight="1">
      <c r="A283" s="142">
        <f t="shared" si="6"/>
        <v>6</v>
      </c>
      <c r="B283" s="157">
        <v>41436</v>
      </c>
      <c r="C283" s="158" t="s">
        <v>484</v>
      </c>
      <c r="D283" s="157">
        <v>41436</v>
      </c>
      <c r="E283" s="159" t="s">
        <v>269</v>
      </c>
      <c r="F283" s="159"/>
      <c r="G283" s="160" t="s">
        <v>144</v>
      </c>
      <c r="H283" s="161"/>
      <c r="I283" s="161">
        <v>1162000000</v>
      </c>
      <c r="J283" s="162">
        <f t="shared" si="8"/>
        <v>105536752</v>
      </c>
      <c r="K283" s="162"/>
    </row>
    <row r="284" spans="1:11" s="142" customFormat="1" ht="19.5" customHeight="1">
      <c r="A284" s="142">
        <f t="shared" si="6"/>
        <v>6</v>
      </c>
      <c r="B284" s="157">
        <v>41437</v>
      </c>
      <c r="C284" s="158" t="s">
        <v>145</v>
      </c>
      <c r="D284" s="157">
        <v>41437</v>
      </c>
      <c r="E284" s="159" t="s">
        <v>594</v>
      </c>
      <c r="F284" s="159"/>
      <c r="G284" s="160" t="s">
        <v>34</v>
      </c>
      <c r="H284" s="161"/>
      <c r="I284" s="161">
        <v>80000000</v>
      </c>
      <c r="J284" s="162">
        <f t="shared" si="8"/>
        <v>25536752</v>
      </c>
      <c r="K284" s="162"/>
    </row>
    <row r="285" spans="1:11" s="142" customFormat="1" ht="19.5" customHeight="1">
      <c r="A285" s="142">
        <f t="shared" si="6"/>
        <v>6</v>
      </c>
      <c r="B285" s="157">
        <v>41437</v>
      </c>
      <c r="C285" s="158" t="s">
        <v>145</v>
      </c>
      <c r="D285" s="157">
        <v>41437</v>
      </c>
      <c r="E285" s="159" t="s">
        <v>187</v>
      </c>
      <c r="F285" s="159"/>
      <c r="G285" s="160" t="s">
        <v>192</v>
      </c>
      <c r="H285" s="161"/>
      <c r="I285" s="161">
        <v>10000</v>
      </c>
      <c r="J285" s="162">
        <f t="shared" si="8"/>
        <v>25526752</v>
      </c>
      <c r="K285" s="162"/>
    </row>
    <row r="286" spans="1:11" s="142" customFormat="1" ht="19.5" customHeight="1">
      <c r="A286" s="142">
        <f t="shared" si="6"/>
        <v>6</v>
      </c>
      <c r="B286" s="157">
        <v>41437</v>
      </c>
      <c r="C286" s="158" t="s">
        <v>145</v>
      </c>
      <c r="D286" s="157">
        <v>41437</v>
      </c>
      <c r="E286" s="159" t="s">
        <v>242</v>
      </c>
      <c r="F286" s="159"/>
      <c r="G286" s="160" t="s">
        <v>35</v>
      </c>
      <c r="H286" s="161"/>
      <c r="I286" s="161">
        <v>1000</v>
      </c>
      <c r="J286" s="162">
        <f t="shared" si="8"/>
        <v>25525752</v>
      </c>
      <c r="K286" s="162"/>
    </row>
    <row r="287" spans="1:11" s="142" customFormat="1" ht="19.5" customHeight="1">
      <c r="A287" s="142">
        <f t="shared" si="6"/>
        <v>6</v>
      </c>
      <c r="B287" s="157">
        <v>41437</v>
      </c>
      <c r="C287" s="158" t="s">
        <v>145</v>
      </c>
      <c r="D287" s="157">
        <v>41437</v>
      </c>
      <c r="E287" s="159" t="s">
        <v>595</v>
      </c>
      <c r="F287" s="159"/>
      <c r="G287" s="160" t="s">
        <v>34</v>
      </c>
      <c r="H287" s="161"/>
      <c r="I287" s="161">
        <v>24327710</v>
      </c>
      <c r="J287" s="162">
        <f t="shared" si="8"/>
        <v>1198042</v>
      </c>
      <c r="K287" s="162"/>
    </row>
    <row r="288" spans="1:11" s="142" customFormat="1" ht="19.5" customHeight="1">
      <c r="A288" s="142">
        <f t="shared" si="6"/>
        <v>6</v>
      </c>
      <c r="B288" s="157">
        <v>41437</v>
      </c>
      <c r="C288" s="158" t="s">
        <v>145</v>
      </c>
      <c r="D288" s="157">
        <v>41437</v>
      </c>
      <c r="E288" s="159" t="s">
        <v>187</v>
      </c>
      <c r="F288" s="159"/>
      <c r="G288" s="160" t="s">
        <v>192</v>
      </c>
      <c r="H288" s="161"/>
      <c r="I288" s="161">
        <v>20000</v>
      </c>
      <c r="J288" s="162">
        <f t="shared" si="8"/>
        <v>1178042</v>
      </c>
      <c r="K288" s="162"/>
    </row>
    <row r="289" spans="1:12" s="142" customFormat="1" ht="19.5" customHeight="1">
      <c r="A289" s="142">
        <f t="shared" si="6"/>
        <v>6</v>
      </c>
      <c r="B289" s="157">
        <v>41437</v>
      </c>
      <c r="C289" s="158" t="s">
        <v>145</v>
      </c>
      <c r="D289" s="157">
        <v>41437</v>
      </c>
      <c r="E289" s="159" t="s">
        <v>242</v>
      </c>
      <c r="F289" s="159"/>
      <c r="G289" s="160" t="s">
        <v>35</v>
      </c>
      <c r="H289" s="161"/>
      <c r="I289" s="161">
        <v>2000</v>
      </c>
      <c r="J289" s="162">
        <f t="shared" si="8"/>
        <v>1176042</v>
      </c>
      <c r="K289" s="162"/>
    </row>
    <row r="290" spans="1:12" s="142" customFormat="1" ht="19.5" customHeight="1">
      <c r="A290" s="142">
        <f t="shared" si="6"/>
        <v>6</v>
      </c>
      <c r="B290" s="157">
        <v>41443</v>
      </c>
      <c r="C290" s="158" t="s">
        <v>145</v>
      </c>
      <c r="D290" s="157">
        <v>41443</v>
      </c>
      <c r="E290" s="159" t="s">
        <v>596</v>
      </c>
      <c r="F290" s="159"/>
      <c r="G290" s="160" t="s">
        <v>192</v>
      </c>
      <c r="H290" s="161"/>
      <c r="I290" s="161">
        <v>30000</v>
      </c>
      <c r="J290" s="162">
        <f t="shared" si="8"/>
        <v>1146042</v>
      </c>
      <c r="K290" s="162"/>
    </row>
    <row r="291" spans="1:12" s="358" customFormat="1" ht="19.5" customHeight="1">
      <c r="A291" s="358">
        <f t="shared" si="6"/>
        <v>6</v>
      </c>
      <c r="B291" s="359">
        <v>41443</v>
      </c>
      <c r="C291" s="357" t="s">
        <v>145</v>
      </c>
      <c r="D291" s="359">
        <v>41443</v>
      </c>
      <c r="E291" s="347" t="s">
        <v>255</v>
      </c>
      <c r="F291" s="347"/>
      <c r="G291" s="360" t="s">
        <v>35</v>
      </c>
      <c r="H291" s="361"/>
      <c r="I291" s="361">
        <v>3000</v>
      </c>
      <c r="J291" s="362">
        <f t="shared" si="8"/>
        <v>1143042</v>
      </c>
      <c r="K291" s="362"/>
    </row>
    <row r="292" spans="1:12" s="358" customFormat="1" ht="19.5" customHeight="1">
      <c r="A292" s="358">
        <f>IF(B292&lt;&gt;"",MONTH(B292),"")</f>
        <v>6</v>
      </c>
      <c r="B292" s="359">
        <v>41443</v>
      </c>
      <c r="C292" s="357" t="s">
        <v>145</v>
      </c>
      <c r="D292" s="359">
        <v>41443</v>
      </c>
      <c r="E292" s="347" t="s">
        <v>596</v>
      </c>
      <c r="F292" s="347"/>
      <c r="G292" s="360" t="s">
        <v>192</v>
      </c>
      <c r="H292" s="361"/>
      <c r="I292" s="361">
        <v>30000</v>
      </c>
      <c r="J292" s="362">
        <f t="shared" si="8"/>
        <v>1113042</v>
      </c>
      <c r="K292" s="362"/>
    </row>
    <row r="293" spans="1:12" s="358" customFormat="1" ht="19.5" customHeight="1">
      <c r="A293" s="358">
        <f>IF(B293&lt;&gt;"",MONTH(B293),"")</f>
        <v>6</v>
      </c>
      <c r="B293" s="359">
        <v>41443</v>
      </c>
      <c r="C293" s="357" t="s">
        <v>145</v>
      </c>
      <c r="D293" s="359">
        <v>41443</v>
      </c>
      <c r="E293" s="347" t="s">
        <v>155</v>
      </c>
      <c r="F293" s="347"/>
      <c r="G293" s="360" t="s">
        <v>35</v>
      </c>
      <c r="H293" s="361"/>
      <c r="I293" s="361">
        <v>3000</v>
      </c>
      <c r="J293" s="362">
        <f t="shared" si="8"/>
        <v>1110042</v>
      </c>
      <c r="K293" s="362"/>
    </row>
    <row r="294" spans="1:12" s="142" customFormat="1" ht="19.5" customHeight="1">
      <c r="A294" s="142">
        <f t="shared" si="6"/>
        <v>6</v>
      </c>
      <c r="B294" s="157">
        <v>41443</v>
      </c>
      <c r="C294" s="158" t="s">
        <v>145</v>
      </c>
      <c r="D294" s="157">
        <v>41443</v>
      </c>
      <c r="E294" s="159" t="s">
        <v>596</v>
      </c>
      <c r="F294" s="159"/>
      <c r="G294" s="160" t="s">
        <v>192</v>
      </c>
      <c r="H294" s="161"/>
      <c r="I294" s="161">
        <v>30000</v>
      </c>
      <c r="J294" s="162">
        <f t="shared" si="8"/>
        <v>1080042</v>
      </c>
      <c r="K294" s="162"/>
    </row>
    <row r="295" spans="1:12" s="142" customFormat="1" ht="19.5" customHeight="1">
      <c r="A295" s="142">
        <f t="shared" si="6"/>
        <v>6</v>
      </c>
      <c r="B295" s="157">
        <v>41443</v>
      </c>
      <c r="C295" s="158" t="s">
        <v>145</v>
      </c>
      <c r="D295" s="157">
        <v>41443</v>
      </c>
      <c r="E295" s="159" t="s">
        <v>155</v>
      </c>
      <c r="F295" s="159"/>
      <c r="G295" s="160" t="s">
        <v>35</v>
      </c>
      <c r="H295" s="161"/>
      <c r="I295" s="161">
        <v>3000</v>
      </c>
      <c r="J295" s="162">
        <f t="shared" si="8"/>
        <v>1077042</v>
      </c>
      <c r="K295" s="162"/>
    </row>
    <row r="296" spans="1:12" s="142" customFormat="1" ht="19.5" customHeight="1">
      <c r="A296" s="142">
        <f t="shared" si="6"/>
        <v>6</v>
      </c>
      <c r="B296" s="157">
        <v>41443</v>
      </c>
      <c r="C296" s="158" t="s">
        <v>145</v>
      </c>
      <c r="D296" s="157">
        <v>41443</v>
      </c>
      <c r="E296" s="159" t="s">
        <v>596</v>
      </c>
      <c r="F296" s="159"/>
      <c r="G296" s="160" t="s">
        <v>192</v>
      </c>
      <c r="H296" s="161"/>
      <c r="I296" s="161">
        <v>30000</v>
      </c>
      <c r="J296" s="162">
        <f t="shared" si="8"/>
        <v>1047042</v>
      </c>
      <c r="K296" s="162"/>
    </row>
    <row r="297" spans="1:12" s="142" customFormat="1" ht="19.5" customHeight="1">
      <c r="A297" s="142">
        <f t="shared" si="6"/>
        <v>6</v>
      </c>
      <c r="B297" s="157">
        <v>41443</v>
      </c>
      <c r="C297" s="158" t="s">
        <v>145</v>
      </c>
      <c r="D297" s="157">
        <v>41443</v>
      </c>
      <c r="E297" s="159" t="s">
        <v>155</v>
      </c>
      <c r="F297" s="159"/>
      <c r="G297" s="160" t="s">
        <v>35</v>
      </c>
      <c r="H297" s="161"/>
      <c r="I297" s="161">
        <v>3000</v>
      </c>
      <c r="J297" s="162">
        <f t="shared" si="8"/>
        <v>1044042</v>
      </c>
      <c r="K297" s="162"/>
      <c r="L297" s="155">
        <f>J297+'Q4-VND'!J49</f>
        <v>3896337</v>
      </c>
    </row>
    <row r="298" spans="1:12" s="142" customFormat="1" ht="19.5" customHeight="1">
      <c r="A298" s="142">
        <f t="shared" si="6"/>
        <v>6</v>
      </c>
      <c r="B298" s="157">
        <v>41443</v>
      </c>
      <c r="C298" s="158" t="s">
        <v>145</v>
      </c>
      <c r="D298" s="157">
        <v>41443</v>
      </c>
      <c r="E298" s="159" t="s">
        <v>596</v>
      </c>
      <c r="F298" s="159"/>
      <c r="G298" s="160" t="s">
        <v>192</v>
      </c>
      <c r="H298" s="161"/>
      <c r="I298" s="161">
        <v>30000</v>
      </c>
      <c r="J298" s="162">
        <f t="shared" si="8"/>
        <v>1014042</v>
      </c>
      <c r="K298" s="162"/>
    </row>
    <row r="299" spans="1:12" s="142" customFormat="1" ht="19.5" customHeight="1">
      <c r="A299" s="142">
        <f t="shared" si="6"/>
        <v>6</v>
      </c>
      <c r="B299" s="157">
        <v>41443</v>
      </c>
      <c r="C299" s="158" t="s">
        <v>145</v>
      </c>
      <c r="D299" s="157">
        <v>41443</v>
      </c>
      <c r="E299" s="159" t="s">
        <v>155</v>
      </c>
      <c r="F299" s="159"/>
      <c r="G299" s="160" t="s">
        <v>35</v>
      </c>
      <c r="H299" s="161"/>
      <c r="I299" s="161">
        <v>3000</v>
      </c>
      <c r="J299" s="162">
        <f t="shared" si="8"/>
        <v>1011042</v>
      </c>
      <c r="K299" s="162"/>
    </row>
    <row r="300" spans="1:12" s="142" customFormat="1" ht="19.5" customHeight="1">
      <c r="A300" s="142">
        <f t="shared" si="6"/>
        <v>6</v>
      </c>
      <c r="B300" s="157">
        <v>41443</v>
      </c>
      <c r="C300" s="158" t="s">
        <v>145</v>
      </c>
      <c r="D300" s="157">
        <v>41443</v>
      </c>
      <c r="E300" s="159" t="s">
        <v>596</v>
      </c>
      <c r="F300" s="159"/>
      <c r="G300" s="160" t="s">
        <v>192</v>
      </c>
      <c r="H300" s="161"/>
      <c r="I300" s="161">
        <v>30000</v>
      </c>
      <c r="J300" s="162">
        <f t="shared" si="8"/>
        <v>981042</v>
      </c>
      <c r="K300" s="162"/>
    </row>
    <row r="301" spans="1:12" s="142" customFormat="1" ht="19.5" customHeight="1">
      <c r="A301" s="142">
        <f t="shared" si="6"/>
        <v>6</v>
      </c>
      <c r="B301" s="157">
        <v>41443</v>
      </c>
      <c r="C301" s="158" t="s">
        <v>145</v>
      </c>
      <c r="D301" s="157">
        <v>41443</v>
      </c>
      <c r="E301" s="159" t="s">
        <v>155</v>
      </c>
      <c r="F301" s="159"/>
      <c r="G301" s="160" t="s">
        <v>35</v>
      </c>
      <c r="H301" s="161"/>
      <c r="I301" s="161">
        <v>3000</v>
      </c>
      <c r="J301" s="162">
        <f t="shared" si="8"/>
        <v>978042</v>
      </c>
      <c r="K301" s="162"/>
    </row>
    <row r="302" spans="1:12" s="142" customFormat="1" ht="19.5" customHeight="1">
      <c r="A302" s="142">
        <f t="shared" si="6"/>
        <v>6</v>
      </c>
      <c r="B302" s="157">
        <v>41445</v>
      </c>
      <c r="C302" s="158" t="s">
        <v>145</v>
      </c>
      <c r="D302" s="157">
        <v>41445</v>
      </c>
      <c r="E302" s="159" t="s">
        <v>248</v>
      </c>
      <c r="F302" s="159"/>
      <c r="G302" s="160" t="s">
        <v>147</v>
      </c>
      <c r="H302" s="161">
        <v>864579600</v>
      </c>
      <c r="I302" s="161"/>
      <c r="J302" s="162">
        <f t="shared" si="8"/>
        <v>865557642</v>
      </c>
      <c r="K302" s="162"/>
    </row>
    <row r="303" spans="1:12" s="142" customFormat="1" ht="19.5" customHeight="1">
      <c r="A303" s="142">
        <f t="shared" si="6"/>
        <v>6</v>
      </c>
      <c r="B303" s="157">
        <v>41445</v>
      </c>
      <c r="C303" s="158" t="s">
        <v>148</v>
      </c>
      <c r="D303" s="157">
        <v>41445</v>
      </c>
      <c r="E303" s="159" t="s">
        <v>597</v>
      </c>
      <c r="F303" s="159"/>
      <c r="G303" s="160" t="s">
        <v>34</v>
      </c>
      <c r="H303" s="161"/>
      <c r="I303" s="161">
        <v>23471800</v>
      </c>
      <c r="J303" s="162">
        <f t="shared" si="8"/>
        <v>842085842</v>
      </c>
      <c r="K303" s="162"/>
    </row>
    <row r="304" spans="1:12" s="142" customFormat="1" ht="19.5" customHeight="1">
      <c r="A304" s="142">
        <f t="shared" si="6"/>
        <v>6</v>
      </c>
      <c r="B304" s="157">
        <v>41445</v>
      </c>
      <c r="C304" s="158" t="s">
        <v>148</v>
      </c>
      <c r="D304" s="157">
        <v>41445</v>
      </c>
      <c r="E304" s="159" t="s">
        <v>580</v>
      </c>
      <c r="F304" s="159"/>
      <c r="G304" s="160" t="s">
        <v>192</v>
      </c>
      <c r="H304" s="161"/>
      <c r="I304" s="161">
        <v>20000</v>
      </c>
      <c r="J304" s="162">
        <f t="shared" si="8"/>
        <v>842065842</v>
      </c>
      <c r="K304" s="162"/>
    </row>
    <row r="305" spans="1:11" s="142" customFormat="1" ht="19.5" customHeight="1">
      <c r="A305" s="142">
        <f t="shared" si="6"/>
        <v>6</v>
      </c>
      <c r="B305" s="157">
        <v>41445</v>
      </c>
      <c r="C305" s="158" t="s">
        <v>148</v>
      </c>
      <c r="D305" s="157">
        <v>41445</v>
      </c>
      <c r="E305" s="159" t="s">
        <v>581</v>
      </c>
      <c r="F305" s="159"/>
      <c r="G305" s="160" t="s">
        <v>35</v>
      </c>
      <c r="H305" s="161"/>
      <c r="I305" s="161">
        <v>2000</v>
      </c>
      <c r="J305" s="162">
        <f t="shared" si="8"/>
        <v>842063842</v>
      </c>
      <c r="K305" s="162"/>
    </row>
    <row r="306" spans="1:11" s="142" customFormat="1" ht="19.5" customHeight="1">
      <c r="A306" s="142">
        <f t="shared" si="6"/>
        <v>6</v>
      </c>
      <c r="B306" s="157">
        <v>41445</v>
      </c>
      <c r="C306" s="158" t="s">
        <v>484</v>
      </c>
      <c r="D306" s="157">
        <v>41445</v>
      </c>
      <c r="E306" s="159" t="s">
        <v>269</v>
      </c>
      <c r="F306" s="159"/>
      <c r="G306" s="160" t="s">
        <v>144</v>
      </c>
      <c r="H306" s="161"/>
      <c r="I306" s="161">
        <v>840000000</v>
      </c>
      <c r="J306" s="162">
        <f t="shared" si="8"/>
        <v>2063842</v>
      </c>
      <c r="K306" s="162"/>
    </row>
    <row r="307" spans="1:11" s="142" customFormat="1" ht="19.5" customHeight="1">
      <c r="A307" s="142">
        <f t="shared" si="6"/>
        <v>6</v>
      </c>
      <c r="B307" s="157">
        <v>41447</v>
      </c>
      <c r="C307" s="158" t="s">
        <v>148</v>
      </c>
      <c r="D307" s="157">
        <v>41447</v>
      </c>
      <c r="E307" s="159" t="s">
        <v>491</v>
      </c>
      <c r="F307" s="159"/>
      <c r="G307" s="160" t="s">
        <v>166</v>
      </c>
      <c r="H307" s="161">
        <v>737000000</v>
      </c>
      <c r="I307" s="161"/>
      <c r="J307" s="162">
        <f t="shared" si="8"/>
        <v>739063842</v>
      </c>
      <c r="K307" s="162"/>
    </row>
    <row r="308" spans="1:11" s="142" customFormat="1" ht="19.5" customHeight="1">
      <c r="A308" s="142">
        <f t="shared" si="6"/>
        <v>6</v>
      </c>
      <c r="B308" s="157">
        <v>41447</v>
      </c>
      <c r="C308" s="158" t="s">
        <v>484</v>
      </c>
      <c r="D308" s="157">
        <v>41447</v>
      </c>
      <c r="E308" s="159" t="s">
        <v>269</v>
      </c>
      <c r="F308" s="159"/>
      <c r="G308" s="160" t="s">
        <v>144</v>
      </c>
      <c r="H308" s="161"/>
      <c r="I308" s="161">
        <v>738000000</v>
      </c>
      <c r="J308" s="162">
        <f t="shared" si="8"/>
        <v>1063842</v>
      </c>
      <c r="K308" s="162"/>
    </row>
    <row r="309" spans="1:11" s="142" customFormat="1" ht="19.5" customHeight="1">
      <c r="A309" s="142">
        <f t="shared" si="6"/>
        <v>6</v>
      </c>
      <c r="B309" s="157">
        <v>41449</v>
      </c>
      <c r="C309" s="158" t="s">
        <v>148</v>
      </c>
      <c r="D309" s="157">
        <v>41449</v>
      </c>
      <c r="E309" s="159" t="s">
        <v>157</v>
      </c>
      <c r="F309" s="159"/>
      <c r="G309" s="160" t="s">
        <v>158</v>
      </c>
      <c r="H309" s="161">
        <v>52925</v>
      </c>
      <c r="I309" s="161"/>
      <c r="J309" s="162">
        <f t="shared" si="8"/>
        <v>1116767</v>
      </c>
      <c r="K309" s="162"/>
    </row>
    <row r="310" spans="1:11" s="142" customFormat="1" ht="19.5" customHeight="1">
      <c r="A310" s="142">
        <f t="shared" si="6"/>
        <v>6</v>
      </c>
      <c r="B310" s="157">
        <v>41452</v>
      </c>
      <c r="C310" s="158" t="s">
        <v>148</v>
      </c>
      <c r="D310" s="157">
        <v>41452</v>
      </c>
      <c r="E310" s="159" t="s">
        <v>479</v>
      </c>
      <c r="F310" s="159"/>
      <c r="G310" s="160" t="s">
        <v>182</v>
      </c>
      <c r="H310" s="161">
        <v>500000000</v>
      </c>
      <c r="I310" s="161"/>
      <c r="J310" s="162">
        <f t="shared" si="8"/>
        <v>501116767</v>
      </c>
      <c r="K310" s="162"/>
    </row>
    <row r="311" spans="1:11" s="142" customFormat="1" ht="19.5" customHeight="1">
      <c r="A311" s="142">
        <f t="shared" si="6"/>
        <v>6</v>
      </c>
      <c r="B311" s="157">
        <v>41452</v>
      </c>
      <c r="C311" s="158" t="s">
        <v>484</v>
      </c>
      <c r="D311" s="157">
        <v>41452</v>
      </c>
      <c r="E311" s="159" t="s">
        <v>269</v>
      </c>
      <c r="F311" s="159"/>
      <c r="G311" s="160" t="s">
        <v>144</v>
      </c>
      <c r="H311" s="161"/>
      <c r="I311" s="161">
        <v>300000000</v>
      </c>
      <c r="J311" s="162">
        <f t="shared" si="8"/>
        <v>201116767</v>
      </c>
      <c r="K311" s="162"/>
    </row>
    <row r="312" spans="1:11" s="142" customFormat="1" ht="19.5" customHeight="1">
      <c r="A312" s="142">
        <f t="shared" si="6"/>
        <v>6</v>
      </c>
      <c r="B312" s="157">
        <v>41452</v>
      </c>
      <c r="C312" s="158" t="s">
        <v>484</v>
      </c>
      <c r="D312" s="157">
        <v>41452</v>
      </c>
      <c r="E312" s="159" t="s">
        <v>269</v>
      </c>
      <c r="F312" s="159"/>
      <c r="G312" s="160" t="s">
        <v>144</v>
      </c>
      <c r="H312" s="161"/>
      <c r="I312" s="161">
        <v>200000000</v>
      </c>
      <c r="J312" s="162">
        <f t="shared" si="8"/>
        <v>1116767</v>
      </c>
      <c r="K312" s="162"/>
    </row>
    <row r="313" spans="1:11" s="142" customFormat="1" ht="19.5" customHeight="1">
      <c r="A313" s="142">
        <f t="shared" si="6"/>
        <v>6</v>
      </c>
      <c r="B313" s="157">
        <v>41453</v>
      </c>
      <c r="C313" s="158" t="s">
        <v>145</v>
      </c>
      <c r="D313" s="157">
        <v>41453</v>
      </c>
      <c r="E313" s="159" t="s">
        <v>248</v>
      </c>
      <c r="F313" s="159"/>
      <c r="G313" s="160" t="s">
        <v>147</v>
      </c>
      <c r="H313" s="161">
        <v>270720000</v>
      </c>
      <c r="I313" s="161"/>
      <c r="J313" s="162">
        <f t="shared" si="8"/>
        <v>271836767</v>
      </c>
      <c r="K313" s="162"/>
    </row>
    <row r="314" spans="1:11" s="142" customFormat="1" ht="19.5" customHeight="1">
      <c r="A314" s="142">
        <f t="shared" si="6"/>
        <v>6</v>
      </c>
      <c r="B314" s="157">
        <v>41454</v>
      </c>
      <c r="C314" s="158" t="s">
        <v>484</v>
      </c>
      <c r="D314" s="157">
        <v>41454</v>
      </c>
      <c r="E314" s="159" t="s">
        <v>269</v>
      </c>
      <c r="F314" s="159"/>
      <c r="G314" s="160" t="s">
        <v>144</v>
      </c>
      <c r="H314" s="161"/>
      <c r="I314" s="161">
        <v>270000000</v>
      </c>
      <c r="J314" s="162">
        <f t="shared" si="8"/>
        <v>1836767</v>
      </c>
      <c r="K314" s="162"/>
    </row>
    <row r="315" spans="1:11" s="142" customFormat="1" ht="19.5" customHeight="1">
      <c r="A315" s="142">
        <f t="shared" si="6"/>
        <v>7</v>
      </c>
      <c r="B315" s="157">
        <v>41457</v>
      </c>
      <c r="C315" s="158" t="s">
        <v>148</v>
      </c>
      <c r="D315" s="157">
        <v>41457</v>
      </c>
      <c r="E315" s="159" t="s">
        <v>491</v>
      </c>
      <c r="F315" s="159"/>
      <c r="G315" s="160" t="s">
        <v>166</v>
      </c>
      <c r="H315" s="161">
        <v>530000000</v>
      </c>
      <c r="I315" s="161"/>
      <c r="J315" s="162">
        <f t="shared" si="8"/>
        <v>531836767</v>
      </c>
      <c r="K315" s="162"/>
    </row>
    <row r="316" spans="1:11" s="142" customFormat="1" ht="19.5" customHeight="1">
      <c r="A316" s="142">
        <f t="shared" si="6"/>
        <v>7</v>
      </c>
      <c r="B316" s="157">
        <v>41457</v>
      </c>
      <c r="C316" s="158" t="s">
        <v>145</v>
      </c>
      <c r="D316" s="157">
        <v>41457</v>
      </c>
      <c r="E316" s="159" t="s">
        <v>598</v>
      </c>
      <c r="F316" s="159"/>
      <c r="G316" s="160" t="s">
        <v>34</v>
      </c>
      <c r="H316" s="161"/>
      <c r="I316" s="161">
        <v>24084940</v>
      </c>
      <c r="J316" s="162">
        <f t="shared" si="8"/>
        <v>507751827</v>
      </c>
      <c r="K316" s="162"/>
    </row>
    <row r="317" spans="1:11" s="142" customFormat="1" ht="19.5" customHeight="1">
      <c r="A317" s="142">
        <f t="shared" si="6"/>
        <v>7</v>
      </c>
      <c r="B317" s="157">
        <v>41457</v>
      </c>
      <c r="C317" s="158" t="s">
        <v>145</v>
      </c>
      <c r="D317" s="157">
        <v>41457</v>
      </c>
      <c r="E317" s="159" t="s">
        <v>187</v>
      </c>
      <c r="F317" s="159"/>
      <c r="G317" s="160" t="s">
        <v>192</v>
      </c>
      <c r="H317" s="161"/>
      <c r="I317" s="161">
        <v>20000</v>
      </c>
      <c r="J317" s="162">
        <f t="shared" si="8"/>
        <v>507731827</v>
      </c>
      <c r="K317" s="162"/>
    </row>
    <row r="318" spans="1:11" s="142" customFormat="1" ht="19.5" customHeight="1">
      <c r="A318" s="142">
        <f t="shared" si="6"/>
        <v>7</v>
      </c>
      <c r="B318" s="157">
        <v>41457</v>
      </c>
      <c r="C318" s="158" t="s">
        <v>145</v>
      </c>
      <c r="D318" s="157">
        <v>41457</v>
      </c>
      <c r="E318" s="159" t="s">
        <v>188</v>
      </c>
      <c r="F318" s="159"/>
      <c r="G318" s="160" t="s">
        <v>35</v>
      </c>
      <c r="H318" s="161"/>
      <c r="I318" s="161">
        <v>2000</v>
      </c>
      <c r="J318" s="162">
        <f t="shared" si="8"/>
        <v>507729827</v>
      </c>
      <c r="K318" s="162"/>
    </row>
    <row r="319" spans="1:11" s="142" customFormat="1" ht="19.5" customHeight="1">
      <c r="A319" s="142">
        <f t="shared" si="6"/>
        <v>7</v>
      </c>
      <c r="B319" s="157">
        <v>41457</v>
      </c>
      <c r="C319" s="158" t="s">
        <v>145</v>
      </c>
      <c r="D319" s="157">
        <v>41457</v>
      </c>
      <c r="E319" s="159" t="s">
        <v>599</v>
      </c>
      <c r="F319" s="159"/>
      <c r="G319" s="160" t="s">
        <v>181</v>
      </c>
      <c r="H319" s="161"/>
      <c r="I319" s="161">
        <v>9561398</v>
      </c>
      <c r="J319" s="162">
        <f t="shared" si="8"/>
        <v>498168429</v>
      </c>
      <c r="K319" s="162"/>
    </row>
    <row r="320" spans="1:11" s="142" customFormat="1" ht="19.5" customHeight="1">
      <c r="A320" s="142">
        <f t="shared" si="6"/>
        <v>7</v>
      </c>
      <c r="B320" s="157">
        <v>41457</v>
      </c>
      <c r="C320" s="158" t="s">
        <v>145</v>
      </c>
      <c r="D320" s="157">
        <v>41457</v>
      </c>
      <c r="E320" s="159" t="s">
        <v>187</v>
      </c>
      <c r="F320" s="159"/>
      <c r="G320" s="160" t="s">
        <v>192</v>
      </c>
      <c r="H320" s="161"/>
      <c r="I320" s="161">
        <v>20000</v>
      </c>
      <c r="J320" s="162">
        <f t="shared" si="8"/>
        <v>498148429</v>
      </c>
      <c r="K320" s="162"/>
    </row>
    <row r="321" spans="1:11" s="142" customFormat="1" ht="19.5" customHeight="1">
      <c r="A321" s="142">
        <f t="shared" si="6"/>
        <v>7</v>
      </c>
      <c r="B321" s="157">
        <v>41457</v>
      </c>
      <c r="C321" s="158" t="s">
        <v>145</v>
      </c>
      <c r="D321" s="157">
        <v>41457</v>
      </c>
      <c r="E321" s="159" t="s">
        <v>188</v>
      </c>
      <c r="F321" s="159"/>
      <c r="G321" s="160" t="s">
        <v>35</v>
      </c>
      <c r="H321" s="161"/>
      <c r="I321" s="161">
        <v>2000</v>
      </c>
      <c r="J321" s="162">
        <f t="shared" si="8"/>
        <v>498146429</v>
      </c>
      <c r="K321" s="162"/>
    </row>
    <row r="322" spans="1:11" s="142" customFormat="1" ht="19.5" customHeight="1">
      <c r="A322" s="142">
        <f t="shared" si="6"/>
        <v>7</v>
      </c>
      <c r="B322" s="157">
        <v>41457</v>
      </c>
      <c r="C322" s="158" t="s">
        <v>145</v>
      </c>
      <c r="D322" s="157">
        <v>41457</v>
      </c>
      <c r="E322" s="159" t="s">
        <v>600</v>
      </c>
      <c r="F322" s="159"/>
      <c r="G322" s="160" t="s">
        <v>183</v>
      </c>
      <c r="H322" s="161"/>
      <c r="I322" s="161">
        <v>246640</v>
      </c>
      <c r="J322" s="162">
        <f t="shared" si="8"/>
        <v>497899789</v>
      </c>
      <c r="K322" s="162"/>
    </row>
    <row r="323" spans="1:11" s="142" customFormat="1" ht="19.5" customHeight="1">
      <c r="A323" s="142">
        <f t="shared" si="6"/>
        <v>7</v>
      </c>
      <c r="B323" s="157">
        <v>41457</v>
      </c>
      <c r="C323" s="158" t="s">
        <v>145</v>
      </c>
      <c r="D323" s="157">
        <v>41457</v>
      </c>
      <c r="E323" s="159" t="s">
        <v>187</v>
      </c>
      <c r="F323" s="159"/>
      <c r="G323" s="160" t="s">
        <v>192</v>
      </c>
      <c r="H323" s="161"/>
      <c r="I323" s="161">
        <v>20000</v>
      </c>
      <c r="J323" s="162">
        <f t="shared" si="8"/>
        <v>497879789</v>
      </c>
      <c r="K323" s="162"/>
    </row>
    <row r="324" spans="1:11" s="142" customFormat="1" ht="19.5" customHeight="1">
      <c r="A324" s="142">
        <f t="shared" si="6"/>
        <v>7</v>
      </c>
      <c r="B324" s="157">
        <v>41457</v>
      </c>
      <c r="C324" s="158" t="s">
        <v>145</v>
      </c>
      <c r="D324" s="157">
        <v>41457</v>
      </c>
      <c r="E324" s="159" t="s">
        <v>188</v>
      </c>
      <c r="F324" s="159"/>
      <c r="G324" s="160" t="s">
        <v>35</v>
      </c>
      <c r="H324" s="161"/>
      <c r="I324" s="161">
        <v>2000</v>
      </c>
      <c r="J324" s="162">
        <f t="shared" si="8"/>
        <v>497877789</v>
      </c>
      <c r="K324" s="162"/>
    </row>
    <row r="325" spans="1:11" s="142" customFormat="1" ht="19.5" customHeight="1">
      <c r="A325" s="142">
        <f t="shared" si="6"/>
        <v>7</v>
      </c>
      <c r="B325" s="157">
        <v>41458</v>
      </c>
      <c r="C325" s="158" t="s">
        <v>484</v>
      </c>
      <c r="D325" s="157">
        <v>41458</v>
      </c>
      <c r="E325" s="159" t="s">
        <v>269</v>
      </c>
      <c r="F325" s="159"/>
      <c r="G325" s="160" t="s">
        <v>144</v>
      </c>
      <c r="H325" s="161"/>
      <c r="I325" s="161">
        <v>497000000</v>
      </c>
      <c r="J325" s="162">
        <f t="shared" si="8"/>
        <v>877789</v>
      </c>
      <c r="K325" s="162"/>
    </row>
    <row r="326" spans="1:11" s="142" customFormat="1" ht="19.5" customHeight="1">
      <c r="A326" s="142">
        <f t="shared" si="6"/>
        <v>7</v>
      </c>
      <c r="B326" s="157">
        <v>41460</v>
      </c>
      <c r="C326" s="158" t="s">
        <v>148</v>
      </c>
      <c r="D326" s="157">
        <v>41460</v>
      </c>
      <c r="E326" s="159" t="s">
        <v>491</v>
      </c>
      <c r="F326" s="159"/>
      <c r="G326" s="160" t="s">
        <v>166</v>
      </c>
      <c r="H326" s="161">
        <v>615000000</v>
      </c>
      <c r="I326" s="161"/>
      <c r="J326" s="162">
        <f t="shared" si="8"/>
        <v>615877789</v>
      </c>
      <c r="K326" s="162"/>
    </row>
    <row r="327" spans="1:11" s="142" customFormat="1" ht="19.5" customHeight="1">
      <c r="A327" s="142">
        <f t="shared" si="6"/>
        <v>7</v>
      </c>
      <c r="B327" s="157">
        <v>41460</v>
      </c>
      <c r="C327" s="158" t="s">
        <v>145</v>
      </c>
      <c r="D327" s="157">
        <v>41460</v>
      </c>
      <c r="E327" s="159" t="s">
        <v>601</v>
      </c>
      <c r="F327" s="159"/>
      <c r="G327" s="160" t="s">
        <v>34</v>
      </c>
      <c r="H327" s="161"/>
      <c r="I327" s="161">
        <v>8660000</v>
      </c>
      <c r="J327" s="162">
        <f t="shared" si="8"/>
        <v>607217789</v>
      </c>
      <c r="K327" s="162"/>
    </row>
    <row r="328" spans="1:11" s="142" customFormat="1" ht="19.5" customHeight="1">
      <c r="A328" s="142">
        <f t="shared" si="6"/>
        <v>7</v>
      </c>
      <c r="B328" s="157">
        <v>41460</v>
      </c>
      <c r="C328" s="158" t="s">
        <v>145</v>
      </c>
      <c r="D328" s="157">
        <v>41460</v>
      </c>
      <c r="E328" s="159" t="s">
        <v>187</v>
      </c>
      <c r="F328" s="159"/>
      <c r="G328" s="160" t="s">
        <v>192</v>
      </c>
      <c r="H328" s="161"/>
      <c r="I328" s="161">
        <v>10000</v>
      </c>
      <c r="J328" s="162">
        <f t="shared" si="8"/>
        <v>607207789</v>
      </c>
      <c r="K328" s="162"/>
    </row>
    <row r="329" spans="1:11" s="142" customFormat="1" ht="19.5" customHeight="1">
      <c r="A329" s="142">
        <f t="shared" si="6"/>
        <v>7</v>
      </c>
      <c r="B329" s="157">
        <v>41460</v>
      </c>
      <c r="C329" s="158" t="s">
        <v>145</v>
      </c>
      <c r="D329" s="157">
        <v>41460</v>
      </c>
      <c r="E329" s="159" t="s">
        <v>188</v>
      </c>
      <c r="F329" s="159"/>
      <c r="G329" s="160" t="s">
        <v>35</v>
      </c>
      <c r="H329" s="161"/>
      <c r="I329" s="161">
        <v>1000</v>
      </c>
      <c r="J329" s="162">
        <f t="shared" si="8"/>
        <v>607206789</v>
      </c>
      <c r="K329" s="162"/>
    </row>
    <row r="330" spans="1:11" s="142" customFormat="1" ht="19.5" customHeight="1">
      <c r="A330" s="142">
        <f t="shared" si="6"/>
        <v>7</v>
      </c>
      <c r="B330" s="157">
        <v>41460</v>
      </c>
      <c r="C330" s="158" t="s">
        <v>145</v>
      </c>
      <c r="D330" s="157">
        <v>41460</v>
      </c>
      <c r="E330" s="159" t="s">
        <v>602</v>
      </c>
      <c r="F330" s="159"/>
      <c r="G330" s="160" t="s">
        <v>34</v>
      </c>
      <c r="H330" s="161"/>
      <c r="I330" s="161">
        <v>5584006</v>
      </c>
      <c r="J330" s="162">
        <f t="shared" si="8"/>
        <v>601622783</v>
      </c>
      <c r="K330" s="162"/>
    </row>
    <row r="331" spans="1:11" s="142" customFormat="1" ht="19.5" customHeight="1">
      <c r="A331" s="142">
        <f t="shared" si="6"/>
        <v>7</v>
      </c>
      <c r="B331" s="157">
        <v>41460</v>
      </c>
      <c r="C331" s="158" t="s">
        <v>145</v>
      </c>
      <c r="D331" s="157">
        <v>41460</v>
      </c>
      <c r="E331" s="159" t="s">
        <v>187</v>
      </c>
      <c r="F331" s="159"/>
      <c r="G331" s="160" t="s">
        <v>192</v>
      </c>
      <c r="H331" s="161"/>
      <c r="I331" s="161">
        <v>20000</v>
      </c>
      <c r="J331" s="162">
        <f t="shared" si="8"/>
        <v>601602783</v>
      </c>
      <c r="K331" s="162"/>
    </row>
    <row r="332" spans="1:11" s="142" customFormat="1" ht="19.5" customHeight="1">
      <c r="A332" s="142">
        <f t="shared" si="6"/>
        <v>7</v>
      </c>
      <c r="B332" s="157">
        <v>41460</v>
      </c>
      <c r="C332" s="158" t="s">
        <v>145</v>
      </c>
      <c r="D332" s="157">
        <v>41460</v>
      </c>
      <c r="E332" s="159" t="s">
        <v>188</v>
      </c>
      <c r="F332" s="159"/>
      <c r="G332" s="160" t="s">
        <v>35</v>
      </c>
      <c r="H332" s="161"/>
      <c r="I332" s="161">
        <v>2000</v>
      </c>
      <c r="J332" s="162">
        <f t="shared" si="8"/>
        <v>601600783</v>
      </c>
      <c r="K332" s="162"/>
    </row>
    <row r="333" spans="1:11" s="142" customFormat="1" ht="19.5" customHeight="1">
      <c r="A333" s="142">
        <f t="shared" si="6"/>
        <v>7</v>
      </c>
      <c r="B333" s="157">
        <v>41460</v>
      </c>
      <c r="C333" s="158" t="s">
        <v>145</v>
      </c>
      <c r="D333" s="157">
        <v>41460</v>
      </c>
      <c r="E333" s="159" t="s">
        <v>603</v>
      </c>
      <c r="F333" s="159"/>
      <c r="G333" s="160" t="s">
        <v>34</v>
      </c>
      <c r="H333" s="161"/>
      <c r="I333" s="161">
        <v>4000000</v>
      </c>
      <c r="J333" s="162">
        <f t="shared" si="8"/>
        <v>597600783</v>
      </c>
      <c r="K333" s="162"/>
    </row>
    <row r="334" spans="1:11" s="142" customFormat="1" ht="19.5" customHeight="1">
      <c r="A334" s="142">
        <f t="shared" si="6"/>
        <v>7</v>
      </c>
      <c r="B334" s="157">
        <v>41460</v>
      </c>
      <c r="C334" s="158" t="s">
        <v>145</v>
      </c>
      <c r="D334" s="157">
        <v>41460</v>
      </c>
      <c r="E334" s="159" t="s">
        <v>187</v>
      </c>
      <c r="F334" s="159"/>
      <c r="G334" s="160" t="s">
        <v>192</v>
      </c>
      <c r="H334" s="161"/>
      <c r="I334" s="161">
        <v>10000</v>
      </c>
      <c r="J334" s="162">
        <f t="shared" si="8"/>
        <v>597590783</v>
      </c>
      <c r="K334" s="162"/>
    </row>
    <row r="335" spans="1:11" s="142" customFormat="1" ht="19.5" customHeight="1">
      <c r="A335" s="142">
        <f t="shared" si="6"/>
        <v>7</v>
      </c>
      <c r="B335" s="157">
        <v>41460</v>
      </c>
      <c r="C335" s="158" t="s">
        <v>145</v>
      </c>
      <c r="D335" s="157">
        <v>41460</v>
      </c>
      <c r="E335" s="159" t="s">
        <v>188</v>
      </c>
      <c r="F335" s="159"/>
      <c r="G335" s="160" t="s">
        <v>35</v>
      </c>
      <c r="H335" s="161"/>
      <c r="I335" s="161">
        <v>1000</v>
      </c>
      <c r="J335" s="162">
        <f t="shared" ref="J335:J402" si="9">IF(B335&lt;&gt;"",J334+H335-I335,0)</f>
        <v>597589783</v>
      </c>
      <c r="K335" s="162"/>
    </row>
    <row r="336" spans="1:11" s="142" customFormat="1" ht="19.5" customHeight="1">
      <c r="A336" s="142">
        <f t="shared" si="6"/>
        <v>7</v>
      </c>
      <c r="B336" s="157">
        <v>41460</v>
      </c>
      <c r="C336" s="158" t="s">
        <v>145</v>
      </c>
      <c r="D336" s="157">
        <v>41460</v>
      </c>
      <c r="E336" s="159" t="s">
        <v>604</v>
      </c>
      <c r="F336" s="159"/>
      <c r="G336" s="160" t="s">
        <v>34</v>
      </c>
      <c r="H336" s="161"/>
      <c r="I336" s="161">
        <v>960000</v>
      </c>
      <c r="J336" s="162">
        <f t="shared" si="9"/>
        <v>596629783</v>
      </c>
      <c r="K336" s="162"/>
    </row>
    <row r="337" spans="1:11" s="142" customFormat="1" ht="19.5" customHeight="1">
      <c r="A337" s="142">
        <f t="shared" si="6"/>
        <v>7</v>
      </c>
      <c r="B337" s="157">
        <v>41460</v>
      </c>
      <c r="C337" s="158" t="s">
        <v>145</v>
      </c>
      <c r="D337" s="157">
        <v>41460</v>
      </c>
      <c r="E337" s="159" t="s">
        <v>187</v>
      </c>
      <c r="F337" s="159"/>
      <c r="G337" s="160" t="s">
        <v>192</v>
      </c>
      <c r="H337" s="161"/>
      <c r="I337" s="161">
        <v>10000</v>
      </c>
      <c r="J337" s="162">
        <f t="shared" si="9"/>
        <v>596619783</v>
      </c>
      <c r="K337" s="162"/>
    </row>
    <row r="338" spans="1:11" s="142" customFormat="1" ht="19.5" customHeight="1">
      <c r="A338" s="142">
        <f t="shared" si="6"/>
        <v>7</v>
      </c>
      <c r="B338" s="157">
        <v>41460</v>
      </c>
      <c r="C338" s="158" t="s">
        <v>145</v>
      </c>
      <c r="D338" s="157">
        <v>41460</v>
      </c>
      <c r="E338" s="159" t="s">
        <v>188</v>
      </c>
      <c r="F338" s="159"/>
      <c r="G338" s="160" t="s">
        <v>35</v>
      </c>
      <c r="H338" s="161"/>
      <c r="I338" s="161">
        <v>1000</v>
      </c>
      <c r="J338" s="162">
        <f t="shared" si="9"/>
        <v>596618783</v>
      </c>
      <c r="K338" s="162"/>
    </row>
    <row r="339" spans="1:11" s="142" customFormat="1" ht="19.5" customHeight="1">
      <c r="A339" s="142">
        <f t="shared" si="6"/>
        <v>7</v>
      </c>
      <c r="B339" s="157">
        <v>41461</v>
      </c>
      <c r="C339" s="158" t="s">
        <v>484</v>
      </c>
      <c r="D339" s="157">
        <v>41461</v>
      </c>
      <c r="E339" s="159" t="s">
        <v>269</v>
      </c>
      <c r="F339" s="159"/>
      <c r="G339" s="160" t="s">
        <v>144</v>
      </c>
      <c r="H339" s="161"/>
      <c r="I339" s="161">
        <v>595000000</v>
      </c>
      <c r="J339" s="162">
        <f t="shared" si="9"/>
        <v>1618783</v>
      </c>
      <c r="K339" s="162"/>
    </row>
    <row r="340" spans="1:11" s="142" customFormat="1" ht="19.5" customHeight="1">
      <c r="A340" s="142">
        <f t="shared" si="6"/>
        <v>7</v>
      </c>
      <c r="B340" s="157">
        <v>41463</v>
      </c>
      <c r="C340" s="158" t="s">
        <v>486</v>
      </c>
      <c r="D340" s="157">
        <v>41463</v>
      </c>
      <c r="E340" s="159" t="s">
        <v>50</v>
      </c>
      <c r="F340" s="159"/>
      <c r="G340" s="160" t="s">
        <v>144</v>
      </c>
      <c r="H340" s="161">
        <v>130000000</v>
      </c>
      <c r="I340" s="161"/>
      <c r="J340" s="162">
        <f t="shared" si="9"/>
        <v>131618783</v>
      </c>
      <c r="K340" s="162"/>
    </row>
    <row r="341" spans="1:11" s="142" customFormat="1" ht="19.5" customHeight="1">
      <c r="A341" s="142">
        <f t="shared" si="6"/>
        <v>7</v>
      </c>
      <c r="B341" s="157">
        <v>41463</v>
      </c>
      <c r="C341" s="158" t="s">
        <v>148</v>
      </c>
      <c r="D341" s="157">
        <v>41463</v>
      </c>
      <c r="E341" s="159" t="s">
        <v>491</v>
      </c>
      <c r="F341" s="159"/>
      <c r="G341" s="160" t="s">
        <v>166</v>
      </c>
      <c r="H341" s="161">
        <v>2011000000</v>
      </c>
      <c r="I341" s="161"/>
      <c r="J341" s="162">
        <f t="shared" si="9"/>
        <v>2142618783</v>
      </c>
      <c r="K341" s="162"/>
    </row>
    <row r="342" spans="1:11" s="142" customFormat="1" ht="19.5" customHeight="1">
      <c r="A342" s="142">
        <f t="shared" si="6"/>
        <v>7</v>
      </c>
      <c r="B342" s="157">
        <v>41463</v>
      </c>
      <c r="C342" s="158" t="s">
        <v>148</v>
      </c>
      <c r="D342" s="157">
        <v>41463</v>
      </c>
      <c r="E342" s="159" t="s">
        <v>605</v>
      </c>
      <c r="F342" s="159"/>
      <c r="G342" s="160" t="s">
        <v>147</v>
      </c>
      <c r="H342" s="161"/>
      <c r="I342" s="161">
        <v>2134266930</v>
      </c>
      <c r="J342" s="162">
        <f t="shared" si="9"/>
        <v>8351853</v>
      </c>
      <c r="K342" s="162"/>
    </row>
    <row r="343" spans="1:11" s="142" customFormat="1" ht="19.5" customHeight="1">
      <c r="A343" s="142">
        <f t="shared" si="6"/>
        <v>7</v>
      </c>
      <c r="B343" s="157">
        <v>41463</v>
      </c>
      <c r="C343" s="158" t="s">
        <v>145</v>
      </c>
      <c r="D343" s="157">
        <v>41463</v>
      </c>
      <c r="E343" s="159" t="s">
        <v>606</v>
      </c>
      <c r="F343" s="159"/>
      <c r="G343" s="160" t="s">
        <v>150</v>
      </c>
      <c r="H343" s="161"/>
      <c r="I343" s="161">
        <v>8285090</v>
      </c>
      <c r="J343" s="162">
        <f t="shared" si="9"/>
        <v>66763</v>
      </c>
      <c r="K343" s="162"/>
    </row>
    <row r="344" spans="1:11" s="142" customFormat="1" ht="19.5" customHeight="1">
      <c r="A344" s="142">
        <f t="shared" si="6"/>
        <v>7</v>
      </c>
      <c r="B344" s="157">
        <v>41464</v>
      </c>
      <c r="C344" s="158" t="s">
        <v>148</v>
      </c>
      <c r="D344" s="157">
        <v>41464</v>
      </c>
      <c r="E344" s="159" t="s">
        <v>482</v>
      </c>
      <c r="F344" s="159"/>
      <c r="G344" s="160" t="s">
        <v>147</v>
      </c>
      <c r="H344" s="161">
        <v>1965255000</v>
      </c>
      <c r="I344" s="161"/>
      <c r="J344" s="162">
        <f t="shared" si="9"/>
        <v>1965321763</v>
      </c>
      <c r="K344" s="162"/>
    </row>
    <row r="345" spans="1:11" s="142" customFormat="1" ht="19.5" customHeight="1">
      <c r="A345" s="142">
        <f t="shared" si="6"/>
        <v>7</v>
      </c>
      <c r="B345" s="157">
        <v>41464</v>
      </c>
      <c r="C345" s="158" t="s">
        <v>484</v>
      </c>
      <c r="D345" s="157">
        <v>41464</v>
      </c>
      <c r="E345" s="159" t="s">
        <v>269</v>
      </c>
      <c r="F345" s="159"/>
      <c r="G345" s="160" t="s">
        <v>144</v>
      </c>
      <c r="H345" s="161"/>
      <c r="I345" s="161">
        <v>1600000000</v>
      </c>
      <c r="J345" s="162">
        <f t="shared" si="9"/>
        <v>365321763</v>
      </c>
      <c r="K345" s="162"/>
    </row>
    <row r="346" spans="1:11" s="142" customFormat="1" ht="19.5" customHeight="1">
      <c r="A346" s="142">
        <f t="shared" si="6"/>
        <v>7</v>
      </c>
      <c r="B346" s="157">
        <v>41465</v>
      </c>
      <c r="C346" s="158" t="s">
        <v>145</v>
      </c>
      <c r="D346" s="157">
        <v>41465</v>
      </c>
      <c r="E346" s="159" t="s">
        <v>569</v>
      </c>
      <c r="F346" s="159"/>
      <c r="G346" s="160" t="s">
        <v>34</v>
      </c>
      <c r="H346" s="161"/>
      <c r="I346" s="161">
        <v>50000000</v>
      </c>
      <c r="J346" s="162">
        <f t="shared" si="9"/>
        <v>315321763</v>
      </c>
      <c r="K346" s="162"/>
    </row>
    <row r="347" spans="1:11" s="142" customFormat="1" ht="19.5" customHeight="1">
      <c r="A347" s="142">
        <f t="shared" si="6"/>
        <v>7</v>
      </c>
      <c r="B347" s="157">
        <v>41465</v>
      </c>
      <c r="C347" s="158" t="s">
        <v>145</v>
      </c>
      <c r="D347" s="157">
        <v>41465</v>
      </c>
      <c r="E347" s="159" t="s">
        <v>187</v>
      </c>
      <c r="F347" s="159"/>
      <c r="G347" s="160" t="s">
        <v>192</v>
      </c>
      <c r="H347" s="161"/>
      <c r="I347" s="161">
        <v>25000</v>
      </c>
      <c r="J347" s="162">
        <f t="shared" si="9"/>
        <v>315296763</v>
      </c>
      <c r="K347" s="162"/>
    </row>
    <row r="348" spans="1:11" s="142" customFormat="1" ht="19.5" customHeight="1">
      <c r="A348" s="142">
        <f t="shared" si="6"/>
        <v>7</v>
      </c>
      <c r="B348" s="157">
        <v>41465</v>
      </c>
      <c r="C348" s="158" t="s">
        <v>145</v>
      </c>
      <c r="D348" s="157">
        <v>41465</v>
      </c>
      <c r="E348" s="159" t="s">
        <v>188</v>
      </c>
      <c r="F348" s="159"/>
      <c r="G348" s="160" t="s">
        <v>35</v>
      </c>
      <c r="H348" s="161"/>
      <c r="I348" s="161">
        <v>2500</v>
      </c>
      <c r="J348" s="162">
        <f t="shared" si="9"/>
        <v>315294263</v>
      </c>
      <c r="K348" s="162"/>
    </row>
    <row r="349" spans="1:11" s="142" customFormat="1" ht="19.5" customHeight="1">
      <c r="A349" s="142">
        <f t="shared" si="6"/>
        <v>7</v>
      </c>
      <c r="B349" s="157">
        <v>41465</v>
      </c>
      <c r="C349" s="158" t="s">
        <v>145</v>
      </c>
      <c r="D349" s="157">
        <v>41465</v>
      </c>
      <c r="E349" s="159" t="s">
        <v>478</v>
      </c>
      <c r="F349" s="159"/>
      <c r="G349" s="160" t="s">
        <v>34</v>
      </c>
      <c r="H349" s="161"/>
      <c r="I349" s="161">
        <v>60000000</v>
      </c>
      <c r="J349" s="162">
        <f t="shared" si="9"/>
        <v>255294263</v>
      </c>
      <c r="K349" s="162"/>
    </row>
    <row r="350" spans="1:11" s="142" customFormat="1" ht="19.5" customHeight="1">
      <c r="A350" s="142">
        <f t="shared" si="6"/>
        <v>7</v>
      </c>
      <c r="B350" s="157">
        <v>41465</v>
      </c>
      <c r="C350" s="158" t="s">
        <v>145</v>
      </c>
      <c r="D350" s="157">
        <v>41465</v>
      </c>
      <c r="E350" s="159" t="s">
        <v>187</v>
      </c>
      <c r="F350" s="159"/>
      <c r="G350" s="160" t="s">
        <v>192</v>
      </c>
      <c r="H350" s="161"/>
      <c r="I350" s="161">
        <v>30000</v>
      </c>
      <c r="J350" s="162">
        <f t="shared" si="9"/>
        <v>255264263</v>
      </c>
      <c r="K350" s="162"/>
    </row>
    <row r="351" spans="1:11" s="142" customFormat="1" ht="19.5" customHeight="1">
      <c r="A351" s="142">
        <f t="shared" si="6"/>
        <v>7</v>
      </c>
      <c r="B351" s="157">
        <v>41465</v>
      </c>
      <c r="C351" s="158" t="s">
        <v>145</v>
      </c>
      <c r="D351" s="157">
        <v>41465</v>
      </c>
      <c r="E351" s="159" t="s">
        <v>188</v>
      </c>
      <c r="F351" s="159"/>
      <c r="G351" s="160" t="s">
        <v>35</v>
      </c>
      <c r="H351" s="161"/>
      <c r="I351" s="161">
        <v>3000</v>
      </c>
      <c r="J351" s="162">
        <f t="shared" si="9"/>
        <v>255261263</v>
      </c>
      <c r="K351" s="162"/>
    </row>
    <row r="352" spans="1:11" s="142" customFormat="1" ht="19.5" customHeight="1">
      <c r="A352" s="142">
        <f t="shared" si="6"/>
        <v>7</v>
      </c>
      <c r="B352" s="157">
        <v>41465</v>
      </c>
      <c r="C352" s="158" t="s">
        <v>145</v>
      </c>
      <c r="D352" s="157">
        <v>41465</v>
      </c>
      <c r="E352" s="159" t="s">
        <v>607</v>
      </c>
      <c r="F352" s="159"/>
      <c r="G352" s="160" t="s">
        <v>34</v>
      </c>
      <c r="H352" s="161"/>
      <c r="I352" s="161">
        <v>27361620</v>
      </c>
      <c r="J352" s="162">
        <f t="shared" si="9"/>
        <v>227899643</v>
      </c>
      <c r="K352" s="162"/>
    </row>
    <row r="353" spans="1:11" s="142" customFormat="1" ht="19.5" customHeight="1">
      <c r="A353" s="142">
        <f t="shared" si="6"/>
        <v>7</v>
      </c>
      <c r="B353" s="157">
        <v>41465</v>
      </c>
      <c r="C353" s="158" t="s">
        <v>145</v>
      </c>
      <c r="D353" s="157">
        <v>41465</v>
      </c>
      <c r="E353" s="159" t="s">
        <v>187</v>
      </c>
      <c r="F353" s="159"/>
      <c r="G353" s="160" t="s">
        <v>192</v>
      </c>
      <c r="H353" s="161"/>
      <c r="I353" s="161">
        <v>20000</v>
      </c>
      <c r="J353" s="162">
        <f t="shared" si="9"/>
        <v>227879643</v>
      </c>
      <c r="K353" s="162"/>
    </row>
    <row r="354" spans="1:11" s="142" customFormat="1" ht="19.5" customHeight="1">
      <c r="A354" s="142">
        <f t="shared" si="6"/>
        <v>7</v>
      </c>
      <c r="B354" s="157">
        <v>41465</v>
      </c>
      <c r="C354" s="158" t="s">
        <v>145</v>
      </c>
      <c r="D354" s="157">
        <v>41465</v>
      </c>
      <c r="E354" s="370" t="s">
        <v>188</v>
      </c>
      <c r="F354" s="159"/>
      <c r="G354" s="160" t="s">
        <v>35</v>
      </c>
      <c r="H354" s="161"/>
      <c r="I354" s="161">
        <v>2000</v>
      </c>
      <c r="J354" s="162">
        <f t="shared" si="9"/>
        <v>227877643</v>
      </c>
      <c r="K354" s="162"/>
    </row>
    <row r="355" spans="1:11" s="142" customFormat="1" ht="19.5" customHeight="1">
      <c r="A355" s="142">
        <f>IF(B355&lt;&gt;"",MONTH(B355),"")</f>
        <v>7</v>
      </c>
      <c r="B355" s="157">
        <v>41465</v>
      </c>
      <c r="C355" s="158" t="s">
        <v>145</v>
      </c>
      <c r="D355" s="157">
        <v>41465</v>
      </c>
      <c r="E355" s="370" t="s">
        <v>608</v>
      </c>
      <c r="F355" s="159"/>
      <c r="G355" s="160" t="s">
        <v>38</v>
      </c>
      <c r="H355" s="161"/>
      <c r="I355" s="161">
        <v>38124962</v>
      </c>
      <c r="J355" s="162">
        <f t="shared" si="9"/>
        <v>189752681</v>
      </c>
      <c r="K355" s="162"/>
    </row>
    <row r="356" spans="1:11" s="142" customFormat="1" ht="19.5" customHeight="1">
      <c r="A356" s="142">
        <f>IF(B356&lt;&gt;"",MONTH(B356),"")</f>
        <v>7</v>
      </c>
      <c r="B356" s="157">
        <v>41465</v>
      </c>
      <c r="C356" s="158" t="s">
        <v>145</v>
      </c>
      <c r="D356" s="157">
        <v>41465</v>
      </c>
      <c r="E356" s="370" t="s">
        <v>609</v>
      </c>
      <c r="F356" s="159"/>
      <c r="G356" s="160" t="s">
        <v>156</v>
      </c>
      <c r="H356" s="161"/>
      <c r="I356" s="161">
        <v>9557511</v>
      </c>
      <c r="J356" s="162">
        <f t="shared" si="9"/>
        <v>180195170</v>
      </c>
      <c r="K356" s="162"/>
    </row>
    <row r="357" spans="1:11" s="142" customFormat="1" ht="19.5" customHeight="1">
      <c r="A357" s="142">
        <f t="shared" si="6"/>
        <v>7</v>
      </c>
      <c r="B357" s="157">
        <v>41465</v>
      </c>
      <c r="C357" s="158" t="s">
        <v>145</v>
      </c>
      <c r="D357" s="157">
        <v>41465</v>
      </c>
      <c r="E357" s="159" t="s">
        <v>610</v>
      </c>
      <c r="F357" s="159"/>
      <c r="G357" s="160" t="s">
        <v>231</v>
      </c>
      <c r="H357" s="161"/>
      <c r="I357" s="161">
        <v>2317527</v>
      </c>
      <c r="J357" s="162">
        <f t="shared" si="9"/>
        <v>177877643</v>
      </c>
      <c r="K357" s="162"/>
    </row>
    <row r="358" spans="1:11" s="142" customFormat="1" ht="19.5" customHeight="1">
      <c r="A358" s="142">
        <f t="shared" si="6"/>
        <v>7</v>
      </c>
      <c r="B358" s="157">
        <v>41465</v>
      </c>
      <c r="C358" s="158" t="s">
        <v>145</v>
      </c>
      <c r="D358" s="157">
        <v>41465</v>
      </c>
      <c r="E358" s="159" t="s">
        <v>187</v>
      </c>
      <c r="F358" s="159"/>
      <c r="G358" s="160" t="s">
        <v>192</v>
      </c>
      <c r="H358" s="161"/>
      <c r="I358" s="161">
        <v>25000</v>
      </c>
      <c r="J358" s="162">
        <f t="shared" si="9"/>
        <v>177852643</v>
      </c>
      <c r="K358" s="162"/>
    </row>
    <row r="359" spans="1:11" s="142" customFormat="1" ht="19.5" customHeight="1">
      <c r="A359" s="142">
        <f t="shared" si="6"/>
        <v>7</v>
      </c>
      <c r="B359" s="157">
        <v>41465</v>
      </c>
      <c r="C359" s="158" t="s">
        <v>145</v>
      </c>
      <c r="D359" s="157">
        <v>41465</v>
      </c>
      <c r="E359" s="159" t="s">
        <v>188</v>
      </c>
      <c r="F359" s="159"/>
      <c r="G359" s="160" t="s">
        <v>35</v>
      </c>
      <c r="H359" s="161"/>
      <c r="I359" s="161">
        <v>2500</v>
      </c>
      <c r="J359" s="162">
        <f t="shared" si="9"/>
        <v>177850143</v>
      </c>
      <c r="K359" s="162"/>
    </row>
    <row r="360" spans="1:11" s="142" customFormat="1" ht="19.5" customHeight="1">
      <c r="A360" s="142">
        <f t="shared" si="6"/>
        <v>7</v>
      </c>
      <c r="B360" s="157">
        <v>41466</v>
      </c>
      <c r="C360" s="158" t="s">
        <v>486</v>
      </c>
      <c r="D360" s="157">
        <v>41466</v>
      </c>
      <c r="E360" s="159" t="s">
        <v>50</v>
      </c>
      <c r="F360" s="159"/>
      <c r="G360" s="160" t="s">
        <v>144</v>
      </c>
      <c r="H360" s="161">
        <v>225000000</v>
      </c>
      <c r="I360" s="161"/>
      <c r="J360" s="162">
        <f t="shared" si="9"/>
        <v>402850143</v>
      </c>
      <c r="K360" s="162"/>
    </row>
    <row r="361" spans="1:11" s="142" customFormat="1" ht="19.5" customHeight="1">
      <c r="A361" s="142">
        <f t="shared" si="6"/>
        <v>7</v>
      </c>
      <c r="B361" s="157">
        <v>41466</v>
      </c>
      <c r="C361" s="158" t="s">
        <v>145</v>
      </c>
      <c r="D361" s="157">
        <v>41466</v>
      </c>
      <c r="E361" s="159" t="s">
        <v>611</v>
      </c>
      <c r="F361" s="159"/>
      <c r="G361" s="160" t="s">
        <v>182</v>
      </c>
      <c r="H361" s="161"/>
      <c r="I361" s="161">
        <v>400000000</v>
      </c>
      <c r="J361" s="162">
        <f t="shared" si="9"/>
        <v>2850143</v>
      </c>
      <c r="K361" s="162"/>
    </row>
    <row r="362" spans="1:11" s="142" customFormat="1" ht="19.5" customHeight="1">
      <c r="A362" s="142">
        <f t="shared" si="6"/>
        <v>7</v>
      </c>
      <c r="B362" s="157">
        <v>41466</v>
      </c>
      <c r="C362" s="158" t="s">
        <v>145</v>
      </c>
      <c r="D362" s="157">
        <v>41466</v>
      </c>
      <c r="E362" s="159" t="s">
        <v>612</v>
      </c>
      <c r="F362" s="159"/>
      <c r="G362" s="160" t="s">
        <v>192</v>
      </c>
      <c r="H362" s="161"/>
      <c r="I362" s="161">
        <v>66645</v>
      </c>
      <c r="J362" s="162">
        <f t="shared" si="9"/>
        <v>2783498</v>
      </c>
      <c r="K362" s="162"/>
    </row>
    <row r="363" spans="1:11" s="142" customFormat="1" ht="19.5" customHeight="1">
      <c r="A363" s="142">
        <f t="shared" si="6"/>
        <v>7</v>
      </c>
      <c r="B363" s="157">
        <v>41466</v>
      </c>
      <c r="C363" s="158" t="s">
        <v>145</v>
      </c>
      <c r="D363" s="157">
        <v>41466</v>
      </c>
      <c r="E363" s="159" t="s">
        <v>613</v>
      </c>
      <c r="F363" s="159"/>
      <c r="G363" s="160" t="s">
        <v>35</v>
      </c>
      <c r="H363" s="161"/>
      <c r="I363" s="161">
        <v>6665</v>
      </c>
      <c r="J363" s="162">
        <f t="shared" si="9"/>
        <v>2776833</v>
      </c>
      <c r="K363" s="162"/>
    </row>
    <row r="364" spans="1:11" s="142" customFormat="1" ht="19.5" customHeight="1">
      <c r="A364" s="142">
        <f t="shared" si="6"/>
        <v>7</v>
      </c>
      <c r="B364" s="157">
        <v>41471</v>
      </c>
      <c r="C364" s="158" t="s">
        <v>145</v>
      </c>
      <c r="D364" s="157">
        <v>41471</v>
      </c>
      <c r="E364" s="159" t="s">
        <v>482</v>
      </c>
      <c r="F364" s="159"/>
      <c r="G364" s="160" t="s">
        <v>147</v>
      </c>
      <c r="H364" s="161">
        <v>2015900000</v>
      </c>
      <c r="I364" s="161"/>
      <c r="J364" s="162">
        <f t="shared" si="9"/>
        <v>2018676833</v>
      </c>
      <c r="K364" s="162"/>
    </row>
    <row r="365" spans="1:11" s="142" customFormat="1" ht="19.5" customHeight="1">
      <c r="A365" s="142">
        <f t="shared" si="6"/>
        <v>7</v>
      </c>
      <c r="B365" s="157">
        <v>41472</v>
      </c>
      <c r="C365" s="158" t="s">
        <v>145</v>
      </c>
      <c r="D365" s="157">
        <v>41472</v>
      </c>
      <c r="E365" s="159" t="s">
        <v>248</v>
      </c>
      <c r="F365" s="159"/>
      <c r="G365" s="160" t="s">
        <v>147</v>
      </c>
      <c r="H365" s="161">
        <v>838585000</v>
      </c>
      <c r="I365" s="161"/>
      <c r="J365" s="162">
        <f t="shared" si="9"/>
        <v>2857261833</v>
      </c>
      <c r="K365" s="162"/>
    </row>
    <row r="366" spans="1:11" s="142" customFormat="1" ht="19.5" customHeight="1">
      <c r="A366" s="142">
        <f t="shared" si="6"/>
        <v>7</v>
      </c>
      <c r="B366" s="157">
        <v>41472</v>
      </c>
      <c r="C366" s="158" t="s">
        <v>145</v>
      </c>
      <c r="D366" s="157">
        <v>41472</v>
      </c>
      <c r="E366" s="159" t="s">
        <v>611</v>
      </c>
      <c r="F366" s="159"/>
      <c r="G366" s="160" t="s">
        <v>182</v>
      </c>
      <c r="H366" s="161"/>
      <c r="I366" s="161">
        <v>300000000</v>
      </c>
      <c r="J366" s="162">
        <f t="shared" si="9"/>
        <v>2557261833</v>
      </c>
      <c r="K366" s="162"/>
    </row>
    <row r="367" spans="1:11" s="142" customFormat="1" ht="19.5" customHeight="1">
      <c r="A367" s="142">
        <f>IF(B367&lt;&gt;"",MONTH(B367),"")</f>
        <v>7</v>
      </c>
      <c r="B367" s="157">
        <v>41472</v>
      </c>
      <c r="C367" s="158" t="s">
        <v>145</v>
      </c>
      <c r="D367" s="157">
        <v>41472</v>
      </c>
      <c r="E367" s="159" t="s">
        <v>614</v>
      </c>
      <c r="F367" s="159"/>
      <c r="G367" s="160" t="s">
        <v>34</v>
      </c>
      <c r="H367" s="161"/>
      <c r="I367" s="161">
        <v>14609320</v>
      </c>
      <c r="J367" s="162">
        <f t="shared" si="9"/>
        <v>2542652513</v>
      </c>
      <c r="K367" s="162"/>
    </row>
    <row r="368" spans="1:11" s="142" customFormat="1" ht="19.5" customHeight="1">
      <c r="A368" s="142">
        <f>IF(B368&lt;&gt;"",MONTH(B368),"")</f>
        <v>7</v>
      </c>
      <c r="B368" s="157">
        <v>41472</v>
      </c>
      <c r="C368" s="158" t="s">
        <v>145</v>
      </c>
      <c r="D368" s="157">
        <v>41472</v>
      </c>
      <c r="E368" s="159" t="s">
        <v>187</v>
      </c>
      <c r="F368" s="159"/>
      <c r="G368" s="160" t="s">
        <v>192</v>
      </c>
      <c r="H368" s="161"/>
      <c r="I368" s="161">
        <v>20000</v>
      </c>
      <c r="J368" s="162">
        <f t="shared" si="9"/>
        <v>2542632513</v>
      </c>
      <c r="K368" s="162"/>
    </row>
    <row r="369" spans="1:11" s="142" customFormat="1" ht="19.5" customHeight="1">
      <c r="A369" s="142">
        <f t="shared" si="6"/>
        <v>7</v>
      </c>
      <c r="B369" s="157">
        <v>41472</v>
      </c>
      <c r="C369" s="158" t="s">
        <v>145</v>
      </c>
      <c r="D369" s="157">
        <v>41472</v>
      </c>
      <c r="E369" s="159" t="s">
        <v>188</v>
      </c>
      <c r="F369" s="159"/>
      <c r="G369" s="160" t="s">
        <v>35</v>
      </c>
      <c r="H369" s="161"/>
      <c r="I369" s="161">
        <v>2000</v>
      </c>
      <c r="J369" s="162">
        <f t="shared" si="9"/>
        <v>2542630513</v>
      </c>
      <c r="K369" s="162"/>
    </row>
    <row r="370" spans="1:11" s="142" customFormat="1" ht="19.5" customHeight="1">
      <c r="A370" s="142">
        <f t="shared" si="6"/>
        <v>7</v>
      </c>
      <c r="B370" s="157">
        <v>41472</v>
      </c>
      <c r="C370" s="158" t="s">
        <v>145</v>
      </c>
      <c r="D370" s="157">
        <v>41472</v>
      </c>
      <c r="E370" s="159" t="s">
        <v>615</v>
      </c>
      <c r="F370" s="159"/>
      <c r="G370" s="160" t="s">
        <v>34</v>
      </c>
      <c r="H370" s="161"/>
      <c r="I370" s="161">
        <v>38500000</v>
      </c>
      <c r="J370" s="162">
        <f t="shared" si="9"/>
        <v>2504130513</v>
      </c>
      <c r="K370" s="162"/>
    </row>
    <row r="371" spans="1:11" s="142" customFormat="1" ht="19.5" customHeight="1">
      <c r="A371" s="142">
        <f t="shared" si="6"/>
        <v>7</v>
      </c>
      <c r="B371" s="157">
        <v>41472</v>
      </c>
      <c r="C371" s="158" t="s">
        <v>145</v>
      </c>
      <c r="D371" s="157">
        <v>41472</v>
      </c>
      <c r="E371" s="159" t="s">
        <v>187</v>
      </c>
      <c r="F371" s="159"/>
      <c r="G371" s="160" t="s">
        <v>192</v>
      </c>
      <c r="H371" s="161"/>
      <c r="I371" s="161">
        <v>10000</v>
      </c>
      <c r="J371" s="162">
        <f t="shared" si="9"/>
        <v>2504120513</v>
      </c>
      <c r="K371" s="162"/>
    </row>
    <row r="372" spans="1:11" s="142" customFormat="1" ht="19.5" customHeight="1">
      <c r="A372" s="142">
        <f t="shared" si="6"/>
        <v>7</v>
      </c>
      <c r="B372" s="157">
        <v>41472</v>
      </c>
      <c r="C372" s="158" t="s">
        <v>145</v>
      </c>
      <c r="D372" s="157">
        <v>41472</v>
      </c>
      <c r="E372" s="159" t="s">
        <v>188</v>
      </c>
      <c r="F372" s="159"/>
      <c r="G372" s="160" t="s">
        <v>35</v>
      </c>
      <c r="H372" s="361"/>
      <c r="I372" s="161">
        <v>1000</v>
      </c>
      <c r="J372" s="162">
        <f t="shared" si="9"/>
        <v>2504119513</v>
      </c>
      <c r="K372" s="162"/>
    </row>
    <row r="373" spans="1:11" s="142" customFormat="1" ht="19.5" customHeight="1">
      <c r="A373" s="142">
        <f t="shared" si="6"/>
        <v>7</v>
      </c>
      <c r="B373" s="157">
        <v>41472</v>
      </c>
      <c r="C373" s="158" t="s">
        <v>145</v>
      </c>
      <c r="D373" s="157">
        <v>41472</v>
      </c>
      <c r="E373" s="159" t="s">
        <v>616</v>
      </c>
      <c r="F373" s="159"/>
      <c r="G373" s="160" t="s">
        <v>34</v>
      </c>
      <c r="H373" s="161"/>
      <c r="I373" s="161">
        <v>33062500</v>
      </c>
      <c r="J373" s="162">
        <f t="shared" si="9"/>
        <v>2471057013</v>
      </c>
      <c r="K373" s="162"/>
    </row>
    <row r="374" spans="1:11" s="142" customFormat="1" ht="19.5" customHeight="1">
      <c r="A374" s="142">
        <f t="shared" si="6"/>
        <v>7</v>
      </c>
      <c r="B374" s="157">
        <v>41472</v>
      </c>
      <c r="C374" s="158" t="s">
        <v>145</v>
      </c>
      <c r="D374" s="157">
        <v>41472</v>
      </c>
      <c r="E374" s="159" t="s">
        <v>187</v>
      </c>
      <c r="F374" s="159"/>
      <c r="G374" s="160" t="s">
        <v>192</v>
      </c>
      <c r="H374" s="161"/>
      <c r="I374" s="161">
        <v>10000</v>
      </c>
      <c r="J374" s="162">
        <f t="shared" si="9"/>
        <v>2471047013</v>
      </c>
      <c r="K374" s="162"/>
    </row>
    <row r="375" spans="1:11" s="142" customFormat="1" ht="19.5" customHeight="1">
      <c r="A375" s="142">
        <f t="shared" si="6"/>
        <v>7</v>
      </c>
      <c r="B375" s="157">
        <v>41472</v>
      </c>
      <c r="C375" s="158" t="s">
        <v>145</v>
      </c>
      <c r="D375" s="157">
        <v>41472</v>
      </c>
      <c r="E375" s="159" t="s">
        <v>188</v>
      </c>
      <c r="F375" s="159"/>
      <c r="G375" s="160" t="s">
        <v>35</v>
      </c>
      <c r="H375" s="161"/>
      <c r="I375" s="161">
        <v>1000</v>
      </c>
      <c r="J375" s="162">
        <f t="shared" si="9"/>
        <v>2471046013</v>
      </c>
      <c r="K375" s="162"/>
    </row>
    <row r="376" spans="1:11" s="142" customFormat="1" ht="19.5" customHeight="1">
      <c r="A376" s="142">
        <f t="shared" si="6"/>
        <v>7</v>
      </c>
      <c r="B376" s="157">
        <v>41472</v>
      </c>
      <c r="C376" s="158" t="s">
        <v>145</v>
      </c>
      <c r="D376" s="157">
        <v>41472</v>
      </c>
      <c r="E376" s="159" t="s">
        <v>617</v>
      </c>
      <c r="F376" s="159"/>
      <c r="G376" s="160" t="s">
        <v>34</v>
      </c>
      <c r="H376" s="161"/>
      <c r="I376" s="161">
        <v>90000000</v>
      </c>
      <c r="J376" s="162">
        <f t="shared" si="9"/>
        <v>2381046013</v>
      </c>
      <c r="K376" s="162"/>
    </row>
    <row r="377" spans="1:11" s="142" customFormat="1" ht="19.5" customHeight="1">
      <c r="A377" s="142">
        <f t="shared" ref="A377:A408" si="10">IF(B377&lt;&gt;"",MONTH(B377),"")</f>
        <v>7</v>
      </c>
      <c r="B377" s="157">
        <v>41472</v>
      </c>
      <c r="C377" s="158" t="s">
        <v>484</v>
      </c>
      <c r="D377" s="157">
        <v>41472</v>
      </c>
      <c r="E377" s="159" t="s">
        <v>269</v>
      </c>
      <c r="F377" s="159"/>
      <c r="G377" s="160" t="s">
        <v>144</v>
      </c>
      <c r="H377" s="161"/>
      <c r="I377" s="161">
        <v>1600000000</v>
      </c>
      <c r="J377" s="162">
        <f t="shared" si="9"/>
        <v>781046013</v>
      </c>
      <c r="K377" s="162"/>
    </row>
    <row r="378" spans="1:11" s="142" customFormat="1" ht="19.5" customHeight="1">
      <c r="A378" s="142">
        <f t="shared" si="10"/>
        <v>7</v>
      </c>
      <c r="B378" s="157">
        <v>41473</v>
      </c>
      <c r="C378" s="158" t="s">
        <v>148</v>
      </c>
      <c r="D378" s="157">
        <v>41473</v>
      </c>
      <c r="E378" s="159" t="s">
        <v>491</v>
      </c>
      <c r="F378" s="159"/>
      <c r="G378" s="160" t="s">
        <v>56</v>
      </c>
      <c r="H378" s="161">
        <v>801000000</v>
      </c>
      <c r="I378" s="161"/>
      <c r="J378" s="162">
        <f t="shared" si="9"/>
        <v>1582046013</v>
      </c>
      <c r="K378" s="162"/>
    </row>
    <row r="379" spans="1:11" s="142" customFormat="1" ht="19.5" customHeight="1">
      <c r="A379" s="142">
        <f t="shared" si="10"/>
        <v>7</v>
      </c>
      <c r="B379" s="157">
        <v>41473</v>
      </c>
      <c r="C379" s="158" t="s">
        <v>145</v>
      </c>
      <c r="D379" s="157">
        <v>41473</v>
      </c>
      <c r="E379" s="159" t="s">
        <v>618</v>
      </c>
      <c r="F379" s="159"/>
      <c r="G379" s="160" t="s">
        <v>150</v>
      </c>
      <c r="H379" s="361"/>
      <c r="I379" s="161">
        <v>10975471</v>
      </c>
      <c r="J379" s="162">
        <f t="shared" si="9"/>
        <v>1571070542</v>
      </c>
      <c r="K379" s="162"/>
    </row>
    <row r="380" spans="1:11" s="142" customFormat="1" ht="19.5" customHeight="1">
      <c r="A380" s="142">
        <f t="shared" si="10"/>
        <v>7</v>
      </c>
      <c r="B380" s="157">
        <v>41473</v>
      </c>
      <c r="C380" s="158" t="s">
        <v>145</v>
      </c>
      <c r="D380" s="157">
        <v>41473</v>
      </c>
      <c r="E380" s="159" t="s">
        <v>619</v>
      </c>
      <c r="F380" s="159"/>
      <c r="G380" s="160" t="s">
        <v>150</v>
      </c>
      <c r="H380" s="161"/>
      <c r="I380" s="161">
        <v>10415002</v>
      </c>
      <c r="J380" s="162">
        <f t="shared" si="9"/>
        <v>1560655540</v>
      </c>
      <c r="K380" s="162"/>
    </row>
    <row r="381" spans="1:11" s="142" customFormat="1" ht="19.5" customHeight="1">
      <c r="A381" s="142">
        <f t="shared" si="10"/>
        <v>7</v>
      </c>
      <c r="B381" s="157">
        <v>41473</v>
      </c>
      <c r="C381" s="158" t="s">
        <v>145</v>
      </c>
      <c r="D381" s="157">
        <v>41473</v>
      </c>
      <c r="E381" s="159" t="s">
        <v>235</v>
      </c>
      <c r="F381" s="159"/>
      <c r="G381" s="160" t="s">
        <v>34</v>
      </c>
      <c r="H381" s="161"/>
      <c r="I381" s="161">
        <v>30000000</v>
      </c>
      <c r="J381" s="162">
        <f t="shared" si="9"/>
        <v>1530655540</v>
      </c>
      <c r="K381" s="162"/>
    </row>
    <row r="382" spans="1:11" s="142" customFormat="1" ht="19.5" customHeight="1">
      <c r="A382" s="142">
        <f t="shared" si="10"/>
        <v>7</v>
      </c>
      <c r="B382" s="157">
        <v>41473</v>
      </c>
      <c r="C382" s="158" t="s">
        <v>145</v>
      </c>
      <c r="D382" s="157">
        <v>41473</v>
      </c>
      <c r="E382" s="159" t="s">
        <v>187</v>
      </c>
      <c r="F382" s="159"/>
      <c r="G382" s="160" t="s">
        <v>192</v>
      </c>
      <c r="H382" s="161"/>
      <c r="I382" s="161">
        <v>10000</v>
      </c>
      <c r="J382" s="162">
        <f t="shared" si="9"/>
        <v>1530645540</v>
      </c>
      <c r="K382" s="162"/>
    </row>
    <row r="383" spans="1:11" s="142" customFormat="1" ht="19.5" customHeight="1">
      <c r="A383" s="142">
        <f t="shared" si="10"/>
        <v>7</v>
      </c>
      <c r="B383" s="157">
        <v>41473</v>
      </c>
      <c r="C383" s="158" t="s">
        <v>145</v>
      </c>
      <c r="D383" s="157">
        <v>41473</v>
      </c>
      <c r="E383" s="159" t="s">
        <v>188</v>
      </c>
      <c r="F383" s="159"/>
      <c r="G383" s="160" t="s">
        <v>35</v>
      </c>
      <c r="H383" s="161"/>
      <c r="I383" s="161">
        <v>1000</v>
      </c>
      <c r="J383" s="162">
        <f t="shared" si="9"/>
        <v>1530644540</v>
      </c>
      <c r="K383" s="162"/>
    </row>
    <row r="384" spans="1:11" s="142" customFormat="1" ht="19.5" customHeight="1">
      <c r="A384" s="142">
        <f t="shared" si="10"/>
        <v>7</v>
      </c>
      <c r="B384" s="157">
        <v>41473</v>
      </c>
      <c r="C384" s="158" t="s">
        <v>145</v>
      </c>
      <c r="D384" s="157">
        <v>41473</v>
      </c>
      <c r="E384" s="159" t="s">
        <v>620</v>
      </c>
      <c r="F384" s="159"/>
      <c r="G384" s="160" t="s">
        <v>621</v>
      </c>
      <c r="H384" s="161"/>
      <c r="I384" s="161">
        <v>31242000</v>
      </c>
      <c r="J384" s="162">
        <f t="shared" si="9"/>
        <v>1499402540</v>
      </c>
      <c r="K384" s="162"/>
    </row>
    <row r="385" spans="1:11" s="142" customFormat="1" ht="19.5" customHeight="1">
      <c r="A385" s="142">
        <f t="shared" si="10"/>
        <v>7</v>
      </c>
      <c r="B385" s="157">
        <v>41473</v>
      </c>
      <c r="C385" s="158" t="s">
        <v>145</v>
      </c>
      <c r="D385" s="157">
        <v>41473</v>
      </c>
      <c r="E385" s="159" t="s">
        <v>187</v>
      </c>
      <c r="F385" s="159"/>
      <c r="G385" s="160" t="s">
        <v>192</v>
      </c>
      <c r="H385" s="161"/>
      <c r="I385" s="161">
        <v>10000</v>
      </c>
      <c r="J385" s="162">
        <f t="shared" si="9"/>
        <v>1499392540</v>
      </c>
      <c r="K385" s="162"/>
    </row>
    <row r="386" spans="1:11" s="142" customFormat="1" ht="19.5" customHeight="1">
      <c r="A386" s="142">
        <f t="shared" si="10"/>
        <v>7</v>
      </c>
      <c r="B386" s="157">
        <v>41473</v>
      </c>
      <c r="C386" s="158" t="s">
        <v>145</v>
      </c>
      <c r="D386" s="157">
        <v>41473</v>
      </c>
      <c r="E386" s="159" t="s">
        <v>188</v>
      </c>
      <c r="F386" s="159"/>
      <c r="G386" s="160" t="s">
        <v>35</v>
      </c>
      <c r="H386" s="161"/>
      <c r="I386" s="161">
        <v>1000</v>
      </c>
      <c r="J386" s="162">
        <f t="shared" si="9"/>
        <v>1499391540</v>
      </c>
      <c r="K386" s="162"/>
    </row>
    <row r="387" spans="1:11" s="142" customFormat="1" ht="19.5" customHeight="1">
      <c r="A387" s="142">
        <f t="shared" si="10"/>
        <v>7</v>
      </c>
      <c r="B387" s="157">
        <v>41473</v>
      </c>
      <c r="C387" s="158" t="s">
        <v>484</v>
      </c>
      <c r="D387" s="157">
        <v>41473</v>
      </c>
      <c r="E387" s="159" t="s">
        <v>269</v>
      </c>
      <c r="F387" s="159"/>
      <c r="G387" s="160" t="s">
        <v>144</v>
      </c>
      <c r="H387" s="161"/>
      <c r="I387" s="161">
        <v>739000000</v>
      </c>
      <c r="J387" s="162">
        <f t="shared" si="9"/>
        <v>760391540</v>
      </c>
      <c r="K387" s="162"/>
    </row>
    <row r="388" spans="1:11" s="142" customFormat="1" ht="19.5" customHeight="1">
      <c r="A388" s="142">
        <f t="shared" si="10"/>
        <v>7</v>
      </c>
      <c r="B388" s="157">
        <v>41473</v>
      </c>
      <c r="C388" s="158" t="s">
        <v>484</v>
      </c>
      <c r="D388" s="157">
        <v>41473</v>
      </c>
      <c r="E388" s="159" t="s">
        <v>269</v>
      </c>
      <c r="F388" s="159"/>
      <c r="G388" s="160" t="s">
        <v>144</v>
      </c>
      <c r="H388" s="161"/>
      <c r="I388" s="161">
        <v>759000000</v>
      </c>
      <c r="J388" s="162">
        <f t="shared" si="9"/>
        <v>1391540</v>
      </c>
      <c r="K388" s="162"/>
    </row>
    <row r="389" spans="1:11" s="142" customFormat="1" ht="19.5" customHeight="1">
      <c r="A389" s="142">
        <f t="shared" si="10"/>
        <v>7</v>
      </c>
      <c r="B389" s="157">
        <v>41479</v>
      </c>
      <c r="C389" s="158" t="s">
        <v>148</v>
      </c>
      <c r="D389" s="157">
        <v>41479</v>
      </c>
      <c r="E389" s="159" t="s">
        <v>157</v>
      </c>
      <c r="F389" s="159"/>
      <c r="G389" s="160" t="s">
        <v>158</v>
      </c>
      <c r="H389" s="161">
        <v>76252</v>
      </c>
      <c r="I389" s="161"/>
      <c r="J389" s="162">
        <f t="shared" si="9"/>
        <v>1467792</v>
      </c>
      <c r="K389" s="162"/>
    </row>
    <row r="390" spans="1:11" s="142" customFormat="1" ht="19.5" customHeight="1">
      <c r="A390" s="142">
        <f t="shared" si="10"/>
        <v>7</v>
      </c>
      <c r="B390" s="157">
        <v>41479</v>
      </c>
      <c r="C390" s="158" t="s">
        <v>148</v>
      </c>
      <c r="D390" s="157">
        <v>41479</v>
      </c>
      <c r="E390" s="159" t="s">
        <v>491</v>
      </c>
      <c r="F390" s="159"/>
      <c r="G390" s="160" t="s">
        <v>56</v>
      </c>
      <c r="H390" s="161">
        <v>840000000</v>
      </c>
      <c r="I390" s="161"/>
      <c r="J390" s="162">
        <f t="shared" si="9"/>
        <v>841467792</v>
      </c>
      <c r="K390" s="162"/>
    </row>
    <row r="391" spans="1:11" s="142" customFormat="1" ht="19.5" customHeight="1">
      <c r="A391" s="142">
        <f t="shared" si="10"/>
        <v>7</v>
      </c>
      <c r="B391" s="157">
        <v>41479</v>
      </c>
      <c r="C391" s="158" t="s">
        <v>145</v>
      </c>
      <c r="D391" s="157">
        <v>41479</v>
      </c>
      <c r="E391" s="159" t="s">
        <v>187</v>
      </c>
      <c r="F391" s="159"/>
      <c r="G391" s="160" t="s">
        <v>192</v>
      </c>
      <c r="H391" s="161"/>
      <c r="I391" s="161">
        <v>10000</v>
      </c>
      <c r="J391" s="162">
        <f t="shared" si="9"/>
        <v>841457792</v>
      </c>
      <c r="K391" s="162"/>
    </row>
    <row r="392" spans="1:11" s="142" customFormat="1" ht="19.5" customHeight="1">
      <c r="A392" s="142">
        <f t="shared" si="10"/>
        <v>7</v>
      </c>
      <c r="B392" s="157">
        <v>41479</v>
      </c>
      <c r="C392" s="158" t="s">
        <v>145</v>
      </c>
      <c r="D392" s="157">
        <v>41479</v>
      </c>
      <c r="E392" s="159" t="s">
        <v>188</v>
      </c>
      <c r="F392" s="159"/>
      <c r="G392" s="160" t="s">
        <v>35</v>
      </c>
      <c r="H392" s="161"/>
      <c r="I392" s="161">
        <v>1000</v>
      </c>
      <c r="J392" s="162">
        <f t="shared" si="9"/>
        <v>841456792</v>
      </c>
      <c r="K392" s="162"/>
    </row>
    <row r="393" spans="1:11" s="142" customFormat="1" ht="19.5" customHeight="1">
      <c r="A393" s="142">
        <f t="shared" si="10"/>
        <v>7</v>
      </c>
      <c r="B393" s="157">
        <v>41481</v>
      </c>
      <c r="C393" s="158" t="s">
        <v>484</v>
      </c>
      <c r="D393" s="157">
        <v>41481</v>
      </c>
      <c r="E393" s="159" t="s">
        <v>269</v>
      </c>
      <c r="F393" s="159"/>
      <c r="G393" s="160" t="s">
        <v>144</v>
      </c>
      <c r="H393" s="161"/>
      <c r="I393" s="161">
        <v>300000000</v>
      </c>
      <c r="J393" s="162">
        <f t="shared" si="9"/>
        <v>541456792</v>
      </c>
      <c r="K393" s="162"/>
    </row>
    <row r="394" spans="1:11" s="142" customFormat="1" ht="19.5" customHeight="1">
      <c r="A394" s="142">
        <f t="shared" si="10"/>
        <v>7</v>
      </c>
      <c r="B394" s="157">
        <v>41485</v>
      </c>
      <c r="C394" s="158" t="s">
        <v>145</v>
      </c>
      <c r="D394" s="157">
        <v>41485</v>
      </c>
      <c r="E394" s="159" t="s">
        <v>622</v>
      </c>
      <c r="F394" s="159"/>
      <c r="G394" s="160" t="s">
        <v>34</v>
      </c>
      <c r="H394" s="161"/>
      <c r="I394" s="161">
        <v>240000</v>
      </c>
      <c r="J394" s="162">
        <f t="shared" si="9"/>
        <v>541216792</v>
      </c>
      <c r="K394" s="162"/>
    </row>
    <row r="395" spans="1:11" s="142" customFormat="1" ht="19.5" customHeight="1">
      <c r="A395" s="142">
        <f t="shared" si="10"/>
        <v>7</v>
      </c>
      <c r="B395" s="157">
        <v>41485</v>
      </c>
      <c r="C395" s="158" t="s">
        <v>145</v>
      </c>
      <c r="D395" s="157">
        <v>41485</v>
      </c>
      <c r="E395" s="159" t="s">
        <v>187</v>
      </c>
      <c r="F395" s="159"/>
      <c r="G395" s="160" t="s">
        <v>192</v>
      </c>
      <c r="H395" s="161"/>
      <c r="I395" s="161">
        <v>10000</v>
      </c>
      <c r="J395" s="162">
        <f t="shared" si="9"/>
        <v>541206792</v>
      </c>
      <c r="K395" s="162"/>
    </row>
    <row r="396" spans="1:11" s="142" customFormat="1" ht="19.5" customHeight="1">
      <c r="A396" s="142">
        <f t="shared" si="10"/>
        <v>7</v>
      </c>
      <c r="B396" s="157">
        <v>41485</v>
      </c>
      <c r="C396" s="158" t="s">
        <v>145</v>
      </c>
      <c r="D396" s="157">
        <v>41485</v>
      </c>
      <c r="E396" s="159" t="s">
        <v>188</v>
      </c>
      <c r="F396" s="159"/>
      <c r="G396" s="160" t="s">
        <v>35</v>
      </c>
      <c r="H396" s="161"/>
      <c r="I396" s="161">
        <v>1000</v>
      </c>
      <c r="J396" s="162">
        <f t="shared" si="9"/>
        <v>541205792</v>
      </c>
      <c r="K396" s="162"/>
    </row>
    <row r="397" spans="1:11" s="142" customFormat="1" ht="19.5" customHeight="1">
      <c r="A397" s="142">
        <f t="shared" si="10"/>
        <v>7</v>
      </c>
      <c r="B397" s="157">
        <v>41485</v>
      </c>
      <c r="C397" s="158" t="s">
        <v>145</v>
      </c>
      <c r="D397" s="157">
        <v>41485</v>
      </c>
      <c r="E397" s="159" t="s">
        <v>622</v>
      </c>
      <c r="F397" s="159"/>
      <c r="G397" s="160" t="s">
        <v>34</v>
      </c>
      <c r="H397" s="161"/>
      <c r="I397" s="161">
        <v>2430000</v>
      </c>
      <c r="J397" s="162">
        <f t="shared" si="9"/>
        <v>538775792</v>
      </c>
      <c r="K397" s="162"/>
    </row>
    <row r="398" spans="1:11" s="142" customFormat="1" ht="19.5" customHeight="1">
      <c r="A398" s="142">
        <f t="shared" si="10"/>
        <v>7</v>
      </c>
      <c r="B398" s="157">
        <v>41485</v>
      </c>
      <c r="C398" s="158" t="s">
        <v>145</v>
      </c>
      <c r="D398" s="157">
        <v>41485</v>
      </c>
      <c r="E398" s="159" t="s">
        <v>187</v>
      </c>
      <c r="F398" s="159"/>
      <c r="G398" s="160" t="s">
        <v>192</v>
      </c>
      <c r="H398" s="161"/>
      <c r="I398" s="161">
        <v>10000</v>
      </c>
      <c r="J398" s="162">
        <f t="shared" si="9"/>
        <v>538765792</v>
      </c>
      <c r="K398" s="162"/>
    </row>
    <row r="399" spans="1:11" s="142" customFormat="1" ht="19.5" customHeight="1">
      <c r="A399" s="142">
        <f t="shared" si="10"/>
        <v>7</v>
      </c>
      <c r="B399" s="157">
        <v>41485</v>
      </c>
      <c r="C399" s="158" t="s">
        <v>145</v>
      </c>
      <c r="D399" s="157">
        <v>41485</v>
      </c>
      <c r="E399" s="159" t="s">
        <v>188</v>
      </c>
      <c r="F399" s="159"/>
      <c r="G399" s="160" t="s">
        <v>35</v>
      </c>
      <c r="H399" s="161"/>
      <c r="I399" s="161">
        <v>1000</v>
      </c>
      <c r="J399" s="162">
        <f t="shared" si="9"/>
        <v>538764792</v>
      </c>
      <c r="K399" s="162"/>
    </row>
    <row r="400" spans="1:11" s="142" customFormat="1" ht="19.5" customHeight="1">
      <c r="A400" s="142">
        <f t="shared" si="10"/>
        <v>7</v>
      </c>
      <c r="B400" s="157">
        <v>41485</v>
      </c>
      <c r="C400" s="158" t="s">
        <v>145</v>
      </c>
      <c r="D400" s="157">
        <v>41485</v>
      </c>
      <c r="E400" s="159" t="s">
        <v>623</v>
      </c>
      <c r="F400" s="159"/>
      <c r="G400" s="160" t="s">
        <v>34</v>
      </c>
      <c r="H400" s="161"/>
      <c r="I400" s="161">
        <v>3947932</v>
      </c>
      <c r="J400" s="162">
        <f t="shared" si="9"/>
        <v>534816860</v>
      </c>
      <c r="K400" s="162"/>
    </row>
    <row r="401" spans="1:11" s="142" customFormat="1" ht="19.5" customHeight="1">
      <c r="A401" s="142">
        <f t="shared" si="10"/>
        <v>7</v>
      </c>
      <c r="B401" s="157">
        <v>41485</v>
      </c>
      <c r="C401" s="158" t="s">
        <v>145</v>
      </c>
      <c r="D401" s="157">
        <v>41485</v>
      </c>
      <c r="E401" s="159" t="s">
        <v>187</v>
      </c>
      <c r="F401" s="159"/>
      <c r="G401" s="160" t="s">
        <v>192</v>
      </c>
      <c r="H401" s="161"/>
      <c r="I401" s="161">
        <v>20000</v>
      </c>
      <c r="J401" s="162">
        <f t="shared" si="9"/>
        <v>534796860</v>
      </c>
      <c r="K401" s="162"/>
    </row>
    <row r="402" spans="1:11" s="142" customFormat="1" ht="19.5" customHeight="1">
      <c r="A402" s="142">
        <f t="shared" si="10"/>
        <v>7</v>
      </c>
      <c r="B402" s="157">
        <v>41485</v>
      </c>
      <c r="C402" s="158" t="s">
        <v>145</v>
      </c>
      <c r="D402" s="157">
        <v>41485</v>
      </c>
      <c r="E402" s="159" t="s">
        <v>188</v>
      </c>
      <c r="F402" s="159"/>
      <c r="G402" s="160" t="s">
        <v>35</v>
      </c>
      <c r="H402" s="161"/>
      <c r="I402" s="161">
        <v>2000</v>
      </c>
      <c r="J402" s="162">
        <f t="shared" si="9"/>
        <v>534794860</v>
      </c>
      <c r="K402" s="162"/>
    </row>
    <row r="403" spans="1:11" s="142" customFormat="1" ht="19.5" customHeight="1">
      <c r="A403" s="142">
        <f t="shared" si="10"/>
        <v>7</v>
      </c>
      <c r="B403" s="157">
        <v>41485</v>
      </c>
      <c r="C403" s="158" t="s">
        <v>484</v>
      </c>
      <c r="D403" s="157">
        <v>41485</v>
      </c>
      <c r="E403" s="159" t="s">
        <v>269</v>
      </c>
      <c r="F403" s="159"/>
      <c r="G403" s="160" t="s">
        <v>144</v>
      </c>
      <c r="H403" s="161"/>
      <c r="I403" s="161">
        <v>400000000</v>
      </c>
      <c r="J403" s="162">
        <f t="shared" ref="J403:J462" si="11">IF(B403&lt;&gt;"",J402+H403-I403,0)</f>
        <v>134794860</v>
      </c>
      <c r="K403" s="162"/>
    </row>
    <row r="404" spans="1:11" s="142" customFormat="1" ht="19.5" customHeight="1">
      <c r="A404" s="142">
        <f t="shared" si="10"/>
        <v>7</v>
      </c>
      <c r="B404" s="157">
        <v>41486</v>
      </c>
      <c r="C404" s="158" t="s">
        <v>145</v>
      </c>
      <c r="D404" s="157">
        <v>41486</v>
      </c>
      <c r="E404" s="159" t="s">
        <v>483</v>
      </c>
      <c r="F404" s="159"/>
      <c r="G404" s="160" t="s">
        <v>56</v>
      </c>
      <c r="H404" s="161">
        <v>100000000</v>
      </c>
      <c r="I404" s="161"/>
      <c r="J404" s="162">
        <f t="shared" si="11"/>
        <v>234794860</v>
      </c>
      <c r="K404" s="162"/>
    </row>
    <row r="405" spans="1:11" s="142" customFormat="1" ht="19.5" customHeight="1">
      <c r="A405" s="142">
        <f t="shared" si="10"/>
        <v>7</v>
      </c>
      <c r="B405" s="157">
        <v>41486</v>
      </c>
      <c r="C405" s="158" t="s">
        <v>145</v>
      </c>
      <c r="D405" s="157">
        <v>41486</v>
      </c>
      <c r="E405" s="159" t="s">
        <v>624</v>
      </c>
      <c r="F405" s="159"/>
      <c r="G405" s="160" t="s">
        <v>56</v>
      </c>
      <c r="H405" s="161"/>
      <c r="I405" s="161">
        <v>100000000</v>
      </c>
      <c r="J405" s="162">
        <f t="shared" si="11"/>
        <v>134794860</v>
      </c>
      <c r="K405" s="162"/>
    </row>
    <row r="406" spans="1:11" s="142" customFormat="1" ht="19.5" customHeight="1">
      <c r="A406" s="142">
        <f t="shared" si="10"/>
        <v>7</v>
      </c>
      <c r="B406" s="157">
        <v>41486</v>
      </c>
      <c r="C406" s="158" t="s">
        <v>145</v>
      </c>
      <c r="D406" s="157">
        <v>41486</v>
      </c>
      <c r="E406" s="159" t="s">
        <v>625</v>
      </c>
      <c r="F406" s="159"/>
      <c r="G406" s="160" t="s">
        <v>34</v>
      </c>
      <c r="H406" s="161"/>
      <c r="I406" s="161">
        <v>14289330</v>
      </c>
      <c r="J406" s="162">
        <f t="shared" si="11"/>
        <v>120505530</v>
      </c>
      <c r="K406" s="162"/>
    </row>
    <row r="407" spans="1:11" s="142" customFormat="1" ht="19.5" customHeight="1">
      <c r="A407" s="142">
        <f t="shared" si="10"/>
        <v>7</v>
      </c>
      <c r="B407" s="157">
        <v>41486</v>
      </c>
      <c r="C407" s="158" t="s">
        <v>145</v>
      </c>
      <c r="D407" s="157">
        <v>41486</v>
      </c>
      <c r="E407" s="159" t="s">
        <v>187</v>
      </c>
      <c r="F407" s="159"/>
      <c r="G407" s="160" t="s">
        <v>192</v>
      </c>
      <c r="H407" s="161"/>
      <c r="I407" s="161">
        <v>20000</v>
      </c>
      <c r="J407" s="162">
        <f t="shared" si="11"/>
        <v>120485530</v>
      </c>
      <c r="K407" s="162"/>
    </row>
    <row r="408" spans="1:11" s="142" customFormat="1" ht="19.5" customHeight="1">
      <c r="A408" s="142">
        <f t="shared" si="10"/>
        <v>7</v>
      </c>
      <c r="B408" s="157">
        <v>41486</v>
      </c>
      <c r="C408" s="158" t="s">
        <v>145</v>
      </c>
      <c r="D408" s="157">
        <v>41486</v>
      </c>
      <c r="E408" s="159" t="s">
        <v>188</v>
      </c>
      <c r="F408" s="159"/>
      <c r="G408" s="160" t="s">
        <v>35</v>
      </c>
      <c r="H408" s="161"/>
      <c r="I408" s="161">
        <v>2000</v>
      </c>
      <c r="J408" s="162">
        <f t="shared" si="11"/>
        <v>120483530</v>
      </c>
      <c r="K408" s="162"/>
    </row>
    <row r="409" spans="1:11" s="142" customFormat="1" ht="19.5" customHeight="1">
      <c r="A409" s="142">
        <f t="shared" ref="A409:A472" si="12">IF(B409&lt;&gt;"",MONTH(B409),"")</f>
        <v>8</v>
      </c>
      <c r="B409" s="157">
        <v>41488</v>
      </c>
      <c r="C409" s="158" t="s">
        <v>484</v>
      </c>
      <c r="D409" s="157">
        <v>41488</v>
      </c>
      <c r="E409" s="159" t="s">
        <v>269</v>
      </c>
      <c r="F409" s="159"/>
      <c r="G409" s="160" t="s">
        <v>144</v>
      </c>
      <c r="H409" s="161"/>
      <c r="I409" s="161">
        <v>100000000</v>
      </c>
      <c r="J409" s="162">
        <f t="shared" si="11"/>
        <v>20483530</v>
      </c>
      <c r="K409" s="162"/>
    </row>
    <row r="410" spans="1:11" s="142" customFormat="1" ht="19.5" customHeight="1">
      <c r="A410" s="142">
        <f t="shared" si="12"/>
        <v>8</v>
      </c>
      <c r="B410" s="157">
        <v>41489</v>
      </c>
      <c r="C410" s="158" t="s">
        <v>145</v>
      </c>
      <c r="D410" s="157">
        <v>41489</v>
      </c>
      <c r="E410" s="159" t="s">
        <v>248</v>
      </c>
      <c r="F410" s="159"/>
      <c r="G410" s="160" t="s">
        <v>147</v>
      </c>
      <c r="H410" s="161">
        <v>422400000</v>
      </c>
      <c r="I410" s="161"/>
      <c r="J410" s="162">
        <f t="shared" si="11"/>
        <v>442883530</v>
      </c>
      <c r="K410" s="162"/>
    </row>
    <row r="411" spans="1:11" s="142" customFormat="1" ht="19.5" customHeight="1">
      <c r="A411" s="142">
        <f t="shared" si="12"/>
        <v>8</v>
      </c>
      <c r="B411" s="157">
        <v>41491</v>
      </c>
      <c r="C411" s="158" t="s">
        <v>484</v>
      </c>
      <c r="D411" s="157">
        <v>41491</v>
      </c>
      <c r="E411" s="159" t="s">
        <v>269</v>
      </c>
      <c r="F411" s="159"/>
      <c r="G411" s="160" t="s">
        <v>144</v>
      </c>
      <c r="H411" s="161"/>
      <c r="I411" s="161">
        <v>400000000</v>
      </c>
      <c r="J411" s="162">
        <f t="shared" si="11"/>
        <v>42883530</v>
      </c>
      <c r="K411" s="162"/>
    </row>
    <row r="412" spans="1:11" s="142" customFormat="1" ht="19.5" customHeight="1">
      <c r="A412" s="142">
        <f t="shared" si="12"/>
        <v>8</v>
      </c>
      <c r="B412" s="157">
        <v>41493</v>
      </c>
      <c r="C412" s="158" t="s">
        <v>148</v>
      </c>
      <c r="D412" s="157">
        <v>41493</v>
      </c>
      <c r="E412" s="159" t="s">
        <v>491</v>
      </c>
      <c r="F412" s="159"/>
      <c r="G412" s="160" t="s">
        <v>56</v>
      </c>
      <c r="H412" s="161">
        <v>450000000</v>
      </c>
      <c r="I412" s="161"/>
      <c r="J412" s="162">
        <f t="shared" si="11"/>
        <v>492883530</v>
      </c>
      <c r="K412" s="162"/>
    </row>
    <row r="413" spans="1:11" s="142" customFormat="1" ht="19.5" customHeight="1">
      <c r="A413" s="142">
        <f t="shared" si="12"/>
        <v>8</v>
      </c>
      <c r="B413" s="157">
        <v>41493</v>
      </c>
      <c r="C413" s="158" t="s">
        <v>145</v>
      </c>
      <c r="D413" s="157">
        <v>41493</v>
      </c>
      <c r="E413" s="159" t="s">
        <v>153</v>
      </c>
      <c r="F413" s="159"/>
      <c r="G413" s="160" t="s">
        <v>150</v>
      </c>
      <c r="H413" s="161"/>
      <c r="I413" s="161">
        <v>15288400</v>
      </c>
      <c r="J413" s="162">
        <f t="shared" si="11"/>
        <v>477595130</v>
      </c>
      <c r="K413" s="162"/>
    </row>
    <row r="414" spans="1:11" s="142" customFormat="1" ht="19.5" customHeight="1">
      <c r="A414" s="142">
        <f t="shared" si="12"/>
        <v>8</v>
      </c>
      <c r="B414" s="157">
        <v>41494</v>
      </c>
      <c r="C414" s="158" t="s">
        <v>484</v>
      </c>
      <c r="D414" s="157">
        <v>41494</v>
      </c>
      <c r="E414" s="159" t="s">
        <v>269</v>
      </c>
      <c r="F414" s="159"/>
      <c r="G414" s="160" t="s">
        <v>144</v>
      </c>
      <c r="H414" s="161"/>
      <c r="I414" s="161">
        <v>450000000</v>
      </c>
      <c r="J414" s="162">
        <f t="shared" si="11"/>
        <v>27595130</v>
      </c>
      <c r="K414" s="162"/>
    </row>
    <row r="415" spans="1:11" s="358" customFormat="1" ht="19.5" customHeight="1">
      <c r="A415" s="358">
        <f t="shared" si="12"/>
        <v>8</v>
      </c>
      <c r="B415" s="359">
        <v>41495</v>
      </c>
      <c r="C415" s="357" t="s">
        <v>145</v>
      </c>
      <c r="D415" s="359">
        <v>41495</v>
      </c>
      <c r="E415" s="347" t="s">
        <v>248</v>
      </c>
      <c r="F415" s="347"/>
      <c r="G415" s="360" t="s">
        <v>147</v>
      </c>
      <c r="H415" s="361">
        <v>31605000</v>
      </c>
      <c r="I415" s="361"/>
      <c r="J415" s="162">
        <f t="shared" si="11"/>
        <v>59200130</v>
      </c>
      <c r="K415" s="362"/>
    </row>
    <row r="416" spans="1:11" s="358" customFormat="1" ht="19.5" customHeight="1">
      <c r="A416" s="358">
        <f t="shared" si="12"/>
        <v>8</v>
      </c>
      <c r="B416" s="359">
        <v>41495</v>
      </c>
      <c r="C416" s="357" t="s">
        <v>145</v>
      </c>
      <c r="D416" s="359">
        <v>41495</v>
      </c>
      <c r="E416" s="347" t="s">
        <v>626</v>
      </c>
      <c r="F416" s="347"/>
      <c r="G416" s="360" t="s">
        <v>34</v>
      </c>
      <c r="H416" s="361"/>
      <c r="I416" s="361">
        <v>37069560</v>
      </c>
      <c r="J416" s="162">
        <f t="shared" si="11"/>
        <v>22130570</v>
      </c>
      <c r="K416" s="362"/>
    </row>
    <row r="417" spans="1:11" s="142" customFormat="1" ht="19.5" customHeight="1">
      <c r="A417" s="142">
        <f t="shared" si="12"/>
        <v>8</v>
      </c>
      <c r="B417" s="157">
        <v>41495</v>
      </c>
      <c r="C417" s="158" t="s">
        <v>145</v>
      </c>
      <c r="D417" s="157">
        <v>41495</v>
      </c>
      <c r="E417" s="159" t="s">
        <v>187</v>
      </c>
      <c r="F417" s="159"/>
      <c r="G417" s="160" t="s">
        <v>192</v>
      </c>
      <c r="H417" s="161"/>
      <c r="I417" s="161">
        <v>20000</v>
      </c>
      <c r="J417" s="162">
        <f t="shared" si="11"/>
        <v>22110570</v>
      </c>
      <c r="K417" s="162"/>
    </row>
    <row r="418" spans="1:11" s="142" customFormat="1" ht="19.5" customHeight="1">
      <c r="A418" s="142">
        <f t="shared" si="12"/>
        <v>8</v>
      </c>
      <c r="B418" s="157">
        <v>41495</v>
      </c>
      <c r="C418" s="158" t="s">
        <v>145</v>
      </c>
      <c r="D418" s="157">
        <v>41495</v>
      </c>
      <c r="E418" s="159" t="s">
        <v>188</v>
      </c>
      <c r="F418" s="159"/>
      <c r="G418" s="160" t="s">
        <v>35</v>
      </c>
      <c r="H418" s="161"/>
      <c r="I418" s="161">
        <v>2000</v>
      </c>
      <c r="J418" s="162">
        <f t="shared" si="11"/>
        <v>22108570</v>
      </c>
      <c r="K418" s="162"/>
    </row>
    <row r="419" spans="1:11" s="142" customFormat="1" ht="19.5" customHeight="1">
      <c r="A419" s="142">
        <f t="shared" si="12"/>
        <v>8</v>
      </c>
      <c r="B419" s="157">
        <v>41498</v>
      </c>
      <c r="C419" s="158" t="s">
        <v>148</v>
      </c>
      <c r="D419" s="157">
        <v>41498</v>
      </c>
      <c r="E419" s="159" t="s">
        <v>491</v>
      </c>
      <c r="F419" s="159"/>
      <c r="G419" s="160" t="s">
        <v>56</v>
      </c>
      <c r="H419" s="161">
        <v>1000000000</v>
      </c>
      <c r="I419" s="161"/>
      <c r="J419" s="162">
        <f t="shared" si="11"/>
        <v>1022108570</v>
      </c>
      <c r="K419" s="162"/>
    </row>
    <row r="420" spans="1:11" s="142" customFormat="1" ht="19.5" customHeight="1">
      <c r="A420" s="142">
        <f t="shared" si="12"/>
        <v>8</v>
      </c>
      <c r="B420" s="157">
        <v>41498</v>
      </c>
      <c r="C420" s="158" t="s">
        <v>484</v>
      </c>
      <c r="D420" s="157">
        <v>41498</v>
      </c>
      <c r="E420" s="159" t="s">
        <v>269</v>
      </c>
      <c r="F420" s="159"/>
      <c r="G420" s="160" t="s">
        <v>144</v>
      </c>
      <c r="H420" s="161"/>
      <c r="I420" s="161">
        <v>1000000000</v>
      </c>
      <c r="J420" s="162">
        <f t="shared" si="11"/>
        <v>22108570</v>
      </c>
      <c r="K420" s="162"/>
    </row>
    <row r="421" spans="1:11" s="142" customFormat="1" ht="19.5" customHeight="1">
      <c r="A421" s="142">
        <f t="shared" si="12"/>
        <v>8</v>
      </c>
      <c r="B421" s="157">
        <v>41499</v>
      </c>
      <c r="C421" s="158" t="s">
        <v>486</v>
      </c>
      <c r="D421" s="157">
        <v>41499</v>
      </c>
      <c r="E421" s="159" t="s">
        <v>50</v>
      </c>
      <c r="F421" s="159"/>
      <c r="G421" s="160" t="s">
        <v>144</v>
      </c>
      <c r="H421" s="161">
        <v>200000000</v>
      </c>
      <c r="I421" s="161"/>
      <c r="J421" s="162">
        <f t="shared" si="11"/>
        <v>222108570</v>
      </c>
      <c r="K421" s="162"/>
    </row>
    <row r="422" spans="1:11" s="142" customFormat="1" ht="19.5" customHeight="1">
      <c r="A422" s="142">
        <f t="shared" si="12"/>
        <v>8</v>
      </c>
      <c r="B422" s="157">
        <v>41499</v>
      </c>
      <c r="C422" s="158" t="s">
        <v>145</v>
      </c>
      <c r="D422" s="157">
        <v>41499</v>
      </c>
      <c r="E422" s="159" t="s">
        <v>248</v>
      </c>
      <c r="F422" s="159"/>
      <c r="G422" s="160" t="s">
        <v>147</v>
      </c>
      <c r="H422" s="161">
        <v>2066330000</v>
      </c>
      <c r="I422" s="161"/>
      <c r="J422" s="162">
        <f t="shared" si="11"/>
        <v>2288438570</v>
      </c>
      <c r="K422" s="162"/>
    </row>
    <row r="423" spans="1:11" s="142" customFormat="1" ht="19.5" customHeight="1">
      <c r="A423" s="142">
        <f t="shared" si="12"/>
        <v>8</v>
      </c>
      <c r="B423" s="157">
        <v>41499</v>
      </c>
      <c r="C423" s="158" t="s">
        <v>145</v>
      </c>
      <c r="D423" s="157">
        <v>41499</v>
      </c>
      <c r="E423" s="159" t="s">
        <v>568</v>
      </c>
      <c r="F423" s="159"/>
      <c r="G423" s="160" t="s">
        <v>34</v>
      </c>
      <c r="H423" s="161"/>
      <c r="I423" s="161">
        <v>17815254</v>
      </c>
      <c r="J423" s="162">
        <f t="shared" si="11"/>
        <v>2270623316</v>
      </c>
      <c r="K423" s="162"/>
    </row>
    <row r="424" spans="1:11" s="142" customFormat="1" ht="19.5" customHeight="1">
      <c r="A424" s="142">
        <f t="shared" si="12"/>
        <v>8</v>
      </c>
      <c r="B424" s="157">
        <v>41499</v>
      </c>
      <c r="C424" s="158" t="s">
        <v>145</v>
      </c>
      <c r="D424" s="157">
        <v>41499</v>
      </c>
      <c r="E424" s="159" t="s">
        <v>187</v>
      </c>
      <c r="F424" s="159"/>
      <c r="G424" s="160" t="s">
        <v>192</v>
      </c>
      <c r="H424" s="161"/>
      <c r="I424" s="161">
        <v>10000</v>
      </c>
      <c r="J424" s="162">
        <f t="shared" si="11"/>
        <v>2270613316</v>
      </c>
      <c r="K424" s="162"/>
    </row>
    <row r="425" spans="1:11" s="142" customFormat="1" ht="19.5" customHeight="1">
      <c r="A425" s="142">
        <f t="shared" si="12"/>
        <v>8</v>
      </c>
      <c r="B425" s="157">
        <v>41499</v>
      </c>
      <c r="C425" s="158" t="s">
        <v>145</v>
      </c>
      <c r="D425" s="157">
        <v>41499</v>
      </c>
      <c r="E425" s="159" t="s">
        <v>188</v>
      </c>
      <c r="F425" s="159"/>
      <c r="G425" s="160" t="s">
        <v>35</v>
      </c>
      <c r="H425" s="161"/>
      <c r="I425" s="161">
        <v>1000</v>
      </c>
      <c r="J425" s="162">
        <f t="shared" si="11"/>
        <v>2270612316</v>
      </c>
      <c r="K425" s="162"/>
    </row>
    <row r="426" spans="1:11" s="142" customFormat="1" ht="19.5" customHeight="1">
      <c r="A426" s="142">
        <f t="shared" si="12"/>
        <v>8</v>
      </c>
      <c r="B426" s="157">
        <v>41499</v>
      </c>
      <c r="C426" s="158" t="s">
        <v>145</v>
      </c>
      <c r="D426" s="157">
        <v>41499</v>
      </c>
      <c r="E426" s="159" t="s">
        <v>627</v>
      </c>
      <c r="F426" s="159"/>
      <c r="G426" s="160" t="s">
        <v>34</v>
      </c>
      <c r="H426" s="161"/>
      <c r="I426" s="161">
        <v>710000</v>
      </c>
      <c r="J426" s="162">
        <f t="shared" si="11"/>
        <v>2269902316</v>
      </c>
      <c r="K426" s="162"/>
    </row>
    <row r="427" spans="1:11" s="142" customFormat="1" ht="19.5" customHeight="1">
      <c r="A427" s="142">
        <f t="shared" si="12"/>
        <v>8</v>
      </c>
      <c r="B427" s="157">
        <v>41499</v>
      </c>
      <c r="C427" s="158" t="s">
        <v>145</v>
      </c>
      <c r="D427" s="157">
        <v>41499</v>
      </c>
      <c r="E427" s="159" t="s">
        <v>187</v>
      </c>
      <c r="F427" s="159"/>
      <c r="G427" s="160" t="s">
        <v>192</v>
      </c>
      <c r="H427" s="161"/>
      <c r="I427" s="161">
        <v>10000</v>
      </c>
      <c r="J427" s="162">
        <f t="shared" si="11"/>
        <v>2269892316</v>
      </c>
      <c r="K427" s="162"/>
    </row>
    <row r="428" spans="1:11" s="142" customFormat="1" ht="19.5" customHeight="1">
      <c r="A428" s="142">
        <f t="shared" si="12"/>
        <v>8</v>
      </c>
      <c r="B428" s="157">
        <v>41499</v>
      </c>
      <c r="C428" s="158" t="s">
        <v>145</v>
      </c>
      <c r="D428" s="157">
        <v>41499</v>
      </c>
      <c r="E428" s="159" t="s">
        <v>188</v>
      </c>
      <c r="F428" s="159"/>
      <c r="G428" s="160" t="s">
        <v>35</v>
      </c>
      <c r="H428" s="161"/>
      <c r="I428" s="161">
        <v>1000</v>
      </c>
      <c r="J428" s="162">
        <f t="shared" si="11"/>
        <v>2269891316</v>
      </c>
      <c r="K428" s="162"/>
    </row>
    <row r="429" spans="1:11" s="142" customFormat="1" ht="19.5" customHeight="1">
      <c r="A429" s="142">
        <f t="shared" si="12"/>
        <v>8</v>
      </c>
      <c r="B429" s="157">
        <v>41499</v>
      </c>
      <c r="C429" s="158" t="s">
        <v>145</v>
      </c>
      <c r="D429" s="157">
        <v>41499</v>
      </c>
      <c r="E429" s="159" t="s">
        <v>628</v>
      </c>
      <c r="F429" s="159"/>
      <c r="G429" s="160" t="s">
        <v>34</v>
      </c>
      <c r="H429" s="161"/>
      <c r="I429" s="161">
        <v>1140000</v>
      </c>
      <c r="J429" s="162">
        <f t="shared" si="11"/>
        <v>2268751316</v>
      </c>
      <c r="K429" s="162"/>
    </row>
    <row r="430" spans="1:11" s="142" customFormat="1" ht="19.5" customHeight="1">
      <c r="A430" s="142">
        <f t="shared" si="12"/>
        <v>8</v>
      </c>
      <c r="B430" s="157">
        <v>41499</v>
      </c>
      <c r="C430" s="158" t="s">
        <v>145</v>
      </c>
      <c r="D430" s="157">
        <v>41499</v>
      </c>
      <c r="E430" s="159" t="s">
        <v>187</v>
      </c>
      <c r="F430" s="159"/>
      <c r="G430" s="160" t="s">
        <v>192</v>
      </c>
      <c r="H430" s="161"/>
      <c r="I430" s="161">
        <v>10000</v>
      </c>
      <c r="J430" s="162">
        <f t="shared" si="11"/>
        <v>2268741316</v>
      </c>
      <c r="K430" s="162"/>
    </row>
    <row r="431" spans="1:11" s="142" customFormat="1" ht="19.5" customHeight="1">
      <c r="A431" s="142">
        <f t="shared" si="12"/>
        <v>8</v>
      </c>
      <c r="B431" s="157">
        <v>41499</v>
      </c>
      <c r="C431" s="158" t="s">
        <v>145</v>
      </c>
      <c r="D431" s="157">
        <v>41499</v>
      </c>
      <c r="E431" s="159" t="s">
        <v>188</v>
      </c>
      <c r="F431" s="159"/>
      <c r="G431" s="160" t="s">
        <v>35</v>
      </c>
      <c r="H431" s="161"/>
      <c r="I431" s="161">
        <v>1000</v>
      </c>
      <c r="J431" s="162">
        <f t="shared" si="11"/>
        <v>2268740316</v>
      </c>
      <c r="K431" s="162"/>
    </row>
    <row r="432" spans="1:11" s="142" customFormat="1" ht="19.5" customHeight="1">
      <c r="A432" s="142">
        <f t="shared" si="12"/>
        <v>8</v>
      </c>
      <c r="B432" s="157">
        <v>41499</v>
      </c>
      <c r="C432" s="158" t="s">
        <v>145</v>
      </c>
      <c r="D432" s="157">
        <v>41499</v>
      </c>
      <c r="E432" s="159" t="s">
        <v>478</v>
      </c>
      <c r="F432" s="159"/>
      <c r="G432" s="160" t="s">
        <v>34</v>
      </c>
      <c r="H432" s="161"/>
      <c r="I432" s="161">
        <v>60000000</v>
      </c>
      <c r="J432" s="162">
        <f t="shared" si="11"/>
        <v>2208740316</v>
      </c>
      <c r="K432" s="162"/>
    </row>
    <row r="433" spans="1:11" s="142" customFormat="1" ht="19.5" customHeight="1">
      <c r="A433" s="142">
        <f t="shared" si="12"/>
        <v>8</v>
      </c>
      <c r="B433" s="157">
        <v>41499</v>
      </c>
      <c r="C433" s="158" t="s">
        <v>145</v>
      </c>
      <c r="D433" s="157">
        <v>41499</v>
      </c>
      <c r="E433" s="159" t="s">
        <v>187</v>
      </c>
      <c r="F433" s="159"/>
      <c r="G433" s="160" t="s">
        <v>192</v>
      </c>
      <c r="H433" s="161"/>
      <c r="I433" s="161">
        <v>30000</v>
      </c>
      <c r="J433" s="162">
        <f t="shared" si="11"/>
        <v>2208710316</v>
      </c>
      <c r="K433" s="162"/>
    </row>
    <row r="434" spans="1:11" s="358" customFormat="1" ht="19.5" customHeight="1">
      <c r="A434" s="142">
        <f t="shared" si="12"/>
        <v>8</v>
      </c>
      <c r="B434" s="359">
        <v>41499</v>
      </c>
      <c r="C434" s="357" t="s">
        <v>145</v>
      </c>
      <c r="D434" s="359">
        <v>41499</v>
      </c>
      <c r="E434" s="347" t="s">
        <v>188</v>
      </c>
      <c r="F434" s="347"/>
      <c r="G434" s="360" t="s">
        <v>35</v>
      </c>
      <c r="H434" s="361"/>
      <c r="I434" s="361">
        <v>3000</v>
      </c>
      <c r="J434" s="162">
        <f t="shared" si="11"/>
        <v>2208707316</v>
      </c>
      <c r="K434" s="362"/>
    </row>
    <row r="435" spans="1:11" s="142" customFormat="1" ht="19.5" customHeight="1">
      <c r="A435" s="142">
        <f t="shared" si="12"/>
        <v>8</v>
      </c>
      <c r="B435" s="157">
        <v>41499</v>
      </c>
      <c r="C435" s="158" t="s">
        <v>145</v>
      </c>
      <c r="D435" s="157">
        <v>41499</v>
      </c>
      <c r="E435" s="159" t="s">
        <v>617</v>
      </c>
      <c r="F435" s="159"/>
      <c r="G435" s="160" t="s">
        <v>34</v>
      </c>
      <c r="H435" s="161"/>
      <c r="I435" s="161">
        <v>85000000</v>
      </c>
      <c r="J435" s="162">
        <f t="shared" si="11"/>
        <v>2123707316</v>
      </c>
      <c r="K435" s="162"/>
    </row>
    <row r="436" spans="1:11" s="142" customFormat="1" ht="19.5" customHeight="1">
      <c r="A436" s="142">
        <f t="shared" si="12"/>
        <v>8</v>
      </c>
      <c r="B436" s="157">
        <v>41499</v>
      </c>
      <c r="C436" s="158" t="s">
        <v>484</v>
      </c>
      <c r="D436" s="157">
        <v>41499</v>
      </c>
      <c r="E436" s="159" t="s">
        <v>269</v>
      </c>
      <c r="F436" s="159"/>
      <c r="G436" s="160" t="s">
        <v>144</v>
      </c>
      <c r="H436" s="161"/>
      <c r="I436" s="161">
        <v>2000000000</v>
      </c>
      <c r="J436" s="162">
        <f t="shared" si="11"/>
        <v>123707316</v>
      </c>
      <c r="K436" s="162"/>
    </row>
    <row r="437" spans="1:11" s="142" customFormat="1" ht="19.5" customHeight="1">
      <c r="A437" s="142">
        <f t="shared" si="12"/>
        <v>8</v>
      </c>
      <c r="B437" s="157">
        <v>41502</v>
      </c>
      <c r="C437" s="158" t="s">
        <v>145</v>
      </c>
      <c r="D437" s="157">
        <v>41502</v>
      </c>
      <c r="E437" s="159" t="s">
        <v>617</v>
      </c>
      <c r="F437" s="159"/>
      <c r="G437" s="160" t="s">
        <v>34</v>
      </c>
      <c r="H437" s="161"/>
      <c r="I437" s="161">
        <v>20000000</v>
      </c>
      <c r="J437" s="162">
        <f t="shared" si="11"/>
        <v>103707316</v>
      </c>
      <c r="K437" s="162"/>
    </row>
    <row r="438" spans="1:11" s="142" customFormat="1" ht="19.5" customHeight="1">
      <c r="A438" s="142">
        <f t="shared" si="12"/>
        <v>8</v>
      </c>
      <c r="B438" s="157">
        <v>41503</v>
      </c>
      <c r="C438" s="158" t="s">
        <v>145</v>
      </c>
      <c r="D438" s="157">
        <v>41503</v>
      </c>
      <c r="E438" s="159" t="s">
        <v>239</v>
      </c>
      <c r="F438" s="159"/>
      <c r="G438" s="160" t="s">
        <v>192</v>
      </c>
      <c r="H438" s="161"/>
      <c r="I438" s="161">
        <v>755109</v>
      </c>
      <c r="J438" s="162">
        <f t="shared" si="11"/>
        <v>102952207</v>
      </c>
      <c r="K438" s="162"/>
    </row>
    <row r="439" spans="1:11" s="142" customFormat="1" ht="19.5" customHeight="1">
      <c r="A439" s="142">
        <f t="shared" si="12"/>
        <v>8</v>
      </c>
      <c r="B439" s="157">
        <v>41503</v>
      </c>
      <c r="C439" s="158" t="s">
        <v>145</v>
      </c>
      <c r="D439" s="157">
        <v>41503</v>
      </c>
      <c r="E439" s="159" t="s">
        <v>240</v>
      </c>
      <c r="F439" s="159"/>
      <c r="G439" s="160" t="s">
        <v>35</v>
      </c>
      <c r="H439" s="161"/>
      <c r="I439" s="161">
        <v>75511</v>
      </c>
      <c r="J439" s="162">
        <f t="shared" si="11"/>
        <v>102876696</v>
      </c>
      <c r="K439" s="162"/>
    </row>
    <row r="440" spans="1:11" s="142" customFormat="1" ht="19.5" customHeight="1">
      <c r="A440" s="142">
        <f t="shared" si="12"/>
        <v>8</v>
      </c>
      <c r="B440" s="157">
        <v>41503</v>
      </c>
      <c r="C440" s="158" t="s">
        <v>145</v>
      </c>
      <c r="D440" s="157">
        <v>41503</v>
      </c>
      <c r="E440" s="159" t="s">
        <v>239</v>
      </c>
      <c r="F440" s="159"/>
      <c r="G440" s="160" t="s">
        <v>192</v>
      </c>
      <c r="H440" s="161"/>
      <c r="I440" s="161">
        <v>583572</v>
      </c>
      <c r="J440" s="162">
        <f t="shared" si="11"/>
        <v>102293124</v>
      </c>
      <c r="K440" s="162"/>
    </row>
    <row r="441" spans="1:11" s="142" customFormat="1" ht="19.5" customHeight="1">
      <c r="A441" s="142">
        <f t="shared" si="12"/>
        <v>8</v>
      </c>
      <c r="B441" s="157">
        <v>41503</v>
      </c>
      <c r="C441" s="158" t="s">
        <v>145</v>
      </c>
      <c r="D441" s="157">
        <v>41503</v>
      </c>
      <c r="E441" s="159" t="s">
        <v>240</v>
      </c>
      <c r="F441" s="159"/>
      <c r="G441" s="160" t="s">
        <v>35</v>
      </c>
      <c r="H441" s="161"/>
      <c r="I441" s="161">
        <v>58357</v>
      </c>
      <c r="J441" s="162">
        <f t="shared" si="11"/>
        <v>102234767</v>
      </c>
      <c r="K441" s="162"/>
    </row>
    <row r="442" spans="1:11" s="142" customFormat="1" ht="19.5" customHeight="1">
      <c r="A442" s="142">
        <f t="shared" si="12"/>
        <v>8</v>
      </c>
      <c r="B442" s="157">
        <v>41503</v>
      </c>
      <c r="C442" s="158" t="s">
        <v>145</v>
      </c>
      <c r="D442" s="157">
        <v>41503</v>
      </c>
      <c r="E442" s="159" t="s">
        <v>249</v>
      </c>
      <c r="F442" s="159"/>
      <c r="G442" s="160" t="s">
        <v>192</v>
      </c>
      <c r="H442" s="161"/>
      <c r="I442" s="161">
        <v>231374</v>
      </c>
      <c r="J442" s="162">
        <f t="shared" si="11"/>
        <v>102003393</v>
      </c>
      <c r="K442" s="162"/>
    </row>
    <row r="443" spans="1:11" s="142" customFormat="1" ht="19.5" customHeight="1">
      <c r="A443" s="142">
        <f t="shared" si="12"/>
        <v>8</v>
      </c>
      <c r="B443" s="157">
        <v>41503</v>
      </c>
      <c r="C443" s="158" t="s">
        <v>145</v>
      </c>
      <c r="D443" s="157">
        <v>41503</v>
      </c>
      <c r="E443" s="159" t="s">
        <v>250</v>
      </c>
      <c r="F443" s="159"/>
      <c r="G443" s="160" t="s">
        <v>35</v>
      </c>
      <c r="H443" s="161"/>
      <c r="I443" s="161">
        <v>23137</v>
      </c>
      <c r="J443" s="162">
        <f t="shared" si="11"/>
        <v>101980256</v>
      </c>
      <c r="K443" s="162"/>
    </row>
    <row r="444" spans="1:11" s="142" customFormat="1" ht="19.5" customHeight="1">
      <c r="A444" s="142">
        <f t="shared" si="12"/>
        <v>8</v>
      </c>
      <c r="B444" s="157">
        <v>41505</v>
      </c>
      <c r="C444" s="158" t="s">
        <v>145</v>
      </c>
      <c r="D444" s="157">
        <v>41505</v>
      </c>
      <c r="E444" s="159" t="s">
        <v>629</v>
      </c>
      <c r="F444" s="159"/>
      <c r="G444" s="160" t="s">
        <v>150</v>
      </c>
      <c r="H444" s="161"/>
      <c r="I444" s="161">
        <v>11279405</v>
      </c>
      <c r="J444" s="162">
        <f t="shared" si="11"/>
        <v>90700851</v>
      </c>
      <c r="K444" s="162"/>
    </row>
    <row r="445" spans="1:11" s="142" customFormat="1" ht="19.5" customHeight="1">
      <c r="A445" s="142">
        <f t="shared" si="12"/>
        <v>8</v>
      </c>
      <c r="B445" s="157">
        <v>41505</v>
      </c>
      <c r="C445" s="158" t="s">
        <v>145</v>
      </c>
      <c r="D445" s="157">
        <v>41505</v>
      </c>
      <c r="E445" s="159" t="s">
        <v>630</v>
      </c>
      <c r="F445" s="159"/>
      <c r="G445" s="160" t="s">
        <v>150</v>
      </c>
      <c r="H445" s="161"/>
      <c r="I445" s="161">
        <v>10703402</v>
      </c>
      <c r="J445" s="162">
        <f t="shared" si="11"/>
        <v>79997449</v>
      </c>
      <c r="K445" s="162"/>
    </row>
    <row r="446" spans="1:11" s="142" customFormat="1" ht="19.5" customHeight="1">
      <c r="A446" s="142">
        <f t="shared" si="12"/>
        <v>8</v>
      </c>
      <c r="B446" s="157">
        <v>41505</v>
      </c>
      <c r="C446" s="158" t="s">
        <v>145</v>
      </c>
      <c r="D446" s="157">
        <v>41505</v>
      </c>
      <c r="E446" s="159" t="s">
        <v>631</v>
      </c>
      <c r="F446" s="159"/>
      <c r="G446" s="160" t="s">
        <v>150</v>
      </c>
      <c r="H446" s="161"/>
      <c r="I446" s="161">
        <v>14116108</v>
      </c>
      <c r="J446" s="162">
        <f t="shared" si="11"/>
        <v>65881341</v>
      </c>
      <c r="K446" s="162"/>
    </row>
    <row r="447" spans="1:11" s="142" customFormat="1" ht="19.5" customHeight="1">
      <c r="A447" s="142">
        <f t="shared" si="12"/>
        <v>8</v>
      </c>
      <c r="B447" s="157">
        <v>41505</v>
      </c>
      <c r="C447" s="158" t="s">
        <v>145</v>
      </c>
      <c r="D447" s="157">
        <v>41505</v>
      </c>
      <c r="E447" s="159" t="s">
        <v>632</v>
      </c>
      <c r="F447" s="159"/>
      <c r="G447" s="160" t="s">
        <v>150</v>
      </c>
      <c r="H447" s="161"/>
      <c r="I447" s="161">
        <v>11960425</v>
      </c>
      <c r="J447" s="162">
        <f t="shared" si="11"/>
        <v>53920916</v>
      </c>
      <c r="K447" s="162"/>
    </row>
    <row r="448" spans="1:11" s="142" customFormat="1" ht="19.5" customHeight="1">
      <c r="A448" s="142">
        <f t="shared" si="12"/>
        <v>8</v>
      </c>
      <c r="B448" s="157">
        <v>41505</v>
      </c>
      <c r="C448" s="158" t="s">
        <v>145</v>
      </c>
      <c r="D448" s="157">
        <v>41505</v>
      </c>
      <c r="E448" s="159" t="s">
        <v>633</v>
      </c>
      <c r="F448" s="159"/>
      <c r="G448" s="160" t="s">
        <v>34</v>
      </c>
      <c r="H448" s="161"/>
      <c r="I448" s="161">
        <v>29043630</v>
      </c>
      <c r="J448" s="162">
        <f t="shared" si="11"/>
        <v>24877286</v>
      </c>
      <c r="K448" s="162"/>
    </row>
    <row r="449" spans="1:11" s="142" customFormat="1" ht="19.5" customHeight="1">
      <c r="A449" s="142">
        <f t="shared" si="12"/>
        <v>8</v>
      </c>
      <c r="B449" s="157">
        <v>41505</v>
      </c>
      <c r="C449" s="158" t="s">
        <v>145</v>
      </c>
      <c r="D449" s="157">
        <v>41505</v>
      </c>
      <c r="E449" s="159" t="s">
        <v>187</v>
      </c>
      <c r="F449" s="159"/>
      <c r="G449" s="160" t="s">
        <v>192</v>
      </c>
      <c r="H449" s="161"/>
      <c r="I449" s="161">
        <v>20000</v>
      </c>
      <c r="J449" s="162">
        <f t="shared" si="11"/>
        <v>24857286</v>
      </c>
      <c r="K449" s="162"/>
    </row>
    <row r="450" spans="1:11" s="142" customFormat="1" ht="19.5" customHeight="1">
      <c r="A450" s="142">
        <f t="shared" si="12"/>
        <v>8</v>
      </c>
      <c r="B450" s="157">
        <v>41505</v>
      </c>
      <c r="C450" s="158" t="s">
        <v>145</v>
      </c>
      <c r="D450" s="157">
        <v>41505</v>
      </c>
      <c r="E450" s="159" t="s">
        <v>188</v>
      </c>
      <c r="F450" s="159"/>
      <c r="G450" s="160" t="s">
        <v>35</v>
      </c>
      <c r="H450" s="161"/>
      <c r="I450" s="161">
        <v>2000</v>
      </c>
      <c r="J450" s="162">
        <f t="shared" si="11"/>
        <v>24855286</v>
      </c>
      <c r="K450" s="162"/>
    </row>
    <row r="451" spans="1:11" s="142" customFormat="1" ht="19.5" customHeight="1">
      <c r="A451" s="142">
        <f t="shared" si="12"/>
        <v>8</v>
      </c>
      <c r="B451" s="157">
        <v>41508</v>
      </c>
      <c r="C451" s="158" t="s">
        <v>145</v>
      </c>
      <c r="D451" s="157">
        <v>41508</v>
      </c>
      <c r="E451" s="159" t="s">
        <v>248</v>
      </c>
      <c r="F451" s="159"/>
      <c r="G451" s="160" t="s">
        <v>147</v>
      </c>
      <c r="H451" s="161">
        <v>169120000</v>
      </c>
      <c r="I451" s="161"/>
      <c r="J451" s="162">
        <f t="shared" si="11"/>
        <v>193975286</v>
      </c>
      <c r="K451" s="162"/>
    </row>
    <row r="452" spans="1:11" s="142" customFormat="1" ht="19.5" customHeight="1">
      <c r="A452" s="142">
        <f t="shared" si="12"/>
        <v>8</v>
      </c>
      <c r="B452" s="157">
        <v>41510</v>
      </c>
      <c r="C452" s="158" t="s">
        <v>148</v>
      </c>
      <c r="D452" s="157">
        <v>41510</v>
      </c>
      <c r="E452" s="159" t="s">
        <v>157</v>
      </c>
      <c r="F452" s="159"/>
      <c r="G452" s="160" t="s">
        <v>158</v>
      </c>
      <c r="H452" s="161">
        <v>79222</v>
      </c>
      <c r="I452" s="161"/>
      <c r="J452" s="162">
        <f t="shared" si="11"/>
        <v>194054508</v>
      </c>
      <c r="K452" s="162"/>
    </row>
    <row r="453" spans="1:11" s="142" customFormat="1" ht="19.5" customHeight="1">
      <c r="A453" s="142">
        <f t="shared" si="12"/>
        <v>8</v>
      </c>
      <c r="B453" s="157">
        <v>41513</v>
      </c>
      <c r="C453" s="158" t="s">
        <v>145</v>
      </c>
      <c r="D453" s="157">
        <v>41513</v>
      </c>
      <c r="E453" s="159" t="s">
        <v>248</v>
      </c>
      <c r="F453" s="159"/>
      <c r="G453" s="160" t="s">
        <v>147</v>
      </c>
      <c r="H453" s="161">
        <v>1163800000</v>
      </c>
      <c r="I453" s="161"/>
      <c r="J453" s="162">
        <f t="shared" si="11"/>
        <v>1357854508</v>
      </c>
      <c r="K453" s="162"/>
    </row>
    <row r="454" spans="1:11" s="142" customFormat="1" ht="19.5" customHeight="1">
      <c r="A454" s="142">
        <f t="shared" si="12"/>
        <v>8</v>
      </c>
      <c r="B454" s="157">
        <v>41513</v>
      </c>
      <c r="C454" s="158" t="s">
        <v>145</v>
      </c>
      <c r="D454" s="157">
        <v>41513</v>
      </c>
      <c r="E454" s="159" t="s">
        <v>248</v>
      </c>
      <c r="F454" s="159"/>
      <c r="G454" s="160" t="s">
        <v>147</v>
      </c>
      <c r="H454" s="161">
        <v>2044056000</v>
      </c>
      <c r="I454" s="161"/>
      <c r="J454" s="162">
        <f t="shared" si="11"/>
        <v>3401910508</v>
      </c>
      <c r="K454" s="162"/>
    </row>
    <row r="455" spans="1:11" s="142" customFormat="1" ht="19.5" customHeight="1">
      <c r="A455" s="142">
        <f t="shared" si="12"/>
        <v>8</v>
      </c>
      <c r="B455" s="157">
        <v>41513</v>
      </c>
      <c r="C455" s="158" t="s">
        <v>145</v>
      </c>
      <c r="D455" s="157">
        <v>41513</v>
      </c>
      <c r="E455" s="159" t="s">
        <v>483</v>
      </c>
      <c r="F455" s="159"/>
      <c r="G455" s="160" t="s">
        <v>56</v>
      </c>
      <c r="H455" s="161"/>
      <c r="I455" s="161">
        <v>1170000000</v>
      </c>
      <c r="J455" s="162">
        <f t="shared" si="11"/>
        <v>2231910508</v>
      </c>
      <c r="K455" s="162"/>
    </row>
    <row r="456" spans="1:11" s="142" customFormat="1" ht="19.5" customHeight="1">
      <c r="A456" s="142">
        <f t="shared" si="12"/>
        <v>8</v>
      </c>
      <c r="B456" s="157">
        <v>41514</v>
      </c>
      <c r="C456" s="158" t="s">
        <v>145</v>
      </c>
      <c r="D456" s="157">
        <v>41514</v>
      </c>
      <c r="E456" s="159" t="s">
        <v>568</v>
      </c>
      <c r="F456" s="159"/>
      <c r="G456" s="160" t="s">
        <v>34</v>
      </c>
      <c r="H456" s="161"/>
      <c r="I456" s="161">
        <v>11921449</v>
      </c>
      <c r="J456" s="162">
        <f t="shared" si="11"/>
        <v>2219989059</v>
      </c>
      <c r="K456" s="162"/>
    </row>
    <row r="457" spans="1:11" s="142" customFormat="1" ht="19.5" customHeight="1">
      <c r="A457" s="142">
        <f t="shared" si="12"/>
        <v>8</v>
      </c>
      <c r="B457" s="157">
        <v>41514</v>
      </c>
      <c r="C457" s="158" t="s">
        <v>145</v>
      </c>
      <c r="D457" s="157">
        <v>41514</v>
      </c>
      <c r="E457" s="159" t="s">
        <v>187</v>
      </c>
      <c r="F457" s="159"/>
      <c r="G457" s="160" t="s">
        <v>192</v>
      </c>
      <c r="H457" s="161"/>
      <c r="I457" s="161">
        <v>10000</v>
      </c>
      <c r="J457" s="162">
        <f t="shared" si="11"/>
        <v>2219979059</v>
      </c>
      <c r="K457" s="162"/>
    </row>
    <row r="458" spans="1:11" s="142" customFormat="1" ht="19.5" customHeight="1">
      <c r="A458" s="142">
        <f t="shared" si="12"/>
        <v>8</v>
      </c>
      <c r="B458" s="157">
        <v>41514</v>
      </c>
      <c r="C458" s="158" t="s">
        <v>145</v>
      </c>
      <c r="D458" s="157">
        <v>41514</v>
      </c>
      <c r="E458" s="159" t="s">
        <v>188</v>
      </c>
      <c r="F458" s="159"/>
      <c r="G458" s="160" t="s">
        <v>35</v>
      </c>
      <c r="H458" s="161"/>
      <c r="I458" s="161">
        <v>1000</v>
      </c>
      <c r="J458" s="162">
        <f t="shared" si="11"/>
        <v>2219978059</v>
      </c>
      <c r="K458" s="162"/>
    </row>
    <row r="459" spans="1:11" s="142" customFormat="1" ht="19.5" customHeight="1">
      <c r="A459" s="142">
        <f t="shared" si="12"/>
        <v>8</v>
      </c>
      <c r="B459" s="157">
        <v>41514</v>
      </c>
      <c r="C459" s="158" t="s">
        <v>145</v>
      </c>
      <c r="D459" s="157">
        <v>41514</v>
      </c>
      <c r="E459" s="159" t="s">
        <v>634</v>
      </c>
      <c r="F459" s="159"/>
      <c r="G459" s="160" t="s">
        <v>34</v>
      </c>
      <c r="H459" s="161"/>
      <c r="I459" s="161">
        <v>33319110</v>
      </c>
      <c r="J459" s="162">
        <f t="shared" si="11"/>
        <v>2186658949</v>
      </c>
      <c r="K459" s="162"/>
    </row>
    <row r="460" spans="1:11" s="142" customFormat="1" ht="19.5" customHeight="1">
      <c r="A460" s="142">
        <f t="shared" si="12"/>
        <v>8</v>
      </c>
      <c r="B460" s="157">
        <v>41514</v>
      </c>
      <c r="C460" s="158" t="s">
        <v>145</v>
      </c>
      <c r="D460" s="157">
        <v>41514</v>
      </c>
      <c r="E460" s="159" t="s">
        <v>187</v>
      </c>
      <c r="F460" s="159"/>
      <c r="G460" s="160" t="s">
        <v>192</v>
      </c>
      <c r="H460" s="161"/>
      <c r="I460" s="161">
        <v>20000</v>
      </c>
      <c r="J460" s="162">
        <f t="shared" si="11"/>
        <v>2186638949</v>
      </c>
      <c r="K460" s="162"/>
    </row>
    <row r="461" spans="1:11" s="142" customFormat="1" ht="19.5" customHeight="1">
      <c r="A461" s="142">
        <f t="shared" si="12"/>
        <v>8</v>
      </c>
      <c r="B461" s="157">
        <v>41514</v>
      </c>
      <c r="C461" s="158" t="s">
        <v>145</v>
      </c>
      <c r="D461" s="157">
        <v>41514</v>
      </c>
      <c r="E461" s="159" t="s">
        <v>188</v>
      </c>
      <c r="F461" s="159"/>
      <c r="G461" s="160" t="s">
        <v>35</v>
      </c>
      <c r="H461" s="161"/>
      <c r="I461" s="161">
        <v>2000</v>
      </c>
      <c r="J461" s="162">
        <f t="shared" si="11"/>
        <v>2186636949</v>
      </c>
      <c r="K461" s="162"/>
    </row>
    <row r="462" spans="1:11" s="142" customFormat="1" ht="19.5" customHeight="1">
      <c r="A462" s="142">
        <f t="shared" si="12"/>
        <v>8</v>
      </c>
      <c r="B462" s="157">
        <v>41514</v>
      </c>
      <c r="C462" s="158" t="s">
        <v>145</v>
      </c>
      <c r="D462" s="157">
        <v>41514</v>
      </c>
      <c r="E462" s="159" t="s">
        <v>569</v>
      </c>
      <c r="F462" s="159"/>
      <c r="G462" s="160" t="s">
        <v>34</v>
      </c>
      <c r="H462" s="161"/>
      <c r="I462" s="161">
        <v>74047442</v>
      </c>
      <c r="J462" s="162">
        <f t="shared" si="11"/>
        <v>2112589507</v>
      </c>
      <c r="K462" s="162"/>
    </row>
    <row r="463" spans="1:11" s="142" customFormat="1" ht="19.5" customHeight="1">
      <c r="A463" s="142">
        <f t="shared" si="12"/>
        <v>8</v>
      </c>
      <c r="B463" s="157">
        <v>41514</v>
      </c>
      <c r="C463" s="158" t="s">
        <v>145</v>
      </c>
      <c r="D463" s="157">
        <v>41514</v>
      </c>
      <c r="E463" s="159" t="s">
        <v>187</v>
      </c>
      <c r="F463" s="159"/>
      <c r="G463" s="160" t="s">
        <v>192</v>
      </c>
      <c r="H463" s="161"/>
      <c r="I463" s="161">
        <v>37024</v>
      </c>
      <c r="J463" s="162">
        <f t="shared" ref="J463:J526" si="13">IF(B463&lt;&gt;"",J462+H463-I463,0)</f>
        <v>2112552483</v>
      </c>
      <c r="K463" s="162"/>
    </row>
    <row r="464" spans="1:11" s="142" customFormat="1" ht="19.5" customHeight="1">
      <c r="A464" s="142">
        <f t="shared" si="12"/>
        <v>8</v>
      </c>
      <c r="B464" s="157">
        <v>41514</v>
      </c>
      <c r="C464" s="158" t="s">
        <v>145</v>
      </c>
      <c r="D464" s="157">
        <v>41514</v>
      </c>
      <c r="E464" s="159" t="s">
        <v>188</v>
      </c>
      <c r="F464" s="159"/>
      <c r="G464" s="160" t="s">
        <v>35</v>
      </c>
      <c r="H464" s="161"/>
      <c r="I464" s="161">
        <v>3702</v>
      </c>
      <c r="J464" s="162">
        <f t="shared" si="13"/>
        <v>2112548781</v>
      </c>
      <c r="K464" s="162"/>
    </row>
    <row r="465" spans="1:11" s="142" customFormat="1" ht="19.5" customHeight="1">
      <c r="A465" s="142">
        <f t="shared" si="12"/>
        <v>8</v>
      </c>
      <c r="B465" s="157">
        <v>41514</v>
      </c>
      <c r="C465" s="158" t="s">
        <v>484</v>
      </c>
      <c r="D465" s="157">
        <v>41514</v>
      </c>
      <c r="E465" s="159" t="s">
        <v>269</v>
      </c>
      <c r="F465" s="159"/>
      <c r="G465" s="160" t="s">
        <v>144</v>
      </c>
      <c r="H465" s="161"/>
      <c r="I465" s="161">
        <v>2000000000</v>
      </c>
      <c r="J465" s="162">
        <f t="shared" si="13"/>
        <v>112548781</v>
      </c>
      <c r="K465" s="162"/>
    </row>
    <row r="466" spans="1:11" s="142" customFormat="1" ht="19.5" customHeight="1">
      <c r="A466" s="142">
        <f t="shared" si="12"/>
        <v>8</v>
      </c>
      <c r="B466" s="157">
        <v>41515</v>
      </c>
      <c r="C466" s="158" t="s">
        <v>484</v>
      </c>
      <c r="D466" s="157">
        <v>41515</v>
      </c>
      <c r="E466" s="159" t="s">
        <v>269</v>
      </c>
      <c r="F466" s="159"/>
      <c r="G466" s="160" t="s">
        <v>144</v>
      </c>
      <c r="H466" s="161"/>
      <c r="I466" s="161">
        <v>100000000</v>
      </c>
      <c r="J466" s="162">
        <f t="shared" si="13"/>
        <v>12548781</v>
      </c>
      <c r="K466" s="162"/>
    </row>
    <row r="467" spans="1:11" s="142" customFormat="1" ht="19.5" customHeight="1">
      <c r="A467" s="142">
        <f t="shared" si="12"/>
        <v>8</v>
      </c>
      <c r="B467" s="157">
        <v>41517</v>
      </c>
      <c r="C467" s="158" t="s">
        <v>145</v>
      </c>
      <c r="D467" s="157">
        <v>41517</v>
      </c>
      <c r="E467" s="159" t="s">
        <v>248</v>
      </c>
      <c r="F467" s="159"/>
      <c r="G467" s="160" t="s">
        <v>147</v>
      </c>
      <c r="H467" s="161">
        <v>672093000</v>
      </c>
      <c r="I467" s="161"/>
      <c r="J467" s="162">
        <f t="shared" si="13"/>
        <v>684641781</v>
      </c>
      <c r="K467" s="162"/>
    </row>
    <row r="468" spans="1:11" s="142" customFormat="1" ht="19.5" customHeight="1">
      <c r="A468" s="142">
        <f t="shared" si="12"/>
        <v>8</v>
      </c>
      <c r="B468" s="157">
        <v>41517</v>
      </c>
      <c r="C468" s="158" t="s">
        <v>484</v>
      </c>
      <c r="D468" s="157">
        <v>41517</v>
      </c>
      <c r="E468" s="159" t="s">
        <v>269</v>
      </c>
      <c r="F468" s="159"/>
      <c r="G468" s="160" t="s">
        <v>144</v>
      </c>
      <c r="H468" s="161"/>
      <c r="I468" s="161">
        <v>200000000</v>
      </c>
      <c r="J468" s="162">
        <f t="shared" si="13"/>
        <v>484641781</v>
      </c>
      <c r="K468" s="162"/>
    </row>
    <row r="469" spans="1:11" s="142" customFormat="1" ht="19.5" customHeight="1">
      <c r="A469" s="142">
        <f t="shared" si="12"/>
        <v>9</v>
      </c>
      <c r="B469" s="157">
        <v>41521</v>
      </c>
      <c r="C469" s="158" t="s">
        <v>486</v>
      </c>
      <c r="D469" s="157">
        <v>41521</v>
      </c>
      <c r="E469" s="159" t="s">
        <v>50</v>
      </c>
      <c r="F469" s="159"/>
      <c r="G469" s="160" t="s">
        <v>144</v>
      </c>
      <c r="H469" s="161">
        <v>480000000</v>
      </c>
      <c r="I469" s="161"/>
      <c r="J469" s="162">
        <f t="shared" si="13"/>
        <v>964641781</v>
      </c>
      <c r="K469" s="162"/>
    </row>
    <row r="470" spans="1:11" s="142" customFormat="1" ht="19.5" customHeight="1">
      <c r="A470" s="142">
        <f t="shared" si="12"/>
        <v>9</v>
      </c>
      <c r="B470" s="157">
        <v>41521</v>
      </c>
      <c r="C470" s="158" t="s">
        <v>148</v>
      </c>
      <c r="D470" s="157">
        <v>41521</v>
      </c>
      <c r="E470" s="159" t="s">
        <v>491</v>
      </c>
      <c r="F470" s="159"/>
      <c r="G470" s="160" t="s">
        <v>56</v>
      </c>
      <c r="H470" s="161">
        <v>1488000000</v>
      </c>
      <c r="I470" s="161"/>
      <c r="J470" s="162">
        <f t="shared" si="13"/>
        <v>2452641781</v>
      </c>
      <c r="K470" s="162"/>
    </row>
    <row r="471" spans="1:11" s="142" customFormat="1" ht="19.5" customHeight="1">
      <c r="A471" s="142">
        <f t="shared" si="12"/>
        <v>9</v>
      </c>
      <c r="B471" s="157">
        <v>41521</v>
      </c>
      <c r="C471" s="158" t="s">
        <v>148</v>
      </c>
      <c r="D471" s="157">
        <v>41521</v>
      </c>
      <c r="E471" s="159" t="s">
        <v>146</v>
      </c>
      <c r="F471" s="159"/>
      <c r="G471" s="160" t="s">
        <v>147</v>
      </c>
      <c r="H471" s="161"/>
      <c r="I471" s="161">
        <v>1956837500</v>
      </c>
      <c r="J471" s="162">
        <f t="shared" si="13"/>
        <v>495804281</v>
      </c>
      <c r="K471" s="162"/>
    </row>
    <row r="472" spans="1:11" s="142" customFormat="1" ht="19.5" customHeight="1">
      <c r="A472" s="142">
        <f t="shared" si="12"/>
        <v>9</v>
      </c>
      <c r="B472" s="157">
        <v>41521</v>
      </c>
      <c r="C472" s="158" t="s">
        <v>484</v>
      </c>
      <c r="D472" s="157">
        <v>41521</v>
      </c>
      <c r="E472" s="159" t="s">
        <v>269</v>
      </c>
      <c r="F472" s="159"/>
      <c r="G472" s="160" t="s">
        <v>144</v>
      </c>
      <c r="H472" s="161"/>
      <c r="I472" s="161">
        <v>480000000</v>
      </c>
      <c r="J472" s="162">
        <f t="shared" si="13"/>
        <v>15804281</v>
      </c>
      <c r="K472" s="162"/>
    </row>
    <row r="473" spans="1:11" s="142" customFormat="1" ht="19.5" customHeight="1">
      <c r="A473" s="142">
        <f t="shared" ref="A473:A536" si="14">IF(B473&lt;&gt;"",MONTH(B473),"")</f>
        <v>9</v>
      </c>
      <c r="B473" s="157">
        <v>41522</v>
      </c>
      <c r="C473" s="158" t="s">
        <v>486</v>
      </c>
      <c r="D473" s="157">
        <v>41522</v>
      </c>
      <c r="E473" s="159" t="s">
        <v>50</v>
      </c>
      <c r="F473" s="159"/>
      <c r="G473" s="160" t="s">
        <v>144</v>
      </c>
      <c r="H473" s="161">
        <v>350000000</v>
      </c>
      <c r="I473" s="161"/>
      <c r="J473" s="162">
        <f t="shared" si="13"/>
        <v>365804281</v>
      </c>
      <c r="K473" s="162"/>
    </row>
    <row r="474" spans="1:11" s="142" customFormat="1" ht="19.5" customHeight="1">
      <c r="A474" s="142">
        <f t="shared" si="14"/>
        <v>9</v>
      </c>
      <c r="B474" s="157">
        <v>41522</v>
      </c>
      <c r="C474" s="158" t="s">
        <v>145</v>
      </c>
      <c r="D474" s="157">
        <v>41522</v>
      </c>
      <c r="E474" s="159" t="s">
        <v>248</v>
      </c>
      <c r="F474" s="159"/>
      <c r="G474" s="160" t="s">
        <v>147</v>
      </c>
      <c r="H474" s="161">
        <v>2017075500</v>
      </c>
      <c r="I474" s="161"/>
      <c r="J474" s="162">
        <f t="shared" si="13"/>
        <v>2382879781</v>
      </c>
      <c r="K474" s="162"/>
    </row>
    <row r="475" spans="1:11" s="142" customFormat="1" ht="19.5" customHeight="1">
      <c r="A475" s="142">
        <f t="shared" si="14"/>
        <v>9</v>
      </c>
      <c r="B475" s="157">
        <v>41522</v>
      </c>
      <c r="C475" s="158" t="s">
        <v>145</v>
      </c>
      <c r="D475" s="157">
        <v>41522</v>
      </c>
      <c r="E475" s="159" t="s">
        <v>635</v>
      </c>
      <c r="F475" s="159"/>
      <c r="G475" s="160" t="s">
        <v>34</v>
      </c>
      <c r="H475" s="161"/>
      <c r="I475" s="161">
        <v>3980569</v>
      </c>
      <c r="J475" s="162">
        <f t="shared" si="13"/>
        <v>2378899212</v>
      </c>
      <c r="K475" s="162"/>
    </row>
    <row r="476" spans="1:11" s="142" customFormat="1" ht="19.5" customHeight="1">
      <c r="A476" s="142">
        <f t="shared" si="14"/>
        <v>9</v>
      </c>
      <c r="B476" s="157">
        <v>41522</v>
      </c>
      <c r="C476" s="158" t="s">
        <v>145</v>
      </c>
      <c r="D476" s="157">
        <v>41522</v>
      </c>
      <c r="E476" s="159" t="s">
        <v>187</v>
      </c>
      <c r="F476" s="159"/>
      <c r="G476" s="160" t="s">
        <v>192</v>
      </c>
      <c r="H476" s="161"/>
      <c r="I476" s="161">
        <v>20000</v>
      </c>
      <c r="J476" s="162">
        <f t="shared" si="13"/>
        <v>2378879212</v>
      </c>
      <c r="K476" s="162"/>
    </row>
    <row r="477" spans="1:11" s="142" customFormat="1" ht="19.5" customHeight="1">
      <c r="A477" s="142">
        <f t="shared" si="14"/>
        <v>9</v>
      </c>
      <c r="B477" s="157">
        <v>41522</v>
      </c>
      <c r="C477" s="158" t="s">
        <v>145</v>
      </c>
      <c r="D477" s="157">
        <v>41522</v>
      </c>
      <c r="E477" s="159" t="s">
        <v>188</v>
      </c>
      <c r="F477" s="159"/>
      <c r="G477" s="160" t="s">
        <v>35</v>
      </c>
      <c r="H477" s="161"/>
      <c r="I477" s="161">
        <v>2000</v>
      </c>
      <c r="J477" s="162">
        <f t="shared" si="13"/>
        <v>2378877212</v>
      </c>
      <c r="K477" s="162"/>
    </row>
    <row r="478" spans="1:11" s="142" customFormat="1" ht="19.5" customHeight="1">
      <c r="A478" s="142">
        <f t="shared" si="14"/>
        <v>9</v>
      </c>
      <c r="B478" s="157">
        <v>41522</v>
      </c>
      <c r="C478" s="158" t="s">
        <v>145</v>
      </c>
      <c r="D478" s="157">
        <v>41522</v>
      </c>
      <c r="E478" s="159" t="s">
        <v>636</v>
      </c>
      <c r="F478" s="159"/>
      <c r="G478" s="160" t="s">
        <v>34</v>
      </c>
      <c r="H478" s="161"/>
      <c r="I478" s="161">
        <v>13090000</v>
      </c>
      <c r="J478" s="162">
        <f t="shared" si="13"/>
        <v>2365787212</v>
      </c>
      <c r="K478" s="162"/>
    </row>
    <row r="479" spans="1:11" s="142" customFormat="1" ht="19.5" customHeight="1">
      <c r="A479" s="142">
        <f t="shared" si="14"/>
        <v>9</v>
      </c>
      <c r="B479" s="157">
        <v>41522</v>
      </c>
      <c r="C479" s="158" t="s">
        <v>145</v>
      </c>
      <c r="D479" s="157">
        <v>41522</v>
      </c>
      <c r="E479" s="159" t="s">
        <v>187</v>
      </c>
      <c r="F479" s="159"/>
      <c r="G479" s="160" t="s">
        <v>192</v>
      </c>
      <c r="H479" s="161"/>
      <c r="I479" s="161">
        <v>10000</v>
      </c>
      <c r="J479" s="162">
        <f t="shared" si="13"/>
        <v>2365777212</v>
      </c>
      <c r="K479" s="162"/>
    </row>
    <row r="480" spans="1:11" s="142" customFormat="1" ht="19.5" customHeight="1">
      <c r="A480" s="142">
        <f t="shared" si="14"/>
        <v>9</v>
      </c>
      <c r="B480" s="157">
        <v>41522</v>
      </c>
      <c r="C480" s="158" t="s">
        <v>145</v>
      </c>
      <c r="D480" s="157">
        <v>41522</v>
      </c>
      <c r="E480" s="159" t="s">
        <v>188</v>
      </c>
      <c r="F480" s="159"/>
      <c r="G480" s="160" t="s">
        <v>35</v>
      </c>
      <c r="H480" s="161"/>
      <c r="I480" s="161">
        <v>1000</v>
      </c>
      <c r="J480" s="162">
        <f t="shared" si="13"/>
        <v>2365776212</v>
      </c>
      <c r="K480" s="162"/>
    </row>
    <row r="481" spans="1:11" s="142" customFormat="1" ht="19.5" customHeight="1">
      <c r="A481" s="142">
        <f t="shared" si="14"/>
        <v>9</v>
      </c>
      <c r="B481" s="157">
        <v>41522</v>
      </c>
      <c r="C481" s="158" t="s">
        <v>145</v>
      </c>
      <c r="D481" s="157">
        <v>41522</v>
      </c>
      <c r="E481" s="159" t="s">
        <v>637</v>
      </c>
      <c r="F481" s="159"/>
      <c r="G481" s="160" t="s">
        <v>34</v>
      </c>
      <c r="H481" s="161"/>
      <c r="I481" s="161">
        <v>49366020</v>
      </c>
      <c r="J481" s="162">
        <f t="shared" si="13"/>
        <v>2316410192</v>
      </c>
      <c r="K481" s="162"/>
    </row>
    <row r="482" spans="1:11" s="142" customFormat="1" ht="19.5" customHeight="1">
      <c r="A482" s="142">
        <f t="shared" si="14"/>
        <v>9</v>
      </c>
      <c r="B482" s="157">
        <v>41522</v>
      </c>
      <c r="C482" s="158" t="s">
        <v>145</v>
      </c>
      <c r="D482" s="157">
        <v>41522</v>
      </c>
      <c r="E482" s="159" t="s">
        <v>187</v>
      </c>
      <c r="F482" s="159"/>
      <c r="G482" s="160" t="s">
        <v>192</v>
      </c>
      <c r="H482" s="161"/>
      <c r="I482" s="161">
        <v>24683</v>
      </c>
      <c r="J482" s="162">
        <f t="shared" si="13"/>
        <v>2316385509</v>
      </c>
      <c r="K482" s="162"/>
    </row>
    <row r="483" spans="1:11" s="142" customFormat="1" ht="19.5" customHeight="1">
      <c r="A483" s="142">
        <f t="shared" si="14"/>
        <v>9</v>
      </c>
      <c r="B483" s="157">
        <v>41522</v>
      </c>
      <c r="C483" s="158" t="s">
        <v>145</v>
      </c>
      <c r="D483" s="157">
        <v>41522</v>
      </c>
      <c r="E483" s="159" t="s">
        <v>188</v>
      </c>
      <c r="F483" s="159"/>
      <c r="G483" s="160" t="s">
        <v>35</v>
      </c>
      <c r="H483" s="161"/>
      <c r="I483" s="161">
        <v>2468</v>
      </c>
      <c r="J483" s="162">
        <f t="shared" si="13"/>
        <v>2316383041</v>
      </c>
      <c r="K483" s="162"/>
    </row>
    <row r="484" spans="1:11" s="142" customFormat="1" ht="19.5" customHeight="1">
      <c r="A484" s="142">
        <f t="shared" si="14"/>
        <v>9</v>
      </c>
      <c r="B484" s="157">
        <v>41522</v>
      </c>
      <c r="C484" s="158" t="s">
        <v>145</v>
      </c>
      <c r="D484" s="157">
        <v>41522</v>
      </c>
      <c r="E484" s="159" t="s">
        <v>478</v>
      </c>
      <c r="F484" s="159"/>
      <c r="G484" s="160" t="s">
        <v>34</v>
      </c>
      <c r="H484" s="161"/>
      <c r="I484" s="161">
        <v>50000000</v>
      </c>
      <c r="J484" s="162">
        <f t="shared" si="13"/>
        <v>2266383041</v>
      </c>
      <c r="K484" s="162"/>
    </row>
    <row r="485" spans="1:11" s="142" customFormat="1" ht="19.5" customHeight="1">
      <c r="A485" s="142">
        <f t="shared" si="14"/>
        <v>9</v>
      </c>
      <c r="B485" s="157">
        <v>41522</v>
      </c>
      <c r="C485" s="158" t="s">
        <v>145</v>
      </c>
      <c r="D485" s="157">
        <v>41522</v>
      </c>
      <c r="E485" s="159" t="s">
        <v>187</v>
      </c>
      <c r="F485" s="159"/>
      <c r="G485" s="160" t="s">
        <v>192</v>
      </c>
      <c r="H485" s="161"/>
      <c r="I485" s="161">
        <v>25000</v>
      </c>
      <c r="J485" s="162">
        <f t="shared" si="13"/>
        <v>2266358041</v>
      </c>
      <c r="K485" s="162"/>
    </row>
    <row r="486" spans="1:11" s="142" customFormat="1" ht="19.5" customHeight="1">
      <c r="A486" s="142">
        <f t="shared" si="14"/>
        <v>9</v>
      </c>
      <c r="B486" s="157">
        <v>41522</v>
      </c>
      <c r="C486" s="158" t="s">
        <v>145</v>
      </c>
      <c r="D486" s="157">
        <v>41522</v>
      </c>
      <c r="E486" s="159" t="s">
        <v>188</v>
      </c>
      <c r="F486" s="159"/>
      <c r="G486" s="160" t="s">
        <v>35</v>
      </c>
      <c r="H486" s="161"/>
      <c r="I486" s="161">
        <v>2500</v>
      </c>
      <c r="J486" s="162">
        <f t="shared" si="13"/>
        <v>2266355541</v>
      </c>
      <c r="K486" s="162"/>
    </row>
    <row r="487" spans="1:11" s="142" customFormat="1" ht="19.5" customHeight="1">
      <c r="A487" s="142">
        <f t="shared" si="14"/>
        <v>9</v>
      </c>
      <c r="B487" s="157">
        <v>41522</v>
      </c>
      <c r="C487" s="158" t="s">
        <v>145</v>
      </c>
      <c r="D487" s="157">
        <v>41522</v>
      </c>
      <c r="E487" s="159" t="s">
        <v>638</v>
      </c>
      <c r="F487" s="159"/>
      <c r="G487" s="160" t="s">
        <v>34</v>
      </c>
      <c r="H487" s="161"/>
      <c r="I487" s="161">
        <v>38500658</v>
      </c>
      <c r="J487" s="162">
        <f t="shared" si="13"/>
        <v>2227854883</v>
      </c>
      <c r="K487" s="162"/>
    </row>
    <row r="488" spans="1:11" s="142" customFormat="1" ht="19.5" customHeight="1">
      <c r="A488" s="142">
        <f t="shared" si="14"/>
        <v>9</v>
      </c>
      <c r="B488" s="157">
        <v>41522</v>
      </c>
      <c r="C488" s="158" t="s">
        <v>145</v>
      </c>
      <c r="D488" s="157">
        <v>41522</v>
      </c>
      <c r="E488" s="159" t="s">
        <v>187</v>
      </c>
      <c r="F488" s="159"/>
      <c r="G488" s="160" t="s">
        <v>192</v>
      </c>
      <c r="H488" s="161"/>
      <c r="I488" s="161">
        <v>10000</v>
      </c>
      <c r="J488" s="162">
        <f t="shared" si="13"/>
        <v>2227844883</v>
      </c>
      <c r="K488" s="162"/>
    </row>
    <row r="489" spans="1:11" s="142" customFormat="1" ht="19.5" customHeight="1">
      <c r="A489" s="142">
        <f t="shared" si="14"/>
        <v>9</v>
      </c>
      <c r="B489" s="157">
        <v>41522</v>
      </c>
      <c r="C489" s="158" t="s">
        <v>145</v>
      </c>
      <c r="D489" s="157">
        <v>41522</v>
      </c>
      <c r="E489" s="159" t="s">
        <v>188</v>
      </c>
      <c r="F489" s="159"/>
      <c r="G489" s="160" t="s">
        <v>35</v>
      </c>
      <c r="H489" s="161"/>
      <c r="I489" s="161">
        <v>1000</v>
      </c>
      <c r="J489" s="162">
        <f t="shared" si="13"/>
        <v>2227843883</v>
      </c>
      <c r="K489" s="162"/>
    </row>
    <row r="490" spans="1:11" s="142" customFormat="1" ht="19.5" customHeight="1">
      <c r="A490" s="142">
        <f t="shared" si="14"/>
        <v>9</v>
      </c>
      <c r="B490" s="157">
        <v>41522</v>
      </c>
      <c r="C490" s="158" t="s">
        <v>145</v>
      </c>
      <c r="D490" s="157">
        <v>41522</v>
      </c>
      <c r="E490" s="159" t="s">
        <v>639</v>
      </c>
      <c r="F490" s="159"/>
      <c r="G490" s="160" t="s">
        <v>34</v>
      </c>
      <c r="H490" s="161"/>
      <c r="I490" s="161">
        <v>56000000</v>
      </c>
      <c r="J490" s="162">
        <f t="shared" si="13"/>
        <v>2171843883</v>
      </c>
      <c r="K490" s="162"/>
    </row>
    <row r="491" spans="1:11" s="142" customFormat="1" ht="19.5" customHeight="1">
      <c r="A491" s="142">
        <f t="shared" si="14"/>
        <v>9</v>
      </c>
      <c r="B491" s="157">
        <v>41522</v>
      </c>
      <c r="C491" s="158" t="s">
        <v>145</v>
      </c>
      <c r="D491" s="157">
        <v>41522</v>
      </c>
      <c r="E491" s="159" t="s">
        <v>187</v>
      </c>
      <c r="F491" s="159"/>
      <c r="G491" s="160" t="s">
        <v>192</v>
      </c>
      <c r="H491" s="161"/>
      <c r="I491" s="161">
        <v>10000</v>
      </c>
      <c r="J491" s="162">
        <f t="shared" si="13"/>
        <v>2171833883</v>
      </c>
      <c r="K491" s="162"/>
    </row>
    <row r="492" spans="1:11" s="142" customFormat="1" ht="19.5" customHeight="1">
      <c r="A492" s="142">
        <f t="shared" si="14"/>
        <v>9</v>
      </c>
      <c r="B492" s="157">
        <v>41522</v>
      </c>
      <c r="C492" s="158" t="s">
        <v>145</v>
      </c>
      <c r="D492" s="157">
        <v>41522</v>
      </c>
      <c r="E492" s="159" t="s">
        <v>188</v>
      </c>
      <c r="F492" s="159"/>
      <c r="G492" s="160" t="s">
        <v>35</v>
      </c>
      <c r="H492" s="161"/>
      <c r="I492" s="161">
        <v>1000</v>
      </c>
      <c r="J492" s="162">
        <f t="shared" si="13"/>
        <v>2171832883</v>
      </c>
      <c r="K492" s="162"/>
    </row>
    <row r="493" spans="1:11" s="142" customFormat="1" ht="19.5" customHeight="1">
      <c r="A493" s="142">
        <f t="shared" si="14"/>
        <v>9</v>
      </c>
      <c r="B493" s="157">
        <v>41522</v>
      </c>
      <c r="C493" s="158" t="s">
        <v>145</v>
      </c>
      <c r="D493" s="157">
        <v>41522</v>
      </c>
      <c r="E493" s="159" t="s">
        <v>568</v>
      </c>
      <c r="F493" s="159"/>
      <c r="G493" s="160" t="s">
        <v>34</v>
      </c>
      <c r="H493" s="161"/>
      <c r="I493" s="161">
        <v>29150000</v>
      </c>
      <c r="J493" s="162">
        <f t="shared" si="13"/>
        <v>2142682883</v>
      </c>
      <c r="K493" s="162"/>
    </row>
    <row r="494" spans="1:11" s="142" customFormat="1" ht="19.5" customHeight="1">
      <c r="A494" s="142">
        <f t="shared" si="14"/>
        <v>9</v>
      </c>
      <c r="B494" s="157">
        <v>41522</v>
      </c>
      <c r="C494" s="158" t="s">
        <v>145</v>
      </c>
      <c r="D494" s="157">
        <v>41522</v>
      </c>
      <c r="E494" s="159" t="s">
        <v>187</v>
      </c>
      <c r="F494" s="159"/>
      <c r="G494" s="160" t="s">
        <v>192</v>
      </c>
      <c r="H494" s="161"/>
      <c r="I494" s="161">
        <v>10000</v>
      </c>
      <c r="J494" s="162">
        <f t="shared" si="13"/>
        <v>2142672883</v>
      </c>
      <c r="K494" s="162"/>
    </row>
    <row r="495" spans="1:11" s="142" customFormat="1" ht="19.5" customHeight="1">
      <c r="A495" s="142">
        <f t="shared" si="14"/>
        <v>9</v>
      </c>
      <c r="B495" s="157">
        <v>41522</v>
      </c>
      <c r="C495" s="158" t="s">
        <v>145</v>
      </c>
      <c r="D495" s="157">
        <v>41522</v>
      </c>
      <c r="E495" s="159" t="s">
        <v>188</v>
      </c>
      <c r="F495" s="159"/>
      <c r="G495" s="160" t="s">
        <v>35</v>
      </c>
      <c r="H495" s="161"/>
      <c r="I495" s="161">
        <v>1000</v>
      </c>
      <c r="J495" s="162">
        <f t="shared" si="13"/>
        <v>2142671883</v>
      </c>
      <c r="K495" s="162"/>
    </row>
    <row r="496" spans="1:11" s="142" customFormat="1" ht="19.5" customHeight="1">
      <c r="A496" s="142">
        <f t="shared" si="14"/>
        <v>9</v>
      </c>
      <c r="B496" s="157">
        <v>41522</v>
      </c>
      <c r="C496" s="158" t="s">
        <v>145</v>
      </c>
      <c r="D496" s="157">
        <v>41522</v>
      </c>
      <c r="E496" s="159" t="s">
        <v>640</v>
      </c>
      <c r="F496" s="159"/>
      <c r="G496" s="160" t="s">
        <v>34</v>
      </c>
      <c r="H496" s="161"/>
      <c r="I496" s="161">
        <v>20092048</v>
      </c>
      <c r="J496" s="162">
        <f t="shared" si="13"/>
        <v>2122579835</v>
      </c>
      <c r="K496" s="162"/>
    </row>
    <row r="497" spans="1:11" s="142" customFormat="1" ht="19.5" customHeight="1">
      <c r="A497" s="142">
        <f t="shared" si="14"/>
        <v>9</v>
      </c>
      <c r="B497" s="157">
        <v>41522</v>
      </c>
      <c r="C497" s="158" t="s">
        <v>145</v>
      </c>
      <c r="D497" s="157">
        <v>41522</v>
      </c>
      <c r="E497" s="159" t="s">
        <v>187</v>
      </c>
      <c r="F497" s="159"/>
      <c r="G497" s="160" t="s">
        <v>192</v>
      </c>
      <c r="H497" s="161"/>
      <c r="I497" s="161">
        <v>10000</v>
      </c>
      <c r="J497" s="162">
        <f t="shared" si="13"/>
        <v>2122569835</v>
      </c>
      <c r="K497" s="162"/>
    </row>
    <row r="498" spans="1:11" s="142" customFormat="1" ht="19.5" customHeight="1">
      <c r="A498" s="142">
        <f t="shared" si="14"/>
        <v>9</v>
      </c>
      <c r="B498" s="157">
        <v>41522</v>
      </c>
      <c r="C498" s="158" t="s">
        <v>145</v>
      </c>
      <c r="D498" s="157">
        <v>41522</v>
      </c>
      <c r="E498" s="159" t="s">
        <v>188</v>
      </c>
      <c r="F498" s="159"/>
      <c r="G498" s="160" t="s">
        <v>35</v>
      </c>
      <c r="H498" s="161"/>
      <c r="I498" s="161">
        <v>1000</v>
      </c>
      <c r="J498" s="162">
        <f t="shared" si="13"/>
        <v>2122568835</v>
      </c>
      <c r="K498" s="162"/>
    </row>
    <row r="499" spans="1:11" s="142" customFormat="1" ht="19.5" customHeight="1">
      <c r="A499" s="142">
        <f t="shared" si="14"/>
        <v>9</v>
      </c>
      <c r="B499" s="157">
        <v>41522</v>
      </c>
      <c r="C499" s="158" t="s">
        <v>145</v>
      </c>
      <c r="D499" s="157">
        <v>41522</v>
      </c>
      <c r="E499" s="159" t="s">
        <v>641</v>
      </c>
      <c r="F499" s="159"/>
      <c r="G499" s="160" t="s">
        <v>181</v>
      </c>
      <c r="H499" s="161"/>
      <c r="I499" s="161">
        <v>2091815</v>
      </c>
      <c r="J499" s="162">
        <f t="shared" si="13"/>
        <v>2120477020</v>
      </c>
      <c r="K499" s="162"/>
    </row>
    <row r="500" spans="1:11" s="142" customFormat="1" ht="19.5" customHeight="1">
      <c r="A500" s="142">
        <f t="shared" si="14"/>
        <v>9</v>
      </c>
      <c r="B500" s="157">
        <v>41522</v>
      </c>
      <c r="C500" s="158" t="s">
        <v>145</v>
      </c>
      <c r="D500" s="157">
        <v>41522</v>
      </c>
      <c r="E500" s="159" t="s">
        <v>187</v>
      </c>
      <c r="F500" s="159"/>
      <c r="G500" s="160" t="s">
        <v>192</v>
      </c>
      <c r="H500" s="161"/>
      <c r="I500" s="161">
        <v>20000</v>
      </c>
      <c r="J500" s="162">
        <f t="shared" si="13"/>
        <v>2120457020</v>
      </c>
      <c r="K500" s="162"/>
    </row>
    <row r="501" spans="1:11" s="142" customFormat="1" ht="19.5" customHeight="1">
      <c r="A501" s="142">
        <f t="shared" si="14"/>
        <v>9</v>
      </c>
      <c r="B501" s="157">
        <v>41522</v>
      </c>
      <c r="C501" s="158" t="s">
        <v>145</v>
      </c>
      <c r="D501" s="157">
        <v>41522</v>
      </c>
      <c r="E501" s="159" t="s">
        <v>188</v>
      </c>
      <c r="F501" s="159"/>
      <c r="G501" s="160" t="s">
        <v>35</v>
      </c>
      <c r="H501" s="161"/>
      <c r="I501" s="161">
        <v>2000</v>
      </c>
      <c r="J501" s="162">
        <f t="shared" si="13"/>
        <v>2120455020</v>
      </c>
      <c r="K501" s="162"/>
    </row>
    <row r="502" spans="1:11" s="142" customFormat="1" ht="19.5" customHeight="1">
      <c r="A502" s="142">
        <f t="shared" si="14"/>
        <v>9</v>
      </c>
      <c r="B502" s="157">
        <v>41522</v>
      </c>
      <c r="C502" s="158" t="s">
        <v>145</v>
      </c>
      <c r="D502" s="157">
        <v>41522</v>
      </c>
      <c r="E502" s="159" t="s">
        <v>642</v>
      </c>
      <c r="F502" s="159"/>
      <c r="G502" s="160" t="s">
        <v>183</v>
      </c>
      <c r="H502" s="161"/>
      <c r="I502" s="161">
        <v>163190</v>
      </c>
      <c r="J502" s="162">
        <f t="shared" si="13"/>
        <v>2120291830</v>
      </c>
      <c r="K502" s="162"/>
    </row>
    <row r="503" spans="1:11" s="142" customFormat="1" ht="19.5" customHeight="1">
      <c r="A503" s="142">
        <f t="shared" si="14"/>
        <v>9</v>
      </c>
      <c r="B503" s="157">
        <v>41522</v>
      </c>
      <c r="C503" s="158" t="s">
        <v>145</v>
      </c>
      <c r="D503" s="157">
        <v>41522</v>
      </c>
      <c r="E503" s="159" t="s">
        <v>187</v>
      </c>
      <c r="F503" s="159"/>
      <c r="G503" s="160" t="s">
        <v>192</v>
      </c>
      <c r="H503" s="161"/>
      <c r="I503" s="161">
        <v>20000</v>
      </c>
      <c r="J503" s="162">
        <f t="shared" si="13"/>
        <v>2120271830</v>
      </c>
      <c r="K503" s="162"/>
    </row>
    <row r="504" spans="1:11" s="142" customFormat="1" ht="19.5" customHeight="1">
      <c r="A504" s="142">
        <f t="shared" si="14"/>
        <v>9</v>
      </c>
      <c r="B504" s="157">
        <v>41522</v>
      </c>
      <c r="C504" s="158" t="s">
        <v>145</v>
      </c>
      <c r="D504" s="157">
        <v>41522</v>
      </c>
      <c r="E504" s="159" t="s">
        <v>188</v>
      </c>
      <c r="F504" s="159"/>
      <c r="G504" s="160" t="s">
        <v>35</v>
      </c>
      <c r="H504" s="161"/>
      <c r="I504" s="161">
        <v>2000</v>
      </c>
      <c r="J504" s="162">
        <f t="shared" si="13"/>
        <v>2120269830</v>
      </c>
      <c r="K504" s="162"/>
    </row>
    <row r="505" spans="1:11" s="142" customFormat="1" ht="19.5" customHeight="1">
      <c r="A505" s="142">
        <f t="shared" si="14"/>
        <v>9</v>
      </c>
      <c r="B505" s="157">
        <v>41522</v>
      </c>
      <c r="C505" s="158" t="s">
        <v>145</v>
      </c>
      <c r="D505" s="157">
        <v>41522</v>
      </c>
      <c r="E505" s="159" t="s">
        <v>643</v>
      </c>
      <c r="F505" s="159"/>
      <c r="G505" s="160" t="s">
        <v>192</v>
      </c>
      <c r="H505" s="161"/>
      <c r="I505" s="161">
        <v>317850</v>
      </c>
      <c r="J505" s="162">
        <f t="shared" si="13"/>
        <v>2119951980</v>
      </c>
      <c r="K505" s="162"/>
    </row>
    <row r="506" spans="1:11" s="142" customFormat="1" ht="19.5" customHeight="1">
      <c r="A506" s="142">
        <f t="shared" si="14"/>
        <v>9</v>
      </c>
      <c r="B506" s="157">
        <v>41522</v>
      </c>
      <c r="C506" s="158" t="s">
        <v>145</v>
      </c>
      <c r="D506" s="157">
        <v>41522</v>
      </c>
      <c r="E506" s="159" t="s">
        <v>644</v>
      </c>
      <c r="F506" s="159"/>
      <c r="G506" s="160" t="s">
        <v>35</v>
      </c>
      <c r="H506" s="161"/>
      <c r="I506" s="161">
        <v>31785</v>
      </c>
      <c r="J506" s="162">
        <f t="shared" si="13"/>
        <v>2119920195</v>
      </c>
      <c r="K506" s="162"/>
    </row>
    <row r="507" spans="1:11" s="142" customFormat="1" ht="19.5" customHeight="1">
      <c r="A507" s="142">
        <f t="shared" si="14"/>
        <v>9</v>
      </c>
      <c r="B507" s="157">
        <v>41522</v>
      </c>
      <c r="C507" s="158" t="s">
        <v>484</v>
      </c>
      <c r="D507" s="157">
        <v>41522</v>
      </c>
      <c r="E507" s="159" t="s">
        <v>269</v>
      </c>
      <c r="F507" s="159"/>
      <c r="G507" s="160" t="s">
        <v>144</v>
      </c>
      <c r="H507" s="161"/>
      <c r="I507" s="161">
        <v>2000000000</v>
      </c>
      <c r="J507" s="162">
        <f t="shared" si="13"/>
        <v>119920195</v>
      </c>
      <c r="K507" s="162"/>
    </row>
    <row r="508" spans="1:11" s="142" customFormat="1" ht="19.5" customHeight="1">
      <c r="A508" s="142">
        <f t="shared" si="14"/>
        <v>9</v>
      </c>
      <c r="B508" s="157">
        <v>41523</v>
      </c>
      <c r="C508" s="158" t="s">
        <v>145</v>
      </c>
      <c r="D508" s="157">
        <v>41523</v>
      </c>
      <c r="E508" s="159" t="s">
        <v>248</v>
      </c>
      <c r="F508" s="159"/>
      <c r="G508" s="160" t="s">
        <v>147</v>
      </c>
      <c r="H508" s="161">
        <v>105550000</v>
      </c>
      <c r="I508" s="161"/>
      <c r="J508" s="162">
        <f t="shared" si="13"/>
        <v>225470195</v>
      </c>
      <c r="K508" s="162"/>
    </row>
    <row r="509" spans="1:11" s="142" customFormat="1" ht="19.5" customHeight="1">
      <c r="A509" s="142">
        <f t="shared" si="14"/>
        <v>9</v>
      </c>
      <c r="B509" s="157">
        <v>41523</v>
      </c>
      <c r="C509" s="158" t="s">
        <v>145</v>
      </c>
      <c r="D509" s="157">
        <v>41523</v>
      </c>
      <c r="E509" s="159" t="s">
        <v>645</v>
      </c>
      <c r="F509" s="159"/>
      <c r="G509" s="160" t="s">
        <v>150</v>
      </c>
      <c r="H509" s="161"/>
      <c r="I509" s="161">
        <v>5400679</v>
      </c>
      <c r="J509" s="162">
        <f t="shared" si="13"/>
        <v>220069516</v>
      </c>
      <c r="K509" s="162"/>
    </row>
    <row r="510" spans="1:11" s="142" customFormat="1" ht="19.5" customHeight="1">
      <c r="A510" s="142">
        <f t="shared" si="14"/>
        <v>9</v>
      </c>
      <c r="B510" s="157">
        <v>41523</v>
      </c>
      <c r="C510" s="158" t="s">
        <v>145</v>
      </c>
      <c r="D510" s="157">
        <v>41523</v>
      </c>
      <c r="E510" s="159" t="s">
        <v>646</v>
      </c>
      <c r="F510" s="159"/>
      <c r="G510" s="160" t="s">
        <v>150</v>
      </c>
      <c r="H510" s="161"/>
      <c r="I510" s="161">
        <v>17516058</v>
      </c>
      <c r="J510" s="162">
        <f t="shared" si="13"/>
        <v>202553458</v>
      </c>
      <c r="K510" s="162"/>
    </row>
    <row r="511" spans="1:11" s="142" customFormat="1" ht="19.5" customHeight="1">
      <c r="A511" s="142">
        <f t="shared" si="14"/>
        <v>9</v>
      </c>
      <c r="B511" s="157">
        <v>41523</v>
      </c>
      <c r="C511" s="158" t="s">
        <v>145</v>
      </c>
      <c r="D511" s="157">
        <v>41523</v>
      </c>
      <c r="E511" s="159" t="s">
        <v>647</v>
      </c>
      <c r="F511" s="159"/>
      <c r="G511" s="160" t="s">
        <v>150</v>
      </c>
      <c r="H511" s="161"/>
      <c r="I511" s="161">
        <v>10937904</v>
      </c>
      <c r="J511" s="162">
        <f t="shared" si="13"/>
        <v>191615554</v>
      </c>
      <c r="K511" s="162"/>
    </row>
    <row r="512" spans="1:11" s="142" customFormat="1" ht="19.5" customHeight="1">
      <c r="A512" s="142">
        <f t="shared" si="14"/>
        <v>9</v>
      </c>
      <c r="B512" s="157">
        <v>41523</v>
      </c>
      <c r="C512" s="158" t="s">
        <v>145</v>
      </c>
      <c r="D512" s="157">
        <v>41523</v>
      </c>
      <c r="E512" s="159" t="s">
        <v>648</v>
      </c>
      <c r="F512" s="159"/>
      <c r="G512" s="160" t="s">
        <v>150</v>
      </c>
      <c r="H512" s="161"/>
      <c r="I512" s="161">
        <v>15312261</v>
      </c>
      <c r="J512" s="162">
        <f t="shared" si="13"/>
        <v>176303293</v>
      </c>
      <c r="K512" s="162"/>
    </row>
    <row r="513" spans="1:11" s="142" customFormat="1" ht="19.5" customHeight="1">
      <c r="A513" s="142">
        <f t="shared" si="14"/>
        <v>9</v>
      </c>
      <c r="B513" s="157">
        <v>41524</v>
      </c>
      <c r="C513" s="158" t="s">
        <v>484</v>
      </c>
      <c r="D513" s="157">
        <v>41524</v>
      </c>
      <c r="E513" s="159" t="s">
        <v>269</v>
      </c>
      <c r="F513" s="159"/>
      <c r="G513" s="160" t="s">
        <v>144</v>
      </c>
      <c r="H513" s="161"/>
      <c r="I513" s="161">
        <v>175000000</v>
      </c>
      <c r="J513" s="162">
        <f t="shared" si="13"/>
        <v>1303293</v>
      </c>
      <c r="K513" s="162"/>
    </row>
    <row r="514" spans="1:11" s="142" customFormat="1" ht="19.5" customHeight="1">
      <c r="A514" s="142">
        <f t="shared" si="14"/>
        <v>9</v>
      </c>
      <c r="B514" s="157">
        <v>41526</v>
      </c>
      <c r="C514" s="158" t="s">
        <v>145</v>
      </c>
      <c r="D514" s="157">
        <v>41526</v>
      </c>
      <c r="E514" s="159" t="s">
        <v>649</v>
      </c>
      <c r="F514" s="159"/>
      <c r="G514" s="160" t="s">
        <v>192</v>
      </c>
      <c r="H514" s="161"/>
      <c r="I514" s="161">
        <v>6000</v>
      </c>
      <c r="J514" s="162">
        <f t="shared" si="13"/>
        <v>1297293</v>
      </c>
      <c r="K514" s="162"/>
    </row>
    <row r="515" spans="1:11" s="142" customFormat="1" ht="19.5" customHeight="1">
      <c r="A515" s="142">
        <f t="shared" si="14"/>
        <v>9</v>
      </c>
      <c r="B515" s="157">
        <v>41526</v>
      </c>
      <c r="C515" s="158" t="s">
        <v>145</v>
      </c>
      <c r="D515" s="157">
        <v>41526</v>
      </c>
      <c r="E515" s="159" t="s">
        <v>650</v>
      </c>
      <c r="F515" s="159"/>
      <c r="G515" s="160" t="s">
        <v>35</v>
      </c>
      <c r="H515" s="161"/>
      <c r="I515" s="161">
        <v>600</v>
      </c>
      <c r="J515" s="162">
        <f t="shared" si="13"/>
        <v>1296693</v>
      </c>
      <c r="K515" s="162"/>
    </row>
    <row r="516" spans="1:11" s="142" customFormat="1" ht="19.5" customHeight="1">
      <c r="A516" s="142">
        <f t="shared" si="14"/>
        <v>9</v>
      </c>
      <c r="B516" s="157">
        <v>41531</v>
      </c>
      <c r="C516" s="158" t="s">
        <v>148</v>
      </c>
      <c r="D516" s="157">
        <v>41531</v>
      </c>
      <c r="E516" s="159" t="s">
        <v>491</v>
      </c>
      <c r="F516" s="159"/>
      <c r="G516" s="160" t="s">
        <v>56</v>
      </c>
      <c r="H516" s="161">
        <v>50000000</v>
      </c>
      <c r="I516" s="161"/>
      <c r="J516" s="162">
        <f t="shared" si="13"/>
        <v>51296693</v>
      </c>
      <c r="K516" s="162"/>
    </row>
    <row r="517" spans="1:11" s="142" customFormat="1" ht="19.5" customHeight="1">
      <c r="A517" s="142">
        <f t="shared" si="14"/>
        <v>9</v>
      </c>
      <c r="B517" s="157">
        <v>41531</v>
      </c>
      <c r="C517" s="158" t="s">
        <v>148</v>
      </c>
      <c r="D517" s="157">
        <v>41531</v>
      </c>
      <c r="E517" s="159" t="s">
        <v>491</v>
      </c>
      <c r="F517" s="159"/>
      <c r="G517" s="160" t="s">
        <v>56</v>
      </c>
      <c r="H517" s="161">
        <v>250000000</v>
      </c>
      <c r="I517" s="161"/>
      <c r="J517" s="162">
        <f t="shared" si="13"/>
        <v>301296693</v>
      </c>
      <c r="K517" s="162"/>
    </row>
    <row r="518" spans="1:11" s="142" customFormat="1" ht="19.5" customHeight="1">
      <c r="A518" s="142">
        <f t="shared" si="14"/>
        <v>9</v>
      </c>
      <c r="B518" s="157">
        <v>41531</v>
      </c>
      <c r="C518" s="158" t="s">
        <v>148</v>
      </c>
      <c r="D518" s="157">
        <v>41531</v>
      </c>
      <c r="E518" s="159" t="s">
        <v>491</v>
      </c>
      <c r="F518" s="159"/>
      <c r="G518" s="160" t="s">
        <v>56</v>
      </c>
      <c r="H518" s="161">
        <v>1000000000</v>
      </c>
      <c r="I518" s="161"/>
      <c r="J518" s="162">
        <f t="shared" si="13"/>
        <v>1301296693</v>
      </c>
      <c r="K518" s="162"/>
    </row>
    <row r="519" spans="1:11" s="142" customFormat="1" ht="19.5" customHeight="1">
      <c r="A519" s="142">
        <f t="shared" si="14"/>
        <v>9</v>
      </c>
      <c r="B519" s="157">
        <v>41531</v>
      </c>
      <c r="C519" s="158" t="s">
        <v>145</v>
      </c>
      <c r="D519" s="157">
        <v>41531</v>
      </c>
      <c r="E519" s="159" t="s">
        <v>617</v>
      </c>
      <c r="F519" s="159"/>
      <c r="G519" s="160" t="s">
        <v>34</v>
      </c>
      <c r="H519" s="161"/>
      <c r="I519" s="161">
        <v>251807450</v>
      </c>
      <c r="J519" s="162">
        <f t="shared" si="13"/>
        <v>1049489243</v>
      </c>
      <c r="K519" s="162"/>
    </row>
    <row r="520" spans="1:11" s="142" customFormat="1" ht="19.5" customHeight="1">
      <c r="A520" s="142">
        <f t="shared" si="14"/>
        <v>9</v>
      </c>
      <c r="B520" s="157">
        <v>41531</v>
      </c>
      <c r="C520" s="158" t="s">
        <v>484</v>
      </c>
      <c r="D520" s="157"/>
      <c r="E520" s="159" t="s">
        <v>269</v>
      </c>
      <c r="F520" s="159"/>
      <c r="G520" s="160" t="s">
        <v>144</v>
      </c>
      <c r="H520" s="161"/>
      <c r="I520" s="161">
        <v>1000000000</v>
      </c>
      <c r="J520" s="162">
        <f t="shared" si="13"/>
        <v>49489243</v>
      </c>
      <c r="K520" s="162"/>
    </row>
    <row r="521" spans="1:11" s="142" customFormat="1" ht="19.5" customHeight="1">
      <c r="A521" s="142">
        <f t="shared" si="14"/>
        <v>9</v>
      </c>
      <c r="B521" s="157">
        <v>41535</v>
      </c>
      <c r="C521" s="158" t="s">
        <v>145</v>
      </c>
      <c r="D521" s="157">
        <v>41535</v>
      </c>
      <c r="E521" s="159" t="s">
        <v>651</v>
      </c>
      <c r="F521" s="159"/>
      <c r="G521" s="160" t="s">
        <v>150</v>
      </c>
      <c r="H521" s="161"/>
      <c r="I521" s="161">
        <v>10718598</v>
      </c>
      <c r="J521" s="162">
        <f t="shared" si="13"/>
        <v>38770645</v>
      </c>
      <c r="K521" s="162"/>
    </row>
    <row r="522" spans="1:11" s="142" customFormat="1" ht="19.5" customHeight="1">
      <c r="A522" s="142">
        <f t="shared" si="14"/>
        <v>9</v>
      </c>
      <c r="B522" s="157">
        <v>41535</v>
      </c>
      <c r="C522" s="158" t="s">
        <v>145</v>
      </c>
      <c r="D522" s="157">
        <v>41535</v>
      </c>
      <c r="E522" s="159" t="s">
        <v>652</v>
      </c>
      <c r="F522" s="159"/>
      <c r="G522" s="160" t="s">
        <v>150</v>
      </c>
      <c r="H522" s="161"/>
      <c r="I522" s="161">
        <v>10955378</v>
      </c>
      <c r="J522" s="162">
        <f t="shared" si="13"/>
        <v>27815267</v>
      </c>
      <c r="K522" s="162"/>
    </row>
    <row r="523" spans="1:11" s="142" customFormat="1" ht="19.5" customHeight="1">
      <c r="A523" s="142">
        <f t="shared" si="14"/>
        <v>9</v>
      </c>
      <c r="B523" s="157">
        <v>41535</v>
      </c>
      <c r="C523" s="158" t="s">
        <v>145</v>
      </c>
      <c r="D523" s="157">
        <v>41535</v>
      </c>
      <c r="E523" s="159" t="s">
        <v>653</v>
      </c>
      <c r="F523" s="159"/>
      <c r="G523" s="160" t="s">
        <v>150</v>
      </c>
      <c r="H523" s="161"/>
      <c r="I523" s="161">
        <v>11251618</v>
      </c>
      <c r="J523" s="162">
        <f t="shared" si="13"/>
        <v>16563649</v>
      </c>
      <c r="K523" s="162"/>
    </row>
    <row r="524" spans="1:11" s="142" customFormat="1" ht="19.5" customHeight="1">
      <c r="A524" s="142">
        <f t="shared" si="14"/>
        <v>9</v>
      </c>
      <c r="B524" s="157">
        <v>41535</v>
      </c>
      <c r="C524" s="158" t="s">
        <v>145</v>
      </c>
      <c r="D524" s="157">
        <v>41535</v>
      </c>
      <c r="E524" s="159" t="s">
        <v>654</v>
      </c>
      <c r="F524" s="159"/>
      <c r="G524" s="160" t="s">
        <v>150</v>
      </c>
      <c r="H524" s="161"/>
      <c r="I524" s="161">
        <v>13478920</v>
      </c>
      <c r="J524" s="162">
        <f t="shared" si="13"/>
        <v>3084729</v>
      </c>
      <c r="K524" s="162"/>
    </row>
    <row r="525" spans="1:11" s="142" customFormat="1" ht="19.5" customHeight="1">
      <c r="A525" s="142">
        <f t="shared" si="14"/>
        <v>9</v>
      </c>
      <c r="B525" s="157">
        <v>41535</v>
      </c>
      <c r="C525" s="158" t="s">
        <v>145</v>
      </c>
      <c r="D525" s="157">
        <v>41535</v>
      </c>
      <c r="E525" s="159" t="s">
        <v>655</v>
      </c>
      <c r="F525" s="159"/>
      <c r="G525" s="160" t="s">
        <v>192</v>
      </c>
      <c r="H525" s="161"/>
      <c r="I525" s="161">
        <v>30000</v>
      </c>
      <c r="J525" s="162">
        <f t="shared" si="13"/>
        <v>3054729</v>
      </c>
      <c r="K525" s="162"/>
    </row>
    <row r="526" spans="1:11" s="142" customFormat="1" ht="19.5" customHeight="1">
      <c r="A526" s="142">
        <f t="shared" si="14"/>
        <v>9</v>
      </c>
      <c r="B526" s="157">
        <v>41535</v>
      </c>
      <c r="C526" s="158" t="s">
        <v>145</v>
      </c>
      <c r="D526" s="157">
        <v>41535</v>
      </c>
      <c r="E526" s="159" t="s">
        <v>656</v>
      </c>
      <c r="F526" s="159"/>
      <c r="G526" s="160" t="s">
        <v>35</v>
      </c>
      <c r="H526" s="161"/>
      <c r="I526" s="161">
        <v>3000</v>
      </c>
      <c r="J526" s="162">
        <f t="shared" si="13"/>
        <v>3051729</v>
      </c>
      <c r="K526" s="162"/>
    </row>
    <row r="527" spans="1:11" s="142" customFormat="1" ht="19.5" customHeight="1">
      <c r="A527" s="142">
        <f t="shared" si="14"/>
        <v>9</v>
      </c>
      <c r="B527" s="157">
        <v>41535</v>
      </c>
      <c r="C527" s="158" t="s">
        <v>145</v>
      </c>
      <c r="D527" s="157">
        <v>41535</v>
      </c>
      <c r="E527" s="159" t="s">
        <v>655</v>
      </c>
      <c r="F527" s="159"/>
      <c r="G527" s="160" t="s">
        <v>192</v>
      </c>
      <c r="H527" s="161"/>
      <c r="I527" s="161">
        <v>30000</v>
      </c>
      <c r="J527" s="162">
        <f t="shared" ref="J527:J590" si="15">IF(B527&lt;&gt;"",J526+H527-I527,0)</f>
        <v>3021729</v>
      </c>
      <c r="K527" s="162"/>
    </row>
    <row r="528" spans="1:11" s="142" customFormat="1" ht="19.5" customHeight="1">
      <c r="A528" s="142">
        <f t="shared" si="14"/>
        <v>9</v>
      </c>
      <c r="B528" s="157">
        <v>41535</v>
      </c>
      <c r="C528" s="158" t="s">
        <v>145</v>
      </c>
      <c r="D528" s="157">
        <v>41535</v>
      </c>
      <c r="E528" s="159" t="s">
        <v>656</v>
      </c>
      <c r="F528" s="159"/>
      <c r="G528" s="160" t="s">
        <v>35</v>
      </c>
      <c r="H528" s="161"/>
      <c r="I528" s="161">
        <v>3000</v>
      </c>
      <c r="J528" s="162">
        <f t="shared" si="15"/>
        <v>3018729</v>
      </c>
      <c r="K528" s="162"/>
    </row>
    <row r="529" spans="1:11" s="142" customFormat="1" ht="19.5" customHeight="1">
      <c r="A529" s="142">
        <f t="shared" si="14"/>
        <v>9</v>
      </c>
      <c r="B529" s="157">
        <v>41535</v>
      </c>
      <c r="C529" s="158" t="s">
        <v>145</v>
      </c>
      <c r="D529" s="157">
        <v>41535</v>
      </c>
      <c r="E529" s="159" t="s">
        <v>655</v>
      </c>
      <c r="F529" s="159"/>
      <c r="G529" s="160" t="s">
        <v>192</v>
      </c>
      <c r="H529" s="161"/>
      <c r="I529" s="161">
        <v>30000</v>
      </c>
      <c r="J529" s="162">
        <f t="shared" si="15"/>
        <v>2988729</v>
      </c>
      <c r="K529" s="162"/>
    </row>
    <row r="530" spans="1:11" s="142" customFormat="1" ht="19.5" customHeight="1">
      <c r="A530" s="142">
        <f t="shared" si="14"/>
        <v>9</v>
      </c>
      <c r="B530" s="157">
        <v>41535</v>
      </c>
      <c r="C530" s="158" t="s">
        <v>145</v>
      </c>
      <c r="D530" s="157">
        <v>41535</v>
      </c>
      <c r="E530" s="159" t="s">
        <v>656</v>
      </c>
      <c r="F530" s="159"/>
      <c r="G530" s="160" t="s">
        <v>35</v>
      </c>
      <c r="H530" s="161"/>
      <c r="I530" s="161">
        <v>3000</v>
      </c>
      <c r="J530" s="162">
        <f t="shared" si="15"/>
        <v>2985729</v>
      </c>
      <c r="K530" s="162"/>
    </row>
    <row r="531" spans="1:11" s="142" customFormat="1" ht="19.5" customHeight="1">
      <c r="A531" s="142">
        <f t="shared" si="14"/>
        <v>9</v>
      </c>
      <c r="B531" s="157">
        <v>41535</v>
      </c>
      <c r="C531" s="158" t="s">
        <v>145</v>
      </c>
      <c r="D531" s="157">
        <v>41535</v>
      </c>
      <c r="E531" s="159" t="s">
        <v>655</v>
      </c>
      <c r="F531" s="159"/>
      <c r="G531" s="160" t="s">
        <v>192</v>
      </c>
      <c r="H531" s="161"/>
      <c r="I531" s="161">
        <v>30000</v>
      </c>
      <c r="J531" s="162">
        <f t="shared" si="15"/>
        <v>2955729</v>
      </c>
      <c r="K531" s="162"/>
    </row>
    <row r="532" spans="1:11" s="142" customFormat="1" ht="19.5" customHeight="1">
      <c r="A532" s="142">
        <f t="shared" si="14"/>
        <v>9</v>
      </c>
      <c r="B532" s="157">
        <v>41535</v>
      </c>
      <c r="C532" s="158" t="s">
        <v>145</v>
      </c>
      <c r="D532" s="157">
        <v>41535</v>
      </c>
      <c r="E532" s="159" t="s">
        <v>656</v>
      </c>
      <c r="F532" s="159"/>
      <c r="G532" s="160" t="s">
        <v>35</v>
      </c>
      <c r="H532" s="161"/>
      <c r="I532" s="161">
        <v>3000</v>
      </c>
      <c r="J532" s="162">
        <f t="shared" si="15"/>
        <v>2952729</v>
      </c>
      <c r="K532" s="162"/>
    </row>
    <row r="533" spans="1:11" s="142" customFormat="1" ht="19.5" customHeight="1">
      <c r="A533" s="142">
        <f t="shared" si="14"/>
        <v>9</v>
      </c>
      <c r="B533" s="157">
        <v>41535</v>
      </c>
      <c r="C533" s="158" t="s">
        <v>145</v>
      </c>
      <c r="D533" s="157">
        <v>41535</v>
      </c>
      <c r="E533" s="159" t="s">
        <v>655</v>
      </c>
      <c r="F533" s="159"/>
      <c r="G533" s="160" t="s">
        <v>192</v>
      </c>
      <c r="H533" s="161"/>
      <c r="I533" s="161">
        <v>30000</v>
      </c>
      <c r="J533" s="162">
        <f t="shared" si="15"/>
        <v>2922729</v>
      </c>
      <c r="K533" s="162"/>
    </row>
    <row r="534" spans="1:11" s="142" customFormat="1" ht="19.5" customHeight="1">
      <c r="A534" s="142">
        <f t="shared" si="14"/>
        <v>9</v>
      </c>
      <c r="B534" s="157">
        <v>41535</v>
      </c>
      <c r="C534" s="158" t="s">
        <v>145</v>
      </c>
      <c r="D534" s="157">
        <v>41535</v>
      </c>
      <c r="E534" s="159" t="s">
        <v>656</v>
      </c>
      <c r="F534" s="159"/>
      <c r="G534" s="160" t="s">
        <v>35</v>
      </c>
      <c r="H534" s="161"/>
      <c r="I534" s="161">
        <v>3000</v>
      </c>
      <c r="J534" s="162">
        <f t="shared" si="15"/>
        <v>2919729</v>
      </c>
      <c r="K534" s="162"/>
    </row>
    <row r="535" spans="1:11" s="142" customFormat="1" ht="19.5" customHeight="1">
      <c r="A535" s="142">
        <f t="shared" si="14"/>
        <v>9</v>
      </c>
      <c r="B535" s="157">
        <v>41535</v>
      </c>
      <c r="C535" s="158" t="s">
        <v>145</v>
      </c>
      <c r="D535" s="157">
        <v>41535</v>
      </c>
      <c r="E535" s="159" t="s">
        <v>655</v>
      </c>
      <c r="F535" s="159"/>
      <c r="G535" s="160" t="s">
        <v>192</v>
      </c>
      <c r="H535" s="161"/>
      <c r="I535" s="161">
        <v>30000</v>
      </c>
      <c r="J535" s="162">
        <f t="shared" si="15"/>
        <v>2889729</v>
      </c>
      <c r="K535" s="162"/>
    </row>
    <row r="536" spans="1:11" s="142" customFormat="1" ht="19.5" customHeight="1">
      <c r="A536" s="142">
        <f t="shared" si="14"/>
        <v>9</v>
      </c>
      <c r="B536" s="157">
        <v>41535</v>
      </c>
      <c r="C536" s="158" t="s">
        <v>145</v>
      </c>
      <c r="D536" s="157">
        <v>41535</v>
      </c>
      <c r="E536" s="159" t="s">
        <v>656</v>
      </c>
      <c r="F536" s="159"/>
      <c r="G536" s="160" t="s">
        <v>35</v>
      </c>
      <c r="H536" s="161"/>
      <c r="I536" s="161">
        <v>3000</v>
      </c>
      <c r="J536" s="162">
        <f t="shared" si="15"/>
        <v>2886729</v>
      </c>
      <c r="K536" s="162"/>
    </row>
    <row r="537" spans="1:11" s="142" customFormat="1" ht="19.5" customHeight="1">
      <c r="A537" s="142">
        <f t="shared" ref="A537:A600" si="16">IF(B537&lt;&gt;"",MONTH(B537),"")</f>
        <v>9</v>
      </c>
      <c r="B537" s="157">
        <v>41537</v>
      </c>
      <c r="C537" s="158" t="s">
        <v>486</v>
      </c>
      <c r="D537" s="157">
        <v>41537</v>
      </c>
      <c r="E537" s="159" t="s">
        <v>50</v>
      </c>
      <c r="F537" s="159"/>
      <c r="G537" s="160" t="s">
        <v>144</v>
      </c>
      <c r="H537" s="161">
        <v>20000000</v>
      </c>
      <c r="I537" s="161"/>
      <c r="J537" s="162">
        <f t="shared" si="15"/>
        <v>22886729</v>
      </c>
      <c r="K537" s="162"/>
    </row>
    <row r="538" spans="1:11" s="142" customFormat="1" ht="19.5" customHeight="1">
      <c r="A538" s="142">
        <f t="shared" si="16"/>
        <v>9</v>
      </c>
      <c r="B538" s="157">
        <v>41537</v>
      </c>
      <c r="C538" s="158" t="s">
        <v>145</v>
      </c>
      <c r="D538" s="157">
        <v>41537</v>
      </c>
      <c r="E538" s="159" t="s">
        <v>657</v>
      </c>
      <c r="F538" s="159"/>
      <c r="G538" s="160" t="s">
        <v>34</v>
      </c>
      <c r="H538" s="161"/>
      <c r="I538" s="161">
        <v>21434160</v>
      </c>
      <c r="J538" s="162">
        <f t="shared" si="15"/>
        <v>1452569</v>
      </c>
      <c r="K538" s="162"/>
    </row>
    <row r="539" spans="1:11" s="142" customFormat="1" ht="19.5" customHeight="1">
      <c r="A539" s="142">
        <f t="shared" si="16"/>
        <v>9</v>
      </c>
      <c r="B539" s="157">
        <v>41537</v>
      </c>
      <c r="C539" s="158" t="s">
        <v>145</v>
      </c>
      <c r="D539" s="157">
        <v>41537</v>
      </c>
      <c r="E539" s="159" t="s">
        <v>187</v>
      </c>
      <c r="F539" s="159"/>
      <c r="G539" s="160" t="s">
        <v>192</v>
      </c>
      <c r="H539" s="161"/>
      <c r="I539" s="161">
        <v>20000</v>
      </c>
      <c r="J539" s="162">
        <f t="shared" si="15"/>
        <v>1432569</v>
      </c>
      <c r="K539" s="162"/>
    </row>
    <row r="540" spans="1:11" s="142" customFormat="1" ht="19.5" customHeight="1">
      <c r="A540" s="142">
        <f t="shared" si="16"/>
        <v>9</v>
      </c>
      <c r="B540" s="157">
        <v>41537</v>
      </c>
      <c r="C540" s="158" t="s">
        <v>145</v>
      </c>
      <c r="D540" s="157">
        <v>41537</v>
      </c>
      <c r="E540" s="159" t="s">
        <v>188</v>
      </c>
      <c r="F540" s="159"/>
      <c r="G540" s="160" t="s">
        <v>35</v>
      </c>
      <c r="H540" s="161"/>
      <c r="I540" s="161">
        <v>2000</v>
      </c>
      <c r="J540" s="162">
        <f t="shared" si="15"/>
        <v>1430569</v>
      </c>
      <c r="K540" s="162"/>
    </row>
    <row r="541" spans="1:11" s="142" customFormat="1" ht="19.5" customHeight="1">
      <c r="A541" s="142">
        <f t="shared" si="16"/>
        <v>9</v>
      </c>
      <c r="B541" s="157">
        <v>41541</v>
      </c>
      <c r="C541" s="158" t="s">
        <v>148</v>
      </c>
      <c r="D541" s="157">
        <v>41541</v>
      </c>
      <c r="E541" s="159" t="s">
        <v>157</v>
      </c>
      <c r="F541" s="159"/>
      <c r="G541" s="160" t="s">
        <v>158</v>
      </c>
      <c r="H541" s="161">
        <v>72614</v>
      </c>
      <c r="I541" s="161"/>
      <c r="J541" s="162">
        <f t="shared" si="15"/>
        <v>1503183</v>
      </c>
      <c r="K541" s="162"/>
    </row>
    <row r="542" spans="1:11" s="142" customFormat="1" ht="19.5" customHeight="1">
      <c r="A542" s="142">
        <f t="shared" si="16"/>
        <v>9</v>
      </c>
      <c r="B542" s="157">
        <v>41543</v>
      </c>
      <c r="C542" s="158" t="s">
        <v>145</v>
      </c>
      <c r="D542" s="157">
        <v>41543</v>
      </c>
      <c r="E542" s="159" t="s">
        <v>248</v>
      </c>
      <c r="F542" s="159"/>
      <c r="G542" s="160" t="s">
        <v>147</v>
      </c>
      <c r="H542" s="161">
        <v>971290000</v>
      </c>
      <c r="I542" s="161"/>
      <c r="J542" s="162">
        <f t="shared" si="15"/>
        <v>972793183</v>
      </c>
      <c r="K542" s="162"/>
    </row>
    <row r="543" spans="1:11" s="142" customFormat="1" ht="19.5" customHeight="1">
      <c r="A543" s="142">
        <f t="shared" si="16"/>
        <v>9</v>
      </c>
      <c r="B543" s="157">
        <v>41543</v>
      </c>
      <c r="C543" s="158" t="s">
        <v>145</v>
      </c>
      <c r="D543" s="157">
        <v>41543</v>
      </c>
      <c r="E543" s="159" t="s">
        <v>658</v>
      </c>
      <c r="F543" s="159"/>
      <c r="G543" s="160" t="s">
        <v>34</v>
      </c>
      <c r="H543" s="161"/>
      <c r="I543" s="161">
        <v>600000</v>
      </c>
      <c r="J543" s="162">
        <f t="shared" si="15"/>
        <v>972193183</v>
      </c>
      <c r="K543" s="162"/>
    </row>
    <row r="544" spans="1:11" s="142" customFormat="1" ht="19.5" customHeight="1">
      <c r="A544" s="142">
        <f t="shared" si="16"/>
        <v>9</v>
      </c>
      <c r="B544" s="157">
        <v>41543</v>
      </c>
      <c r="C544" s="158" t="s">
        <v>145</v>
      </c>
      <c r="D544" s="157">
        <v>41543</v>
      </c>
      <c r="E544" s="159" t="s">
        <v>187</v>
      </c>
      <c r="F544" s="159"/>
      <c r="G544" s="160" t="s">
        <v>192</v>
      </c>
      <c r="H544" s="161"/>
      <c r="I544" s="161">
        <v>10000</v>
      </c>
      <c r="J544" s="162">
        <f t="shared" si="15"/>
        <v>972183183</v>
      </c>
      <c r="K544" s="162"/>
    </row>
    <row r="545" spans="1:11" s="142" customFormat="1" ht="19.5" customHeight="1">
      <c r="A545" s="142">
        <f t="shared" si="16"/>
        <v>9</v>
      </c>
      <c r="B545" s="157">
        <v>41543</v>
      </c>
      <c r="C545" s="158" t="s">
        <v>145</v>
      </c>
      <c r="D545" s="157">
        <v>41543</v>
      </c>
      <c r="E545" s="159" t="s">
        <v>188</v>
      </c>
      <c r="F545" s="159"/>
      <c r="G545" s="160" t="s">
        <v>35</v>
      </c>
      <c r="H545" s="161"/>
      <c r="I545" s="161">
        <v>1000</v>
      </c>
      <c r="J545" s="162">
        <f t="shared" si="15"/>
        <v>972182183</v>
      </c>
      <c r="K545" s="162"/>
    </row>
    <row r="546" spans="1:11" s="142" customFormat="1" ht="19.5" customHeight="1">
      <c r="A546" s="142">
        <f t="shared" si="16"/>
        <v>9</v>
      </c>
      <c r="B546" s="157">
        <v>41543</v>
      </c>
      <c r="C546" s="158" t="s">
        <v>145</v>
      </c>
      <c r="D546" s="157">
        <v>41543</v>
      </c>
      <c r="E546" s="159" t="s">
        <v>659</v>
      </c>
      <c r="F546" s="159"/>
      <c r="G546" s="160" t="s">
        <v>34</v>
      </c>
      <c r="H546" s="161"/>
      <c r="I546" s="161">
        <v>5205000</v>
      </c>
      <c r="J546" s="162">
        <f t="shared" si="15"/>
        <v>966977183</v>
      </c>
      <c r="K546" s="162"/>
    </row>
    <row r="547" spans="1:11" s="142" customFormat="1" ht="19.5" customHeight="1">
      <c r="A547" s="142">
        <f t="shared" si="16"/>
        <v>9</v>
      </c>
      <c r="B547" s="157">
        <v>41543</v>
      </c>
      <c r="C547" s="158" t="s">
        <v>145</v>
      </c>
      <c r="D547" s="157">
        <v>41543</v>
      </c>
      <c r="E547" s="159" t="s">
        <v>187</v>
      </c>
      <c r="F547" s="159"/>
      <c r="G547" s="160" t="s">
        <v>192</v>
      </c>
      <c r="H547" s="161"/>
      <c r="I547" s="161">
        <v>10000</v>
      </c>
      <c r="J547" s="162">
        <f t="shared" si="15"/>
        <v>966967183</v>
      </c>
      <c r="K547" s="162"/>
    </row>
    <row r="548" spans="1:11" s="142" customFormat="1" ht="19.5" customHeight="1">
      <c r="A548" s="142">
        <f t="shared" si="16"/>
        <v>9</v>
      </c>
      <c r="B548" s="157">
        <v>41543</v>
      </c>
      <c r="C548" s="158" t="s">
        <v>145</v>
      </c>
      <c r="D548" s="157">
        <v>41543</v>
      </c>
      <c r="E548" s="159" t="s">
        <v>188</v>
      </c>
      <c r="F548" s="159"/>
      <c r="G548" s="160" t="s">
        <v>35</v>
      </c>
      <c r="H548" s="161"/>
      <c r="I548" s="161">
        <v>1000</v>
      </c>
      <c r="J548" s="162">
        <f t="shared" si="15"/>
        <v>966966183</v>
      </c>
      <c r="K548" s="162"/>
    </row>
    <row r="549" spans="1:11" s="142" customFormat="1" ht="19.5" customHeight="1">
      <c r="A549" s="142">
        <f t="shared" si="16"/>
        <v>9</v>
      </c>
      <c r="B549" s="157">
        <v>41544</v>
      </c>
      <c r="C549" s="158" t="s">
        <v>484</v>
      </c>
      <c r="D549" s="157">
        <v>41544</v>
      </c>
      <c r="E549" s="159" t="s">
        <v>269</v>
      </c>
      <c r="F549" s="159"/>
      <c r="G549" s="160" t="s">
        <v>144</v>
      </c>
      <c r="H549" s="161"/>
      <c r="I549" s="161">
        <v>966000000</v>
      </c>
      <c r="J549" s="162">
        <f t="shared" si="15"/>
        <v>966183</v>
      </c>
      <c r="K549" s="162"/>
    </row>
    <row r="550" spans="1:11" s="142" customFormat="1" ht="19.5" customHeight="1">
      <c r="A550" s="142">
        <f t="shared" si="16"/>
        <v>10</v>
      </c>
      <c r="B550" s="157">
        <v>41548</v>
      </c>
      <c r="C550" s="158" t="s">
        <v>486</v>
      </c>
      <c r="D550" s="157">
        <v>41548</v>
      </c>
      <c r="E550" s="159" t="s">
        <v>50</v>
      </c>
      <c r="F550" s="159"/>
      <c r="G550" s="160" t="s">
        <v>144</v>
      </c>
      <c r="H550" s="161">
        <v>14000000</v>
      </c>
      <c r="I550" s="161"/>
      <c r="J550" s="162">
        <f t="shared" si="15"/>
        <v>14966183</v>
      </c>
      <c r="K550" s="162"/>
    </row>
    <row r="551" spans="1:11" s="142" customFormat="1" ht="19.5" customHeight="1">
      <c r="A551" s="142">
        <f t="shared" si="16"/>
        <v>10</v>
      </c>
      <c r="B551" s="157">
        <v>41548</v>
      </c>
      <c r="C551" s="158" t="s">
        <v>145</v>
      </c>
      <c r="D551" s="157">
        <v>41548</v>
      </c>
      <c r="E551" s="159" t="s">
        <v>248</v>
      </c>
      <c r="F551" s="159"/>
      <c r="G551" s="160" t="s">
        <v>147</v>
      </c>
      <c r="H551" s="161">
        <v>1909550000</v>
      </c>
      <c r="I551" s="161"/>
      <c r="J551" s="162">
        <f t="shared" si="15"/>
        <v>1924516183</v>
      </c>
      <c r="K551" s="162"/>
    </row>
    <row r="552" spans="1:11" s="142" customFormat="1" ht="19.5" customHeight="1">
      <c r="A552" s="142">
        <f t="shared" si="16"/>
        <v>10</v>
      </c>
      <c r="B552" s="157">
        <v>41548</v>
      </c>
      <c r="C552" s="158" t="s">
        <v>148</v>
      </c>
      <c r="D552" s="157">
        <v>41548</v>
      </c>
      <c r="E552" s="159" t="s">
        <v>660</v>
      </c>
      <c r="F552" s="159"/>
      <c r="G552" s="160" t="s">
        <v>147</v>
      </c>
      <c r="H552" s="161"/>
      <c r="I552" s="161">
        <v>8460000</v>
      </c>
      <c r="J552" s="162">
        <f t="shared" si="15"/>
        <v>1916056183</v>
      </c>
      <c r="K552" s="162"/>
    </row>
    <row r="553" spans="1:11" s="142" customFormat="1" ht="19.5" customHeight="1">
      <c r="A553" s="142">
        <f t="shared" si="16"/>
        <v>10</v>
      </c>
      <c r="B553" s="157">
        <v>41548</v>
      </c>
      <c r="C553" s="158" t="s">
        <v>145</v>
      </c>
      <c r="D553" s="157">
        <v>41548</v>
      </c>
      <c r="E553" s="159" t="s">
        <v>661</v>
      </c>
      <c r="F553" s="159"/>
      <c r="G553" s="160" t="s">
        <v>150</v>
      </c>
      <c r="H553" s="161"/>
      <c r="I553" s="161">
        <v>4492683</v>
      </c>
      <c r="J553" s="162">
        <f t="shared" si="15"/>
        <v>1911563500</v>
      </c>
      <c r="K553" s="162"/>
    </row>
    <row r="554" spans="1:11" s="142" customFormat="1" ht="19.5" customHeight="1">
      <c r="A554" s="142">
        <f t="shared" si="16"/>
        <v>10</v>
      </c>
      <c r="B554" s="157">
        <v>41549</v>
      </c>
      <c r="C554" s="158" t="s">
        <v>148</v>
      </c>
      <c r="D554" s="157">
        <v>41549</v>
      </c>
      <c r="E554" s="159" t="s">
        <v>662</v>
      </c>
      <c r="F554" s="159"/>
      <c r="G554" s="160" t="s">
        <v>56</v>
      </c>
      <c r="H554" s="161">
        <v>1700000000</v>
      </c>
      <c r="I554" s="161"/>
      <c r="J554" s="162">
        <f t="shared" si="15"/>
        <v>3611563500</v>
      </c>
      <c r="K554" s="162"/>
    </row>
    <row r="555" spans="1:11" s="142" customFormat="1" ht="19.5" customHeight="1">
      <c r="A555" s="142">
        <f t="shared" si="16"/>
        <v>10</v>
      </c>
      <c r="B555" s="157">
        <v>41549</v>
      </c>
      <c r="C555" s="158" t="s">
        <v>145</v>
      </c>
      <c r="D555" s="157">
        <v>41549</v>
      </c>
      <c r="E555" s="159" t="s">
        <v>568</v>
      </c>
      <c r="F555" s="159"/>
      <c r="G555" s="160" t="s">
        <v>34</v>
      </c>
      <c r="H555" s="161"/>
      <c r="I555" s="161">
        <v>20000000</v>
      </c>
      <c r="J555" s="162">
        <f t="shared" si="15"/>
        <v>3591563500</v>
      </c>
      <c r="K555" s="162"/>
    </row>
    <row r="556" spans="1:11" s="142" customFormat="1" ht="19.5" customHeight="1">
      <c r="A556" s="142">
        <f t="shared" si="16"/>
        <v>10</v>
      </c>
      <c r="B556" s="157">
        <v>41549</v>
      </c>
      <c r="C556" s="158" t="s">
        <v>145</v>
      </c>
      <c r="D556" s="157">
        <v>41549</v>
      </c>
      <c r="E556" s="159" t="s">
        <v>187</v>
      </c>
      <c r="F556" s="159"/>
      <c r="G556" s="160" t="s">
        <v>192</v>
      </c>
      <c r="H556" s="161"/>
      <c r="I556" s="161">
        <v>10000</v>
      </c>
      <c r="J556" s="162">
        <f t="shared" si="15"/>
        <v>3591553500</v>
      </c>
      <c r="K556" s="162"/>
    </row>
    <row r="557" spans="1:11" s="142" customFormat="1" ht="19.5" customHeight="1">
      <c r="A557" s="142">
        <f t="shared" si="16"/>
        <v>10</v>
      </c>
      <c r="B557" s="157">
        <v>41549</v>
      </c>
      <c r="C557" s="158" t="s">
        <v>145</v>
      </c>
      <c r="D557" s="157">
        <v>41549</v>
      </c>
      <c r="E557" s="159" t="s">
        <v>188</v>
      </c>
      <c r="F557" s="159"/>
      <c r="G557" s="160" t="s">
        <v>35</v>
      </c>
      <c r="H557" s="161"/>
      <c r="I557" s="161">
        <v>1000</v>
      </c>
      <c r="J557" s="162">
        <f t="shared" si="15"/>
        <v>3591552500</v>
      </c>
      <c r="K557" s="162"/>
    </row>
    <row r="558" spans="1:11" s="142" customFormat="1" ht="19.5" customHeight="1">
      <c r="A558" s="142">
        <f t="shared" si="16"/>
        <v>10</v>
      </c>
      <c r="B558" s="157">
        <v>41549</v>
      </c>
      <c r="C558" s="158" t="s">
        <v>145</v>
      </c>
      <c r="D558" s="157">
        <v>41549</v>
      </c>
      <c r="E558" s="159" t="s">
        <v>663</v>
      </c>
      <c r="F558" s="159"/>
      <c r="G558" s="160" t="s">
        <v>34</v>
      </c>
      <c r="H558" s="161"/>
      <c r="I558" s="161">
        <v>33288420</v>
      </c>
      <c r="J558" s="162">
        <f t="shared" si="15"/>
        <v>3558264080</v>
      </c>
      <c r="K558" s="162"/>
    </row>
    <row r="559" spans="1:11" s="142" customFormat="1" ht="19.5" customHeight="1">
      <c r="A559" s="142">
        <f t="shared" si="16"/>
        <v>10</v>
      </c>
      <c r="B559" s="157">
        <v>41549</v>
      </c>
      <c r="C559" s="158" t="s">
        <v>145</v>
      </c>
      <c r="D559" s="157">
        <v>41549</v>
      </c>
      <c r="E559" s="159" t="s">
        <v>187</v>
      </c>
      <c r="F559" s="159"/>
      <c r="G559" s="160" t="s">
        <v>192</v>
      </c>
      <c r="H559" s="161"/>
      <c r="I559" s="161">
        <v>20000</v>
      </c>
      <c r="J559" s="162">
        <f t="shared" si="15"/>
        <v>3558244080</v>
      </c>
      <c r="K559" s="162"/>
    </row>
    <row r="560" spans="1:11" s="142" customFormat="1" ht="19.5" customHeight="1">
      <c r="A560" s="142">
        <f t="shared" si="16"/>
        <v>10</v>
      </c>
      <c r="B560" s="157">
        <v>41549</v>
      </c>
      <c r="C560" s="158" t="s">
        <v>145</v>
      </c>
      <c r="D560" s="157">
        <v>41549</v>
      </c>
      <c r="E560" s="159" t="s">
        <v>188</v>
      </c>
      <c r="F560" s="159"/>
      <c r="G560" s="160" t="s">
        <v>35</v>
      </c>
      <c r="H560" s="161"/>
      <c r="I560" s="161">
        <v>2000</v>
      </c>
      <c r="J560" s="162">
        <f t="shared" si="15"/>
        <v>3558242080</v>
      </c>
      <c r="K560" s="162"/>
    </row>
    <row r="561" spans="1:11" s="142" customFormat="1" ht="19.5" customHeight="1">
      <c r="A561" s="142">
        <f t="shared" si="16"/>
        <v>10</v>
      </c>
      <c r="B561" s="157">
        <v>41549</v>
      </c>
      <c r="C561" s="158" t="s">
        <v>145</v>
      </c>
      <c r="D561" s="157">
        <v>41549</v>
      </c>
      <c r="E561" s="159" t="s">
        <v>478</v>
      </c>
      <c r="F561" s="159"/>
      <c r="G561" s="160" t="s">
        <v>34</v>
      </c>
      <c r="H561" s="161"/>
      <c r="I561" s="161">
        <v>50000000</v>
      </c>
      <c r="J561" s="162">
        <f t="shared" si="15"/>
        <v>3508242080</v>
      </c>
      <c r="K561" s="162"/>
    </row>
    <row r="562" spans="1:11" s="142" customFormat="1" ht="19.5" customHeight="1">
      <c r="A562" s="142">
        <f t="shared" si="16"/>
        <v>10</v>
      </c>
      <c r="B562" s="157">
        <v>41549</v>
      </c>
      <c r="C562" s="158" t="s">
        <v>145</v>
      </c>
      <c r="D562" s="157">
        <v>41549</v>
      </c>
      <c r="E562" s="159" t="s">
        <v>187</v>
      </c>
      <c r="F562" s="159"/>
      <c r="G562" s="160" t="s">
        <v>192</v>
      </c>
      <c r="H562" s="161"/>
      <c r="I562" s="161">
        <v>25000</v>
      </c>
      <c r="J562" s="162">
        <f t="shared" si="15"/>
        <v>3508217080</v>
      </c>
      <c r="K562" s="162"/>
    </row>
    <row r="563" spans="1:11" s="142" customFormat="1" ht="19.5" customHeight="1">
      <c r="A563" s="142">
        <f t="shared" si="16"/>
        <v>10</v>
      </c>
      <c r="B563" s="157">
        <v>41549</v>
      </c>
      <c r="C563" s="158" t="s">
        <v>145</v>
      </c>
      <c r="D563" s="157">
        <v>41549</v>
      </c>
      <c r="E563" s="159" t="s">
        <v>188</v>
      </c>
      <c r="F563" s="159"/>
      <c r="G563" s="160" t="s">
        <v>35</v>
      </c>
      <c r="H563" s="161"/>
      <c r="I563" s="161">
        <v>2500</v>
      </c>
      <c r="J563" s="162">
        <f t="shared" si="15"/>
        <v>3508214580</v>
      </c>
      <c r="K563" s="162"/>
    </row>
    <row r="564" spans="1:11" s="142" customFormat="1" ht="19.5" customHeight="1">
      <c r="A564" s="142">
        <f t="shared" si="16"/>
        <v>10</v>
      </c>
      <c r="B564" s="157">
        <v>41549</v>
      </c>
      <c r="C564" s="158" t="s">
        <v>145</v>
      </c>
      <c r="D564" s="157">
        <v>41549</v>
      </c>
      <c r="E564" s="159" t="s">
        <v>664</v>
      </c>
      <c r="F564" s="159"/>
      <c r="G564" s="160" t="s">
        <v>38</v>
      </c>
      <c r="H564" s="161"/>
      <c r="I564" s="161">
        <v>32880988</v>
      </c>
      <c r="J564" s="162">
        <f t="shared" si="15"/>
        <v>3475333592</v>
      </c>
      <c r="K564" s="162"/>
    </row>
    <row r="565" spans="1:11" s="142" customFormat="1" ht="19.5" customHeight="1">
      <c r="A565" s="142">
        <f t="shared" si="16"/>
        <v>10</v>
      </c>
      <c r="B565" s="157">
        <v>41549</v>
      </c>
      <c r="C565" s="158" t="s">
        <v>145</v>
      </c>
      <c r="D565" s="157">
        <v>41549</v>
      </c>
      <c r="E565" s="159" t="s">
        <v>665</v>
      </c>
      <c r="F565" s="159"/>
      <c r="G565" s="160" t="s">
        <v>156</v>
      </c>
      <c r="H565" s="161"/>
      <c r="I565" s="161">
        <v>10469425</v>
      </c>
      <c r="J565" s="162">
        <f t="shared" si="15"/>
        <v>3464864167</v>
      </c>
      <c r="K565" s="162"/>
    </row>
    <row r="566" spans="1:11" s="142" customFormat="1" ht="19.5" customHeight="1">
      <c r="A566" s="142">
        <f t="shared" si="16"/>
        <v>10</v>
      </c>
      <c r="B566" s="157">
        <v>41549</v>
      </c>
      <c r="C566" s="158" t="s">
        <v>145</v>
      </c>
      <c r="D566" s="157">
        <v>41549</v>
      </c>
      <c r="E566" s="159" t="s">
        <v>666</v>
      </c>
      <c r="F566" s="159"/>
      <c r="G566" s="160" t="s">
        <v>231</v>
      </c>
      <c r="H566" s="161"/>
      <c r="I566" s="161">
        <v>6649587</v>
      </c>
      <c r="J566" s="162">
        <f t="shared" si="15"/>
        <v>3458214580</v>
      </c>
      <c r="K566" s="162"/>
    </row>
    <row r="567" spans="1:11" s="142" customFormat="1" ht="19.5" customHeight="1">
      <c r="A567" s="142">
        <f t="shared" si="16"/>
        <v>10</v>
      </c>
      <c r="B567" s="157">
        <v>41549</v>
      </c>
      <c r="C567" s="158" t="s">
        <v>145</v>
      </c>
      <c r="D567" s="157">
        <v>41549</v>
      </c>
      <c r="E567" s="159" t="s">
        <v>187</v>
      </c>
      <c r="F567" s="159"/>
      <c r="G567" s="160" t="s">
        <v>192</v>
      </c>
      <c r="H567" s="161"/>
      <c r="I567" s="161">
        <v>25000</v>
      </c>
      <c r="J567" s="162">
        <f t="shared" si="15"/>
        <v>3458189580</v>
      </c>
      <c r="K567" s="162"/>
    </row>
    <row r="568" spans="1:11" s="142" customFormat="1" ht="19.5" customHeight="1">
      <c r="A568" s="142">
        <f t="shared" si="16"/>
        <v>10</v>
      </c>
      <c r="B568" s="157">
        <v>41549</v>
      </c>
      <c r="C568" s="158" t="s">
        <v>145</v>
      </c>
      <c r="D568" s="157">
        <v>41549</v>
      </c>
      <c r="E568" s="159" t="s">
        <v>188</v>
      </c>
      <c r="F568" s="159"/>
      <c r="G568" s="160" t="s">
        <v>35</v>
      </c>
      <c r="H568" s="161"/>
      <c r="I568" s="161">
        <v>2500</v>
      </c>
      <c r="J568" s="162">
        <f t="shared" si="15"/>
        <v>3458187080</v>
      </c>
      <c r="K568" s="162"/>
    </row>
    <row r="569" spans="1:11" s="142" customFormat="1" ht="19.5" customHeight="1">
      <c r="A569" s="142">
        <f t="shared" si="16"/>
        <v>10</v>
      </c>
      <c r="B569" s="157">
        <v>41549</v>
      </c>
      <c r="C569" s="158" t="s">
        <v>145</v>
      </c>
      <c r="D569" s="157">
        <v>41549</v>
      </c>
      <c r="E569" s="159" t="s">
        <v>617</v>
      </c>
      <c r="F569" s="159"/>
      <c r="G569" s="160" t="s">
        <v>34</v>
      </c>
      <c r="H569" s="161"/>
      <c r="I569" s="161">
        <v>56000000</v>
      </c>
      <c r="J569" s="162">
        <f t="shared" si="15"/>
        <v>3402187080</v>
      </c>
      <c r="K569" s="162"/>
    </row>
    <row r="570" spans="1:11" s="142" customFormat="1" ht="19.5" customHeight="1">
      <c r="A570" s="142">
        <f t="shared" si="16"/>
        <v>10</v>
      </c>
      <c r="B570" s="157">
        <v>41549</v>
      </c>
      <c r="C570" s="158" t="s">
        <v>484</v>
      </c>
      <c r="D570" s="157">
        <v>41549</v>
      </c>
      <c r="E570" s="159" t="s">
        <v>269</v>
      </c>
      <c r="F570" s="159"/>
      <c r="G570" s="160" t="s">
        <v>144</v>
      </c>
      <c r="H570" s="161"/>
      <c r="I570" s="161">
        <v>1700000000</v>
      </c>
      <c r="J570" s="162">
        <f t="shared" si="15"/>
        <v>1702187080</v>
      </c>
      <c r="K570" s="162"/>
    </row>
    <row r="571" spans="1:11" s="142" customFormat="1" ht="19.5" customHeight="1">
      <c r="A571" s="142">
        <f t="shared" si="16"/>
        <v>10</v>
      </c>
      <c r="B571" s="157">
        <v>41549</v>
      </c>
      <c r="C571" s="158" t="s">
        <v>484</v>
      </c>
      <c r="D571" s="157">
        <v>41549</v>
      </c>
      <c r="E571" s="159" t="s">
        <v>269</v>
      </c>
      <c r="F571" s="159"/>
      <c r="G571" s="160" t="s">
        <v>144</v>
      </c>
      <c r="H571" s="161"/>
      <c r="I571" s="161">
        <v>1700000000</v>
      </c>
      <c r="J571" s="162">
        <f t="shared" si="15"/>
        <v>2187080</v>
      </c>
      <c r="K571" s="162"/>
    </row>
    <row r="572" spans="1:11" s="142" customFormat="1" ht="19.5" customHeight="1">
      <c r="A572" s="142">
        <f t="shared" si="16"/>
        <v>10</v>
      </c>
      <c r="B572" s="157">
        <v>41558</v>
      </c>
      <c r="C572" s="158" t="s">
        <v>145</v>
      </c>
      <c r="D572" s="157">
        <v>41558</v>
      </c>
      <c r="E572" s="159" t="s">
        <v>248</v>
      </c>
      <c r="F572" s="159"/>
      <c r="G572" s="160" t="s">
        <v>147</v>
      </c>
      <c r="H572" s="161">
        <v>451219000</v>
      </c>
      <c r="I572" s="161"/>
      <c r="J572" s="162">
        <f t="shared" si="15"/>
        <v>453406080</v>
      </c>
      <c r="K572" s="162"/>
    </row>
    <row r="573" spans="1:11" s="142" customFormat="1" ht="19.5" customHeight="1">
      <c r="A573" s="142">
        <f t="shared" si="16"/>
        <v>10</v>
      </c>
      <c r="B573" s="157">
        <v>41559</v>
      </c>
      <c r="C573" s="158" t="s">
        <v>145</v>
      </c>
      <c r="D573" s="157">
        <v>41559</v>
      </c>
      <c r="E573" s="159" t="s">
        <v>667</v>
      </c>
      <c r="F573" s="159"/>
      <c r="G573" s="160" t="s">
        <v>34</v>
      </c>
      <c r="H573" s="161"/>
      <c r="I573" s="161">
        <v>2640000</v>
      </c>
      <c r="J573" s="162">
        <f t="shared" si="15"/>
        <v>450766080</v>
      </c>
      <c r="K573" s="162"/>
    </row>
    <row r="574" spans="1:11" s="142" customFormat="1" ht="19.5" customHeight="1">
      <c r="A574" s="142">
        <f t="shared" si="16"/>
        <v>10</v>
      </c>
      <c r="B574" s="157">
        <v>41559</v>
      </c>
      <c r="C574" s="158" t="s">
        <v>145</v>
      </c>
      <c r="D574" s="157">
        <v>41559</v>
      </c>
      <c r="E574" s="159" t="s">
        <v>187</v>
      </c>
      <c r="F574" s="159"/>
      <c r="G574" s="160" t="s">
        <v>192</v>
      </c>
      <c r="H574" s="161"/>
      <c r="I574" s="161">
        <v>10000</v>
      </c>
      <c r="J574" s="162">
        <f t="shared" si="15"/>
        <v>450756080</v>
      </c>
      <c r="K574" s="162"/>
    </row>
    <row r="575" spans="1:11" s="142" customFormat="1" ht="19.5" customHeight="1">
      <c r="A575" s="142">
        <f t="shared" si="16"/>
        <v>10</v>
      </c>
      <c r="B575" s="157">
        <v>41559</v>
      </c>
      <c r="C575" s="158" t="s">
        <v>145</v>
      </c>
      <c r="D575" s="157">
        <v>41559</v>
      </c>
      <c r="E575" s="159" t="s">
        <v>188</v>
      </c>
      <c r="F575" s="159"/>
      <c r="G575" s="160" t="s">
        <v>35</v>
      </c>
      <c r="H575" s="161"/>
      <c r="I575" s="161">
        <v>1000</v>
      </c>
      <c r="J575" s="162">
        <f t="shared" si="15"/>
        <v>450755080</v>
      </c>
      <c r="K575" s="162"/>
    </row>
    <row r="576" spans="1:11" s="142" customFormat="1" ht="19.5" customHeight="1">
      <c r="A576" s="142">
        <f t="shared" si="16"/>
        <v>10</v>
      </c>
      <c r="B576" s="157">
        <v>41559</v>
      </c>
      <c r="C576" s="158" t="s">
        <v>145</v>
      </c>
      <c r="D576" s="157">
        <v>41559</v>
      </c>
      <c r="E576" s="159" t="s">
        <v>667</v>
      </c>
      <c r="F576" s="159"/>
      <c r="G576" s="160" t="s">
        <v>34</v>
      </c>
      <c r="H576" s="161"/>
      <c r="I576" s="161">
        <v>180000</v>
      </c>
      <c r="J576" s="162">
        <f t="shared" si="15"/>
        <v>450575080</v>
      </c>
      <c r="K576" s="162"/>
    </row>
    <row r="577" spans="1:11" s="142" customFormat="1" ht="19.5" customHeight="1">
      <c r="A577" s="142">
        <f t="shared" si="16"/>
        <v>10</v>
      </c>
      <c r="B577" s="157">
        <v>41559</v>
      </c>
      <c r="C577" s="158" t="s">
        <v>145</v>
      </c>
      <c r="D577" s="157">
        <v>41559</v>
      </c>
      <c r="E577" s="159" t="s">
        <v>187</v>
      </c>
      <c r="F577" s="159"/>
      <c r="G577" s="160" t="s">
        <v>192</v>
      </c>
      <c r="H577" s="161"/>
      <c r="I577" s="161">
        <v>10000</v>
      </c>
      <c r="J577" s="162">
        <f t="shared" si="15"/>
        <v>450565080</v>
      </c>
      <c r="K577" s="162"/>
    </row>
    <row r="578" spans="1:11" s="142" customFormat="1" ht="19.5" customHeight="1">
      <c r="A578" s="142">
        <f t="shared" si="16"/>
        <v>10</v>
      </c>
      <c r="B578" s="157">
        <v>41559</v>
      </c>
      <c r="C578" s="158" t="s">
        <v>145</v>
      </c>
      <c r="D578" s="157">
        <v>41559</v>
      </c>
      <c r="E578" s="159" t="s">
        <v>188</v>
      </c>
      <c r="F578" s="159"/>
      <c r="G578" s="160" t="s">
        <v>35</v>
      </c>
      <c r="H578" s="161"/>
      <c r="I578" s="161">
        <v>1000</v>
      </c>
      <c r="J578" s="162">
        <f t="shared" si="15"/>
        <v>450564080</v>
      </c>
      <c r="K578" s="162"/>
    </row>
    <row r="579" spans="1:11" s="142" customFormat="1" ht="19.5" customHeight="1">
      <c r="A579" s="142">
        <f t="shared" si="16"/>
        <v>10</v>
      </c>
      <c r="B579" s="157">
        <v>41559</v>
      </c>
      <c r="C579" s="158" t="s">
        <v>145</v>
      </c>
      <c r="D579" s="157">
        <v>41559</v>
      </c>
      <c r="E579" s="159" t="s">
        <v>668</v>
      </c>
      <c r="F579" s="159"/>
      <c r="G579" s="160" t="s">
        <v>34</v>
      </c>
      <c r="H579" s="161"/>
      <c r="I579" s="161">
        <v>18301140</v>
      </c>
      <c r="J579" s="162">
        <f t="shared" si="15"/>
        <v>432262940</v>
      </c>
      <c r="K579" s="162"/>
    </row>
    <row r="580" spans="1:11" s="142" customFormat="1" ht="19.5" customHeight="1">
      <c r="A580" s="142">
        <f t="shared" si="16"/>
        <v>10</v>
      </c>
      <c r="B580" s="157">
        <v>41559</v>
      </c>
      <c r="C580" s="158" t="s">
        <v>145</v>
      </c>
      <c r="D580" s="157">
        <v>41559</v>
      </c>
      <c r="E580" s="159" t="s">
        <v>187</v>
      </c>
      <c r="F580" s="159"/>
      <c r="G580" s="160" t="s">
        <v>192</v>
      </c>
      <c r="H580" s="161"/>
      <c r="I580" s="161">
        <v>20000</v>
      </c>
      <c r="J580" s="162">
        <f t="shared" si="15"/>
        <v>432242940</v>
      </c>
      <c r="K580" s="162"/>
    </row>
    <row r="581" spans="1:11" s="142" customFormat="1" ht="19.5" customHeight="1">
      <c r="A581" s="142">
        <f t="shared" si="16"/>
        <v>10</v>
      </c>
      <c r="B581" s="157">
        <v>41559</v>
      </c>
      <c r="C581" s="158" t="s">
        <v>145</v>
      </c>
      <c r="D581" s="157">
        <v>41559</v>
      </c>
      <c r="E581" s="159" t="s">
        <v>188</v>
      </c>
      <c r="F581" s="159"/>
      <c r="G581" s="160" t="s">
        <v>35</v>
      </c>
      <c r="H581" s="161"/>
      <c r="I581" s="161">
        <v>2000</v>
      </c>
      <c r="J581" s="162">
        <f t="shared" si="15"/>
        <v>432240940</v>
      </c>
      <c r="K581" s="162"/>
    </row>
    <row r="582" spans="1:11" s="142" customFormat="1" ht="19.5" customHeight="1">
      <c r="A582" s="142">
        <f t="shared" si="16"/>
        <v>10</v>
      </c>
      <c r="B582" s="157">
        <v>41559</v>
      </c>
      <c r="C582" s="158" t="s">
        <v>484</v>
      </c>
      <c r="D582" s="157">
        <v>41559</v>
      </c>
      <c r="E582" s="159" t="s">
        <v>269</v>
      </c>
      <c r="F582" s="159"/>
      <c r="G582" s="160" t="s">
        <v>144</v>
      </c>
      <c r="H582" s="161"/>
      <c r="I582" s="161">
        <v>430000000</v>
      </c>
      <c r="J582" s="162">
        <f t="shared" si="15"/>
        <v>2240940</v>
      </c>
      <c r="K582" s="162"/>
    </row>
    <row r="583" spans="1:11" s="142" customFormat="1" ht="19.5" customHeight="1">
      <c r="A583" s="142">
        <f t="shared" si="16"/>
        <v>10</v>
      </c>
      <c r="B583" s="157">
        <v>41569</v>
      </c>
      <c r="C583" s="158" t="s">
        <v>148</v>
      </c>
      <c r="D583" s="157">
        <v>41569</v>
      </c>
      <c r="E583" s="159" t="s">
        <v>669</v>
      </c>
      <c r="F583" s="159"/>
      <c r="G583" s="160" t="s">
        <v>38</v>
      </c>
      <c r="H583" s="161">
        <v>9330400</v>
      </c>
      <c r="I583" s="161"/>
      <c r="J583" s="162">
        <f t="shared" si="15"/>
        <v>11571340</v>
      </c>
      <c r="K583" s="162"/>
    </row>
    <row r="584" spans="1:11" s="142" customFormat="1" ht="19.5" customHeight="1">
      <c r="A584" s="142">
        <f t="shared" si="16"/>
        <v>10</v>
      </c>
      <c r="B584" s="157">
        <v>41569</v>
      </c>
      <c r="C584" s="158" t="s">
        <v>145</v>
      </c>
      <c r="D584" s="157">
        <v>41569</v>
      </c>
      <c r="E584" s="159" t="s">
        <v>248</v>
      </c>
      <c r="F584" s="159"/>
      <c r="G584" s="160" t="s">
        <v>147</v>
      </c>
      <c r="H584" s="161">
        <v>94882500</v>
      </c>
      <c r="I584" s="161"/>
      <c r="J584" s="162">
        <f t="shared" si="15"/>
        <v>106453840</v>
      </c>
      <c r="K584" s="162"/>
    </row>
    <row r="585" spans="1:11" s="142" customFormat="1" ht="19.5" customHeight="1">
      <c r="A585" s="142">
        <f t="shared" si="16"/>
        <v>10</v>
      </c>
      <c r="B585" s="157">
        <v>41571</v>
      </c>
      <c r="C585" s="158" t="s">
        <v>148</v>
      </c>
      <c r="D585" s="157">
        <v>41571</v>
      </c>
      <c r="E585" s="159" t="s">
        <v>157</v>
      </c>
      <c r="F585" s="159"/>
      <c r="G585" s="160" t="s">
        <v>158</v>
      </c>
      <c r="H585" s="161">
        <v>50023</v>
      </c>
      <c r="I585" s="161"/>
      <c r="J585" s="162">
        <f t="shared" si="15"/>
        <v>106503863</v>
      </c>
      <c r="K585" s="162"/>
    </row>
    <row r="586" spans="1:11" s="142" customFormat="1" ht="19.5" customHeight="1">
      <c r="A586" s="142">
        <f t="shared" si="16"/>
        <v>10</v>
      </c>
      <c r="B586" s="157">
        <v>41571</v>
      </c>
      <c r="C586" s="158" t="s">
        <v>148</v>
      </c>
      <c r="D586" s="157">
        <v>41571</v>
      </c>
      <c r="E586" s="159" t="s">
        <v>670</v>
      </c>
      <c r="F586" s="159"/>
      <c r="G586" s="160" t="s">
        <v>36</v>
      </c>
      <c r="H586" s="161">
        <v>3114959</v>
      </c>
      <c r="I586" s="161"/>
      <c r="J586" s="162">
        <f t="shared" si="15"/>
        <v>109618822</v>
      </c>
      <c r="K586" s="162"/>
    </row>
    <row r="587" spans="1:11" s="142" customFormat="1" ht="19.5" customHeight="1">
      <c r="A587" s="142">
        <f t="shared" si="16"/>
        <v>10</v>
      </c>
      <c r="B587" s="157">
        <v>41571</v>
      </c>
      <c r="C587" s="158" t="s">
        <v>145</v>
      </c>
      <c r="D587" s="157">
        <v>41571</v>
      </c>
      <c r="E587" s="159" t="s">
        <v>671</v>
      </c>
      <c r="F587" s="159"/>
      <c r="G587" s="160" t="s">
        <v>34</v>
      </c>
      <c r="H587" s="161"/>
      <c r="I587" s="161">
        <v>20167950</v>
      </c>
      <c r="J587" s="162">
        <f t="shared" si="15"/>
        <v>89450872</v>
      </c>
      <c r="K587" s="162"/>
    </row>
    <row r="588" spans="1:11" s="142" customFormat="1" ht="19.5" customHeight="1">
      <c r="A588" s="142">
        <f t="shared" si="16"/>
        <v>10</v>
      </c>
      <c r="B588" s="157">
        <v>41571</v>
      </c>
      <c r="C588" s="158" t="s">
        <v>145</v>
      </c>
      <c r="D588" s="157">
        <v>41571</v>
      </c>
      <c r="E588" s="159" t="s">
        <v>187</v>
      </c>
      <c r="F588" s="159"/>
      <c r="G588" s="160" t="s">
        <v>192</v>
      </c>
      <c r="H588" s="161"/>
      <c r="I588" s="161">
        <v>20000</v>
      </c>
      <c r="J588" s="162">
        <f t="shared" si="15"/>
        <v>89430872</v>
      </c>
      <c r="K588" s="162"/>
    </row>
    <row r="589" spans="1:11" s="142" customFormat="1" ht="19.5" customHeight="1">
      <c r="A589" s="142">
        <f t="shared" si="16"/>
        <v>10</v>
      </c>
      <c r="B589" s="157">
        <v>41571</v>
      </c>
      <c r="C589" s="158" t="s">
        <v>145</v>
      </c>
      <c r="D589" s="157">
        <v>41571</v>
      </c>
      <c r="E589" s="159" t="s">
        <v>188</v>
      </c>
      <c r="F589" s="159"/>
      <c r="G589" s="160" t="s">
        <v>35</v>
      </c>
      <c r="H589" s="161"/>
      <c r="I589" s="161">
        <v>2000</v>
      </c>
      <c r="J589" s="162">
        <f t="shared" si="15"/>
        <v>89428872</v>
      </c>
      <c r="K589" s="162"/>
    </row>
    <row r="590" spans="1:11" s="142" customFormat="1" ht="19.5" customHeight="1">
      <c r="A590" s="142">
        <f t="shared" si="16"/>
        <v>10</v>
      </c>
      <c r="B590" s="157">
        <v>41571</v>
      </c>
      <c r="C590" s="158" t="s">
        <v>484</v>
      </c>
      <c r="D590" s="157">
        <v>41571</v>
      </c>
      <c r="E590" s="159" t="s">
        <v>269</v>
      </c>
      <c r="F590" s="159"/>
      <c r="G590" s="160" t="s">
        <v>144</v>
      </c>
      <c r="H590" s="161"/>
      <c r="I590" s="161">
        <v>80000000</v>
      </c>
      <c r="J590" s="162">
        <f t="shared" si="15"/>
        <v>9428872</v>
      </c>
      <c r="K590" s="162"/>
    </row>
    <row r="591" spans="1:11" s="142" customFormat="1" ht="19.5" customHeight="1">
      <c r="A591" s="142">
        <f t="shared" si="16"/>
        <v>10</v>
      </c>
      <c r="B591" s="157">
        <v>41572</v>
      </c>
      <c r="C591" s="158" t="s">
        <v>145</v>
      </c>
      <c r="D591" s="157">
        <v>41572</v>
      </c>
      <c r="E591" s="159" t="s">
        <v>232</v>
      </c>
      <c r="F591" s="159"/>
      <c r="G591" s="160" t="s">
        <v>192</v>
      </c>
      <c r="H591" s="161"/>
      <c r="I591" s="161">
        <v>316875</v>
      </c>
      <c r="J591" s="162">
        <f t="shared" ref="J591:J654" si="17">IF(B591&lt;&gt;"",J590+H591-I591,0)</f>
        <v>9111997</v>
      </c>
      <c r="K591" s="162"/>
    </row>
    <row r="592" spans="1:11" s="142" customFormat="1" ht="19.5" customHeight="1">
      <c r="A592" s="142">
        <f t="shared" si="16"/>
        <v>10</v>
      </c>
      <c r="B592" s="157">
        <v>41572</v>
      </c>
      <c r="C592" s="158" t="s">
        <v>145</v>
      </c>
      <c r="D592" s="157">
        <v>41572</v>
      </c>
      <c r="E592" s="159" t="s">
        <v>244</v>
      </c>
      <c r="F592" s="159"/>
      <c r="G592" s="160" t="s">
        <v>35</v>
      </c>
      <c r="H592" s="161"/>
      <c r="I592" s="161">
        <v>31688</v>
      </c>
      <c r="J592" s="162">
        <f t="shared" si="17"/>
        <v>9080309</v>
      </c>
      <c r="K592" s="162"/>
    </row>
    <row r="593" spans="1:11" s="142" customFormat="1" ht="19.5" customHeight="1">
      <c r="A593" s="142">
        <f t="shared" si="16"/>
        <v>10</v>
      </c>
      <c r="B593" s="157">
        <v>41572</v>
      </c>
      <c r="C593" s="158" t="s">
        <v>145</v>
      </c>
      <c r="D593" s="157">
        <v>41572</v>
      </c>
      <c r="E593" s="159" t="s">
        <v>672</v>
      </c>
      <c r="F593" s="159"/>
      <c r="G593" s="160" t="s">
        <v>236</v>
      </c>
      <c r="H593" s="161"/>
      <c r="I593" s="161">
        <v>1246043</v>
      </c>
      <c r="J593" s="162">
        <f t="shared" si="17"/>
        <v>7834266</v>
      </c>
      <c r="K593" s="162"/>
    </row>
    <row r="594" spans="1:11" s="142" customFormat="1" ht="19.5" customHeight="1">
      <c r="A594" s="142">
        <f t="shared" si="16"/>
        <v>10</v>
      </c>
      <c r="B594" s="157">
        <v>41572</v>
      </c>
      <c r="C594" s="158" t="s">
        <v>145</v>
      </c>
      <c r="D594" s="157">
        <v>41572</v>
      </c>
      <c r="E594" s="159" t="s">
        <v>187</v>
      </c>
      <c r="F594" s="159"/>
      <c r="G594" s="160" t="s">
        <v>192</v>
      </c>
      <c r="H594" s="161"/>
      <c r="I594" s="161">
        <v>20000</v>
      </c>
      <c r="J594" s="162">
        <f t="shared" si="17"/>
        <v>7814266</v>
      </c>
      <c r="K594" s="162"/>
    </row>
    <row r="595" spans="1:11" s="142" customFormat="1" ht="19.5" customHeight="1">
      <c r="A595" s="142">
        <f t="shared" si="16"/>
        <v>10</v>
      </c>
      <c r="B595" s="157">
        <v>41572</v>
      </c>
      <c r="C595" s="158" t="s">
        <v>145</v>
      </c>
      <c r="D595" s="157">
        <v>41572</v>
      </c>
      <c r="E595" s="159" t="s">
        <v>188</v>
      </c>
      <c r="F595" s="159"/>
      <c r="G595" s="160" t="s">
        <v>35</v>
      </c>
      <c r="H595" s="161"/>
      <c r="I595" s="161">
        <v>2000</v>
      </c>
      <c r="J595" s="162">
        <f t="shared" si="17"/>
        <v>7812266</v>
      </c>
      <c r="K595" s="162"/>
    </row>
    <row r="596" spans="1:11" s="142" customFormat="1" ht="19.5" customHeight="1">
      <c r="A596" s="142">
        <f t="shared" si="16"/>
        <v>10</v>
      </c>
      <c r="B596" s="157">
        <v>41572</v>
      </c>
      <c r="C596" s="158" t="s">
        <v>145</v>
      </c>
      <c r="D596" s="157">
        <v>41572</v>
      </c>
      <c r="E596" s="159" t="s">
        <v>673</v>
      </c>
      <c r="F596" s="159"/>
      <c r="G596" s="160" t="s">
        <v>183</v>
      </c>
      <c r="H596" s="161"/>
      <c r="I596" s="161">
        <v>131097</v>
      </c>
      <c r="J596" s="162">
        <f t="shared" si="17"/>
        <v>7681169</v>
      </c>
      <c r="K596" s="162"/>
    </row>
    <row r="597" spans="1:11" s="142" customFormat="1" ht="19.5" customHeight="1">
      <c r="A597" s="142">
        <f t="shared" si="16"/>
        <v>10</v>
      </c>
      <c r="B597" s="157">
        <v>41572</v>
      </c>
      <c r="C597" s="158" t="s">
        <v>145</v>
      </c>
      <c r="D597" s="157">
        <v>41572</v>
      </c>
      <c r="E597" s="159" t="s">
        <v>187</v>
      </c>
      <c r="F597" s="159"/>
      <c r="G597" s="160" t="s">
        <v>192</v>
      </c>
      <c r="H597" s="161"/>
      <c r="I597" s="161">
        <v>20000</v>
      </c>
      <c r="J597" s="162">
        <f t="shared" si="17"/>
        <v>7661169</v>
      </c>
      <c r="K597" s="162"/>
    </row>
    <row r="598" spans="1:11" s="142" customFormat="1" ht="19.5" customHeight="1">
      <c r="A598" s="142">
        <f t="shared" si="16"/>
        <v>10</v>
      </c>
      <c r="B598" s="157">
        <v>41572</v>
      </c>
      <c r="C598" s="158" t="s">
        <v>145</v>
      </c>
      <c r="D598" s="157">
        <v>41572</v>
      </c>
      <c r="E598" s="159" t="s">
        <v>188</v>
      </c>
      <c r="F598" s="159"/>
      <c r="G598" s="160" t="s">
        <v>35</v>
      </c>
      <c r="H598" s="161"/>
      <c r="I598" s="161">
        <v>2000</v>
      </c>
      <c r="J598" s="162">
        <f t="shared" si="17"/>
        <v>7659169</v>
      </c>
      <c r="K598" s="162"/>
    </row>
    <row r="599" spans="1:11" s="142" customFormat="1" ht="19.5" customHeight="1">
      <c r="A599" s="142">
        <f t="shared" si="16"/>
        <v>10</v>
      </c>
      <c r="B599" s="157">
        <v>41575</v>
      </c>
      <c r="C599" s="158" t="s">
        <v>145</v>
      </c>
      <c r="D599" s="157">
        <v>41575</v>
      </c>
      <c r="E599" s="159" t="s">
        <v>248</v>
      </c>
      <c r="F599" s="159"/>
      <c r="G599" s="160" t="s">
        <v>147</v>
      </c>
      <c r="H599" s="161">
        <v>716890000</v>
      </c>
      <c r="I599" s="161"/>
      <c r="J599" s="162">
        <f t="shared" si="17"/>
        <v>724549169</v>
      </c>
      <c r="K599" s="162"/>
    </row>
    <row r="600" spans="1:11" s="142" customFormat="1" ht="19.5" customHeight="1">
      <c r="A600" s="142">
        <f t="shared" si="16"/>
        <v>10</v>
      </c>
      <c r="B600" s="157">
        <v>41576</v>
      </c>
      <c r="C600" s="158" t="s">
        <v>484</v>
      </c>
      <c r="D600" s="157">
        <v>41576</v>
      </c>
      <c r="E600" s="159" t="s">
        <v>269</v>
      </c>
      <c r="F600" s="159"/>
      <c r="G600" s="160" t="s">
        <v>144</v>
      </c>
      <c r="H600" s="161"/>
      <c r="I600" s="161">
        <v>723000000</v>
      </c>
      <c r="J600" s="162">
        <f t="shared" si="17"/>
        <v>1549169</v>
      </c>
      <c r="K600" s="162"/>
    </row>
    <row r="601" spans="1:11" s="142" customFormat="1" ht="19.5" customHeight="1">
      <c r="A601" s="142">
        <f t="shared" ref="A601:A664" si="18">IF(B601&lt;&gt;"",MONTH(B601),"")</f>
        <v>11</v>
      </c>
      <c r="B601" s="157">
        <v>41584</v>
      </c>
      <c r="C601" s="158" t="s">
        <v>145</v>
      </c>
      <c r="D601" s="157">
        <v>41584</v>
      </c>
      <c r="E601" s="159" t="s">
        <v>248</v>
      </c>
      <c r="F601" s="159"/>
      <c r="G601" s="160" t="s">
        <v>147</v>
      </c>
      <c r="H601" s="161">
        <v>1834569000</v>
      </c>
      <c r="I601" s="161"/>
      <c r="J601" s="162">
        <f t="shared" si="17"/>
        <v>1836118169</v>
      </c>
      <c r="K601" s="162"/>
    </row>
    <row r="602" spans="1:11" s="142" customFormat="1" ht="19.5" customHeight="1">
      <c r="A602" s="142">
        <f t="shared" si="18"/>
        <v>11</v>
      </c>
      <c r="B602" s="157">
        <v>41585</v>
      </c>
      <c r="C602" s="158" t="s">
        <v>484</v>
      </c>
      <c r="D602" s="157">
        <v>41585</v>
      </c>
      <c r="E602" s="159" t="s">
        <v>269</v>
      </c>
      <c r="F602" s="159"/>
      <c r="G602" s="160" t="s">
        <v>144</v>
      </c>
      <c r="H602" s="161"/>
      <c r="I602" s="161">
        <v>1500000000</v>
      </c>
      <c r="J602" s="162">
        <f t="shared" si="17"/>
        <v>336118169</v>
      </c>
      <c r="K602" s="162"/>
    </row>
    <row r="603" spans="1:11" s="142" customFormat="1" ht="19.5" customHeight="1">
      <c r="A603" s="142">
        <f t="shared" si="18"/>
        <v>11</v>
      </c>
      <c r="B603" s="157">
        <v>41586</v>
      </c>
      <c r="C603" s="158" t="s">
        <v>148</v>
      </c>
      <c r="D603" s="157">
        <v>41586</v>
      </c>
      <c r="E603" s="159" t="s">
        <v>185</v>
      </c>
      <c r="F603" s="159"/>
      <c r="G603" s="160" t="s">
        <v>36</v>
      </c>
      <c r="H603" s="161">
        <v>5100000</v>
      </c>
      <c r="I603" s="161"/>
      <c r="J603" s="162">
        <f t="shared" si="17"/>
        <v>341218169</v>
      </c>
      <c r="K603" s="162"/>
    </row>
    <row r="604" spans="1:11" s="142" customFormat="1" ht="19.5" customHeight="1">
      <c r="A604" s="142">
        <f t="shared" si="18"/>
        <v>11</v>
      </c>
      <c r="B604" s="157">
        <v>41586</v>
      </c>
      <c r="C604" s="158" t="s">
        <v>145</v>
      </c>
      <c r="D604" s="157">
        <v>41586</v>
      </c>
      <c r="E604" s="159" t="s">
        <v>674</v>
      </c>
      <c r="F604" s="159"/>
      <c r="G604" s="160" t="s">
        <v>38</v>
      </c>
      <c r="H604" s="161"/>
      <c r="I604" s="161">
        <v>42104057</v>
      </c>
      <c r="J604" s="162">
        <f t="shared" si="17"/>
        <v>299114112</v>
      </c>
      <c r="K604" s="162"/>
    </row>
    <row r="605" spans="1:11" s="142" customFormat="1" ht="19.5" customHeight="1">
      <c r="A605" s="142">
        <f t="shared" si="18"/>
        <v>11</v>
      </c>
      <c r="B605" s="157">
        <v>41586</v>
      </c>
      <c r="C605" s="158" t="s">
        <v>145</v>
      </c>
      <c r="D605" s="157">
        <v>41586</v>
      </c>
      <c r="E605" s="159" t="s">
        <v>675</v>
      </c>
      <c r="F605" s="159"/>
      <c r="G605" s="160" t="s">
        <v>156</v>
      </c>
      <c r="H605" s="161"/>
      <c r="I605" s="161">
        <v>5449265</v>
      </c>
      <c r="J605" s="162">
        <f t="shared" si="17"/>
        <v>293664847</v>
      </c>
      <c r="K605" s="162"/>
    </row>
    <row r="606" spans="1:11" s="142" customFormat="1" ht="19.5" customHeight="1">
      <c r="A606" s="142">
        <f t="shared" si="18"/>
        <v>11</v>
      </c>
      <c r="B606" s="157">
        <v>41586</v>
      </c>
      <c r="C606" s="158" t="s">
        <v>145</v>
      </c>
      <c r="D606" s="157">
        <v>41586</v>
      </c>
      <c r="E606" s="159" t="s">
        <v>676</v>
      </c>
      <c r="F606" s="159"/>
      <c r="G606" s="160" t="s">
        <v>231</v>
      </c>
      <c r="H606" s="161"/>
      <c r="I606" s="161">
        <v>2446678</v>
      </c>
      <c r="J606" s="162">
        <f t="shared" si="17"/>
        <v>291218169</v>
      </c>
      <c r="K606" s="162"/>
    </row>
    <row r="607" spans="1:11" s="142" customFormat="1" ht="19.5" customHeight="1">
      <c r="A607" s="142">
        <f t="shared" si="18"/>
        <v>11</v>
      </c>
      <c r="B607" s="157">
        <v>41586</v>
      </c>
      <c r="C607" s="158" t="s">
        <v>145</v>
      </c>
      <c r="D607" s="157">
        <v>41586</v>
      </c>
      <c r="E607" s="159" t="s">
        <v>187</v>
      </c>
      <c r="F607" s="159"/>
      <c r="G607" s="160" t="s">
        <v>192</v>
      </c>
      <c r="H607" s="161"/>
      <c r="I607" s="161">
        <v>25000</v>
      </c>
      <c r="J607" s="162">
        <f t="shared" si="17"/>
        <v>291193169</v>
      </c>
      <c r="K607" s="162"/>
    </row>
    <row r="608" spans="1:11" s="142" customFormat="1" ht="19.5" customHeight="1">
      <c r="A608" s="142">
        <f t="shared" si="18"/>
        <v>11</v>
      </c>
      <c r="B608" s="157">
        <v>41586</v>
      </c>
      <c r="C608" s="158" t="s">
        <v>145</v>
      </c>
      <c r="D608" s="157">
        <v>41586</v>
      </c>
      <c r="E608" s="159" t="s">
        <v>188</v>
      </c>
      <c r="F608" s="159"/>
      <c r="G608" s="160" t="s">
        <v>35</v>
      </c>
      <c r="H608" s="161"/>
      <c r="I608" s="161">
        <v>2500</v>
      </c>
      <c r="J608" s="162">
        <f t="shared" si="17"/>
        <v>291190669</v>
      </c>
      <c r="K608" s="162"/>
    </row>
    <row r="609" spans="1:11" s="142" customFormat="1" ht="19.5" customHeight="1">
      <c r="A609" s="142">
        <f t="shared" si="18"/>
        <v>11</v>
      </c>
      <c r="B609" s="157">
        <v>41586</v>
      </c>
      <c r="C609" s="158" t="s">
        <v>145</v>
      </c>
      <c r="D609" s="157">
        <v>41586</v>
      </c>
      <c r="E609" s="159" t="s">
        <v>235</v>
      </c>
      <c r="F609" s="159"/>
      <c r="G609" s="160" t="s">
        <v>34</v>
      </c>
      <c r="H609" s="161"/>
      <c r="I609" s="161">
        <v>120000000</v>
      </c>
      <c r="J609" s="162">
        <f t="shared" si="17"/>
        <v>171190669</v>
      </c>
      <c r="K609" s="162"/>
    </row>
    <row r="610" spans="1:11" s="142" customFormat="1" ht="19.5" customHeight="1">
      <c r="A610" s="142">
        <f t="shared" si="18"/>
        <v>11</v>
      </c>
      <c r="B610" s="157">
        <v>41586</v>
      </c>
      <c r="C610" s="158" t="s">
        <v>145</v>
      </c>
      <c r="D610" s="157">
        <v>41586</v>
      </c>
      <c r="E610" s="159" t="s">
        <v>187</v>
      </c>
      <c r="F610" s="159"/>
      <c r="G610" s="160" t="s">
        <v>192</v>
      </c>
      <c r="H610" s="161"/>
      <c r="I610" s="161">
        <v>12000</v>
      </c>
      <c r="J610" s="162">
        <f t="shared" si="17"/>
        <v>171178669</v>
      </c>
      <c r="K610" s="162"/>
    </row>
    <row r="611" spans="1:11" s="142" customFormat="1" ht="19.5" customHeight="1">
      <c r="A611" s="142">
        <f t="shared" si="18"/>
        <v>11</v>
      </c>
      <c r="B611" s="157">
        <v>41586</v>
      </c>
      <c r="C611" s="158" t="s">
        <v>145</v>
      </c>
      <c r="D611" s="157">
        <v>41586</v>
      </c>
      <c r="E611" s="159" t="s">
        <v>188</v>
      </c>
      <c r="F611" s="159"/>
      <c r="G611" s="160" t="s">
        <v>35</v>
      </c>
      <c r="H611" s="161"/>
      <c r="I611" s="161">
        <v>1200</v>
      </c>
      <c r="J611" s="162">
        <f t="shared" si="17"/>
        <v>171177469</v>
      </c>
      <c r="K611" s="162"/>
    </row>
    <row r="612" spans="1:11" s="142" customFormat="1" ht="19.5" customHeight="1">
      <c r="A612" s="142">
        <f t="shared" si="18"/>
        <v>11</v>
      </c>
      <c r="B612" s="157">
        <v>41586</v>
      </c>
      <c r="C612" s="158" t="s">
        <v>145</v>
      </c>
      <c r="D612" s="157">
        <v>41586</v>
      </c>
      <c r="E612" s="159" t="s">
        <v>569</v>
      </c>
      <c r="F612" s="159"/>
      <c r="G612" s="160" t="s">
        <v>34</v>
      </c>
      <c r="H612" s="161"/>
      <c r="I612" s="161">
        <v>53263773</v>
      </c>
      <c r="J612" s="162">
        <f t="shared" si="17"/>
        <v>117913696</v>
      </c>
      <c r="K612" s="162"/>
    </row>
    <row r="613" spans="1:11" s="142" customFormat="1" ht="19.5" customHeight="1">
      <c r="A613" s="142">
        <f t="shared" si="18"/>
        <v>11</v>
      </c>
      <c r="B613" s="157">
        <v>41586</v>
      </c>
      <c r="C613" s="158" t="s">
        <v>145</v>
      </c>
      <c r="D613" s="157">
        <v>41586</v>
      </c>
      <c r="E613" s="159" t="s">
        <v>187</v>
      </c>
      <c r="F613" s="159"/>
      <c r="G613" s="160" t="s">
        <v>192</v>
      </c>
      <c r="H613" s="161"/>
      <c r="I613" s="161">
        <v>26632</v>
      </c>
      <c r="J613" s="162">
        <f t="shared" si="17"/>
        <v>117887064</v>
      </c>
      <c r="K613" s="162"/>
    </row>
    <row r="614" spans="1:11" s="142" customFormat="1" ht="19.5" customHeight="1">
      <c r="A614" s="142">
        <f t="shared" si="18"/>
        <v>11</v>
      </c>
      <c r="B614" s="157">
        <v>41586</v>
      </c>
      <c r="C614" s="158" t="s">
        <v>145</v>
      </c>
      <c r="D614" s="157">
        <v>41586</v>
      </c>
      <c r="E614" s="159" t="s">
        <v>188</v>
      </c>
      <c r="F614" s="159"/>
      <c r="G614" s="160" t="s">
        <v>35</v>
      </c>
      <c r="H614" s="161"/>
      <c r="I614" s="161">
        <v>2663</v>
      </c>
      <c r="J614" s="162">
        <f t="shared" si="17"/>
        <v>117884401</v>
      </c>
      <c r="K614" s="162"/>
    </row>
    <row r="615" spans="1:11" s="142" customFormat="1" ht="19.5" customHeight="1">
      <c r="A615" s="142">
        <f t="shared" si="18"/>
        <v>11</v>
      </c>
      <c r="B615" s="157">
        <v>41586</v>
      </c>
      <c r="C615" s="158" t="s">
        <v>145</v>
      </c>
      <c r="D615" s="157">
        <v>41586</v>
      </c>
      <c r="E615" s="159" t="s">
        <v>677</v>
      </c>
      <c r="F615" s="159"/>
      <c r="G615" s="160" t="s">
        <v>34</v>
      </c>
      <c r="H615" s="161"/>
      <c r="I615" s="161">
        <v>5678399</v>
      </c>
      <c r="J615" s="162">
        <f t="shared" si="17"/>
        <v>112206002</v>
      </c>
      <c r="K615" s="162"/>
    </row>
    <row r="616" spans="1:11" s="142" customFormat="1" ht="19.5" customHeight="1">
      <c r="A616" s="142">
        <f t="shared" si="18"/>
        <v>11</v>
      </c>
      <c r="B616" s="157">
        <v>41586</v>
      </c>
      <c r="C616" s="158" t="s">
        <v>145</v>
      </c>
      <c r="D616" s="157">
        <v>41586</v>
      </c>
      <c r="E616" s="159" t="s">
        <v>187</v>
      </c>
      <c r="F616" s="159"/>
      <c r="G616" s="160" t="s">
        <v>192</v>
      </c>
      <c r="H616" s="161"/>
      <c r="I616" s="161">
        <v>20000</v>
      </c>
      <c r="J616" s="162">
        <f t="shared" si="17"/>
        <v>112186002</v>
      </c>
      <c r="K616" s="162"/>
    </row>
    <row r="617" spans="1:11" s="142" customFormat="1" ht="19.5" customHeight="1">
      <c r="A617" s="142">
        <f t="shared" si="18"/>
        <v>11</v>
      </c>
      <c r="B617" s="157">
        <v>41586</v>
      </c>
      <c r="C617" s="158" t="s">
        <v>145</v>
      </c>
      <c r="D617" s="157">
        <v>41586</v>
      </c>
      <c r="E617" s="159" t="s">
        <v>188</v>
      </c>
      <c r="F617" s="159"/>
      <c r="G617" s="160" t="s">
        <v>35</v>
      </c>
      <c r="H617" s="161"/>
      <c r="I617" s="161">
        <v>2000</v>
      </c>
      <c r="J617" s="162">
        <f t="shared" si="17"/>
        <v>112184002</v>
      </c>
      <c r="K617" s="162"/>
    </row>
    <row r="618" spans="1:11" s="142" customFormat="1" ht="19.5" customHeight="1">
      <c r="A618" s="142">
        <f t="shared" si="18"/>
        <v>11</v>
      </c>
      <c r="B618" s="157">
        <v>41586</v>
      </c>
      <c r="C618" s="158" t="s">
        <v>145</v>
      </c>
      <c r="D618" s="157">
        <v>41586</v>
      </c>
      <c r="E618" s="159" t="s">
        <v>478</v>
      </c>
      <c r="F618" s="159"/>
      <c r="G618" s="160" t="s">
        <v>34</v>
      </c>
      <c r="H618" s="161"/>
      <c r="I618" s="161">
        <v>70000000</v>
      </c>
      <c r="J618" s="162">
        <f t="shared" si="17"/>
        <v>42184002</v>
      </c>
      <c r="K618" s="162"/>
    </row>
    <row r="619" spans="1:11" s="142" customFormat="1" ht="19.5" customHeight="1">
      <c r="A619" s="142">
        <f t="shared" si="18"/>
        <v>11</v>
      </c>
      <c r="B619" s="157">
        <v>41586</v>
      </c>
      <c r="C619" s="158" t="s">
        <v>145</v>
      </c>
      <c r="D619" s="157">
        <v>41586</v>
      </c>
      <c r="E619" s="159" t="s">
        <v>187</v>
      </c>
      <c r="F619" s="159"/>
      <c r="G619" s="160" t="s">
        <v>192</v>
      </c>
      <c r="H619" s="161"/>
      <c r="I619" s="161">
        <v>35000</v>
      </c>
      <c r="J619" s="162">
        <f t="shared" si="17"/>
        <v>42149002</v>
      </c>
      <c r="K619" s="162"/>
    </row>
    <row r="620" spans="1:11" s="142" customFormat="1" ht="19.5" customHeight="1">
      <c r="A620" s="142">
        <f t="shared" si="18"/>
        <v>11</v>
      </c>
      <c r="B620" s="157">
        <v>41586</v>
      </c>
      <c r="C620" s="158" t="s">
        <v>145</v>
      </c>
      <c r="D620" s="157">
        <v>41586</v>
      </c>
      <c r="E620" s="159" t="s">
        <v>188</v>
      </c>
      <c r="F620" s="159"/>
      <c r="G620" s="160" t="s">
        <v>35</v>
      </c>
      <c r="H620" s="161"/>
      <c r="I620" s="161">
        <v>3500</v>
      </c>
      <c r="J620" s="162">
        <f t="shared" si="17"/>
        <v>42145502</v>
      </c>
      <c r="K620" s="162"/>
    </row>
    <row r="621" spans="1:11" s="142" customFormat="1" ht="19.5" customHeight="1">
      <c r="A621" s="142">
        <f t="shared" si="18"/>
        <v>11</v>
      </c>
      <c r="B621" s="157">
        <v>41586</v>
      </c>
      <c r="C621" s="158" t="s">
        <v>145</v>
      </c>
      <c r="D621" s="157">
        <v>41586</v>
      </c>
      <c r="E621" s="159" t="s">
        <v>678</v>
      </c>
      <c r="F621" s="159"/>
      <c r="G621" s="160" t="s">
        <v>34</v>
      </c>
      <c r="H621" s="161"/>
      <c r="I621" s="161">
        <v>37985310</v>
      </c>
      <c r="J621" s="162">
        <f t="shared" si="17"/>
        <v>4160192</v>
      </c>
      <c r="K621" s="162"/>
    </row>
    <row r="622" spans="1:11" s="142" customFormat="1" ht="19.5" customHeight="1">
      <c r="A622" s="142">
        <f t="shared" si="18"/>
        <v>11</v>
      </c>
      <c r="B622" s="157">
        <v>41586</v>
      </c>
      <c r="C622" s="158" t="s">
        <v>145</v>
      </c>
      <c r="D622" s="157">
        <v>41586</v>
      </c>
      <c r="E622" s="159" t="s">
        <v>187</v>
      </c>
      <c r="F622" s="159"/>
      <c r="G622" s="160" t="s">
        <v>192</v>
      </c>
      <c r="H622" s="161"/>
      <c r="I622" s="161">
        <v>20000</v>
      </c>
      <c r="J622" s="162">
        <f t="shared" si="17"/>
        <v>4140192</v>
      </c>
      <c r="K622" s="162"/>
    </row>
    <row r="623" spans="1:11" s="142" customFormat="1" ht="19.5" customHeight="1">
      <c r="A623" s="142">
        <f t="shared" si="18"/>
        <v>11</v>
      </c>
      <c r="B623" s="157">
        <v>41586</v>
      </c>
      <c r="C623" s="158" t="s">
        <v>145</v>
      </c>
      <c r="D623" s="157">
        <v>41586</v>
      </c>
      <c r="E623" s="159" t="s">
        <v>188</v>
      </c>
      <c r="F623" s="159"/>
      <c r="G623" s="160" t="s">
        <v>35</v>
      </c>
      <c r="H623" s="161"/>
      <c r="I623" s="161">
        <v>2000</v>
      </c>
      <c r="J623" s="162">
        <f t="shared" si="17"/>
        <v>4138192</v>
      </c>
      <c r="K623" s="162"/>
    </row>
    <row r="624" spans="1:11" s="142" customFormat="1" ht="19.5" customHeight="1">
      <c r="A624" s="142">
        <f t="shared" si="18"/>
        <v>11</v>
      </c>
      <c r="B624" s="157">
        <v>41590</v>
      </c>
      <c r="C624" s="158" t="s">
        <v>145</v>
      </c>
      <c r="D624" s="157">
        <v>41590</v>
      </c>
      <c r="E624" s="159" t="s">
        <v>248</v>
      </c>
      <c r="F624" s="159"/>
      <c r="G624" s="160" t="s">
        <v>147</v>
      </c>
      <c r="H624" s="161">
        <v>1961370000</v>
      </c>
      <c r="I624" s="161"/>
      <c r="J624" s="162">
        <f t="shared" si="17"/>
        <v>1965508192</v>
      </c>
      <c r="K624" s="162"/>
    </row>
    <row r="625" spans="1:11" s="142" customFormat="1" ht="19.5" customHeight="1">
      <c r="A625" s="142">
        <f t="shared" si="18"/>
        <v>11</v>
      </c>
      <c r="B625" s="157">
        <v>41590</v>
      </c>
      <c r="C625" s="158" t="s">
        <v>145</v>
      </c>
      <c r="D625" s="157">
        <v>41590</v>
      </c>
      <c r="E625" s="159" t="s">
        <v>483</v>
      </c>
      <c r="F625" s="159"/>
      <c r="G625" s="160" t="s">
        <v>56</v>
      </c>
      <c r="H625" s="161"/>
      <c r="I625" s="161">
        <v>1753000000</v>
      </c>
      <c r="J625" s="162">
        <f t="shared" si="17"/>
        <v>212508192</v>
      </c>
      <c r="K625" s="162"/>
    </row>
    <row r="626" spans="1:11" s="142" customFormat="1" ht="19.5" customHeight="1">
      <c r="A626" s="142">
        <f t="shared" si="18"/>
        <v>11</v>
      </c>
      <c r="B626" s="157">
        <v>41592</v>
      </c>
      <c r="C626" s="158" t="s">
        <v>145</v>
      </c>
      <c r="D626" s="157">
        <v>41592</v>
      </c>
      <c r="E626" s="159" t="s">
        <v>560</v>
      </c>
      <c r="F626" s="159"/>
      <c r="G626" s="160" t="s">
        <v>34</v>
      </c>
      <c r="H626" s="161"/>
      <c r="I626" s="161">
        <v>14100000</v>
      </c>
      <c r="J626" s="162">
        <f t="shared" si="17"/>
        <v>198408192</v>
      </c>
      <c r="K626" s="162"/>
    </row>
    <row r="627" spans="1:11" s="142" customFormat="1" ht="19.5" customHeight="1">
      <c r="A627" s="142">
        <f t="shared" si="18"/>
        <v>11</v>
      </c>
      <c r="B627" s="157">
        <v>41592</v>
      </c>
      <c r="C627" s="158" t="s">
        <v>145</v>
      </c>
      <c r="D627" s="157">
        <v>41592</v>
      </c>
      <c r="E627" s="159" t="s">
        <v>187</v>
      </c>
      <c r="F627" s="159"/>
      <c r="G627" s="160" t="s">
        <v>192</v>
      </c>
      <c r="H627" s="161"/>
      <c r="I627" s="161">
        <v>10000</v>
      </c>
      <c r="J627" s="162">
        <f t="shared" si="17"/>
        <v>198398192</v>
      </c>
      <c r="K627" s="162"/>
    </row>
    <row r="628" spans="1:11" s="142" customFormat="1" ht="19.5" customHeight="1">
      <c r="A628" s="142">
        <f t="shared" si="18"/>
        <v>11</v>
      </c>
      <c r="B628" s="157">
        <v>41592</v>
      </c>
      <c r="C628" s="158" t="s">
        <v>145</v>
      </c>
      <c r="D628" s="157">
        <v>41592</v>
      </c>
      <c r="E628" s="159" t="s">
        <v>188</v>
      </c>
      <c r="F628" s="159"/>
      <c r="G628" s="160" t="s">
        <v>35</v>
      </c>
      <c r="H628" s="161"/>
      <c r="I628" s="161">
        <v>1000</v>
      </c>
      <c r="J628" s="162">
        <f t="shared" si="17"/>
        <v>198397192</v>
      </c>
      <c r="K628" s="162"/>
    </row>
    <row r="629" spans="1:11" s="142" customFormat="1" ht="19.5" customHeight="1">
      <c r="A629" s="142">
        <f t="shared" si="18"/>
        <v>11</v>
      </c>
      <c r="B629" s="157">
        <v>41592</v>
      </c>
      <c r="C629" s="158" t="s">
        <v>145</v>
      </c>
      <c r="D629" s="157">
        <v>41592</v>
      </c>
      <c r="E629" s="159" t="s">
        <v>679</v>
      </c>
      <c r="F629" s="159"/>
      <c r="G629" s="160" t="s">
        <v>34</v>
      </c>
      <c r="H629" s="161"/>
      <c r="I629" s="161">
        <v>20088971</v>
      </c>
      <c r="J629" s="162">
        <f t="shared" si="17"/>
        <v>178308221</v>
      </c>
      <c r="K629" s="162"/>
    </row>
    <row r="630" spans="1:11" s="142" customFormat="1" ht="19.5" customHeight="1">
      <c r="A630" s="142">
        <f t="shared" si="18"/>
        <v>11</v>
      </c>
      <c r="B630" s="157">
        <v>41592</v>
      </c>
      <c r="C630" s="158" t="s">
        <v>145</v>
      </c>
      <c r="D630" s="157">
        <v>41592</v>
      </c>
      <c r="E630" s="159" t="s">
        <v>187</v>
      </c>
      <c r="F630" s="159"/>
      <c r="G630" s="160" t="s">
        <v>192</v>
      </c>
      <c r="H630" s="161"/>
      <c r="I630" s="161">
        <v>20000</v>
      </c>
      <c r="J630" s="162">
        <f t="shared" si="17"/>
        <v>178288221</v>
      </c>
      <c r="K630" s="162"/>
    </row>
    <row r="631" spans="1:11" s="142" customFormat="1" ht="19.5" customHeight="1">
      <c r="A631" s="142">
        <f t="shared" si="18"/>
        <v>11</v>
      </c>
      <c r="B631" s="157">
        <v>41592</v>
      </c>
      <c r="C631" s="158" t="s">
        <v>145</v>
      </c>
      <c r="D631" s="157">
        <v>41592</v>
      </c>
      <c r="E631" s="159" t="s">
        <v>188</v>
      </c>
      <c r="F631" s="159"/>
      <c r="G631" s="160" t="s">
        <v>35</v>
      </c>
      <c r="H631" s="161"/>
      <c r="I631" s="161">
        <v>2000</v>
      </c>
      <c r="J631" s="162">
        <f t="shared" si="17"/>
        <v>178286221</v>
      </c>
      <c r="K631" s="162"/>
    </row>
    <row r="632" spans="1:11" s="142" customFormat="1" ht="19.5" customHeight="1">
      <c r="A632" s="142">
        <f t="shared" si="18"/>
        <v>11</v>
      </c>
      <c r="B632" s="157">
        <v>41592</v>
      </c>
      <c r="C632" s="158" t="s">
        <v>145</v>
      </c>
      <c r="D632" s="157">
        <v>41592</v>
      </c>
      <c r="E632" s="159" t="s">
        <v>680</v>
      </c>
      <c r="F632" s="159"/>
      <c r="G632" s="160" t="s">
        <v>34</v>
      </c>
      <c r="H632" s="161"/>
      <c r="I632" s="161">
        <v>12000000</v>
      </c>
      <c r="J632" s="162">
        <f t="shared" si="17"/>
        <v>166286221</v>
      </c>
      <c r="K632" s="162"/>
    </row>
    <row r="633" spans="1:11" s="142" customFormat="1" ht="19.5" customHeight="1">
      <c r="A633" s="142">
        <f t="shared" si="18"/>
        <v>11</v>
      </c>
      <c r="B633" s="157">
        <v>41592</v>
      </c>
      <c r="C633" s="158" t="s">
        <v>145</v>
      </c>
      <c r="D633" s="157">
        <v>41592</v>
      </c>
      <c r="E633" s="159" t="s">
        <v>187</v>
      </c>
      <c r="F633" s="159"/>
      <c r="G633" s="160" t="s">
        <v>192</v>
      </c>
      <c r="H633" s="161"/>
      <c r="I633" s="161">
        <v>10000</v>
      </c>
      <c r="J633" s="162">
        <f t="shared" si="17"/>
        <v>166276221</v>
      </c>
      <c r="K633" s="162"/>
    </row>
    <row r="634" spans="1:11" s="142" customFormat="1" ht="19.5" customHeight="1">
      <c r="A634" s="142">
        <f t="shared" si="18"/>
        <v>11</v>
      </c>
      <c r="B634" s="157">
        <v>41592</v>
      </c>
      <c r="C634" s="158" t="s">
        <v>145</v>
      </c>
      <c r="D634" s="157">
        <v>41592</v>
      </c>
      <c r="E634" s="159" t="s">
        <v>188</v>
      </c>
      <c r="F634" s="159"/>
      <c r="G634" s="160" t="s">
        <v>35</v>
      </c>
      <c r="H634" s="161"/>
      <c r="I634" s="161">
        <v>1000</v>
      </c>
      <c r="J634" s="162">
        <f t="shared" si="17"/>
        <v>166275221</v>
      </c>
      <c r="K634" s="162"/>
    </row>
    <row r="635" spans="1:11" s="142" customFormat="1" ht="19.5" customHeight="1">
      <c r="A635" s="142">
        <f t="shared" si="18"/>
        <v>11</v>
      </c>
      <c r="B635" s="157">
        <v>41592</v>
      </c>
      <c r="C635" s="158" t="s">
        <v>484</v>
      </c>
      <c r="D635" s="157">
        <v>41592</v>
      </c>
      <c r="E635" s="159" t="s">
        <v>269</v>
      </c>
      <c r="F635" s="159"/>
      <c r="G635" s="160" t="s">
        <v>144</v>
      </c>
      <c r="H635" s="161"/>
      <c r="I635" s="161">
        <v>160000000</v>
      </c>
      <c r="J635" s="162">
        <f t="shared" si="17"/>
        <v>6275221</v>
      </c>
      <c r="K635" s="162"/>
    </row>
    <row r="636" spans="1:11" s="142" customFormat="1" ht="19.5" customHeight="1">
      <c r="A636" s="142">
        <f t="shared" si="18"/>
        <v>11</v>
      </c>
      <c r="B636" s="157">
        <v>41596</v>
      </c>
      <c r="C636" s="158" t="s">
        <v>148</v>
      </c>
      <c r="D636" s="157">
        <v>41596</v>
      </c>
      <c r="E636" s="159" t="s">
        <v>185</v>
      </c>
      <c r="F636" s="159"/>
      <c r="G636" s="160" t="s">
        <v>36</v>
      </c>
      <c r="H636" s="161">
        <v>907948000</v>
      </c>
      <c r="I636" s="161"/>
      <c r="J636" s="162">
        <f t="shared" si="17"/>
        <v>914223221</v>
      </c>
      <c r="K636" s="162"/>
    </row>
    <row r="637" spans="1:11" s="142" customFormat="1" ht="19.5" customHeight="1">
      <c r="A637" s="142">
        <f t="shared" si="18"/>
        <v>11</v>
      </c>
      <c r="B637" s="157">
        <v>41596</v>
      </c>
      <c r="C637" s="158" t="s">
        <v>145</v>
      </c>
      <c r="D637" s="157">
        <v>41596</v>
      </c>
      <c r="E637" s="159" t="s">
        <v>681</v>
      </c>
      <c r="F637" s="159"/>
      <c r="G637" s="160" t="s">
        <v>181</v>
      </c>
      <c r="H637" s="161"/>
      <c r="I637" s="161">
        <v>2161574</v>
      </c>
      <c r="J637" s="162">
        <f t="shared" si="17"/>
        <v>912061647</v>
      </c>
      <c r="K637" s="162"/>
    </row>
    <row r="638" spans="1:11" s="142" customFormat="1" ht="19.5" customHeight="1">
      <c r="A638" s="142">
        <f t="shared" si="18"/>
        <v>11</v>
      </c>
      <c r="B638" s="157">
        <v>41596</v>
      </c>
      <c r="C638" s="158" t="s">
        <v>145</v>
      </c>
      <c r="D638" s="157">
        <v>41596</v>
      </c>
      <c r="E638" s="159" t="s">
        <v>187</v>
      </c>
      <c r="F638" s="159"/>
      <c r="G638" s="160" t="s">
        <v>192</v>
      </c>
      <c r="H638" s="161"/>
      <c r="I638" s="161">
        <v>20000</v>
      </c>
      <c r="J638" s="162">
        <f t="shared" si="17"/>
        <v>912041647</v>
      </c>
      <c r="K638" s="162"/>
    </row>
    <row r="639" spans="1:11" s="142" customFormat="1" ht="19.5" customHeight="1">
      <c r="A639" s="142">
        <f t="shared" si="18"/>
        <v>11</v>
      </c>
      <c r="B639" s="157">
        <v>41596</v>
      </c>
      <c r="C639" s="158" t="s">
        <v>145</v>
      </c>
      <c r="D639" s="157">
        <v>41596</v>
      </c>
      <c r="E639" s="159" t="s">
        <v>188</v>
      </c>
      <c r="F639" s="159"/>
      <c r="G639" s="160" t="s">
        <v>35</v>
      </c>
      <c r="H639" s="161"/>
      <c r="I639" s="161">
        <v>2000</v>
      </c>
      <c r="J639" s="162">
        <f t="shared" si="17"/>
        <v>912039647</v>
      </c>
      <c r="K639" s="162"/>
    </row>
    <row r="640" spans="1:11" s="142" customFormat="1" ht="19.5" customHeight="1">
      <c r="A640" s="142">
        <f t="shared" si="18"/>
        <v>11</v>
      </c>
      <c r="B640" s="157">
        <v>41596</v>
      </c>
      <c r="C640" s="158" t="s">
        <v>145</v>
      </c>
      <c r="D640" s="157">
        <v>41596</v>
      </c>
      <c r="E640" s="159" t="s">
        <v>568</v>
      </c>
      <c r="F640" s="159"/>
      <c r="G640" s="160" t="s">
        <v>34</v>
      </c>
      <c r="H640" s="161"/>
      <c r="I640" s="161">
        <v>36754000</v>
      </c>
      <c r="J640" s="162">
        <f t="shared" si="17"/>
        <v>875285647</v>
      </c>
      <c r="K640" s="162"/>
    </row>
    <row r="641" spans="1:11" s="142" customFormat="1" ht="19.5" customHeight="1">
      <c r="A641" s="142">
        <f t="shared" si="18"/>
        <v>11</v>
      </c>
      <c r="B641" s="157">
        <v>41596</v>
      </c>
      <c r="C641" s="158" t="s">
        <v>145</v>
      </c>
      <c r="D641" s="157">
        <v>41596</v>
      </c>
      <c r="E641" s="159" t="s">
        <v>187</v>
      </c>
      <c r="F641" s="159"/>
      <c r="G641" s="160" t="s">
        <v>192</v>
      </c>
      <c r="H641" s="161"/>
      <c r="I641" s="161">
        <v>10000</v>
      </c>
      <c r="J641" s="162">
        <f t="shared" si="17"/>
        <v>875275647</v>
      </c>
      <c r="K641" s="162"/>
    </row>
    <row r="642" spans="1:11" s="142" customFormat="1" ht="19.5" customHeight="1">
      <c r="A642" s="142">
        <f t="shared" si="18"/>
        <v>11</v>
      </c>
      <c r="B642" s="157">
        <v>41596</v>
      </c>
      <c r="C642" s="158" t="s">
        <v>145</v>
      </c>
      <c r="D642" s="157">
        <v>41596</v>
      </c>
      <c r="E642" s="159" t="s">
        <v>188</v>
      </c>
      <c r="F642" s="159"/>
      <c r="G642" s="160" t="s">
        <v>35</v>
      </c>
      <c r="H642" s="161"/>
      <c r="I642" s="161">
        <v>1000</v>
      </c>
      <c r="J642" s="162">
        <f t="shared" si="17"/>
        <v>875274647</v>
      </c>
      <c r="K642" s="162"/>
    </row>
    <row r="643" spans="1:11" s="142" customFormat="1" ht="19.5" customHeight="1">
      <c r="A643" s="142">
        <f t="shared" si="18"/>
        <v>11</v>
      </c>
      <c r="B643" s="157">
        <v>41596</v>
      </c>
      <c r="C643" s="158" t="s">
        <v>145</v>
      </c>
      <c r="D643" s="157">
        <v>41596</v>
      </c>
      <c r="E643" s="159" t="s">
        <v>682</v>
      </c>
      <c r="F643" s="159"/>
      <c r="G643" s="160" t="s">
        <v>34</v>
      </c>
      <c r="H643" s="161"/>
      <c r="I643" s="161">
        <v>6185000</v>
      </c>
      <c r="J643" s="162">
        <f t="shared" si="17"/>
        <v>869089647</v>
      </c>
      <c r="K643" s="162"/>
    </row>
    <row r="644" spans="1:11" s="142" customFormat="1" ht="19.5" customHeight="1">
      <c r="A644" s="142">
        <f t="shared" si="18"/>
        <v>11</v>
      </c>
      <c r="B644" s="157">
        <v>41596</v>
      </c>
      <c r="C644" s="158" t="s">
        <v>145</v>
      </c>
      <c r="D644" s="157">
        <v>41596</v>
      </c>
      <c r="E644" s="159" t="s">
        <v>187</v>
      </c>
      <c r="F644" s="159"/>
      <c r="G644" s="160" t="s">
        <v>192</v>
      </c>
      <c r="H644" s="161"/>
      <c r="I644" s="161">
        <v>10000</v>
      </c>
      <c r="J644" s="162">
        <f t="shared" si="17"/>
        <v>869079647</v>
      </c>
      <c r="K644" s="162"/>
    </row>
    <row r="645" spans="1:11" s="142" customFormat="1" ht="19.5" customHeight="1">
      <c r="A645" s="142">
        <f t="shared" si="18"/>
        <v>11</v>
      </c>
      <c r="B645" s="157">
        <v>41596</v>
      </c>
      <c r="C645" s="158" t="s">
        <v>145</v>
      </c>
      <c r="D645" s="157">
        <v>41596</v>
      </c>
      <c r="E645" s="159" t="s">
        <v>188</v>
      </c>
      <c r="F645" s="159"/>
      <c r="G645" s="160" t="s">
        <v>35</v>
      </c>
      <c r="H645" s="161"/>
      <c r="I645" s="161">
        <v>1000</v>
      </c>
      <c r="J645" s="162">
        <f t="shared" si="17"/>
        <v>869078647</v>
      </c>
      <c r="K645" s="162"/>
    </row>
    <row r="646" spans="1:11" s="142" customFormat="1" ht="19.5" customHeight="1">
      <c r="A646" s="142">
        <f t="shared" si="18"/>
        <v>11</v>
      </c>
      <c r="B646" s="157">
        <v>41596</v>
      </c>
      <c r="C646" s="158" t="s">
        <v>145</v>
      </c>
      <c r="D646" s="157">
        <v>41596</v>
      </c>
      <c r="E646" s="159" t="s">
        <v>682</v>
      </c>
      <c r="F646" s="159"/>
      <c r="G646" s="160" t="s">
        <v>34</v>
      </c>
      <c r="H646" s="161"/>
      <c r="I646" s="161">
        <v>780000</v>
      </c>
      <c r="J646" s="162">
        <f t="shared" si="17"/>
        <v>868298647</v>
      </c>
      <c r="K646" s="162"/>
    </row>
    <row r="647" spans="1:11" s="142" customFormat="1" ht="19.5" customHeight="1">
      <c r="A647" s="142">
        <f t="shared" si="18"/>
        <v>11</v>
      </c>
      <c r="B647" s="157">
        <v>41596</v>
      </c>
      <c r="C647" s="158" t="s">
        <v>145</v>
      </c>
      <c r="D647" s="157">
        <v>41596</v>
      </c>
      <c r="E647" s="159" t="s">
        <v>187</v>
      </c>
      <c r="F647" s="159"/>
      <c r="G647" s="160" t="s">
        <v>192</v>
      </c>
      <c r="H647" s="161"/>
      <c r="I647" s="161">
        <v>10000</v>
      </c>
      <c r="J647" s="162">
        <f t="shared" si="17"/>
        <v>868288647</v>
      </c>
      <c r="K647" s="162"/>
    </row>
    <row r="648" spans="1:11" s="142" customFormat="1" ht="19.5" customHeight="1">
      <c r="A648" s="142">
        <f t="shared" si="18"/>
        <v>11</v>
      </c>
      <c r="B648" s="157">
        <v>41596</v>
      </c>
      <c r="C648" s="158" t="s">
        <v>145</v>
      </c>
      <c r="D648" s="157">
        <v>41596</v>
      </c>
      <c r="E648" s="159" t="s">
        <v>188</v>
      </c>
      <c r="F648" s="159"/>
      <c r="G648" s="160" t="s">
        <v>35</v>
      </c>
      <c r="H648" s="161"/>
      <c r="I648" s="161">
        <v>1000</v>
      </c>
      <c r="J648" s="162">
        <f t="shared" si="17"/>
        <v>868287647</v>
      </c>
      <c r="K648" s="162"/>
    </row>
    <row r="649" spans="1:11" s="142" customFormat="1" ht="19.5" customHeight="1">
      <c r="A649" s="142">
        <f t="shared" si="18"/>
        <v>11</v>
      </c>
      <c r="B649" s="157">
        <v>41596</v>
      </c>
      <c r="C649" s="158" t="s">
        <v>145</v>
      </c>
      <c r="D649" s="157">
        <v>41596</v>
      </c>
      <c r="E649" s="159" t="s">
        <v>617</v>
      </c>
      <c r="F649" s="159"/>
      <c r="G649" s="160" t="s">
        <v>34</v>
      </c>
      <c r="H649" s="161"/>
      <c r="I649" s="161">
        <v>1000000</v>
      </c>
      <c r="J649" s="162">
        <f t="shared" si="17"/>
        <v>867287647</v>
      </c>
      <c r="K649" s="162"/>
    </row>
    <row r="650" spans="1:11" s="142" customFormat="1" ht="19.5" customHeight="1">
      <c r="A650" s="142">
        <f t="shared" si="18"/>
        <v>11</v>
      </c>
      <c r="B650" s="157">
        <v>41596</v>
      </c>
      <c r="C650" s="158" t="s">
        <v>145</v>
      </c>
      <c r="D650" s="157">
        <v>41596</v>
      </c>
      <c r="E650" s="159" t="s">
        <v>683</v>
      </c>
      <c r="F650" s="159"/>
      <c r="G650" s="160" t="s">
        <v>150</v>
      </c>
      <c r="H650" s="161"/>
      <c r="I650" s="161">
        <v>10934669</v>
      </c>
      <c r="J650" s="162">
        <f t="shared" si="17"/>
        <v>856352978</v>
      </c>
      <c r="K650" s="162"/>
    </row>
    <row r="651" spans="1:11" s="142" customFormat="1" ht="19.5" customHeight="1">
      <c r="A651" s="142">
        <f t="shared" si="18"/>
        <v>11</v>
      </c>
      <c r="B651" s="157">
        <v>41596</v>
      </c>
      <c r="C651" s="158" t="s">
        <v>145</v>
      </c>
      <c r="D651" s="157">
        <v>41596</v>
      </c>
      <c r="E651" s="159" t="s">
        <v>684</v>
      </c>
      <c r="F651" s="159"/>
      <c r="G651" s="160" t="s">
        <v>150</v>
      </c>
      <c r="H651" s="161"/>
      <c r="I651" s="161">
        <v>11230349</v>
      </c>
      <c r="J651" s="162">
        <f t="shared" si="17"/>
        <v>845122629</v>
      </c>
      <c r="K651" s="162"/>
    </row>
    <row r="652" spans="1:11" s="142" customFormat="1" ht="19.5" customHeight="1">
      <c r="A652" s="142">
        <f t="shared" si="18"/>
        <v>11</v>
      </c>
      <c r="B652" s="157">
        <v>41596</v>
      </c>
      <c r="C652" s="158" t="s">
        <v>145</v>
      </c>
      <c r="D652" s="157">
        <v>41596</v>
      </c>
      <c r="E652" s="159" t="s">
        <v>685</v>
      </c>
      <c r="F652" s="159"/>
      <c r="G652" s="160" t="s">
        <v>150</v>
      </c>
      <c r="H652" s="161"/>
      <c r="I652" s="161">
        <v>11584954</v>
      </c>
      <c r="J652" s="162">
        <f t="shared" si="17"/>
        <v>833537675</v>
      </c>
      <c r="K652" s="162"/>
    </row>
    <row r="653" spans="1:11" s="142" customFormat="1" ht="19.5" customHeight="1">
      <c r="A653" s="142">
        <f t="shared" si="18"/>
        <v>11</v>
      </c>
      <c r="B653" s="157">
        <v>41596</v>
      </c>
      <c r="C653" s="158" t="s">
        <v>145</v>
      </c>
      <c r="D653" s="157">
        <v>41596</v>
      </c>
      <c r="E653" s="159" t="s">
        <v>686</v>
      </c>
      <c r="F653" s="159"/>
      <c r="G653" s="160" t="s">
        <v>150</v>
      </c>
      <c r="H653" s="161"/>
      <c r="I653" s="161">
        <v>11274067</v>
      </c>
      <c r="J653" s="162">
        <f t="shared" si="17"/>
        <v>822263608</v>
      </c>
      <c r="K653" s="162"/>
    </row>
    <row r="654" spans="1:11" s="142" customFormat="1" ht="19.5" customHeight="1">
      <c r="A654" s="142">
        <f t="shared" si="18"/>
        <v>11</v>
      </c>
      <c r="B654" s="157">
        <v>41596</v>
      </c>
      <c r="C654" s="158" t="s">
        <v>145</v>
      </c>
      <c r="D654" s="157">
        <v>41596</v>
      </c>
      <c r="E654" s="159" t="s">
        <v>687</v>
      </c>
      <c r="F654" s="159"/>
      <c r="G654" s="160" t="s">
        <v>150</v>
      </c>
      <c r="H654" s="161"/>
      <c r="I654" s="161">
        <v>16565050</v>
      </c>
      <c r="J654" s="162">
        <f t="shared" si="17"/>
        <v>805698558</v>
      </c>
      <c r="K654" s="162"/>
    </row>
    <row r="655" spans="1:11" s="142" customFormat="1" ht="19.5" customHeight="1">
      <c r="A655" s="142">
        <f t="shared" si="18"/>
        <v>11</v>
      </c>
      <c r="B655" s="157">
        <v>41597</v>
      </c>
      <c r="C655" s="158" t="s">
        <v>484</v>
      </c>
      <c r="D655" s="157">
        <v>41597</v>
      </c>
      <c r="E655" s="159" t="s">
        <v>269</v>
      </c>
      <c r="F655" s="159"/>
      <c r="G655" s="160" t="s">
        <v>144</v>
      </c>
      <c r="H655" s="161"/>
      <c r="I655" s="161">
        <v>805000000</v>
      </c>
      <c r="J655" s="162">
        <f t="shared" ref="J655:J718" si="19">IF(B655&lt;&gt;"",J654+H655-I655,0)</f>
        <v>698558</v>
      </c>
      <c r="K655" s="162"/>
    </row>
    <row r="656" spans="1:11" s="142" customFormat="1" ht="19.5" customHeight="1">
      <c r="A656" s="142">
        <f t="shared" si="18"/>
        <v>11</v>
      </c>
      <c r="B656" s="157">
        <v>41598</v>
      </c>
      <c r="C656" s="158" t="s">
        <v>148</v>
      </c>
      <c r="D656" s="157">
        <v>41598</v>
      </c>
      <c r="E656" s="159" t="s">
        <v>688</v>
      </c>
      <c r="F656" s="159"/>
      <c r="G656" s="160" t="s">
        <v>35</v>
      </c>
      <c r="H656" s="161">
        <v>150205396</v>
      </c>
      <c r="I656" s="161"/>
      <c r="J656" s="162">
        <f t="shared" si="19"/>
        <v>150903954</v>
      </c>
      <c r="K656" s="162"/>
    </row>
    <row r="657" spans="1:11" s="142" customFormat="1" ht="19.5" customHeight="1">
      <c r="A657" s="142">
        <f t="shared" si="18"/>
        <v>11</v>
      </c>
      <c r="B657" s="157">
        <v>41601</v>
      </c>
      <c r="C657" s="158" t="s">
        <v>148</v>
      </c>
      <c r="D657" s="157">
        <v>41601</v>
      </c>
      <c r="E657" s="159" t="s">
        <v>157</v>
      </c>
      <c r="F657" s="159"/>
      <c r="G657" s="160" t="s">
        <v>158</v>
      </c>
      <c r="H657" s="161">
        <v>66789</v>
      </c>
      <c r="I657" s="161"/>
      <c r="J657" s="162">
        <f t="shared" si="19"/>
        <v>150970743</v>
      </c>
      <c r="K657" s="162"/>
    </row>
    <row r="658" spans="1:11" s="142" customFormat="1" ht="19.5" customHeight="1">
      <c r="A658" s="142">
        <f t="shared" si="18"/>
        <v>11</v>
      </c>
      <c r="B658" s="157">
        <v>41603</v>
      </c>
      <c r="C658" s="158" t="s">
        <v>145</v>
      </c>
      <c r="D658" s="157">
        <v>41603</v>
      </c>
      <c r="E658" s="159" t="s">
        <v>248</v>
      </c>
      <c r="F658" s="159"/>
      <c r="G658" s="160" t="s">
        <v>147</v>
      </c>
      <c r="H658" s="161">
        <v>101232000</v>
      </c>
      <c r="I658" s="161"/>
      <c r="J658" s="162">
        <f t="shared" si="19"/>
        <v>252202743</v>
      </c>
      <c r="K658" s="162"/>
    </row>
    <row r="659" spans="1:11" s="142" customFormat="1" ht="19.5" customHeight="1">
      <c r="A659" s="142">
        <f t="shared" si="18"/>
        <v>11</v>
      </c>
      <c r="B659" s="157">
        <v>41603</v>
      </c>
      <c r="C659" s="158" t="s">
        <v>484</v>
      </c>
      <c r="D659" s="157">
        <v>41603</v>
      </c>
      <c r="E659" s="159" t="s">
        <v>269</v>
      </c>
      <c r="F659" s="159"/>
      <c r="G659" s="160" t="s">
        <v>144</v>
      </c>
      <c r="H659" s="161"/>
      <c r="I659" s="161">
        <v>252000000</v>
      </c>
      <c r="J659" s="162">
        <f t="shared" si="19"/>
        <v>202743</v>
      </c>
      <c r="K659" s="162"/>
    </row>
    <row r="660" spans="1:11" s="142" customFormat="1" ht="19.5" customHeight="1">
      <c r="A660" s="142">
        <f t="shared" si="18"/>
        <v>11</v>
      </c>
      <c r="B660" s="157">
        <v>41605</v>
      </c>
      <c r="C660" s="158" t="s">
        <v>145</v>
      </c>
      <c r="D660" s="157">
        <v>41605</v>
      </c>
      <c r="E660" s="159" t="s">
        <v>248</v>
      </c>
      <c r="F660" s="159"/>
      <c r="G660" s="160" t="s">
        <v>147</v>
      </c>
      <c r="H660" s="161">
        <v>2024640800</v>
      </c>
      <c r="I660" s="161"/>
      <c r="J660" s="162">
        <f t="shared" si="19"/>
        <v>2024843543</v>
      </c>
      <c r="K660" s="162"/>
    </row>
    <row r="661" spans="1:11" s="142" customFormat="1" ht="19.5" customHeight="1">
      <c r="A661" s="142">
        <f t="shared" si="18"/>
        <v>11</v>
      </c>
      <c r="B661" s="157">
        <v>41605</v>
      </c>
      <c r="C661" s="158" t="s">
        <v>145</v>
      </c>
      <c r="D661" s="157">
        <v>41605</v>
      </c>
      <c r="E661" s="159" t="s">
        <v>689</v>
      </c>
      <c r="F661" s="159"/>
      <c r="G661" s="160" t="s">
        <v>34</v>
      </c>
      <c r="H661" s="161"/>
      <c r="I661" s="161">
        <v>19106670</v>
      </c>
      <c r="J661" s="162">
        <f t="shared" si="19"/>
        <v>2005736873</v>
      </c>
      <c r="K661" s="162"/>
    </row>
    <row r="662" spans="1:11" s="142" customFormat="1" ht="19.5" customHeight="1">
      <c r="A662" s="142">
        <f t="shared" si="18"/>
        <v>11</v>
      </c>
      <c r="B662" s="157">
        <v>41605</v>
      </c>
      <c r="C662" s="158" t="s">
        <v>145</v>
      </c>
      <c r="D662" s="157">
        <v>41605</v>
      </c>
      <c r="E662" s="159" t="s">
        <v>187</v>
      </c>
      <c r="F662" s="159"/>
      <c r="G662" s="160" t="s">
        <v>192</v>
      </c>
      <c r="H662" s="161"/>
      <c r="I662" s="161">
        <v>20000</v>
      </c>
      <c r="J662" s="162">
        <f t="shared" si="19"/>
        <v>2005716873</v>
      </c>
      <c r="K662" s="162"/>
    </row>
    <row r="663" spans="1:11" s="142" customFormat="1" ht="19.5" customHeight="1">
      <c r="A663" s="142">
        <f t="shared" si="18"/>
        <v>11</v>
      </c>
      <c r="B663" s="157">
        <v>41605</v>
      </c>
      <c r="C663" s="158" t="s">
        <v>145</v>
      </c>
      <c r="D663" s="157">
        <v>41605</v>
      </c>
      <c r="E663" s="159" t="s">
        <v>188</v>
      </c>
      <c r="F663" s="159"/>
      <c r="G663" s="160" t="s">
        <v>35</v>
      </c>
      <c r="H663" s="161"/>
      <c r="I663" s="161">
        <v>2000</v>
      </c>
      <c r="J663" s="162">
        <f t="shared" si="19"/>
        <v>2005714873</v>
      </c>
      <c r="K663" s="162"/>
    </row>
    <row r="664" spans="1:11" s="142" customFormat="1" ht="19.5" customHeight="1">
      <c r="A664" s="142">
        <f t="shared" si="18"/>
        <v>11</v>
      </c>
      <c r="B664" s="157">
        <v>41605</v>
      </c>
      <c r="C664" s="158" t="s">
        <v>145</v>
      </c>
      <c r="D664" s="157">
        <v>41605</v>
      </c>
      <c r="E664" s="159" t="s">
        <v>690</v>
      </c>
      <c r="F664" s="159"/>
      <c r="G664" s="160" t="s">
        <v>56</v>
      </c>
      <c r="H664" s="161"/>
      <c r="I664" s="161">
        <v>227650000</v>
      </c>
      <c r="J664" s="162">
        <f t="shared" si="19"/>
        <v>1778064873</v>
      </c>
      <c r="K664" s="162"/>
    </row>
    <row r="665" spans="1:11" s="142" customFormat="1" ht="19.5" customHeight="1">
      <c r="A665" s="142">
        <f t="shared" ref="A665:A728" si="20">IF(B665&lt;&gt;"",MONTH(B665),"")</f>
        <v>11</v>
      </c>
      <c r="B665" s="157">
        <v>41606</v>
      </c>
      <c r="C665" s="158" t="s">
        <v>484</v>
      </c>
      <c r="D665" s="157">
        <v>41606</v>
      </c>
      <c r="E665" s="159" t="s">
        <v>269</v>
      </c>
      <c r="F665" s="159"/>
      <c r="G665" s="160" t="s">
        <v>144</v>
      </c>
      <c r="H665" s="161"/>
      <c r="I665" s="161">
        <v>1778000000</v>
      </c>
      <c r="J665" s="162">
        <f t="shared" si="19"/>
        <v>64873</v>
      </c>
      <c r="K665" s="162"/>
    </row>
    <row r="666" spans="1:11" s="142" customFormat="1" ht="19.5" customHeight="1">
      <c r="A666" s="142">
        <f t="shared" si="20"/>
        <v>12</v>
      </c>
      <c r="B666" s="157">
        <v>41610</v>
      </c>
      <c r="C666" s="158" t="s">
        <v>486</v>
      </c>
      <c r="D666" s="157">
        <v>41610</v>
      </c>
      <c r="E666" s="159" t="s">
        <v>195</v>
      </c>
      <c r="F666" s="159"/>
      <c r="G666" s="160" t="s">
        <v>144</v>
      </c>
      <c r="H666" s="161">
        <v>64000000</v>
      </c>
      <c r="I666" s="161"/>
      <c r="J666" s="162">
        <f t="shared" si="19"/>
        <v>64064873</v>
      </c>
      <c r="K666" s="162"/>
    </row>
    <row r="667" spans="1:11" s="142" customFormat="1" ht="19.5" customHeight="1">
      <c r="A667" s="142">
        <f t="shared" si="20"/>
        <v>12</v>
      </c>
      <c r="B667" s="157">
        <v>41610</v>
      </c>
      <c r="C667" s="158" t="s">
        <v>145</v>
      </c>
      <c r="D667" s="157">
        <v>41610</v>
      </c>
      <c r="E667" s="159" t="s">
        <v>691</v>
      </c>
      <c r="F667" s="159"/>
      <c r="G667" s="160" t="s">
        <v>34</v>
      </c>
      <c r="H667" s="161"/>
      <c r="I667" s="161">
        <v>63616212</v>
      </c>
      <c r="J667" s="162">
        <f t="shared" si="19"/>
        <v>448661</v>
      </c>
      <c r="K667" s="162"/>
    </row>
    <row r="668" spans="1:11" s="142" customFormat="1" ht="19.5" customHeight="1">
      <c r="A668" s="142">
        <f t="shared" si="20"/>
        <v>12</v>
      </c>
      <c r="B668" s="157">
        <v>41610</v>
      </c>
      <c r="C668" s="158" t="s">
        <v>145</v>
      </c>
      <c r="D668" s="157">
        <v>41610</v>
      </c>
      <c r="E668" s="159" t="s">
        <v>187</v>
      </c>
      <c r="F668" s="159"/>
      <c r="G668" s="160" t="s">
        <v>192</v>
      </c>
      <c r="H668" s="161"/>
      <c r="I668" s="161">
        <v>31808</v>
      </c>
      <c r="J668" s="162">
        <f t="shared" si="19"/>
        <v>416853</v>
      </c>
      <c r="K668" s="162"/>
    </row>
    <row r="669" spans="1:11" s="142" customFormat="1" ht="19.5" customHeight="1">
      <c r="A669" s="142">
        <f t="shared" si="20"/>
        <v>12</v>
      </c>
      <c r="B669" s="157">
        <v>41610</v>
      </c>
      <c r="C669" s="158" t="s">
        <v>145</v>
      </c>
      <c r="D669" s="157">
        <v>41610</v>
      </c>
      <c r="E669" s="159" t="s">
        <v>188</v>
      </c>
      <c r="F669" s="159"/>
      <c r="G669" s="160" t="s">
        <v>35</v>
      </c>
      <c r="H669" s="161"/>
      <c r="I669" s="161">
        <v>3181</v>
      </c>
      <c r="J669" s="162">
        <f t="shared" si="19"/>
        <v>413672</v>
      </c>
      <c r="K669" s="162"/>
    </row>
    <row r="670" spans="1:11" s="142" customFormat="1" ht="19.5" customHeight="1">
      <c r="A670" s="142">
        <f t="shared" si="20"/>
        <v>12</v>
      </c>
      <c r="B670" s="157">
        <v>41619</v>
      </c>
      <c r="C670" s="158" t="s">
        <v>145</v>
      </c>
      <c r="D670" s="157">
        <v>41619</v>
      </c>
      <c r="E670" s="159" t="s">
        <v>248</v>
      </c>
      <c r="F670" s="159"/>
      <c r="G670" s="160" t="s">
        <v>147</v>
      </c>
      <c r="H670" s="161">
        <v>1393920000</v>
      </c>
      <c r="I670" s="161"/>
      <c r="J670" s="162">
        <f t="shared" si="19"/>
        <v>1394333672</v>
      </c>
      <c r="K670" s="162"/>
    </row>
    <row r="671" spans="1:11" s="142" customFormat="1" ht="19.5" customHeight="1">
      <c r="A671" s="142">
        <f t="shared" si="20"/>
        <v>12</v>
      </c>
      <c r="B671" s="157">
        <v>41619</v>
      </c>
      <c r="C671" s="158" t="s">
        <v>145</v>
      </c>
      <c r="D671" s="157">
        <v>41619</v>
      </c>
      <c r="E671" s="159" t="s">
        <v>493</v>
      </c>
      <c r="F671" s="159"/>
      <c r="G671" s="160" t="s">
        <v>56</v>
      </c>
      <c r="H671" s="161"/>
      <c r="I671" s="161">
        <v>1394000000</v>
      </c>
      <c r="J671" s="162">
        <f t="shared" si="19"/>
        <v>333672</v>
      </c>
      <c r="K671" s="162"/>
    </row>
    <row r="672" spans="1:11" s="142" customFormat="1" ht="19.5" customHeight="1">
      <c r="A672" s="142">
        <f t="shared" si="20"/>
        <v>12</v>
      </c>
      <c r="B672" s="157">
        <v>41620</v>
      </c>
      <c r="C672" s="158" t="s">
        <v>148</v>
      </c>
      <c r="D672" s="157">
        <v>41620</v>
      </c>
      <c r="E672" s="159" t="s">
        <v>491</v>
      </c>
      <c r="F672" s="159"/>
      <c r="G672" s="160" t="s">
        <v>56</v>
      </c>
      <c r="H672" s="161">
        <v>16500000</v>
      </c>
      <c r="I672" s="161"/>
      <c r="J672" s="162">
        <f t="shared" si="19"/>
        <v>16833672</v>
      </c>
      <c r="K672" s="162"/>
    </row>
    <row r="673" spans="1:11" s="142" customFormat="1" ht="19.5" customHeight="1">
      <c r="A673" s="142">
        <f t="shared" si="20"/>
        <v>12</v>
      </c>
      <c r="B673" s="157">
        <v>41620</v>
      </c>
      <c r="C673" s="158" t="s">
        <v>486</v>
      </c>
      <c r="D673" s="157">
        <v>41620</v>
      </c>
      <c r="E673" s="159" t="s">
        <v>195</v>
      </c>
      <c r="F673" s="159"/>
      <c r="G673" s="160" t="s">
        <v>144</v>
      </c>
      <c r="H673" s="161">
        <v>200000000</v>
      </c>
      <c r="I673" s="161"/>
      <c r="J673" s="162">
        <f t="shared" si="19"/>
        <v>216833672</v>
      </c>
      <c r="K673" s="162"/>
    </row>
    <row r="674" spans="1:11" s="142" customFormat="1" ht="19.5" customHeight="1">
      <c r="A674" s="142">
        <f t="shared" si="20"/>
        <v>12</v>
      </c>
      <c r="B674" s="157">
        <v>41620</v>
      </c>
      <c r="C674" s="158" t="s">
        <v>145</v>
      </c>
      <c r="D674" s="157">
        <v>41620</v>
      </c>
      <c r="E674" s="159" t="s">
        <v>692</v>
      </c>
      <c r="F674" s="159"/>
      <c r="G674" s="160" t="s">
        <v>150</v>
      </c>
      <c r="H674" s="161"/>
      <c r="I674" s="161">
        <v>8508840</v>
      </c>
      <c r="J674" s="162">
        <f t="shared" si="19"/>
        <v>208324832</v>
      </c>
      <c r="K674" s="162"/>
    </row>
    <row r="675" spans="1:11" s="142" customFormat="1" ht="19.5" customHeight="1">
      <c r="A675" s="142">
        <f t="shared" si="20"/>
        <v>12</v>
      </c>
      <c r="B675" s="157">
        <v>41620</v>
      </c>
      <c r="C675" s="158" t="s">
        <v>145</v>
      </c>
      <c r="D675" s="157">
        <v>41620</v>
      </c>
      <c r="E675" s="159" t="s">
        <v>693</v>
      </c>
      <c r="F675" s="159"/>
      <c r="G675" s="160" t="s">
        <v>150</v>
      </c>
      <c r="H675" s="161"/>
      <c r="I675" s="161">
        <v>11911826</v>
      </c>
      <c r="J675" s="162">
        <f t="shared" si="19"/>
        <v>196413006</v>
      </c>
      <c r="K675" s="162"/>
    </row>
    <row r="676" spans="1:11" s="142" customFormat="1" ht="19.5" customHeight="1">
      <c r="A676" s="142">
        <f t="shared" si="20"/>
        <v>12</v>
      </c>
      <c r="B676" s="157">
        <v>41620</v>
      </c>
      <c r="C676" s="158" t="s">
        <v>145</v>
      </c>
      <c r="D676" s="157">
        <v>41620</v>
      </c>
      <c r="E676" s="159" t="s">
        <v>568</v>
      </c>
      <c r="F676" s="159"/>
      <c r="G676" s="160" t="s">
        <v>34</v>
      </c>
      <c r="H676" s="161"/>
      <c r="I676" s="161">
        <v>9200000</v>
      </c>
      <c r="J676" s="162">
        <f t="shared" si="19"/>
        <v>187213006</v>
      </c>
      <c r="K676" s="162"/>
    </row>
    <row r="677" spans="1:11" s="142" customFormat="1" ht="19.5" customHeight="1">
      <c r="A677" s="142">
        <f t="shared" si="20"/>
        <v>12</v>
      </c>
      <c r="B677" s="157">
        <v>41620</v>
      </c>
      <c r="C677" s="158" t="s">
        <v>145</v>
      </c>
      <c r="D677" s="157">
        <v>41620</v>
      </c>
      <c r="E677" s="159" t="s">
        <v>187</v>
      </c>
      <c r="F677" s="159"/>
      <c r="G677" s="160" t="s">
        <v>192</v>
      </c>
      <c r="H677" s="161"/>
      <c r="I677" s="161">
        <v>10000</v>
      </c>
      <c r="J677" s="162">
        <f t="shared" si="19"/>
        <v>187203006</v>
      </c>
      <c r="K677" s="162"/>
    </row>
    <row r="678" spans="1:11" s="142" customFormat="1" ht="19.5" customHeight="1">
      <c r="A678" s="142">
        <f t="shared" si="20"/>
        <v>12</v>
      </c>
      <c r="B678" s="157">
        <v>41620</v>
      </c>
      <c r="C678" s="158" t="s">
        <v>145</v>
      </c>
      <c r="D678" s="157">
        <v>41620</v>
      </c>
      <c r="E678" s="159" t="s">
        <v>188</v>
      </c>
      <c r="F678" s="159"/>
      <c r="G678" s="160" t="s">
        <v>35</v>
      </c>
      <c r="H678" s="161"/>
      <c r="I678" s="161">
        <v>1000</v>
      </c>
      <c r="J678" s="162">
        <f t="shared" si="19"/>
        <v>187202006</v>
      </c>
      <c r="K678" s="162"/>
    </row>
    <row r="679" spans="1:11" s="142" customFormat="1" ht="19.5" customHeight="1">
      <c r="A679" s="142">
        <f t="shared" si="20"/>
        <v>12</v>
      </c>
      <c r="B679" s="157">
        <v>41620</v>
      </c>
      <c r="C679" s="158" t="s">
        <v>145</v>
      </c>
      <c r="D679" s="157">
        <v>41620</v>
      </c>
      <c r="E679" s="159" t="s">
        <v>235</v>
      </c>
      <c r="F679" s="159"/>
      <c r="G679" s="160" t="s">
        <v>34</v>
      </c>
      <c r="H679" s="161"/>
      <c r="I679" s="161">
        <v>38715324</v>
      </c>
      <c r="J679" s="162">
        <f t="shared" si="19"/>
        <v>148486682</v>
      </c>
      <c r="K679" s="162"/>
    </row>
    <row r="680" spans="1:11" s="142" customFormat="1" ht="19.5" customHeight="1">
      <c r="A680" s="142">
        <f t="shared" si="20"/>
        <v>12</v>
      </c>
      <c r="B680" s="157">
        <v>41620</v>
      </c>
      <c r="C680" s="158" t="s">
        <v>145</v>
      </c>
      <c r="D680" s="157">
        <v>41620</v>
      </c>
      <c r="E680" s="159" t="s">
        <v>187</v>
      </c>
      <c r="F680" s="159"/>
      <c r="G680" s="160" t="s">
        <v>192</v>
      </c>
      <c r="H680" s="161"/>
      <c r="I680" s="161">
        <v>10000</v>
      </c>
      <c r="J680" s="162">
        <f t="shared" si="19"/>
        <v>148476682</v>
      </c>
      <c r="K680" s="162"/>
    </row>
    <row r="681" spans="1:11" s="142" customFormat="1" ht="19.5" customHeight="1">
      <c r="A681" s="142">
        <f t="shared" si="20"/>
        <v>12</v>
      </c>
      <c r="B681" s="157">
        <v>41620</v>
      </c>
      <c r="C681" s="158" t="s">
        <v>145</v>
      </c>
      <c r="D681" s="157">
        <v>41620</v>
      </c>
      <c r="E681" s="159" t="s">
        <v>188</v>
      </c>
      <c r="F681" s="159"/>
      <c r="G681" s="160" t="s">
        <v>35</v>
      </c>
      <c r="H681" s="161"/>
      <c r="I681" s="161">
        <v>1000</v>
      </c>
      <c r="J681" s="162">
        <f t="shared" si="19"/>
        <v>148475682</v>
      </c>
      <c r="K681" s="162"/>
    </row>
    <row r="682" spans="1:11" s="142" customFormat="1" ht="19.5" customHeight="1">
      <c r="A682" s="142">
        <f t="shared" si="20"/>
        <v>12</v>
      </c>
      <c r="B682" s="157">
        <v>41620</v>
      </c>
      <c r="C682" s="158" t="s">
        <v>145</v>
      </c>
      <c r="D682" s="157">
        <v>41620</v>
      </c>
      <c r="E682" s="159" t="s">
        <v>478</v>
      </c>
      <c r="F682" s="159"/>
      <c r="G682" s="160" t="s">
        <v>34</v>
      </c>
      <c r="H682" s="161"/>
      <c r="I682" s="161">
        <v>70000000</v>
      </c>
      <c r="J682" s="162">
        <f t="shared" si="19"/>
        <v>78475682</v>
      </c>
      <c r="K682" s="162"/>
    </row>
    <row r="683" spans="1:11" s="142" customFormat="1" ht="19.5" customHeight="1">
      <c r="A683" s="142">
        <f t="shared" si="20"/>
        <v>12</v>
      </c>
      <c r="B683" s="157">
        <v>41620</v>
      </c>
      <c r="C683" s="158" t="s">
        <v>145</v>
      </c>
      <c r="D683" s="157">
        <v>41620</v>
      </c>
      <c r="E683" s="159" t="s">
        <v>187</v>
      </c>
      <c r="F683" s="159"/>
      <c r="G683" s="160" t="s">
        <v>192</v>
      </c>
      <c r="H683" s="161"/>
      <c r="I683" s="161">
        <v>35000</v>
      </c>
      <c r="J683" s="162">
        <f t="shared" si="19"/>
        <v>78440682</v>
      </c>
      <c r="K683" s="162"/>
    </row>
    <row r="684" spans="1:11" s="142" customFormat="1" ht="19.5" customHeight="1">
      <c r="A684" s="142">
        <f t="shared" si="20"/>
        <v>12</v>
      </c>
      <c r="B684" s="157">
        <v>41620</v>
      </c>
      <c r="C684" s="158" t="s">
        <v>145</v>
      </c>
      <c r="D684" s="157">
        <v>41620</v>
      </c>
      <c r="E684" s="159" t="s">
        <v>188</v>
      </c>
      <c r="F684" s="159"/>
      <c r="G684" s="160" t="s">
        <v>35</v>
      </c>
      <c r="H684" s="161"/>
      <c r="I684" s="161">
        <v>3500</v>
      </c>
      <c r="J684" s="162">
        <f t="shared" si="19"/>
        <v>78437182</v>
      </c>
      <c r="K684" s="162"/>
    </row>
    <row r="685" spans="1:11" s="142" customFormat="1" ht="19.5" customHeight="1">
      <c r="A685" s="142">
        <f t="shared" si="20"/>
        <v>12</v>
      </c>
      <c r="B685" s="157">
        <v>41620</v>
      </c>
      <c r="C685" s="158" t="s">
        <v>145</v>
      </c>
      <c r="D685" s="157">
        <v>41620</v>
      </c>
      <c r="E685" s="159" t="s">
        <v>694</v>
      </c>
      <c r="F685" s="159"/>
      <c r="G685" s="160" t="s">
        <v>34</v>
      </c>
      <c r="H685" s="161"/>
      <c r="I685" s="161">
        <v>47527920</v>
      </c>
      <c r="J685" s="162">
        <f t="shared" si="19"/>
        <v>30909262</v>
      </c>
      <c r="K685" s="162"/>
    </row>
    <row r="686" spans="1:11" s="142" customFormat="1" ht="19.5" customHeight="1">
      <c r="A686" s="142">
        <f t="shared" si="20"/>
        <v>12</v>
      </c>
      <c r="B686" s="157">
        <v>41620</v>
      </c>
      <c r="C686" s="158" t="s">
        <v>145</v>
      </c>
      <c r="D686" s="157">
        <v>41620</v>
      </c>
      <c r="E686" s="159" t="s">
        <v>187</v>
      </c>
      <c r="F686" s="159"/>
      <c r="G686" s="160" t="s">
        <v>192</v>
      </c>
      <c r="H686" s="161"/>
      <c r="I686" s="161">
        <v>23764</v>
      </c>
      <c r="J686" s="162">
        <f t="shared" si="19"/>
        <v>30885498</v>
      </c>
      <c r="K686" s="162"/>
    </row>
    <row r="687" spans="1:11" s="142" customFormat="1" ht="19.5" customHeight="1">
      <c r="A687" s="142">
        <f t="shared" si="20"/>
        <v>12</v>
      </c>
      <c r="B687" s="157">
        <v>41620</v>
      </c>
      <c r="C687" s="158" t="s">
        <v>145</v>
      </c>
      <c r="D687" s="157">
        <v>41620</v>
      </c>
      <c r="E687" s="159" t="s">
        <v>188</v>
      </c>
      <c r="F687" s="159"/>
      <c r="G687" s="160" t="s">
        <v>35</v>
      </c>
      <c r="H687" s="161"/>
      <c r="I687" s="161">
        <v>2376</v>
      </c>
      <c r="J687" s="162">
        <f t="shared" si="19"/>
        <v>30883122</v>
      </c>
      <c r="K687" s="162"/>
    </row>
    <row r="688" spans="1:11" s="142" customFormat="1" ht="19.5" customHeight="1">
      <c r="A688" s="142">
        <f t="shared" si="20"/>
        <v>12</v>
      </c>
      <c r="B688" s="157">
        <v>41625</v>
      </c>
      <c r="C688" s="158" t="s">
        <v>145</v>
      </c>
      <c r="D688" s="157">
        <v>41625</v>
      </c>
      <c r="E688" s="159" t="s">
        <v>248</v>
      </c>
      <c r="F688" s="159"/>
      <c r="G688" s="160" t="s">
        <v>147</v>
      </c>
      <c r="H688" s="161">
        <v>681594600</v>
      </c>
      <c r="I688" s="161"/>
      <c r="J688" s="162">
        <f t="shared" si="19"/>
        <v>712477722</v>
      </c>
      <c r="K688" s="162"/>
    </row>
    <row r="689" spans="1:11" s="142" customFormat="1" ht="19.5" customHeight="1">
      <c r="A689" s="142">
        <f t="shared" si="20"/>
        <v>12</v>
      </c>
      <c r="B689" s="157">
        <v>41625</v>
      </c>
      <c r="C689" s="158" t="s">
        <v>145</v>
      </c>
      <c r="D689" s="157">
        <v>41625</v>
      </c>
      <c r="E689" s="159" t="s">
        <v>248</v>
      </c>
      <c r="F689" s="159"/>
      <c r="G689" s="160" t="s">
        <v>147</v>
      </c>
      <c r="H689" s="161">
        <v>1198480000</v>
      </c>
      <c r="I689" s="161"/>
      <c r="J689" s="162">
        <f t="shared" si="19"/>
        <v>1910957722</v>
      </c>
      <c r="K689" s="162"/>
    </row>
    <row r="690" spans="1:11" s="142" customFormat="1" ht="19.5" customHeight="1">
      <c r="A690" s="142">
        <f t="shared" si="20"/>
        <v>12</v>
      </c>
      <c r="B690" s="157">
        <v>41626</v>
      </c>
      <c r="C690" s="158" t="s">
        <v>145</v>
      </c>
      <c r="D690" s="157">
        <v>41626</v>
      </c>
      <c r="E690" s="159" t="s">
        <v>695</v>
      </c>
      <c r="F690" s="159"/>
      <c r="G690" s="160" t="s">
        <v>192</v>
      </c>
      <c r="H690" s="161"/>
      <c r="I690" s="161">
        <v>30000</v>
      </c>
      <c r="J690" s="162">
        <f t="shared" si="19"/>
        <v>1910927722</v>
      </c>
      <c r="K690" s="162"/>
    </row>
    <row r="691" spans="1:11" s="142" customFormat="1" ht="19.5" customHeight="1">
      <c r="A691" s="142">
        <f t="shared" si="20"/>
        <v>12</v>
      </c>
      <c r="B691" s="157">
        <v>41626</v>
      </c>
      <c r="C691" s="158" t="s">
        <v>145</v>
      </c>
      <c r="D691" s="157">
        <v>41626</v>
      </c>
      <c r="E691" s="159" t="s">
        <v>696</v>
      </c>
      <c r="F691" s="159"/>
      <c r="G691" s="160" t="s">
        <v>35</v>
      </c>
      <c r="H691" s="161"/>
      <c r="I691" s="161">
        <v>3000</v>
      </c>
      <c r="J691" s="162">
        <f t="shared" si="19"/>
        <v>1910924722</v>
      </c>
      <c r="K691" s="162"/>
    </row>
    <row r="692" spans="1:11" s="142" customFormat="1" ht="19.5" customHeight="1">
      <c r="A692" s="142">
        <f t="shared" si="20"/>
        <v>12</v>
      </c>
      <c r="B692" s="157">
        <v>41626</v>
      </c>
      <c r="C692" s="158" t="s">
        <v>145</v>
      </c>
      <c r="D692" s="157">
        <v>41626</v>
      </c>
      <c r="E692" s="159" t="s">
        <v>262</v>
      </c>
      <c r="F692" s="159"/>
      <c r="G692" s="160" t="s">
        <v>192</v>
      </c>
      <c r="H692" s="161"/>
      <c r="I692" s="161">
        <v>30000</v>
      </c>
      <c r="J692" s="162">
        <f t="shared" si="19"/>
        <v>1910894722</v>
      </c>
      <c r="K692" s="162"/>
    </row>
    <row r="693" spans="1:11" s="142" customFormat="1" ht="19.5" customHeight="1">
      <c r="A693" s="142">
        <f t="shared" si="20"/>
        <v>12</v>
      </c>
      <c r="B693" s="157">
        <v>41626</v>
      </c>
      <c r="C693" s="158" t="s">
        <v>145</v>
      </c>
      <c r="D693" s="157">
        <v>41626</v>
      </c>
      <c r="E693" s="159" t="s">
        <v>263</v>
      </c>
      <c r="F693" s="159"/>
      <c r="G693" s="160" t="s">
        <v>35</v>
      </c>
      <c r="H693" s="161"/>
      <c r="I693" s="161">
        <v>3000</v>
      </c>
      <c r="J693" s="162">
        <f t="shared" si="19"/>
        <v>1910891722</v>
      </c>
      <c r="K693" s="162"/>
    </row>
    <row r="694" spans="1:11" s="142" customFormat="1" ht="19.5" customHeight="1">
      <c r="A694" s="142">
        <f t="shared" si="20"/>
        <v>12</v>
      </c>
      <c r="B694" s="157">
        <v>41626</v>
      </c>
      <c r="C694" s="158" t="s">
        <v>145</v>
      </c>
      <c r="D694" s="157">
        <v>41626</v>
      </c>
      <c r="E694" s="159" t="s">
        <v>262</v>
      </c>
      <c r="F694" s="159"/>
      <c r="G694" s="160" t="s">
        <v>192</v>
      </c>
      <c r="H694" s="161"/>
      <c r="I694" s="161">
        <v>30000</v>
      </c>
      <c r="J694" s="162">
        <f t="shared" si="19"/>
        <v>1910861722</v>
      </c>
      <c r="K694" s="162"/>
    </row>
    <row r="695" spans="1:11" s="142" customFormat="1" ht="19.5" customHeight="1">
      <c r="A695" s="142">
        <f t="shared" si="20"/>
        <v>12</v>
      </c>
      <c r="B695" s="157">
        <v>41626</v>
      </c>
      <c r="C695" s="158" t="s">
        <v>145</v>
      </c>
      <c r="D695" s="157">
        <v>41626</v>
      </c>
      <c r="E695" s="159" t="s">
        <v>263</v>
      </c>
      <c r="F695" s="159"/>
      <c r="G695" s="160" t="s">
        <v>35</v>
      </c>
      <c r="H695" s="161"/>
      <c r="I695" s="161">
        <v>3000</v>
      </c>
      <c r="J695" s="162">
        <f t="shared" si="19"/>
        <v>1910858722</v>
      </c>
      <c r="K695" s="162"/>
    </row>
    <row r="696" spans="1:11" s="142" customFormat="1" ht="19.5" customHeight="1">
      <c r="A696" s="142">
        <f t="shared" si="20"/>
        <v>12</v>
      </c>
      <c r="B696" s="157">
        <v>41626</v>
      </c>
      <c r="C696" s="158" t="s">
        <v>145</v>
      </c>
      <c r="D696" s="157">
        <v>41626</v>
      </c>
      <c r="E696" s="159" t="s">
        <v>253</v>
      </c>
      <c r="F696" s="159"/>
      <c r="G696" s="160" t="s">
        <v>192</v>
      </c>
      <c r="H696" s="161"/>
      <c r="I696" s="161">
        <v>30000</v>
      </c>
      <c r="J696" s="162">
        <f t="shared" si="19"/>
        <v>1910828722</v>
      </c>
      <c r="K696" s="162"/>
    </row>
    <row r="697" spans="1:11" s="142" customFormat="1" ht="19.5" customHeight="1">
      <c r="A697" s="142">
        <f t="shared" si="20"/>
        <v>12</v>
      </c>
      <c r="B697" s="157">
        <v>41626</v>
      </c>
      <c r="C697" s="158" t="s">
        <v>145</v>
      </c>
      <c r="D697" s="157">
        <v>41626</v>
      </c>
      <c r="E697" s="159" t="s">
        <v>254</v>
      </c>
      <c r="F697" s="159"/>
      <c r="G697" s="160" t="s">
        <v>35</v>
      </c>
      <c r="H697" s="161"/>
      <c r="I697" s="161">
        <v>3000</v>
      </c>
      <c r="J697" s="162">
        <f t="shared" si="19"/>
        <v>1910825722</v>
      </c>
      <c r="K697" s="162"/>
    </row>
    <row r="698" spans="1:11" s="142" customFormat="1" ht="19.5" customHeight="1">
      <c r="A698" s="142">
        <f t="shared" si="20"/>
        <v>12</v>
      </c>
      <c r="B698" s="157">
        <v>41626</v>
      </c>
      <c r="C698" s="158" t="s">
        <v>145</v>
      </c>
      <c r="D698" s="157">
        <v>41626</v>
      </c>
      <c r="E698" s="159" t="s">
        <v>253</v>
      </c>
      <c r="F698" s="159"/>
      <c r="G698" s="160" t="s">
        <v>192</v>
      </c>
      <c r="H698" s="161"/>
      <c r="I698" s="161">
        <v>30000</v>
      </c>
      <c r="J698" s="162">
        <f t="shared" si="19"/>
        <v>1910795722</v>
      </c>
      <c r="K698" s="162"/>
    </row>
    <row r="699" spans="1:11" s="142" customFormat="1" ht="19.5" customHeight="1">
      <c r="A699" s="142">
        <f t="shared" si="20"/>
        <v>12</v>
      </c>
      <c r="B699" s="157">
        <v>41626</v>
      </c>
      <c r="C699" s="158" t="s">
        <v>145</v>
      </c>
      <c r="D699" s="157">
        <v>41626</v>
      </c>
      <c r="E699" s="159" t="s">
        <v>254</v>
      </c>
      <c r="F699" s="159"/>
      <c r="G699" s="160" t="s">
        <v>35</v>
      </c>
      <c r="H699" s="161"/>
      <c r="I699" s="161">
        <v>3000</v>
      </c>
      <c r="J699" s="162">
        <f t="shared" si="19"/>
        <v>1910792722</v>
      </c>
      <c r="K699" s="162"/>
    </row>
    <row r="700" spans="1:11" s="142" customFormat="1" ht="19.5" customHeight="1">
      <c r="A700" s="142">
        <f t="shared" si="20"/>
        <v>12</v>
      </c>
      <c r="B700" s="157">
        <v>41626</v>
      </c>
      <c r="C700" s="158" t="s">
        <v>145</v>
      </c>
      <c r="D700" s="157">
        <v>41626</v>
      </c>
      <c r="E700" s="159" t="s">
        <v>253</v>
      </c>
      <c r="F700" s="159"/>
      <c r="G700" s="160" t="s">
        <v>192</v>
      </c>
      <c r="H700" s="161"/>
      <c r="I700" s="161">
        <v>30000</v>
      </c>
      <c r="J700" s="162">
        <f t="shared" si="19"/>
        <v>1910762722</v>
      </c>
      <c r="K700" s="162"/>
    </row>
    <row r="701" spans="1:11" s="142" customFormat="1" ht="19.5" customHeight="1">
      <c r="A701" s="142">
        <f t="shared" si="20"/>
        <v>12</v>
      </c>
      <c r="B701" s="157">
        <v>41626</v>
      </c>
      <c r="C701" s="158" t="s">
        <v>145</v>
      </c>
      <c r="D701" s="157">
        <v>41626</v>
      </c>
      <c r="E701" s="159" t="s">
        <v>254</v>
      </c>
      <c r="F701" s="159"/>
      <c r="G701" s="160" t="s">
        <v>35</v>
      </c>
      <c r="H701" s="161"/>
      <c r="I701" s="161">
        <v>3000</v>
      </c>
      <c r="J701" s="162">
        <f t="shared" si="19"/>
        <v>1910759722</v>
      </c>
      <c r="K701" s="162"/>
    </row>
    <row r="702" spans="1:11" s="142" customFormat="1" ht="19.5" customHeight="1">
      <c r="A702" s="142">
        <f t="shared" si="20"/>
        <v>12</v>
      </c>
      <c r="B702" s="157">
        <v>41626</v>
      </c>
      <c r="C702" s="158" t="s">
        <v>484</v>
      </c>
      <c r="D702" s="157">
        <v>41626</v>
      </c>
      <c r="E702" s="159" t="s">
        <v>697</v>
      </c>
      <c r="F702" s="159"/>
      <c r="G702" s="160" t="s">
        <v>144</v>
      </c>
      <c r="H702" s="161"/>
      <c r="I702" s="161">
        <v>1910000000</v>
      </c>
      <c r="J702" s="162">
        <f t="shared" si="19"/>
        <v>759722</v>
      </c>
      <c r="K702" s="162"/>
    </row>
    <row r="703" spans="1:11" s="142" customFormat="1" ht="19.5" customHeight="1">
      <c r="A703" s="142">
        <f t="shared" si="20"/>
        <v>12</v>
      </c>
      <c r="B703" s="157">
        <v>41627</v>
      </c>
      <c r="C703" s="158" t="s">
        <v>486</v>
      </c>
      <c r="D703" s="157">
        <v>41627</v>
      </c>
      <c r="E703" s="159" t="s">
        <v>195</v>
      </c>
      <c r="F703" s="159"/>
      <c r="G703" s="160" t="s">
        <v>144</v>
      </c>
      <c r="H703" s="161">
        <v>155000000</v>
      </c>
      <c r="I703" s="161"/>
      <c r="J703" s="162">
        <f t="shared" si="19"/>
        <v>155759722</v>
      </c>
      <c r="K703" s="162"/>
    </row>
    <row r="704" spans="1:11" s="142" customFormat="1" ht="19.5" customHeight="1">
      <c r="A704" s="142">
        <f t="shared" si="20"/>
        <v>12</v>
      </c>
      <c r="B704" s="157">
        <v>41627</v>
      </c>
      <c r="C704" s="158" t="s">
        <v>145</v>
      </c>
      <c r="D704" s="157">
        <v>41627</v>
      </c>
      <c r="E704" s="159" t="s">
        <v>698</v>
      </c>
      <c r="F704" s="159"/>
      <c r="G704" s="160" t="s">
        <v>150</v>
      </c>
      <c r="H704" s="161"/>
      <c r="I704" s="161">
        <v>10587428</v>
      </c>
      <c r="J704" s="162">
        <f t="shared" si="19"/>
        <v>145172294</v>
      </c>
      <c r="K704" s="162"/>
    </row>
    <row r="705" spans="1:11" s="142" customFormat="1" ht="19.5" customHeight="1">
      <c r="A705" s="142">
        <f t="shared" si="20"/>
        <v>12</v>
      </c>
      <c r="B705" s="157">
        <v>41627</v>
      </c>
      <c r="C705" s="158" t="s">
        <v>145</v>
      </c>
      <c r="D705" s="157">
        <v>41627</v>
      </c>
      <c r="E705" s="159" t="s">
        <v>699</v>
      </c>
      <c r="F705" s="159"/>
      <c r="G705" s="160" t="s">
        <v>150</v>
      </c>
      <c r="H705" s="161"/>
      <c r="I705" s="161">
        <v>10873460</v>
      </c>
      <c r="J705" s="162">
        <f t="shared" si="19"/>
        <v>134298834</v>
      </c>
      <c r="K705" s="162"/>
    </row>
    <row r="706" spans="1:11" s="142" customFormat="1" ht="19.5" customHeight="1">
      <c r="A706" s="142">
        <f t="shared" si="20"/>
        <v>12</v>
      </c>
      <c r="B706" s="157">
        <v>41627</v>
      </c>
      <c r="C706" s="158" t="s">
        <v>145</v>
      </c>
      <c r="D706" s="157">
        <v>41627</v>
      </c>
      <c r="E706" s="159" t="s">
        <v>700</v>
      </c>
      <c r="F706" s="159"/>
      <c r="G706" s="160" t="s">
        <v>150</v>
      </c>
      <c r="H706" s="161"/>
      <c r="I706" s="161">
        <v>11216741</v>
      </c>
      <c r="J706" s="162">
        <f t="shared" si="19"/>
        <v>123082093</v>
      </c>
      <c r="K706" s="162"/>
    </row>
    <row r="707" spans="1:11" s="142" customFormat="1" ht="19.5" customHeight="1">
      <c r="A707" s="142">
        <f t="shared" si="20"/>
        <v>12</v>
      </c>
      <c r="B707" s="157">
        <v>41627</v>
      </c>
      <c r="C707" s="158" t="s">
        <v>145</v>
      </c>
      <c r="D707" s="157">
        <v>41627</v>
      </c>
      <c r="E707" s="159" t="s">
        <v>701</v>
      </c>
      <c r="F707" s="159"/>
      <c r="G707" s="160" t="s">
        <v>150</v>
      </c>
      <c r="H707" s="161"/>
      <c r="I707" s="161">
        <v>10915921</v>
      </c>
      <c r="J707" s="162">
        <f t="shared" si="19"/>
        <v>112166172</v>
      </c>
      <c r="K707" s="162"/>
    </row>
    <row r="708" spans="1:11" s="142" customFormat="1" ht="19.5" customHeight="1">
      <c r="A708" s="142">
        <f t="shared" si="20"/>
        <v>12</v>
      </c>
      <c r="B708" s="157">
        <v>41627</v>
      </c>
      <c r="C708" s="158" t="s">
        <v>145</v>
      </c>
      <c r="D708" s="157">
        <v>41627</v>
      </c>
      <c r="E708" s="159" t="s">
        <v>702</v>
      </c>
      <c r="F708" s="159"/>
      <c r="G708" s="160" t="s">
        <v>150</v>
      </c>
      <c r="H708" s="161"/>
      <c r="I708" s="161">
        <v>10358433</v>
      </c>
      <c r="J708" s="162">
        <f t="shared" si="19"/>
        <v>101807739</v>
      </c>
      <c r="K708" s="162"/>
    </row>
    <row r="709" spans="1:11" s="142" customFormat="1" ht="19.5" customHeight="1">
      <c r="A709" s="142">
        <f t="shared" si="20"/>
        <v>12</v>
      </c>
      <c r="B709" s="157">
        <v>41627</v>
      </c>
      <c r="C709" s="158" t="s">
        <v>145</v>
      </c>
      <c r="D709" s="157">
        <v>41627</v>
      </c>
      <c r="E709" s="159" t="s">
        <v>703</v>
      </c>
      <c r="F709" s="159"/>
      <c r="G709" s="160" t="s">
        <v>34</v>
      </c>
      <c r="H709" s="161"/>
      <c r="I709" s="161">
        <v>100000000</v>
      </c>
      <c r="J709" s="162">
        <f t="shared" si="19"/>
        <v>1807739</v>
      </c>
      <c r="K709" s="162"/>
    </row>
    <row r="710" spans="1:11" s="142" customFormat="1" ht="19.5" customHeight="1">
      <c r="A710" s="142">
        <f t="shared" si="20"/>
        <v>12</v>
      </c>
      <c r="B710" s="157">
        <v>41627</v>
      </c>
      <c r="C710" s="158" t="s">
        <v>145</v>
      </c>
      <c r="D710" s="157">
        <v>41627</v>
      </c>
      <c r="E710" s="159" t="s">
        <v>187</v>
      </c>
      <c r="F710" s="159"/>
      <c r="G710" s="160" t="s">
        <v>192</v>
      </c>
      <c r="H710" s="161"/>
      <c r="I710" s="161">
        <v>10000</v>
      </c>
      <c r="J710" s="162">
        <f t="shared" si="19"/>
        <v>1797739</v>
      </c>
      <c r="K710" s="162"/>
    </row>
    <row r="711" spans="1:11" s="142" customFormat="1" ht="19.5" customHeight="1">
      <c r="A711" s="142">
        <f t="shared" si="20"/>
        <v>12</v>
      </c>
      <c r="B711" s="157">
        <v>41627</v>
      </c>
      <c r="C711" s="158" t="s">
        <v>145</v>
      </c>
      <c r="D711" s="157">
        <v>41627</v>
      </c>
      <c r="E711" s="159" t="s">
        <v>188</v>
      </c>
      <c r="F711" s="159"/>
      <c r="G711" s="160" t="s">
        <v>35</v>
      </c>
      <c r="H711" s="161"/>
      <c r="I711" s="161">
        <v>1000</v>
      </c>
      <c r="J711" s="162">
        <f t="shared" si="19"/>
        <v>1796739</v>
      </c>
      <c r="K711" s="162"/>
    </row>
    <row r="712" spans="1:11" s="142" customFormat="1" ht="19.5" customHeight="1">
      <c r="A712" s="142">
        <f t="shared" si="20"/>
        <v>12</v>
      </c>
      <c r="B712" s="157">
        <v>41631</v>
      </c>
      <c r="C712" s="158" t="s">
        <v>486</v>
      </c>
      <c r="D712" s="157">
        <v>41631</v>
      </c>
      <c r="E712" s="159" t="s">
        <v>195</v>
      </c>
      <c r="F712" s="159"/>
      <c r="G712" s="160" t="s">
        <v>144</v>
      </c>
      <c r="H712" s="161">
        <v>60000000</v>
      </c>
      <c r="I712" s="161"/>
      <c r="J712" s="162">
        <f t="shared" si="19"/>
        <v>61796739</v>
      </c>
      <c r="K712" s="162"/>
    </row>
    <row r="713" spans="1:11" s="142" customFormat="1" ht="19.5" customHeight="1">
      <c r="A713" s="142">
        <f t="shared" si="20"/>
        <v>12</v>
      </c>
      <c r="B713" s="157">
        <v>41631</v>
      </c>
      <c r="C713" s="158" t="s">
        <v>145</v>
      </c>
      <c r="D713" s="157">
        <v>41631</v>
      </c>
      <c r="E713" s="159" t="s">
        <v>617</v>
      </c>
      <c r="F713" s="159"/>
      <c r="G713" s="160" t="s">
        <v>34</v>
      </c>
      <c r="H713" s="161"/>
      <c r="I713" s="161">
        <v>60000000</v>
      </c>
      <c r="J713" s="162">
        <f t="shared" si="19"/>
        <v>1796739</v>
      </c>
      <c r="K713" s="162"/>
    </row>
    <row r="714" spans="1:11" s="142" customFormat="1" ht="19.5" customHeight="1">
      <c r="A714" s="142">
        <f t="shared" si="20"/>
        <v>12</v>
      </c>
      <c r="B714" s="157">
        <v>41631</v>
      </c>
      <c r="C714" s="158" t="s">
        <v>145</v>
      </c>
      <c r="D714" s="157">
        <v>41631</v>
      </c>
      <c r="E714" s="159" t="s">
        <v>187</v>
      </c>
      <c r="F714" s="159"/>
      <c r="G714" s="160" t="s">
        <v>192</v>
      </c>
      <c r="H714" s="161"/>
      <c r="I714" s="161">
        <v>17461</v>
      </c>
      <c r="J714" s="162">
        <f t="shared" si="19"/>
        <v>1779278</v>
      </c>
      <c r="K714" s="162"/>
    </row>
    <row r="715" spans="1:11" s="142" customFormat="1" ht="19.5" customHeight="1">
      <c r="A715" s="142">
        <f t="shared" si="20"/>
        <v>12</v>
      </c>
      <c r="B715" s="157">
        <v>41631</v>
      </c>
      <c r="C715" s="158" t="s">
        <v>145</v>
      </c>
      <c r="D715" s="157">
        <v>41631</v>
      </c>
      <c r="E715" s="159" t="s">
        <v>188</v>
      </c>
      <c r="F715" s="159"/>
      <c r="G715" s="160" t="s">
        <v>35</v>
      </c>
      <c r="H715" s="161"/>
      <c r="I715" s="161">
        <v>1746</v>
      </c>
      <c r="J715" s="162">
        <f t="shared" si="19"/>
        <v>1777532</v>
      </c>
      <c r="K715" s="162"/>
    </row>
    <row r="716" spans="1:11" s="142" customFormat="1" ht="19.5" customHeight="1">
      <c r="A716" s="142">
        <f t="shared" si="20"/>
        <v>12</v>
      </c>
      <c r="B716" s="157">
        <v>41632</v>
      </c>
      <c r="C716" s="158" t="s">
        <v>148</v>
      </c>
      <c r="D716" s="157">
        <v>41632</v>
      </c>
      <c r="E716" s="159" t="s">
        <v>157</v>
      </c>
      <c r="F716" s="159"/>
      <c r="G716" s="160" t="s">
        <v>158</v>
      </c>
      <c r="H716" s="161">
        <v>55703</v>
      </c>
      <c r="I716" s="161"/>
      <c r="J716" s="162">
        <f t="shared" si="19"/>
        <v>1833235</v>
      </c>
      <c r="K716" s="162"/>
    </row>
    <row r="717" spans="1:11" s="142" customFormat="1" ht="19.5" customHeight="1">
      <c r="A717" s="142">
        <f t="shared" si="20"/>
        <v>12</v>
      </c>
      <c r="B717" s="157">
        <v>41635</v>
      </c>
      <c r="C717" s="158" t="s">
        <v>145</v>
      </c>
      <c r="D717" s="157">
        <v>41635</v>
      </c>
      <c r="E717" s="159" t="s">
        <v>248</v>
      </c>
      <c r="F717" s="159"/>
      <c r="G717" s="160" t="s">
        <v>147</v>
      </c>
      <c r="H717" s="161">
        <v>1499214600</v>
      </c>
      <c r="I717" s="161"/>
      <c r="J717" s="162">
        <f t="shared" si="19"/>
        <v>1501047835</v>
      </c>
      <c r="K717" s="162"/>
    </row>
    <row r="718" spans="1:11" s="142" customFormat="1" ht="19.5" customHeight="1">
      <c r="A718" s="142">
        <f t="shared" si="20"/>
        <v>12</v>
      </c>
      <c r="B718" s="157">
        <v>41635</v>
      </c>
      <c r="C718" s="158" t="s">
        <v>145</v>
      </c>
      <c r="D718" s="157">
        <v>41635</v>
      </c>
      <c r="E718" s="159" t="s">
        <v>307</v>
      </c>
      <c r="F718" s="159"/>
      <c r="G718" s="160" t="s">
        <v>34</v>
      </c>
      <c r="H718" s="161"/>
      <c r="I718" s="161">
        <v>29557110</v>
      </c>
      <c r="J718" s="162">
        <f t="shared" si="19"/>
        <v>1471490725</v>
      </c>
      <c r="K718" s="162"/>
    </row>
    <row r="719" spans="1:11" s="142" customFormat="1" ht="19.5" customHeight="1">
      <c r="A719" s="142">
        <f t="shared" si="20"/>
        <v>12</v>
      </c>
      <c r="B719" s="157">
        <v>41635</v>
      </c>
      <c r="C719" s="158" t="s">
        <v>145</v>
      </c>
      <c r="D719" s="157">
        <v>41635</v>
      </c>
      <c r="E719" s="159" t="s">
        <v>187</v>
      </c>
      <c r="F719" s="159"/>
      <c r="G719" s="160" t="s">
        <v>192</v>
      </c>
      <c r="H719" s="161"/>
      <c r="I719" s="161">
        <v>20000</v>
      </c>
      <c r="J719" s="162">
        <f t="shared" ref="J719:J729" si="21">IF(B719&lt;&gt;"",J718+H719-I719,0)</f>
        <v>1471470725</v>
      </c>
      <c r="K719" s="162"/>
    </row>
    <row r="720" spans="1:11" s="142" customFormat="1" ht="19.5" customHeight="1">
      <c r="A720" s="142">
        <f t="shared" si="20"/>
        <v>12</v>
      </c>
      <c r="B720" s="157">
        <v>41635</v>
      </c>
      <c r="C720" s="158" t="s">
        <v>145</v>
      </c>
      <c r="D720" s="157">
        <v>41635</v>
      </c>
      <c r="E720" s="159" t="s">
        <v>188</v>
      </c>
      <c r="F720" s="159"/>
      <c r="G720" s="160" t="s">
        <v>35</v>
      </c>
      <c r="H720" s="161"/>
      <c r="I720" s="161">
        <v>2000</v>
      </c>
      <c r="J720" s="162">
        <f t="shared" si="21"/>
        <v>1471468725</v>
      </c>
      <c r="K720" s="162"/>
    </row>
    <row r="721" spans="1:12" s="142" customFormat="1" ht="19.5" customHeight="1">
      <c r="A721" s="142">
        <f t="shared" si="20"/>
        <v>12</v>
      </c>
      <c r="B721" s="157">
        <v>41635</v>
      </c>
      <c r="C721" s="158" t="s">
        <v>145</v>
      </c>
      <c r="D721" s="157">
        <v>41635</v>
      </c>
      <c r="E721" s="159" t="s">
        <v>704</v>
      </c>
      <c r="F721" s="159"/>
      <c r="G721" s="160" t="s">
        <v>34</v>
      </c>
      <c r="H721" s="161"/>
      <c r="I721" s="161">
        <v>780000</v>
      </c>
      <c r="J721" s="162">
        <f t="shared" si="21"/>
        <v>1470688725</v>
      </c>
      <c r="K721" s="162"/>
    </row>
    <row r="722" spans="1:12" s="142" customFormat="1" ht="19.5" customHeight="1">
      <c r="A722" s="142">
        <f t="shared" si="20"/>
        <v>12</v>
      </c>
      <c r="B722" s="157">
        <v>41635</v>
      </c>
      <c r="C722" s="158" t="s">
        <v>145</v>
      </c>
      <c r="D722" s="157">
        <v>41635</v>
      </c>
      <c r="E722" s="159" t="s">
        <v>187</v>
      </c>
      <c r="F722" s="159"/>
      <c r="G722" s="160" t="s">
        <v>192</v>
      </c>
      <c r="H722" s="161"/>
      <c r="I722" s="161">
        <v>10000</v>
      </c>
      <c r="J722" s="162">
        <f t="shared" si="21"/>
        <v>1470678725</v>
      </c>
      <c r="K722" s="162"/>
    </row>
    <row r="723" spans="1:12" s="142" customFormat="1" ht="19.5" customHeight="1">
      <c r="A723" s="142">
        <f t="shared" si="20"/>
        <v>12</v>
      </c>
      <c r="B723" s="157">
        <v>41635</v>
      </c>
      <c r="C723" s="158" t="s">
        <v>145</v>
      </c>
      <c r="D723" s="157">
        <v>41635</v>
      </c>
      <c r="E723" s="159" t="s">
        <v>188</v>
      </c>
      <c r="F723" s="159"/>
      <c r="G723" s="160" t="s">
        <v>35</v>
      </c>
      <c r="H723" s="161"/>
      <c r="I723" s="161">
        <v>1000</v>
      </c>
      <c r="J723" s="162">
        <f t="shared" si="21"/>
        <v>1470677725</v>
      </c>
      <c r="K723" s="162"/>
    </row>
    <row r="724" spans="1:12" s="142" customFormat="1" ht="19.5" customHeight="1">
      <c r="A724" s="142">
        <f t="shared" si="20"/>
        <v>12</v>
      </c>
      <c r="B724" s="157">
        <v>41635</v>
      </c>
      <c r="C724" s="158" t="s">
        <v>145</v>
      </c>
      <c r="D724" s="157">
        <v>41635</v>
      </c>
      <c r="E724" s="159" t="s">
        <v>704</v>
      </c>
      <c r="F724" s="159"/>
      <c r="G724" s="160" t="s">
        <v>34</v>
      </c>
      <c r="H724" s="161"/>
      <c r="I724" s="161">
        <v>220000</v>
      </c>
      <c r="J724" s="162">
        <f t="shared" si="21"/>
        <v>1470457725</v>
      </c>
      <c r="K724" s="162"/>
    </row>
    <row r="725" spans="1:12" s="142" customFormat="1" ht="19.5" customHeight="1">
      <c r="A725" s="142">
        <f t="shared" si="20"/>
        <v>12</v>
      </c>
      <c r="B725" s="157">
        <v>41635</v>
      </c>
      <c r="C725" s="158" t="s">
        <v>145</v>
      </c>
      <c r="D725" s="157">
        <v>41635</v>
      </c>
      <c r="E725" s="159" t="s">
        <v>187</v>
      </c>
      <c r="F725" s="159"/>
      <c r="G725" s="160" t="s">
        <v>192</v>
      </c>
      <c r="H725" s="161"/>
      <c r="I725" s="161">
        <v>10000</v>
      </c>
      <c r="J725" s="162">
        <f t="shared" si="21"/>
        <v>1470447725</v>
      </c>
      <c r="K725" s="162"/>
    </row>
    <row r="726" spans="1:12" s="142" customFormat="1" ht="19.5" customHeight="1">
      <c r="A726" s="142">
        <f t="shared" si="20"/>
        <v>12</v>
      </c>
      <c r="B726" s="157">
        <v>41635</v>
      </c>
      <c r="C726" s="158" t="s">
        <v>145</v>
      </c>
      <c r="D726" s="157">
        <v>41635</v>
      </c>
      <c r="E726" s="159" t="s">
        <v>188</v>
      </c>
      <c r="F726" s="159"/>
      <c r="G726" s="160" t="s">
        <v>35</v>
      </c>
      <c r="H726" s="161"/>
      <c r="I726" s="161">
        <v>1000</v>
      </c>
      <c r="J726" s="162">
        <f t="shared" si="21"/>
        <v>1470446725</v>
      </c>
      <c r="K726" s="162"/>
    </row>
    <row r="727" spans="1:12" s="142" customFormat="1" ht="19.5" customHeight="1">
      <c r="A727" s="142">
        <f t="shared" si="20"/>
        <v>12</v>
      </c>
      <c r="B727" s="157">
        <v>41635</v>
      </c>
      <c r="C727" s="158" t="s">
        <v>484</v>
      </c>
      <c r="D727" s="157">
        <v>41635</v>
      </c>
      <c r="E727" s="159" t="s">
        <v>697</v>
      </c>
      <c r="F727" s="159"/>
      <c r="G727" s="160" t="s">
        <v>144</v>
      </c>
      <c r="H727" s="161"/>
      <c r="I727" s="161">
        <v>1400000000</v>
      </c>
      <c r="J727" s="162">
        <f t="shared" si="21"/>
        <v>70446725</v>
      </c>
      <c r="K727" s="162"/>
    </row>
    <row r="728" spans="1:12" s="142" customFormat="1" ht="19.5" customHeight="1">
      <c r="A728" s="142">
        <f t="shared" si="20"/>
        <v>12</v>
      </c>
      <c r="B728" s="157">
        <v>41638</v>
      </c>
      <c r="C728" s="158" t="s">
        <v>145</v>
      </c>
      <c r="D728" s="157">
        <v>41639</v>
      </c>
      <c r="E728" s="159" t="s">
        <v>617</v>
      </c>
      <c r="F728" s="159"/>
      <c r="G728" s="160" t="s">
        <v>34</v>
      </c>
      <c r="H728" s="161"/>
      <c r="I728" s="161">
        <v>70000000</v>
      </c>
      <c r="J728" s="162">
        <f t="shared" si="21"/>
        <v>446725</v>
      </c>
      <c r="K728" s="162"/>
    </row>
    <row r="729" spans="1:12" s="142" customFormat="1" ht="19.5" customHeight="1">
      <c r="A729" s="142">
        <f t="shared" ref="A729:A730" si="22">IF(B729&lt;&gt;"",MONTH(B729),"")</f>
        <v>12</v>
      </c>
      <c r="B729" s="157">
        <v>41639</v>
      </c>
      <c r="C729" s="158" t="s">
        <v>148</v>
      </c>
      <c r="D729" s="157">
        <v>41639</v>
      </c>
      <c r="E729" s="159" t="s">
        <v>491</v>
      </c>
      <c r="F729" s="159"/>
      <c r="G729" s="160" t="s">
        <v>56</v>
      </c>
      <c r="H729" s="161">
        <v>100000000</v>
      </c>
      <c r="I729" s="161"/>
      <c r="J729" s="162">
        <f t="shared" si="21"/>
        <v>100446725</v>
      </c>
      <c r="K729" s="162"/>
    </row>
    <row r="730" spans="1:12" s="125" customFormat="1" ht="19.5" customHeight="1">
      <c r="A730" s="142" t="str">
        <f t="shared" si="22"/>
        <v/>
      </c>
      <c r="B730" s="163"/>
      <c r="C730" s="164"/>
      <c r="D730" s="163"/>
      <c r="E730" s="165"/>
      <c r="F730" s="165"/>
      <c r="G730" s="164"/>
      <c r="H730" s="166"/>
      <c r="I730" s="166"/>
      <c r="J730" s="167"/>
      <c r="K730" s="162"/>
    </row>
    <row r="731" spans="1:12" s="142" customFormat="1" ht="19.5" customHeight="1">
      <c r="A731" s="142" t="str">
        <f>IF(B731&lt;&gt;"",MONTH(B731),"")</f>
        <v/>
      </c>
      <c r="B731" s="168"/>
      <c r="C731" s="169"/>
      <c r="D731" s="168"/>
      <c r="E731" s="153" t="s">
        <v>29</v>
      </c>
      <c r="F731" s="153"/>
      <c r="G731" s="170"/>
      <c r="H731" s="171">
        <f>SUM(H12:H730)</f>
        <v>69796497874</v>
      </c>
      <c r="I731" s="171">
        <f>SUM(I12:I730)</f>
        <v>70163139814</v>
      </c>
      <c r="J731" s="171">
        <f>J11+H731-I731</f>
        <v>100446725</v>
      </c>
      <c r="K731" s="170"/>
    </row>
    <row r="732" spans="1:12" s="142" customFormat="1" ht="19.5" customHeight="1">
      <c r="A732" s="142" t="str">
        <f>IF(B732&lt;&gt;"",MONTH(B732),"")</f>
        <v/>
      </c>
      <c r="B732" s="168"/>
      <c r="C732" s="169"/>
      <c r="D732" s="168"/>
      <c r="E732" s="153" t="s">
        <v>161</v>
      </c>
      <c r="F732" s="153"/>
      <c r="G732" s="170"/>
      <c r="H732" s="153"/>
      <c r="I732" s="153"/>
      <c r="J732" s="171">
        <f>J731</f>
        <v>100446725</v>
      </c>
      <c r="K732" s="170"/>
      <c r="L732" s="155"/>
    </row>
    <row r="733" spans="1:12" s="125" customFormat="1" ht="22.5" customHeight="1">
      <c r="B733" s="172" t="s">
        <v>162</v>
      </c>
      <c r="C733" s="173"/>
      <c r="D733" s="128"/>
      <c r="E733" s="129"/>
      <c r="F733" s="129"/>
      <c r="H733" s="174"/>
      <c r="I733" s="174"/>
    </row>
    <row r="734" spans="1:12" s="125" customFormat="1" ht="15">
      <c r="B734" s="175" t="s">
        <v>705</v>
      </c>
      <c r="C734" s="132"/>
      <c r="D734" s="128"/>
      <c r="E734" s="129"/>
      <c r="F734" s="129"/>
    </row>
    <row r="735" spans="1:12" s="125" customFormat="1" ht="15">
      <c r="B735" s="176"/>
      <c r="C735" s="127"/>
      <c r="D735" s="177"/>
      <c r="E735" s="129"/>
      <c r="F735" s="129"/>
      <c r="I735" s="409" t="s">
        <v>706</v>
      </c>
      <c r="J735" s="409"/>
      <c r="K735" s="409"/>
    </row>
    <row r="736" spans="1:12" s="125" customFormat="1" ht="17.25" customHeight="1">
      <c r="B736" s="410" t="s">
        <v>33</v>
      </c>
      <c r="C736" s="410"/>
      <c r="D736" s="178"/>
      <c r="E736" s="129"/>
      <c r="F736" s="129"/>
      <c r="G736" s="138" t="s">
        <v>13</v>
      </c>
      <c r="H736" s="130"/>
      <c r="I736" s="127"/>
      <c r="J736" s="179" t="s">
        <v>14</v>
      </c>
      <c r="K736" s="179"/>
      <c r="L736" s="180"/>
    </row>
    <row r="737" spans="2:12" s="125" customFormat="1" ht="15">
      <c r="B737" s="411" t="s">
        <v>15</v>
      </c>
      <c r="C737" s="411"/>
      <c r="D737" s="181"/>
      <c r="E737" s="129"/>
      <c r="F737" s="129"/>
      <c r="G737" s="136" t="s">
        <v>15</v>
      </c>
      <c r="H737" s="132"/>
      <c r="I737" s="411" t="s">
        <v>16</v>
      </c>
      <c r="J737" s="411"/>
      <c r="K737" s="411"/>
      <c r="L737" s="129"/>
    </row>
  </sheetData>
  <autoFilter ref="A10:N737">
    <filterColumn colId="0"/>
    <filterColumn colId="6"/>
  </autoFilter>
  <mergeCells count="18">
    <mergeCell ref="A8:A9"/>
    <mergeCell ref="B2:E3"/>
    <mergeCell ref="I1:K1"/>
    <mergeCell ref="I2:K2"/>
    <mergeCell ref="I3:K3"/>
    <mergeCell ref="B4:K4"/>
    <mergeCell ref="B5:K5"/>
    <mergeCell ref="B6:K6"/>
    <mergeCell ref="B8:B9"/>
    <mergeCell ref="C8:D8"/>
    <mergeCell ref="I735:K735"/>
    <mergeCell ref="B736:C736"/>
    <mergeCell ref="B737:C737"/>
    <mergeCell ref="I737:K737"/>
    <mergeCell ref="E8:E9"/>
    <mergeCell ref="H8:J8"/>
    <mergeCell ref="K8:K9"/>
    <mergeCell ref="G8:G9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indexed="10"/>
  </sheetPr>
  <dimension ref="A1:N359"/>
  <sheetViews>
    <sheetView topLeftCell="A8" workbookViewId="0">
      <pane ySplit="4" topLeftCell="A12" activePane="bottomLeft" state="frozen"/>
      <selection activeCell="A8" sqref="A8"/>
      <selection pane="bottomLeft" activeCell="F20" sqref="F20"/>
    </sheetView>
  </sheetViews>
  <sheetFormatPr defaultRowHeight="15.75"/>
  <cols>
    <col min="1" max="1" width="4.140625" style="235" customWidth="1"/>
    <col min="2" max="2" width="10.5703125" style="235" customWidth="1"/>
    <col min="3" max="3" width="6.140625" style="236" customWidth="1"/>
    <col min="4" max="4" width="9.85546875" style="235" customWidth="1"/>
    <col min="5" max="5" width="30.7109375" style="235" customWidth="1"/>
    <col min="6" max="6" width="14.28515625" style="235" customWidth="1"/>
    <col min="7" max="7" width="6.42578125" style="235" customWidth="1"/>
    <col min="8" max="8" width="7.7109375" style="237" customWidth="1"/>
    <col min="9" max="9" width="12.140625" style="238" customWidth="1"/>
    <col min="10" max="10" width="13.28515625" style="238" customWidth="1"/>
    <col min="11" max="11" width="13.5703125" style="238" customWidth="1"/>
    <col min="12" max="12" width="7" style="235" customWidth="1"/>
    <col min="13" max="13" width="11.7109375" style="235" customWidth="1"/>
    <col min="14" max="14" width="12" style="235" bestFit="1" customWidth="1"/>
    <col min="15" max="16384" width="9.140625" style="235"/>
  </cols>
  <sheetData>
    <row r="1" spans="1:14" s="186" customFormat="1" ht="16.5" customHeight="1">
      <c r="B1" s="187" t="s">
        <v>127</v>
      </c>
      <c r="C1" s="135"/>
      <c r="H1" s="188"/>
      <c r="I1" s="189"/>
      <c r="J1" s="424" t="s">
        <v>128</v>
      </c>
      <c r="K1" s="424"/>
      <c r="L1" s="424"/>
      <c r="M1" s="138"/>
      <c r="N1" s="138"/>
    </row>
    <row r="2" spans="1:14" s="186" customFormat="1" ht="16.5" customHeight="1">
      <c r="B2" s="425" t="s">
        <v>129</v>
      </c>
      <c r="C2" s="426"/>
      <c r="D2" s="425"/>
      <c r="E2" s="425"/>
      <c r="F2" s="139"/>
      <c r="H2" s="188"/>
      <c r="I2" s="189"/>
      <c r="J2" s="427" t="s">
        <v>130</v>
      </c>
      <c r="K2" s="427"/>
      <c r="L2" s="427"/>
      <c r="M2" s="136"/>
      <c r="N2" s="136"/>
    </row>
    <row r="3" spans="1:14" s="186" customFormat="1" ht="16.5" customHeight="1">
      <c r="B3" s="425"/>
      <c r="C3" s="426"/>
      <c r="D3" s="425"/>
      <c r="E3" s="425"/>
      <c r="F3" s="139"/>
      <c r="H3" s="188"/>
      <c r="I3" s="189"/>
      <c r="J3" s="427" t="s">
        <v>131</v>
      </c>
      <c r="K3" s="427"/>
      <c r="L3" s="427"/>
    </row>
    <row r="4" spans="1:14" s="186" customFormat="1" ht="19.5" customHeight="1">
      <c r="B4" s="428" t="s">
        <v>132</v>
      </c>
      <c r="C4" s="428"/>
      <c r="D4" s="428"/>
      <c r="E4" s="428"/>
      <c r="F4" s="428"/>
      <c r="G4" s="428"/>
      <c r="H4" s="428"/>
      <c r="I4" s="428"/>
      <c r="J4" s="428"/>
      <c r="K4" s="428"/>
      <c r="L4" s="428"/>
    </row>
    <row r="5" spans="1:14" s="186" customFormat="1" ht="15">
      <c r="B5" s="429" t="s">
        <v>133</v>
      </c>
      <c r="C5" s="429"/>
      <c r="D5" s="429"/>
      <c r="E5" s="429"/>
      <c r="F5" s="429"/>
      <c r="G5" s="429"/>
      <c r="H5" s="429"/>
      <c r="I5" s="429"/>
      <c r="J5" s="429"/>
      <c r="K5" s="429"/>
      <c r="L5" s="429"/>
    </row>
    <row r="6" spans="1:14" s="186" customFormat="1" ht="15">
      <c r="B6" s="429" t="s">
        <v>164</v>
      </c>
      <c r="C6" s="429"/>
      <c r="D6" s="429"/>
      <c r="E6" s="429"/>
      <c r="F6" s="429"/>
      <c r="G6" s="429"/>
      <c r="H6" s="429"/>
      <c r="I6" s="429"/>
      <c r="J6" s="429"/>
      <c r="K6" s="429"/>
      <c r="L6" s="429"/>
    </row>
    <row r="7" spans="1:14" s="186" customFormat="1" ht="4.5" customHeight="1">
      <c r="B7" s="137"/>
      <c r="C7" s="137"/>
      <c r="D7" s="137"/>
      <c r="E7" s="137"/>
      <c r="F7" s="137"/>
      <c r="G7" s="137"/>
      <c r="H7" s="190"/>
      <c r="I7" s="191"/>
      <c r="J7" s="191"/>
      <c r="K7" s="191"/>
      <c r="L7" s="137"/>
    </row>
    <row r="8" spans="1:14" s="194" customFormat="1" ht="20.25" customHeight="1">
      <c r="A8" s="417" t="s">
        <v>114</v>
      </c>
      <c r="B8" s="430" t="s">
        <v>135</v>
      </c>
      <c r="C8" s="432" t="s">
        <v>136</v>
      </c>
      <c r="D8" s="433"/>
      <c r="E8" s="434" t="s">
        <v>3</v>
      </c>
      <c r="F8" s="193"/>
      <c r="G8" s="434" t="s">
        <v>22</v>
      </c>
      <c r="H8" s="438" t="s">
        <v>165</v>
      </c>
      <c r="I8" s="436" t="s">
        <v>66</v>
      </c>
      <c r="J8" s="437"/>
      <c r="K8" s="433"/>
      <c r="L8" s="434" t="s">
        <v>4</v>
      </c>
    </row>
    <row r="9" spans="1:14" s="194" customFormat="1" ht="30.75" customHeight="1">
      <c r="A9" s="418"/>
      <c r="B9" s="431"/>
      <c r="C9" s="192" t="s">
        <v>137</v>
      </c>
      <c r="D9" s="193" t="s">
        <v>138</v>
      </c>
      <c r="E9" s="435"/>
      <c r="F9" s="195"/>
      <c r="G9" s="435"/>
      <c r="H9" s="439"/>
      <c r="I9" s="196" t="s">
        <v>139</v>
      </c>
      <c r="J9" s="196" t="s">
        <v>140</v>
      </c>
      <c r="K9" s="196" t="s">
        <v>141</v>
      </c>
      <c r="L9" s="435"/>
    </row>
    <row r="10" spans="1:14" s="199" customFormat="1" ht="12">
      <c r="A10" s="145"/>
      <c r="B10" s="197" t="s">
        <v>7</v>
      </c>
      <c r="C10" s="197" t="s">
        <v>8</v>
      </c>
      <c r="D10" s="197" t="s">
        <v>9</v>
      </c>
      <c r="E10" s="197" t="s">
        <v>10</v>
      </c>
      <c r="F10" s="197"/>
      <c r="G10" s="197" t="s">
        <v>11</v>
      </c>
      <c r="H10" s="198"/>
      <c r="I10" s="197">
        <v>1</v>
      </c>
      <c r="J10" s="197">
        <v>2</v>
      </c>
      <c r="K10" s="197">
        <v>3</v>
      </c>
      <c r="L10" s="197" t="s">
        <v>27</v>
      </c>
    </row>
    <row r="11" spans="1:14" s="194" customFormat="1" ht="17.25" customHeight="1">
      <c r="A11" s="149"/>
      <c r="B11" s="200"/>
      <c r="C11" s="201"/>
      <c r="D11" s="200"/>
      <c r="E11" s="200" t="s">
        <v>142</v>
      </c>
      <c r="F11" s="200"/>
      <c r="G11" s="200"/>
      <c r="H11" s="202"/>
      <c r="I11" s="203"/>
      <c r="J11" s="203"/>
      <c r="K11" s="203">
        <v>15.2</v>
      </c>
      <c r="L11" s="200"/>
      <c r="M11" s="204">
        <f>K11+'Q4-USD'!K11</f>
        <v>102.53</v>
      </c>
    </row>
    <row r="12" spans="1:14" s="142" customFormat="1" ht="17.25" customHeight="1">
      <c r="A12" s="142">
        <f t="shared" ref="A12:A43" si="0">IF(B12&lt;&gt;"",MONTH(B12),"")</f>
        <v>1</v>
      </c>
      <c r="B12" s="157">
        <v>41277</v>
      </c>
      <c r="C12" s="158" t="s">
        <v>148</v>
      </c>
      <c r="D12" s="157">
        <v>41277</v>
      </c>
      <c r="E12" s="159" t="s">
        <v>480</v>
      </c>
      <c r="F12" s="162">
        <f>ROUND((I12+J12)*H12,0)</f>
        <v>2083000000</v>
      </c>
      <c r="G12" s="158" t="s">
        <v>36</v>
      </c>
      <c r="H12" s="205">
        <v>20830</v>
      </c>
      <c r="I12" s="206">
        <v>100000</v>
      </c>
      <c r="J12" s="207"/>
      <c r="K12" s="208">
        <f>IF(B12&lt;&gt;"",K11+I12-J12,0)</f>
        <v>100015.2</v>
      </c>
      <c r="L12" s="162"/>
    </row>
    <row r="13" spans="1:14" s="142" customFormat="1" ht="17.25" customHeight="1">
      <c r="A13" s="142">
        <f t="shared" si="0"/>
        <v>1</v>
      </c>
      <c r="B13" s="157">
        <v>41277</v>
      </c>
      <c r="C13" s="158" t="s">
        <v>145</v>
      </c>
      <c r="D13" s="157">
        <v>41277</v>
      </c>
      <c r="E13" s="159" t="s">
        <v>723</v>
      </c>
      <c r="F13" s="162">
        <f t="shared" ref="F13:F76" si="1">ROUND((I13+J13)*H13,0)</f>
        <v>2083000000</v>
      </c>
      <c r="G13" s="158" t="s">
        <v>215</v>
      </c>
      <c r="H13" s="205">
        <v>20830</v>
      </c>
      <c r="I13" s="206"/>
      <c r="J13" s="207">
        <v>100000</v>
      </c>
      <c r="K13" s="208">
        <f t="shared" ref="K13:K76" si="2">IF(B13&lt;&gt;"",K12+I13-J13,0)</f>
        <v>15.19999999999709</v>
      </c>
      <c r="L13" s="162"/>
    </row>
    <row r="14" spans="1:14" s="142" customFormat="1" ht="17.25" customHeight="1">
      <c r="A14" s="142">
        <f t="shared" si="0"/>
        <v>1</v>
      </c>
      <c r="B14" s="157">
        <v>41278</v>
      </c>
      <c r="C14" s="158" t="s">
        <v>148</v>
      </c>
      <c r="D14" s="157">
        <v>41278</v>
      </c>
      <c r="E14" s="159" t="s">
        <v>724</v>
      </c>
      <c r="F14" s="162">
        <f t="shared" si="1"/>
        <v>26097870</v>
      </c>
      <c r="G14" s="160" t="s">
        <v>166</v>
      </c>
      <c r="H14" s="205">
        <v>20820</v>
      </c>
      <c r="I14" s="206">
        <v>1253.5</v>
      </c>
      <c r="J14" s="207"/>
      <c r="K14" s="208">
        <f t="shared" si="2"/>
        <v>1268.6999999999971</v>
      </c>
      <c r="L14" s="162"/>
    </row>
    <row r="15" spans="1:14" s="142" customFormat="1" ht="17.25" customHeight="1">
      <c r="A15" s="142">
        <f t="shared" si="0"/>
        <v>1</v>
      </c>
      <c r="B15" s="157">
        <v>41278</v>
      </c>
      <c r="C15" s="158" t="s">
        <v>148</v>
      </c>
      <c r="D15" s="157">
        <v>41278</v>
      </c>
      <c r="E15" s="159" t="s">
        <v>725</v>
      </c>
      <c r="F15" s="162">
        <f t="shared" si="1"/>
        <v>2092477650</v>
      </c>
      <c r="G15" s="160" t="s">
        <v>215</v>
      </c>
      <c r="H15" s="205">
        <v>20830</v>
      </c>
      <c r="I15" s="206">
        <v>100455</v>
      </c>
      <c r="J15" s="207"/>
      <c r="K15" s="208">
        <f t="shared" si="2"/>
        <v>101723.7</v>
      </c>
      <c r="L15" s="162"/>
    </row>
    <row r="16" spans="1:14" s="142" customFormat="1" ht="17.25" customHeight="1">
      <c r="A16" s="142">
        <f t="shared" si="0"/>
        <v>1</v>
      </c>
      <c r="B16" s="157">
        <v>41278</v>
      </c>
      <c r="C16" s="158" t="s">
        <v>145</v>
      </c>
      <c r="D16" s="157">
        <v>41278</v>
      </c>
      <c r="E16" s="159" t="s">
        <v>248</v>
      </c>
      <c r="F16" s="162">
        <f t="shared" si="1"/>
        <v>2092477650</v>
      </c>
      <c r="G16" s="160" t="s">
        <v>36</v>
      </c>
      <c r="H16" s="205">
        <v>20830</v>
      </c>
      <c r="I16" s="206"/>
      <c r="J16" s="207">
        <v>100455</v>
      </c>
      <c r="K16" s="208">
        <f t="shared" si="2"/>
        <v>1268.6999999999971</v>
      </c>
      <c r="L16" s="162"/>
    </row>
    <row r="17" spans="1:12" s="142" customFormat="1" ht="17.25" customHeight="1">
      <c r="A17" s="142">
        <f t="shared" si="0"/>
        <v>1</v>
      </c>
      <c r="B17" s="157">
        <v>41281</v>
      </c>
      <c r="C17" s="158" t="s">
        <v>145</v>
      </c>
      <c r="D17" s="157">
        <v>41281</v>
      </c>
      <c r="E17" s="159" t="s">
        <v>726</v>
      </c>
      <c r="F17" s="162">
        <f t="shared" si="1"/>
        <v>5311390</v>
      </c>
      <c r="G17" s="160" t="s">
        <v>150</v>
      </c>
      <c r="H17" s="205">
        <v>20820</v>
      </c>
      <c r="I17" s="206"/>
      <c r="J17" s="207">
        <v>255.11</v>
      </c>
      <c r="K17" s="208">
        <f t="shared" si="2"/>
        <v>1013.5899999999971</v>
      </c>
      <c r="L17" s="162"/>
    </row>
    <row r="18" spans="1:12" s="142" customFormat="1" ht="17.25" customHeight="1">
      <c r="A18" s="142">
        <f t="shared" si="0"/>
        <v>1</v>
      </c>
      <c r="B18" s="157">
        <v>41281</v>
      </c>
      <c r="C18" s="158" t="s">
        <v>145</v>
      </c>
      <c r="D18" s="157">
        <v>41281</v>
      </c>
      <c r="E18" s="159" t="s">
        <v>727</v>
      </c>
      <c r="F18" s="162">
        <f t="shared" si="1"/>
        <v>17226468</v>
      </c>
      <c r="G18" s="158" t="s">
        <v>150</v>
      </c>
      <c r="H18" s="205">
        <v>20820</v>
      </c>
      <c r="I18" s="206"/>
      <c r="J18" s="207">
        <v>827.4</v>
      </c>
      <c r="K18" s="208">
        <f t="shared" si="2"/>
        <v>186.1899999999971</v>
      </c>
      <c r="L18" s="162"/>
    </row>
    <row r="19" spans="1:12" s="142" customFormat="1" ht="17.25" customHeight="1">
      <c r="A19" s="142">
        <f t="shared" si="0"/>
        <v>1</v>
      </c>
      <c r="B19" s="157">
        <v>41295</v>
      </c>
      <c r="C19" s="158" t="s">
        <v>148</v>
      </c>
      <c r="D19" s="157">
        <v>41295</v>
      </c>
      <c r="E19" s="159" t="s">
        <v>252</v>
      </c>
      <c r="F19" s="162">
        <f t="shared" si="1"/>
        <v>8332000</v>
      </c>
      <c r="G19" s="160" t="s">
        <v>147</v>
      </c>
      <c r="H19" s="205">
        <v>20830</v>
      </c>
      <c r="I19" s="206">
        <v>400</v>
      </c>
      <c r="J19" s="207"/>
      <c r="K19" s="208">
        <f t="shared" si="2"/>
        <v>586.1899999999971</v>
      </c>
      <c r="L19" s="162"/>
    </row>
    <row r="20" spans="1:12" s="142" customFormat="1" ht="17.25" customHeight="1">
      <c r="A20" s="142">
        <f t="shared" si="0"/>
        <v>1</v>
      </c>
      <c r="B20" s="157">
        <v>41295</v>
      </c>
      <c r="C20" s="158" t="s">
        <v>145</v>
      </c>
      <c r="D20" s="157">
        <v>41295</v>
      </c>
      <c r="E20" s="159" t="s">
        <v>728</v>
      </c>
      <c r="F20" s="162">
        <f t="shared" si="1"/>
        <v>10653504</v>
      </c>
      <c r="G20" s="160" t="s">
        <v>150</v>
      </c>
      <c r="H20" s="205">
        <v>20830</v>
      </c>
      <c r="I20" s="206"/>
      <c r="J20" s="207">
        <v>511.45</v>
      </c>
      <c r="K20" s="208">
        <f t="shared" si="2"/>
        <v>74.73999999999711</v>
      </c>
      <c r="L20" s="162"/>
    </row>
    <row r="21" spans="1:12" s="142" customFormat="1" ht="17.25" customHeight="1">
      <c r="A21" s="142">
        <f t="shared" si="0"/>
        <v>1</v>
      </c>
      <c r="B21" s="157">
        <v>41305</v>
      </c>
      <c r="C21" s="158" t="s">
        <v>148</v>
      </c>
      <c r="D21" s="157">
        <v>41305</v>
      </c>
      <c r="E21" s="159" t="s">
        <v>232</v>
      </c>
      <c r="F21" s="162">
        <f t="shared" si="1"/>
        <v>312300</v>
      </c>
      <c r="G21" s="160" t="s">
        <v>192</v>
      </c>
      <c r="H21" s="205">
        <v>20820</v>
      </c>
      <c r="I21" s="206"/>
      <c r="J21" s="207">
        <v>15</v>
      </c>
      <c r="K21" s="208">
        <f t="shared" si="2"/>
        <v>59.73999999999711</v>
      </c>
      <c r="L21" s="162"/>
    </row>
    <row r="22" spans="1:12" s="142" customFormat="1" ht="17.25" customHeight="1">
      <c r="A22" s="142">
        <f t="shared" si="0"/>
        <v>1</v>
      </c>
      <c r="B22" s="157">
        <v>41305</v>
      </c>
      <c r="C22" s="158" t="s">
        <v>148</v>
      </c>
      <c r="D22" s="157">
        <v>41305</v>
      </c>
      <c r="E22" s="159" t="s">
        <v>233</v>
      </c>
      <c r="F22" s="162">
        <f t="shared" si="1"/>
        <v>31245</v>
      </c>
      <c r="G22" s="160" t="s">
        <v>35</v>
      </c>
      <c r="H22" s="205">
        <v>20830</v>
      </c>
      <c r="I22" s="206"/>
      <c r="J22" s="207">
        <v>1.5</v>
      </c>
      <c r="K22" s="208">
        <f t="shared" si="2"/>
        <v>58.23999999999711</v>
      </c>
      <c r="L22" s="162"/>
    </row>
    <row r="23" spans="1:12" s="142" customFormat="1" ht="17.25" customHeight="1">
      <c r="A23" s="142">
        <f t="shared" si="0"/>
        <v>2</v>
      </c>
      <c r="B23" s="157">
        <v>41323</v>
      </c>
      <c r="C23" s="158" t="s">
        <v>145</v>
      </c>
      <c r="D23" s="157">
        <v>41323</v>
      </c>
      <c r="E23" s="159" t="s">
        <v>232</v>
      </c>
      <c r="F23" s="162">
        <f t="shared" si="1"/>
        <v>312300</v>
      </c>
      <c r="G23" s="160" t="s">
        <v>192</v>
      </c>
      <c r="H23" s="205">
        <v>20820</v>
      </c>
      <c r="I23" s="206"/>
      <c r="J23" s="207">
        <v>15</v>
      </c>
      <c r="K23" s="208">
        <f t="shared" si="2"/>
        <v>43.23999999999711</v>
      </c>
      <c r="L23" s="162"/>
    </row>
    <row r="24" spans="1:12" s="142" customFormat="1" ht="17.25" customHeight="1">
      <c r="A24" s="142">
        <f t="shared" si="0"/>
        <v>2</v>
      </c>
      <c r="B24" s="157">
        <v>41323</v>
      </c>
      <c r="C24" s="158" t="s">
        <v>145</v>
      </c>
      <c r="D24" s="157">
        <v>41323</v>
      </c>
      <c r="E24" s="159" t="s">
        <v>244</v>
      </c>
      <c r="F24" s="162">
        <f t="shared" si="1"/>
        <v>31230</v>
      </c>
      <c r="G24" s="160" t="s">
        <v>35</v>
      </c>
      <c r="H24" s="205">
        <v>20820</v>
      </c>
      <c r="I24" s="206"/>
      <c r="J24" s="207">
        <v>1.5</v>
      </c>
      <c r="K24" s="208">
        <f t="shared" si="2"/>
        <v>41.73999999999711</v>
      </c>
      <c r="L24" s="162"/>
    </row>
    <row r="25" spans="1:12" s="142" customFormat="1" ht="17.25" customHeight="1">
      <c r="A25" s="142">
        <f t="shared" si="0"/>
        <v>2</v>
      </c>
      <c r="B25" s="157">
        <v>41328</v>
      </c>
      <c r="C25" s="158" t="s">
        <v>145</v>
      </c>
      <c r="D25" s="157">
        <v>41328</v>
      </c>
      <c r="E25" s="159" t="s">
        <v>256</v>
      </c>
      <c r="F25" s="162">
        <f t="shared" si="1"/>
        <v>104250</v>
      </c>
      <c r="G25" s="158" t="s">
        <v>192</v>
      </c>
      <c r="H25" s="205">
        <v>20850</v>
      </c>
      <c r="I25" s="206"/>
      <c r="J25" s="207">
        <v>5</v>
      </c>
      <c r="K25" s="208">
        <f t="shared" si="2"/>
        <v>36.73999999999711</v>
      </c>
      <c r="L25" s="162"/>
    </row>
    <row r="26" spans="1:12" s="142" customFormat="1" ht="17.25" customHeight="1">
      <c r="A26" s="142">
        <f t="shared" si="0"/>
        <v>2</v>
      </c>
      <c r="B26" s="157">
        <v>41328</v>
      </c>
      <c r="C26" s="158" t="s">
        <v>145</v>
      </c>
      <c r="D26" s="157">
        <v>41328</v>
      </c>
      <c r="E26" s="159" t="s">
        <v>257</v>
      </c>
      <c r="F26" s="162">
        <f t="shared" si="1"/>
        <v>10425</v>
      </c>
      <c r="G26" s="158" t="s">
        <v>35</v>
      </c>
      <c r="H26" s="205">
        <v>20850</v>
      </c>
      <c r="I26" s="206"/>
      <c r="J26" s="207">
        <v>0.5</v>
      </c>
      <c r="K26" s="208">
        <f t="shared" si="2"/>
        <v>36.23999999999711</v>
      </c>
      <c r="L26" s="162"/>
    </row>
    <row r="27" spans="1:12" s="142" customFormat="1" ht="17.25" customHeight="1">
      <c r="A27" s="142">
        <f t="shared" si="0"/>
        <v>3</v>
      </c>
      <c r="B27" s="157">
        <v>41341</v>
      </c>
      <c r="C27" s="158" t="s">
        <v>729</v>
      </c>
      <c r="D27" s="157">
        <v>41341</v>
      </c>
      <c r="E27" s="159" t="s">
        <v>730</v>
      </c>
      <c r="F27" s="162">
        <f t="shared" si="1"/>
        <v>972135383</v>
      </c>
      <c r="G27" s="158" t="s">
        <v>166</v>
      </c>
      <c r="H27" s="205">
        <v>20910</v>
      </c>
      <c r="I27" s="206">
        <v>46491.41</v>
      </c>
      <c r="J27" s="206"/>
      <c r="K27" s="208">
        <f t="shared" si="2"/>
        <v>46527.65</v>
      </c>
      <c r="L27" s="162"/>
    </row>
    <row r="28" spans="1:12" s="142" customFormat="1" ht="17.25" customHeight="1">
      <c r="A28" s="142">
        <f t="shared" si="0"/>
        <v>3</v>
      </c>
      <c r="B28" s="157">
        <v>41341</v>
      </c>
      <c r="C28" s="158" t="s">
        <v>145</v>
      </c>
      <c r="D28" s="157">
        <v>41341</v>
      </c>
      <c r="E28" s="159" t="s">
        <v>731</v>
      </c>
      <c r="F28" s="162">
        <f t="shared" si="1"/>
        <v>4821219</v>
      </c>
      <c r="G28" s="160" t="s">
        <v>150</v>
      </c>
      <c r="H28" s="205">
        <v>20910</v>
      </c>
      <c r="I28" s="206"/>
      <c r="J28" s="207">
        <v>230.57</v>
      </c>
      <c r="K28" s="208">
        <f t="shared" si="2"/>
        <v>46297.08</v>
      </c>
      <c r="L28" s="162"/>
    </row>
    <row r="29" spans="1:12" s="142" customFormat="1" ht="17.25" customHeight="1">
      <c r="A29" s="142">
        <f t="shared" si="0"/>
        <v>3</v>
      </c>
      <c r="B29" s="157">
        <v>41341</v>
      </c>
      <c r="C29" s="158" t="s">
        <v>145</v>
      </c>
      <c r="D29" s="157">
        <v>41341</v>
      </c>
      <c r="E29" s="159" t="s">
        <v>732</v>
      </c>
      <c r="F29" s="162">
        <f t="shared" si="1"/>
        <v>15636707</v>
      </c>
      <c r="G29" s="158" t="s">
        <v>150</v>
      </c>
      <c r="H29" s="205">
        <v>20910</v>
      </c>
      <c r="I29" s="206"/>
      <c r="J29" s="207">
        <v>747.81</v>
      </c>
      <c r="K29" s="208">
        <f t="shared" si="2"/>
        <v>45549.270000000004</v>
      </c>
      <c r="L29" s="162"/>
    </row>
    <row r="30" spans="1:12" s="142" customFormat="1" ht="17.25" customHeight="1">
      <c r="A30" s="142">
        <f t="shared" si="0"/>
        <v>3</v>
      </c>
      <c r="B30" s="157">
        <v>41341</v>
      </c>
      <c r="C30" s="158" t="s">
        <v>145</v>
      </c>
      <c r="D30" s="157">
        <v>41341</v>
      </c>
      <c r="E30" s="159" t="s">
        <v>733</v>
      </c>
      <c r="F30" s="162">
        <f t="shared" si="1"/>
        <v>9764343</v>
      </c>
      <c r="G30" s="158" t="s">
        <v>150</v>
      </c>
      <c r="H30" s="205">
        <v>20910</v>
      </c>
      <c r="I30" s="206"/>
      <c r="J30" s="207">
        <v>466.97</v>
      </c>
      <c r="K30" s="208">
        <f t="shared" si="2"/>
        <v>45082.3</v>
      </c>
      <c r="L30" s="162"/>
    </row>
    <row r="31" spans="1:12" s="142" customFormat="1" ht="17.25" customHeight="1">
      <c r="A31" s="142">
        <f t="shared" si="0"/>
        <v>3</v>
      </c>
      <c r="B31" s="157">
        <v>41341</v>
      </c>
      <c r="C31" s="158" t="s">
        <v>145</v>
      </c>
      <c r="D31" s="157">
        <v>41341</v>
      </c>
      <c r="E31" s="159" t="s">
        <v>734</v>
      </c>
      <c r="F31" s="162">
        <f t="shared" si="1"/>
        <v>13669285</v>
      </c>
      <c r="G31" s="158" t="s">
        <v>150</v>
      </c>
      <c r="H31" s="205">
        <v>20910</v>
      </c>
      <c r="I31" s="206"/>
      <c r="J31" s="207">
        <v>653.72</v>
      </c>
      <c r="K31" s="208">
        <f t="shared" si="2"/>
        <v>44428.58</v>
      </c>
      <c r="L31" s="162"/>
    </row>
    <row r="32" spans="1:12" s="142" customFormat="1" ht="17.25" customHeight="1">
      <c r="A32" s="142">
        <f t="shared" si="0"/>
        <v>3</v>
      </c>
      <c r="B32" s="157">
        <v>41341</v>
      </c>
      <c r="C32" s="158" t="s">
        <v>145</v>
      </c>
      <c r="D32" s="157">
        <v>41341</v>
      </c>
      <c r="E32" s="159" t="s">
        <v>248</v>
      </c>
      <c r="F32" s="162">
        <f t="shared" si="1"/>
        <v>929736000</v>
      </c>
      <c r="G32" s="158" t="s">
        <v>36</v>
      </c>
      <c r="H32" s="205">
        <v>20940</v>
      </c>
      <c r="I32" s="206"/>
      <c r="J32" s="207">
        <v>44400</v>
      </c>
      <c r="K32" s="208">
        <f t="shared" si="2"/>
        <v>28.580000000001746</v>
      </c>
      <c r="L32" s="162"/>
    </row>
    <row r="33" spans="1:14" s="142" customFormat="1" ht="17.25" customHeight="1">
      <c r="A33" s="142">
        <f t="shared" si="0"/>
        <v>3</v>
      </c>
      <c r="B33" s="157">
        <v>41353</v>
      </c>
      <c r="C33" s="158" t="s">
        <v>145</v>
      </c>
      <c r="D33" s="157">
        <v>41353</v>
      </c>
      <c r="E33" s="159" t="s">
        <v>256</v>
      </c>
      <c r="F33" s="162">
        <f t="shared" si="1"/>
        <v>104600</v>
      </c>
      <c r="G33" s="160" t="s">
        <v>192</v>
      </c>
      <c r="H33" s="205">
        <v>20920</v>
      </c>
      <c r="I33" s="206"/>
      <c r="J33" s="207">
        <v>5</v>
      </c>
      <c r="K33" s="208">
        <f t="shared" si="2"/>
        <v>23.580000000001746</v>
      </c>
      <c r="L33" s="162"/>
      <c r="N33" s="156">
        <f>ROUND(M33*H33,0)</f>
        <v>0</v>
      </c>
    </row>
    <row r="34" spans="1:14" s="142" customFormat="1" ht="17.25" customHeight="1">
      <c r="A34" s="142">
        <f t="shared" si="0"/>
        <v>3</v>
      </c>
      <c r="B34" s="157">
        <v>41353</v>
      </c>
      <c r="C34" s="158" t="s">
        <v>145</v>
      </c>
      <c r="D34" s="157">
        <v>41353</v>
      </c>
      <c r="E34" s="159" t="s">
        <v>257</v>
      </c>
      <c r="F34" s="162">
        <f t="shared" si="1"/>
        <v>10460</v>
      </c>
      <c r="G34" s="158" t="s">
        <v>35</v>
      </c>
      <c r="H34" s="205">
        <v>20920</v>
      </c>
      <c r="I34" s="206"/>
      <c r="J34" s="207">
        <v>0.5</v>
      </c>
      <c r="K34" s="208">
        <f t="shared" si="2"/>
        <v>23.080000000001746</v>
      </c>
      <c r="L34" s="162"/>
    </row>
    <row r="35" spans="1:14" s="142" customFormat="1" ht="17.25" customHeight="1">
      <c r="A35" s="142">
        <f t="shared" si="0"/>
        <v>3</v>
      </c>
      <c r="B35" s="157">
        <v>41354</v>
      </c>
      <c r="C35" s="158" t="s">
        <v>148</v>
      </c>
      <c r="D35" s="157">
        <v>41354</v>
      </c>
      <c r="E35" s="159" t="s">
        <v>735</v>
      </c>
      <c r="F35" s="162">
        <f t="shared" si="1"/>
        <v>586880000</v>
      </c>
      <c r="G35" s="158" t="s">
        <v>166</v>
      </c>
      <c r="H35" s="205">
        <v>20960</v>
      </c>
      <c r="I35" s="206">
        <v>28000</v>
      </c>
      <c r="J35" s="206"/>
      <c r="K35" s="208">
        <f t="shared" si="2"/>
        <v>28023.08</v>
      </c>
      <c r="L35" s="162"/>
    </row>
    <row r="36" spans="1:14" s="142" customFormat="1" ht="17.25" customHeight="1">
      <c r="A36" s="142">
        <f t="shared" si="0"/>
        <v>3</v>
      </c>
      <c r="B36" s="157">
        <v>41354</v>
      </c>
      <c r="C36" s="158" t="s">
        <v>145</v>
      </c>
      <c r="D36" s="157">
        <v>41354</v>
      </c>
      <c r="E36" s="159" t="s">
        <v>249</v>
      </c>
      <c r="F36" s="162">
        <f t="shared" si="1"/>
        <v>833662</v>
      </c>
      <c r="G36" s="158" t="s">
        <v>192</v>
      </c>
      <c r="H36" s="205">
        <v>20920</v>
      </c>
      <c r="I36" s="206"/>
      <c r="J36" s="207">
        <v>39.85</v>
      </c>
      <c r="K36" s="208">
        <f t="shared" si="2"/>
        <v>27983.230000000003</v>
      </c>
      <c r="L36" s="162"/>
    </row>
    <row r="37" spans="1:14" s="142" customFormat="1" ht="17.25" customHeight="1">
      <c r="A37" s="142">
        <f t="shared" si="0"/>
        <v>3</v>
      </c>
      <c r="B37" s="157">
        <v>41354</v>
      </c>
      <c r="C37" s="158" t="s">
        <v>145</v>
      </c>
      <c r="D37" s="157">
        <v>41354</v>
      </c>
      <c r="E37" s="159" t="s">
        <v>736</v>
      </c>
      <c r="F37" s="162">
        <f t="shared" si="1"/>
        <v>83471</v>
      </c>
      <c r="G37" s="160" t="s">
        <v>35</v>
      </c>
      <c r="H37" s="205">
        <v>20920</v>
      </c>
      <c r="I37" s="206"/>
      <c r="J37" s="207">
        <v>3.99</v>
      </c>
      <c r="K37" s="208">
        <f t="shared" si="2"/>
        <v>27979.24</v>
      </c>
      <c r="L37" s="162"/>
    </row>
    <row r="38" spans="1:14" s="142" customFormat="1" ht="17.25" customHeight="1">
      <c r="A38" s="142">
        <f t="shared" si="0"/>
        <v>3</v>
      </c>
      <c r="B38" s="157">
        <v>41354</v>
      </c>
      <c r="C38" s="158" t="s">
        <v>145</v>
      </c>
      <c r="D38" s="157">
        <v>41354</v>
      </c>
      <c r="E38" s="159" t="s">
        <v>239</v>
      </c>
      <c r="F38" s="162">
        <f t="shared" si="1"/>
        <v>577810</v>
      </c>
      <c r="G38" s="158" t="s">
        <v>192</v>
      </c>
      <c r="H38" s="205">
        <v>20920</v>
      </c>
      <c r="I38" s="206"/>
      <c r="J38" s="207">
        <v>27.62</v>
      </c>
      <c r="K38" s="208">
        <f t="shared" si="2"/>
        <v>27951.620000000003</v>
      </c>
      <c r="L38" s="162"/>
    </row>
    <row r="39" spans="1:14" s="142" customFormat="1" ht="17.25" customHeight="1">
      <c r="A39" s="142">
        <f t="shared" si="0"/>
        <v>3</v>
      </c>
      <c r="B39" s="157">
        <v>41354</v>
      </c>
      <c r="C39" s="158" t="s">
        <v>145</v>
      </c>
      <c r="D39" s="157">
        <v>41354</v>
      </c>
      <c r="E39" s="159" t="s">
        <v>240</v>
      </c>
      <c r="F39" s="162">
        <f t="shared" si="1"/>
        <v>57739</v>
      </c>
      <c r="G39" s="158" t="s">
        <v>35</v>
      </c>
      <c r="H39" s="205">
        <v>20920</v>
      </c>
      <c r="I39" s="206"/>
      <c r="J39" s="207">
        <v>2.76</v>
      </c>
      <c r="K39" s="208">
        <f t="shared" si="2"/>
        <v>27948.860000000004</v>
      </c>
      <c r="L39" s="162"/>
    </row>
    <row r="40" spans="1:14" s="142" customFormat="1" ht="17.25" customHeight="1">
      <c r="A40" s="142">
        <f t="shared" si="0"/>
        <v>3</v>
      </c>
      <c r="B40" s="157">
        <v>41354</v>
      </c>
      <c r="C40" s="158" t="s">
        <v>145</v>
      </c>
      <c r="D40" s="157">
        <v>41354</v>
      </c>
      <c r="E40" s="159" t="s">
        <v>248</v>
      </c>
      <c r="F40" s="162">
        <f t="shared" si="1"/>
        <v>584086500</v>
      </c>
      <c r="G40" s="158" t="s">
        <v>36</v>
      </c>
      <c r="H40" s="205">
        <v>20935</v>
      </c>
      <c r="I40" s="206"/>
      <c r="J40" s="207">
        <v>27900</v>
      </c>
      <c r="K40" s="208">
        <f t="shared" si="2"/>
        <v>48.86000000000422</v>
      </c>
      <c r="L40" s="162"/>
    </row>
    <row r="41" spans="1:14" s="142" customFormat="1" ht="17.25" customHeight="1">
      <c r="A41" s="142">
        <f t="shared" si="0"/>
        <v>3</v>
      </c>
      <c r="B41" s="157">
        <v>41359</v>
      </c>
      <c r="C41" s="158" t="s">
        <v>148</v>
      </c>
      <c r="D41" s="157">
        <v>41359</v>
      </c>
      <c r="E41" s="159" t="s">
        <v>730</v>
      </c>
      <c r="F41" s="162">
        <f t="shared" si="1"/>
        <v>313355450</v>
      </c>
      <c r="G41" s="158" t="s">
        <v>166</v>
      </c>
      <c r="H41" s="205">
        <v>20920</v>
      </c>
      <c r="I41" s="206">
        <v>14978.75</v>
      </c>
      <c r="J41" s="207"/>
      <c r="K41" s="208">
        <f t="shared" si="2"/>
        <v>15027.610000000004</v>
      </c>
      <c r="L41" s="162"/>
    </row>
    <row r="42" spans="1:14" s="142" customFormat="1" ht="17.25" customHeight="1">
      <c r="A42" s="142">
        <f t="shared" si="0"/>
        <v>3</v>
      </c>
      <c r="B42" s="157">
        <v>41359</v>
      </c>
      <c r="C42" s="158" t="s">
        <v>148</v>
      </c>
      <c r="D42" s="157">
        <v>41359</v>
      </c>
      <c r="E42" s="159" t="s">
        <v>730</v>
      </c>
      <c r="F42" s="162">
        <f t="shared" si="1"/>
        <v>675621788</v>
      </c>
      <c r="G42" s="158" t="s">
        <v>166</v>
      </c>
      <c r="H42" s="205">
        <v>20950</v>
      </c>
      <c r="I42" s="206">
        <v>32249.25</v>
      </c>
      <c r="J42" s="207"/>
      <c r="K42" s="208">
        <f t="shared" si="2"/>
        <v>47276.86</v>
      </c>
      <c r="L42" s="162"/>
    </row>
    <row r="43" spans="1:14" s="142" customFormat="1" ht="17.25" customHeight="1">
      <c r="A43" s="142">
        <f t="shared" si="0"/>
        <v>3</v>
      </c>
      <c r="B43" s="157">
        <v>41359</v>
      </c>
      <c r="C43" s="158" t="s">
        <v>148</v>
      </c>
      <c r="D43" s="157">
        <v>41359</v>
      </c>
      <c r="E43" s="159" t="s">
        <v>146</v>
      </c>
      <c r="F43" s="162">
        <f t="shared" si="1"/>
        <v>1017541500</v>
      </c>
      <c r="G43" s="158" t="s">
        <v>36</v>
      </c>
      <c r="H43" s="205">
        <v>20950</v>
      </c>
      <c r="I43" s="206">
        <v>48570</v>
      </c>
      <c r="J43" s="207"/>
      <c r="K43" s="208">
        <f t="shared" si="2"/>
        <v>95846.86</v>
      </c>
      <c r="L43" s="162"/>
    </row>
    <row r="44" spans="1:14" s="142" customFormat="1" ht="17.25" customHeight="1">
      <c r="A44" s="142">
        <f t="shared" ref="A44:A75" si="3">IF(B44&lt;&gt;"",MONTH(B44),"")</f>
        <v>3</v>
      </c>
      <c r="B44" s="157">
        <v>41359</v>
      </c>
      <c r="C44" s="158" t="s">
        <v>145</v>
      </c>
      <c r="D44" s="157">
        <v>41359</v>
      </c>
      <c r="E44" s="159" t="s">
        <v>737</v>
      </c>
      <c r="F44" s="162">
        <f t="shared" si="1"/>
        <v>2009345400</v>
      </c>
      <c r="G44" s="158" t="s">
        <v>215</v>
      </c>
      <c r="H44" s="205">
        <v>20970</v>
      </c>
      <c r="I44" s="206"/>
      <c r="J44" s="207">
        <v>95820</v>
      </c>
      <c r="K44" s="208">
        <f t="shared" si="2"/>
        <v>26.860000000000582</v>
      </c>
      <c r="L44" s="162"/>
    </row>
    <row r="45" spans="1:14" s="142" customFormat="1" ht="17.25" customHeight="1">
      <c r="A45" s="142">
        <f t="shared" si="3"/>
        <v>3</v>
      </c>
      <c r="B45" s="157">
        <v>41360</v>
      </c>
      <c r="C45" s="158" t="s">
        <v>148</v>
      </c>
      <c r="D45" s="157">
        <v>41360</v>
      </c>
      <c r="E45" s="159" t="s">
        <v>738</v>
      </c>
      <c r="F45" s="162">
        <f t="shared" si="1"/>
        <v>1997238540</v>
      </c>
      <c r="G45" s="158" t="s">
        <v>215</v>
      </c>
      <c r="H45" s="205">
        <v>20942</v>
      </c>
      <c r="I45" s="206">
        <v>95370</v>
      </c>
      <c r="J45" s="207"/>
      <c r="K45" s="208">
        <f t="shared" si="2"/>
        <v>95396.86</v>
      </c>
      <c r="L45" s="162"/>
    </row>
    <row r="46" spans="1:14" s="142" customFormat="1" ht="17.25" customHeight="1">
      <c r="A46" s="142">
        <f t="shared" si="3"/>
        <v>3</v>
      </c>
      <c r="B46" s="157">
        <v>41360</v>
      </c>
      <c r="C46" s="158" t="s">
        <v>145</v>
      </c>
      <c r="D46" s="157">
        <v>41360</v>
      </c>
      <c r="E46" s="159" t="s">
        <v>248</v>
      </c>
      <c r="F46" s="162">
        <f t="shared" si="1"/>
        <v>1997238540</v>
      </c>
      <c r="G46" s="158" t="s">
        <v>36</v>
      </c>
      <c r="H46" s="205">
        <v>20942</v>
      </c>
      <c r="I46" s="206"/>
      <c r="J46" s="207">
        <v>95370</v>
      </c>
      <c r="K46" s="208">
        <f t="shared" si="2"/>
        <v>26.860000000000582</v>
      </c>
      <c r="L46" s="162"/>
    </row>
    <row r="47" spans="1:14" s="142" customFormat="1" ht="17.25" customHeight="1">
      <c r="A47" s="142">
        <f t="shared" si="3"/>
        <v>4</v>
      </c>
      <c r="B47" s="157">
        <v>41367</v>
      </c>
      <c r="C47" s="158" t="s">
        <v>148</v>
      </c>
      <c r="D47" s="157">
        <v>41367</v>
      </c>
      <c r="E47" s="159" t="s">
        <v>739</v>
      </c>
      <c r="F47" s="162">
        <f t="shared" si="1"/>
        <v>26968638</v>
      </c>
      <c r="G47" s="158" t="s">
        <v>166</v>
      </c>
      <c r="H47" s="205">
        <v>20915</v>
      </c>
      <c r="I47" s="206">
        <v>1289.44</v>
      </c>
      <c r="J47" s="207"/>
      <c r="K47" s="208">
        <f t="shared" si="2"/>
        <v>1316.3000000000006</v>
      </c>
      <c r="L47" s="162"/>
    </row>
    <row r="48" spans="1:14" s="142" customFormat="1" ht="17.25" customHeight="1">
      <c r="A48" s="142">
        <f t="shared" si="3"/>
        <v>4</v>
      </c>
      <c r="B48" s="157">
        <v>41367</v>
      </c>
      <c r="C48" s="158" t="s">
        <v>148</v>
      </c>
      <c r="D48" s="157">
        <v>41367</v>
      </c>
      <c r="E48" s="159" t="s">
        <v>740</v>
      </c>
      <c r="F48" s="162">
        <f t="shared" si="1"/>
        <v>1894165000</v>
      </c>
      <c r="G48" s="158" t="s">
        <v>215</v>
      </c>
      <c r="H48" s="205">
        <v>20930</v>
      </c>
      <c r="I48" s="206">
        <v>90500</v>
      </c>
      <c r="J48" s="207"/>
      <c r="K48" s="208">
        <f t="shared" si="2"/>
        <v>91816.3</v>
      </c>
      <c r="L48" s="162"/>
    </row>
    <row r="49" spans="1:13" s="142" customFormat="1" ht="17.25" customHeight="1">
      <c r="A49" s="142">
        <f t="shared" si="3"/>
        <v>4</v>
      </c>
      <c r="B49" s="157">
        <v>41367</v>
      </c>
      <c r="C49" s="158" t="s">
        <v>148</v>
      </c>
      <c r="D49" s="157">
        <v>41367</v>
      </c>
      <c r="E49" s="159" t="s">
        <v>480</v>
      </c>
      <c r="F49" s="162">
        <f t="shared" si="1"/>
        <v>1911365500</v>
      </c>
      <c r="G49" s="158" t="s">
        <v>36</v>
      </c>
      <c r="H49" s="205">
        <v>20935</v>
      </c>
      <c r="I49" s="206">
        <v>91300</v>
      </c>
      <c r="J49" s="207"/>
      <c r="K49" s="208">
        <f t="shared" si="2"/>
        <v>183116.3</v>
      </c>
      <c r="L49" s="162"/>
    </row>
    <row r="50" spans="1:13" s="142" customFormat="1" ht="17.25" customHeight="1">
      <c r="A50" s="142">
        <f t="shared" si="3"/>
        <v>4</v>
      </c>
      <c r="B50" s="157">
        <v>41367</v>
      </c>
      <c r="C50" s="158" t="s">
        <v>145</v>
      </c>
      <c r="D50" s="157">
        <v>41367</v>
      </c>
      <c r="E50" s="159" t="s">
        <v>248</v>
      </c>
      <c r="F50" s="162">
        <f t="shared" si="1"/>
        <v>1894165000</v>
      </c>
      <c r="G50" s="158" t="s">
        <v>36</v>
      </c>
      <c r="H50" s="205">
        <v>20930</v>
      </c>
      <c r="I50" s="206"/>
      <c r="J50" s="207">
        <v>90500</v>
      </c>
      <c r="K50" s="208">
        <f t="shared" si="2"/>
        <v>92616.299999999988</v>
      </c>
      <c r="L50" s="162"/>
    </row>
    <row r="51" spans="1:13" s="142" customFormat="1" ht="17.25" customHeight="1">
      <c r="A51" s="142">
        <f t="shared" si="3"/>
        <v>4</v>
      </c>
      <c r="B51" s="157">
        <v>41367</v>
      </c>
      <c r="C51" s="158" t="s">
        <v>145</v>
      </c>
      <c r="D51" s="157">
        <v>41367</v>
      </c>
      <c r="E51" s="159" t="s">
        <v>741</v>
      </c>
      <c r="F51" s="162">
        <f t="shared" si="1"/>
        <v>1911365500</v>
      </c>
      <c r="G51" s="158" t="s">
        <v>215</v>
      </c>
      <c r="H51" s="205">
        <v>20935</v>
      </c>
      <c r="I51" s="206"/>
      <c r="J51" s="207">
        <v>91300</v>
      </c>
      <c r="K51" s="208">
        <f t="shared" si="2"/>
        <v>1316.2999999999884</v>
      </c>
      <c r="L51" s="162"/>
    </row>
    <row r="52" spans="1:13" s="142" customFormat="1" ht="17.25" customHeight="1">
      <c r="A52" s="142">
        <f t="shared" si="3"/>
        <v>4</v>
      </c>
      <c r="B52" s="157">
        <v>41370</v>
      </c>
      <c r="C52" s="158" t="s">
        <v>145</v>
      </c>
      <c r="D52" s="157">
        <v>41370</v>
      </c>
      <c r="E52" s="159" t="s">
        <v>742</v>
      </c>
      <c r="F52" s="162">
        <f t="shared" si="1"/>
        <v>10826820</v>
      </c>
      <c r="G52" s="158" t="s">
        <v>150</v>
      </c>
      <c r="H52" s="205">
        <v>20955</v>
      </c>
      <c r="I52" s="206"/>
      <c r="J52" s="207">
        <v>516.66999999999996</v>
      </c>
      <c r="K52" s="208">
        <f t="shared" si="2"/>
        <v>799.6299999999884</v>
      </c>
      <c r="L52" s="162"/>
    </row>
    <row r="53" spans="1:13" s="142" customFormat="1" ht="17.25" customHeight="1">
      <c r="A53" s="142">
        <f t="shared" si="3"/>
        <v>4</v>
      </c>
      <c r="B53" s="157">
        <v>41370</v>
      </c>
      <c r="C53" s="158" t="s">
        <v>145</v>
      </c>
      <c r="D53" s="157">
        <v>41370</v>
      </c>
      <c r="E53" s="159" t="s">
        <v>743</v>
      </c>
      <c r="F53" s="162">
        <f t="shared" si="1"/>
        <v>15156752</v>
      </c>
      <c r="G53" s="158" t="s">
        <v>150</v>
      </c>
      <c r="H53" s="205">
        <v>20955</v>
      </c>
      <c r="I53" s="206"/>
      <c r="J53" s="207">
        <v>723.3</v>
      </c>
      <c r="K53" s="208">
        <f t="shared" si="2"/>
        <v>76.329999999988445</v>
      </c>
      <c r="L53" s="162"/>
    </row>
    <row r="54" spans="1:13" s="142" customFormat="1" ht="17.25" customHeight="1">
      <c r="A54" s="142">
        <f t="shared" si="3"/>
        <v>4</v>
      </c>
      <c r="B54" s="157">
        <v>41380</v>
      </c>
      <c r="C54" s="158" t="s">
        <v>148</v>
      </c>
      <c r="D54" s="157">
        <v>41380</v>
      </c>
      <c r="E54" s="159" t="s">
        <v>730</v>
      </c>
      <c r="F54" s="162">
        <f t="shared" si="1"/>
        <v>1067130801</v>
      </c>
      <c r="G54" s="158" t="s">
        <v>166</v>
      </c>
      <c r="H54" s="205">
        <v>20900</v>
      </c>
      <c r="I54" s="206">
        <v>51058.89</v>
      </c>
      <c r="J54" s="207"/>
      <c r="K54" s="208">
        <f t="shared" si="2"/>
        <v>51135.219999999987</v>
      </c>
      <c r="L54" s="162"/>
    </row>
    <row r="55" spans="1:13" s="142" customFormat="1" ht="17.25" customHeight="1">
      <c r="A55" s="142">
        <f t="shared" si="3"/>
        <v>4</v>
      </c>
      <c r="B55" s="157">
        <v>41380</v>
      </c>
      <c r="C55" s="158" t="s">
        <v>145</v>
      </c>
      <c r="D55" s="157">
        <v>41380</v>
      </c>
      <c r="E55" s="159" t="s">
        <v>248</v>
      </c>
      <c r="F55" s="162">
        <f t="shared" si="1"/>
        <v>1068603200</v>
      </c>
      <c r="G55" s="158" t="s">
        <v>36</v>
      </c>
      <c r="H55" s="205">
        <v>20912</v>
      </c>
      <c r="I55" s="206"/>
      <c r="J55" s="207">
        <v>51100</v>
      </c>
      <c r="K55" s="208">
        <f t="shared" si="2"/>
        <v>35.219999999986612</v>
      </c>
      <c r="L55" s="162"/>
    </row>
    <row r="56" spans="1:13" s="142" customFormat="1" ht="17.25" customHeight="1">
      <c r="A56" s="142">
        <f t="shared" si="3"/>
        <v>4</v>
      </c>
      <c r="B56" s="157">
        <v>41381</v>
      </c>
      <c r="C56" s="158" t="s">
        <v>148</v>
      </c>
      <c r="D56" s="157">
        <v>41381</v>
      </c>
      <c r="E56" s="159" t="s">
        <v>730</v>
      </c>
      <c r="F56" s="162">
        <f t="shared" si="1"/>
        <v>1193094684</v>
      </c>
      <c r="G56" s="158" t="s">
        <v>166</v>
      </c>
      <c r="H56" s="205">
        <v>20880</v>
      </c>
      <c r="I56" s="206">
        <v>57140.55</v>
      </c>
      <c r="J56" s="207"/>
      <c r="K56" s="208">
        <f t="shared" si="2"/>
        <v>57175.76999999999</v>
      </c>
      <c r="L56" s="162"/>
    </row>
    <row r="57" spans="1:13" s="142" customFormat="1" ht="17.25" customHeight="1">
      <c r="A57" s="142">
        <f t="shared" si="3"/>
        <v>4</v>
      </c>
      <c r="B57" s="157">
        <v>41381</v>
      </c>
      <c r="C57" s="158" t="s">
        <v>145</v>
      </c>
      <c r="D57" s="157">
        <v>41381</v>
      </c>
      <c r="E57" s="159" t="s">
        <v>248</v>
      </c>
      <c r="F57" s="162">
        <f t="shared" si="1"/>
        <v>1193104500</v>
      </c>
      <c r="G57" s="160" t="s">
        <v>36</v>
      </c>
      <c r="H57" s="205">
        <v>20895</v>
      </c>
      <c r="I57" s="206"/>
      <c r="J57" s="207">
        <v>57100</v>
      </c>
      <c r="K57" s="208">
        <f t="shared" si="2"/>
        <v>75.769999999989523</v>
      </c>
      <c r="L57" s="162"/>
    </row>
    <row r="58" spans="1:13" s="142" customFormat="1" ht="17.25" customHeight="1">
      <c r="A58" s="142">
        <f t="shared" si="3"/>
        <v>5</v>
      </c>
      <c r="B58" s="157">
        <v>41396</v>
      </c>
      <c r="C58" s="158" t="s">
        <v>145</v>
      </c>
      <c r="D58" s="157">
        <v>41396</v>
      </c>
      <c r="E58" s="159" t="s">
        <v>744</v>
      </c>
      <c r="F58" s="162">
        <f t="shared" si="1"/>
        <v>104600</v>
      </c>
      <c r="G58" s="158" t="s">
        <v>192</v>
      </c>
      <c r="H58" s="205">
        <v>20920</v>
      </c>
      <c r="I58" s="206"/>
      <c r="J58" s="207">
        <v>5</v>
      </c>
      <c r="K58" s="208">
        <f t="shared" si="2"/>
        <v>70.769999999989523</v>
      </c>
      <c r="L58" s="162"/>
    </row>
    <row r="59" spans="1:13" s="142" customFormat="1" ht="17.25" customHeight="1">
      <c r="A59" s="142">
        <f t="shared" si="3"/>
        <v>5</v>
      </c>
      <c r="B59" s="157">
        <v>41396</v>
      </c>
      <c r="C59" s="158" t="s">
        <v>145</v>
      </c>
      <c r="D59" s="157">
        <v>41396</v>
      </c>
      <c r="E59" s="159" t="s">
        <v>745</v>
      </c>
      <c r="F59" s="162">
        <f t="shared" si="1"/>
        <v>10460</v>
      </c>
      <c r="G59" s="160" t="s">
        <v>35</v>
      </c>
      <c r="H59" s="205">
        <v>20920</v>
      </c>
      <c r="I59" s="206"/>
      <c r="J59" s="207">
        <v>0.5</v>
      </c>
      <c r="K59" s="208">
        <f t="shared" si="2"/>
        <v>70.269999999989523</v>
      </c>
      <c r="L59" s="162"/>
    </row>
    <row r="60" spans="1:13" s="142" customFormat="1" ht="17.25" customHeight="1">
      <c r="A60" s="142">
        <f t="shared" si="3"/>
        <v>5</v>
      </c>
      <c r="B60" s="157">
        <v>41403</v>
      </c>
      <c r="C60" s="158" t="s">
        <v>148</v>
      </c>
      <c r="D60" s="157">
        <v>41403</v>
      </c>
      <c r="E60" s="159" t="s">
        <v>491</v>
      </c>
      <c r="F60" s="162">
        <f t="shared" si="1"/>
        <v>2305801783</v>
      </c>
      <c r="G60" s="158" t="s">
        <v>166</v>
      </c>
      <c r="H60" s="205">
        <v>20915</v>
      </c>
      <c r="I60" s="206">
        <v>110246.32</v>
      </c>
      <c r="J60" s="207"/>
      <c r="K60" s="208">
        <f t="shared" si="2"/>
        <v>110316.59</v>
      </c>
      <c r="L60" s="162"/>
      <c r="M60" s="156"/>
    </row>
    <row r="61" spans="1:13" s="142" customFormat="1" ht="17.25" customHeight="1">
      <c r="A61" s="142">
        <f t="shared" si="3"/>
        <v>5</v>
      </c>
      <c r="B61" s="157">
        <v>41403</v>
      </c>
      <c r="C61" s="158" t="s">
        <v>145</v>
      </c>
      <c r="D61" s="157">
        <v>41403</v>
      </c>
      <c r="E61" s="159" t="s">
        <v>248</v>
      </c>
      <c r="F61" s="162">
        <f t="shared" si="1"/>
        <v>2307367600</v>
      </c>
      <c r="G61" s="160" t="s">
        <v>36</v>
      </c>
      <c r="H61" s="205">
        <v>20938</v>
      </c>
      <c r="I61" s="206"/>
      <c r="J61" s="207">
        <v>110200</v>
      </c>
      <c r="K61" s="208">
        <f t="shared" si="2"/>
        <v>116.58999999999651</v>
      </c>
      <c r="L61" s="162"/>
    </row>
    <row r="62" spans="1:13" s="142" customFormat="1" ht="17.25" customHeight="1">
      <c r="A62" s="142">
        <f t="shared" si="3"/>
        <v>6</v>
      </c>
      <c r="B62" s="157">
        <v>41428</v>
      </c>
      <c r="C62" s="158" t="s">
        <v>148</v>
      </c>
      <c r="D62" s="157">
        <v>41428</v>
      </c>
      <c r="E62" s="159" t="s">
        <v>746</v>
      </c>
      <c r="F62" s="162">
        <f t="shared" si="1"/>
        <v>1262160000</v>
      </c>
      <c r="G62" s="160" t="s">
        <v>166</v>
      </c>
      <c r="H62" s="205">
        <v>21036</v>
      </c>
      <c r="I62" s="206">
        <v>60000</v>
      </c>
      <c r="J62" s="207"/>
      <c r="K62" s="208">
        <f t="shared" si="2"/>
        <v>60116.59</v>
      </c>
      <c r="L62" s="162"/>
    </row>
    <row r="63" spans="1:13" s="142" customFormat="1" ht="17.25" customHeight="1">
      <c r="A63" s="142">
        <f t="shared" si="3"/>
        <v>6</v>
      </c>
      <c r="B63" s="157">
        <v>41428</v>
      </c>
      <c r="C63" s="158" t="s">
        <v>145</v>
      </c>
      <c r="D63" s="157">
        <v>41428</v>
      </c>
      <c r="E63" s="159" t="s">
        <v>747</v>
      </c>
      <c r="F63" s="162">
        <f t="shared" si="1"/>
        <v>1790223</v>
      </c>
      <c r="G63" s="160" t="s">
        <v>192</v>
      </c>
      <c r="H63" s="205">
        <v>20980</v>
      </c>
      <c r="I63" s="206"/>
      <c r="J63" s="207">
        <v>85.33</v>
      </c>
      <c r="K63" s="208">
        <f t="shared" si="2"/>
        <v>60031.259999999995</v>
      </c>
      <c r="L63" s="162"/>
    </row>
    <row r="64" spans="1:13" s="142" customFormat="1" ht="17.25" customHeight="1">
      <c r="A64" s="142">
        <f t="shared" si="3"/>
        <v>6</v>
      </c>
      <c r="B64" s="157">
        <v>41428</v>
      </c>
      <c r="C64" s="158" t="s">
        <v>145</v>
      </c>
      <c r="D64" s="157">
        <v>41428</v>
      </c>
      <c r="E64" s="159" t="s">
        <v>748</v>
      </c>
      <c r="F64" s="162">
        <f t="shared" si="1"/>
        <v>178959</v>
      </c>
      <c r="G64" s="160" t="s">
        <v>35</v>
      </c>
      <c r="H64" s="205">
        <v>20980</v>
      </c>
      <c r="I64" s="206"/>
      <c r="J64" s="207">
        <v>8.5299999999999994</v>
      </c>
      <c r="K64" s="208">
        <f t="shared" si="2"/>
        <v>60022.729999999996</v>
      </c>
      <c r="L64" s="162"/>
    </row>
    <row r="65" spans="1:12" s="142" customFormat="1" ht="17.25" customHeight="1">
      <c r="A65" s="142">
        <f t="shared" si="3"/>
        <v>6</v>
      </c>
      <c r="B65" s="157">
        <v>41428</v>
      </c>
      <c r="C65" s="158" t="s">
        <v>145</v>
      </c>
      <c r="D65" s="157">
        <v>41428</v>
      </c>
      <c r="E65" s="159" t="s">
        <v>749</v>
      </c>
      <c r="F65" s="162">
        <f t="shared" si="1"/>
        <v>579468</v>
      </c>
      <c r="G65" s="160" t="s">
        <v>192</v>
      </c>
      <c r="H65" s="205">
        <v>20980</v>
      </c>
      <c r="I65" s="206"/>
      <c r="J65" s="207">
        <v>27.62</v>
      </c>
      <c r="K65" s="208">
        <f t="shared" si="2"/>
        <v>59995.109999999993</v>
      </c>
      <c r="L65" s="162"/>
    </row>
    <row r="66" spans="1:12" s="142" customFormat="1" ht="18" customHeight="1">
      <c r="A66" s="142">
        <f t="shared" si="3"/>
        <v>6</v>
      </c>
      <c r="B66" s="157">
        <v>41428</v>
      </c>
      <c r="C66" s="158" t="s">
        <v>145</v>
      </c>
      <c r="D66" s="157">
        <v>41428</v>
      </c>
      <c r="E66" s="159" t="s">
        <v>750</v>
      </c>
      <c r="F66" s="162">
        <f t="shared" si="1"/>
        <v>57905</v>
      </c>
      <c r="G66" s="160" t="s">
        <v>35</v>
      </c>
      <c r="H66" s="205">
        <v>20980</v>
      </c>
      <c r="I66" s="206"/>
      <c r="J66" s="207">
        <v>2.76</v>
      </c>
      <c r="K66" s="208">
        <f t="shared" si="2"/>
        <v>59992.349999999991</v>
      </c>
      <c r="L66" s="162"/>
    </row>
    <row r="67" spans="1:12" s="142" customFormat="1" ht="18" customHeight="1">
      <c r="A67" s="142">
        <f t="shared" si="3"/>
        <v>6</v>
      </c>
      <c r="B67" s="157">
        <v>41428</v>
      </c>
      <c r="C67" s="158" t="s">
        <v>145</v>
      </c>
      <c r="D67" s="157">
        <v>41428</v>
      </c>
      <c r="E67" s="159" t="s">
        <v>248</v>
      </c>
      <c r="F67" s="162">
        <f t="shared" si="1"/>
        <v>1258618800</v>
      </c>
      <c r="G67" s="160" t="s">
        <v>36</v>
      </c>
      <c r="H67" s="205">
        <v>21012</v>
      </c>
      <c r="I67" s="206"/>
      <c r="J67" s="207">
        <v>59900</v>
      </c>
      <c r="K67" s="208">
        <f t="shared" si="2"/>
        <v>92.349999999991269</v>
      </c>
      <c r="L67" s="162"/>
    </row>
    <row r="68" spans="1:12" s="142" customFormat="1" ht="18" customHeight="1">
      <c r="A68" s="142">
        <f t="shared" si="3"/>
        <v>6</v>
      </c>
      <c r="B68" s="157">
        <v>41436</v>
      </c>
      <c r="C68" s="158" t="s">
        <v>148</v>
      </c>
      <c r="D68" s="157">
        <v>41436</v>
      </c>
      <c r="E68" s="159" t="s">
        <v>751</v>
      </c>
      <c r="F68" s="162">
        <f t="shared" si="1"/>
        <v>65278547</v>
      </c>
      <c r="G68" s="160" t="s">
        <v>166</v>
      </c>
      <c r="H68" s="205">
        <v>21035</v>
      </c>
      <c r="I68" s="206">
        <v>3103.33</v>
      </c>
      <c r="J68" s="207"/>
      <c r="K68" s="208">
        <f t="shared" si="2"/>
        <v>3195.6799999999912</v>
      </c>
      <c r="L68" s="162"/>
    </row>
    <row r="69" spans="1:12" s="142" customFormat="1" ht="18" customHeight="1">
      <c r="A69" s="142">
        <f t="shared" si="3"/>
        <v>6</v>
      </c>
      <c r="B69" s="157">
        <v>41438</v>
      </c>
      <c r="C69" s="158" t="s">
        <v>145</v>
      </c>
      <c r="D69" s="157">
        <v>41438</v>
      </c>
      <c r="E69" s="159" t="s">
        <v>752</v>
      </c>
      <c r="F69" s="162">
        <f t="shared" si="1"/>
        <v>315525</v>
      </c>
      <c r="G69" s="160" t="s">
        <v>192</v>
      </c>
      <c r="H69" s="205">
        <v>21035</v>
      </c>
      <c r="I69" s="206"/>
      <c r="J69" s="207">
        <v>15</v>
      </c>
      <c r="K69" s="208">
        <f t="shared" si="2"/>
        <v>3180.6799999999912</v>
      </c>
      <c r="L69" s="162"/>
    </row>
    <row r="70" spans="1:12" s="142" customFormat="1" ht="18" customHeight="1">
      <c r="A70" s="142">
        <f t="shared" si="3"/>
        <v>6</v>
      </c>
      <c r="B70" s="157">
        <v>41438</v>
      </c>
      <c r="C70" s="158" t="s">
        <v>145</v>
      </c>
      <c r="D70" s="157">
        <v>41438</v>
      </c>
      <c r="E70" s="159" t="s">
        <v>753</v>
      </c>
      <c r="F70" s="162">
        <f t="shared" si="1"/>
        <v>31553</v>
      </c>
      <c r="G70" s="160" t="s">
        <v>35</v>
      </c>
      <c r="H70" s="205">
        <v>21035</v>
      </c>
      <c r="I70" s="206"/>
      <c r="J70" s="207">
        <v>1.5</v>
      </c>
      <c r="K70" s="208">
        <f t="shared" si="2"/>
        <v>3179.1799999999912</v>
      </c>
      <c r="L70" s="162"/>
    </row>
    <row r="71" spans="1:12" s="142" customFormat="1" ht="18" customHeight="1">
      <c r="A71" s="142">
        <f t="shared" si="3"/>
        <v>6</v>
      </c>
      <c r="B71" s="157">
        <v>41444</v>
      </c>
      <c r="C71" s="158" t="s">
        <v>148</v>
      </c>
      <c r="D71" s="157">
        <v>41444</v>
      </c>
      <c r="E71" s="159" t="s">
        <v>746</v>
      </c>
      <c r="F71" s="162">
        <f t="shared" si="1"/>
        <v>835089500</v>
      </c>
      <c r="G71" s="160" t="s">
        <v>166</v>
      </c>
      <c r="H71" s="205">
        <v>21035</v>
      </c>
      <c r="I71" s="206">
        <v>39700</v>
      </c>
      <c r="J71" s="207"/>
      <c r="K71" s="208">
        <f t="shared" si="2"/>
        <v>42879.179999999993</v>
      </c>
      <c r="L71" s="162"/>
    </row>
    <row r="72" spans="1:12" s="142" customFormat="1" ht="18" customHeight="1">
      <c r="A72" s="142">
        <f t="shared" si="3"/>
        <v>6</v>
      </c>
      <c r="B72" s="157">
        <v>41444</v>
      </c>
      <c r="C72" s="158" t="s">
        <v>145</v>
      </c>
      <c r="D72" s="157">
        <v>41444</v>
      </c>
      <c r="E72" s="159" t="s">
        <v>754</v>
      </c>
      <c r="F72" s="162">
        <f t="shared" si="1"/>
        <v>1325205</v>
      </c>
      <c r="G72" s="160" t="s">
        <v>192</v>
      </c>
      <c r="H72" s="205">
        <v>21035</v>
      </c>
      <c r="I72" s="206"/>
      <c r="J72" s="207">
        <v>63</v>
      </c>
      <c r="K72" s="208">
        <f t="shared" si="2"/>
        <v>42816.179999999993</v>
      </c>
      <c r="L72" s="162"/>
    </row>
    <row r="73" spans="1:12" s="142" customFormat="1" ht="18" customHeight="1">
      <c r="A73" s="142">
        <f t="shared" si="3"/>
        <v>6</v>
      </c>
      <c r="B73" s="157">
        <v>41444</v>
      </c>
      <c r="C73" s="158" t="s">
        <v>145</v>
      </c>
      <c r="D73" s="157">
        <v>41444</v>
      </c>
      <c r="E73" s="159" t="s">
        <v>580</v>
      </c>
      <c r="F73" s="162">
        <f t="shared" si="1"/>
        <v>63105</v>
      </c>
      <c r="G73" s="160" t="s">
        <v>192</v>
      </c>
      <c r="H73" s="205">
        <v>21035</v>
      </c>
      <c r="I73" s="206"/>
      <c r="J73" s="207">
        <v>3</v>
      </c>
      <c r="K73" s="208">
        <f t="shared" si="2"/>
        <v>42813.179999999993</v>
      </c>
      <c r="L73" s="162"/>
    </row>
    <row r="74" spans="1:12" s="142" customFormat="1" ht="18" customHeight="1">
      <c r="A74" s="142">
        <f t="shared" si="3"/>
        <v>6</v>
      </c>
      <c r="B74" s="157">
        <v>41444</v>
      </c>
      <c r="C74" s="158" t="s">
        <v>145</v>
      </c>
      <c r="D74" s="157">
        <v>41444</v>
      </c>
      <c r="E74" s="159" t="s">
        <v>755</v>
      </c>
      <c r="F74" s="162">
        <f t="shared" si="1"/>
        <v>11830505</v>
      </c>
      <c r="G74" s="160" t="s">
        <v>150</v>
      </c>
      <c r="H74" s="205">
        <v>21035</v>
      </c>
      <c r="I74" s="206"/>
      <c r="J74" s="207">
        <v>562.41999999999996</v>
      </c>
      <c r="K74" s="208">
        <f t="shared" si="2"/>
        <v>42250.759999999995</v>
      </c>
      <c r="L74" s="162"/>
    </row>
    <row r="75" spans="1:12" s="142" customFormat="1" ht="18" customHeight="1">
      <c r="A75" s="142">
        <f t="shared" si="3"/>
        <v>6</v>
      </c>
      <c r="B75" s="157">
        <v>41444</v>
      </c>
      <c r="C75" s="158" t="s">
        <v>145</v>
      </c>
      <c r="D75" s="157">
        <v>41444</v>
      </c>
      <c r="E75" s="159" t="s">
        <v>756</v>
      </c>
      <c r="F75" s="162">
        <f t="shared" si="1"/>
        <v>11231638</v>
      </c>
      <c r="G75" s="160" t="s">
        <v>150</v>
      </c>
      <c r="H75" s="205">
        <v>21035</v>
      </c>
      <c r="I75" s="206"/>
      <c r="J75" s="207">
        <v>533.95000000000005</v>
      </c>
      <c r="K75" s="208">
        <f t="shared" si="2"/>
        <v>41716.81</v>
      </c>
      <c r="L75" s="162"/>
    </row>
    <row r="76" spans="1:12" s="142" customFormat="1" ht="18" customHeight="1">
      <c r="A76" s="142">
        <f t="shared" ref="A76:A109" si="4">IF(B76&lt;&gt;"",MONTH(B76),"")</f>
        <v>6</v>
      </c>
      <c r="B76" s="157">
        <v>41444</v>
      </c>
      <c r="C76" s="158" t="s">
        <v>145</v>
      </c>
      <c r="D76" s="157">
        <v>41444</v>
      </c>
      <c r="E76" s="159" t="s">
        <v>757</v>
      </c>
      <c r="F76" s="162">
        <f t="shared" si="1"/>
        <v>10658224</v>
      </c>
      <c r="G76" s="160" t="s">
        <v>150</v>
      </c>
      <c r="H76" s="205">
        <v>21035</v>
      </c>
      <c r="I76" s="206"/>
      <c r="J76" s="207">
        <v>506.69</v>
      </c>
      <c r="K76" s="208">
        <f t="shared" si="2"/>
        <v>41210.119999999995</v>
      </c>
      <c r="L76" s="162"/>
    </row>
    <row r="77" spans="1:12" s="142" customFormat="1" ht="17.25" customHeight="1">
      <c r="A77" s="142">
        <f t="shared" si="4"/>
        <v>6</v>
      </c>
      <c r="B77" s="157">
        <v>41444</v>
      </c>
      <c r="C77" s="158" t="s">
        <v>145</v>
      </c>
      <c r="D77" s="157">
        <v>41444</v>
      </c>
      <c r="E77" s="159" t="s">
        <v>249</v>
      </c>
      <c r="F77" s="162">
        <f t="shared" ref="F77:F140" si="5">ROUND((I77+J77)*H77,0)</f>
        <v>1187636</v>
      </c>
      <c r="G77" s="160" t="s">
        <v>192</v>
      </c>
      <c r="H77" s="205">
        <v>21035</v>
      </c>
      <c r="I77" s="206"/>
      <c r="J77" s="207">
        <v>56.46</v>
      </c>
      <c r="K77" s="208">
        <f t="shared" ref="K77:K140" si="6">IF(B77&lt;&gt;"",K76+I77-J77,0)</f>
        <v>41153.659999999996</v>
      </c>
      <c r="L77" s="162"/>
    </row>
    <row r="78" spans="1:12" s="142" customFormat="1" ht="17.25" customHeight="1">
      <c r="A78" s="142">
        <f t="shared" si="4"/>
        <v>6</v>
      </c>
      <c r="B78" s="157">
        <v>41444</v>
      </c>
      <c r="C78" s="158" t="s">
        <v>145</v>
      </c>
      <c r="D78" s="157">
        <v>41444</v>
      </c>
      <c r="E78" s="159" t="s">
        <v>250</v>
      </c>
      <c r="F78" s="162">
        <f t="shared" si="5"/>
        <v>118848</v>
      </c>
      <c r="G78" s="160" t="s">
        <v>35</v>
      </c>
      <c r="H78" s="205">
        <v>21035</v>
      </c>
      <c r="I78" s="206"/>
      <c r="J78" s="207">
        <v>5.65</v>
      </c>
      <c r="K78" s="208">
        <f t="shared" si="6"/>
        <v>41148.009999999995</v>
      </c>
      <c r="L78" s="162"/>
    </row>
    <row r="79" spans="1:12" s="142" customFormat="1" ht="17.25" customHeight="1">
      <c r="A79" s="142">
        <f t="shared" si="4"/>
        <v>6</v>
      </c>
      <c r="B79" s="157">
        <v>41444</v>
      </c>
      <c r="C79" s="158" t="s">
        <v>145</v>
      </c>
      <c r="D79" s="157">
        <v>41444</v>
      </c>
      <c r="E79" s="159" t="s">
        <v>239</v>
      </c>
      <c r="F79" s="162">
        <f t="shared" si="5"/>
        <v>580987</v>
      </c>
      <c r="G79" s="160" t="s">
        <v>192</v>
      </c>
      <c r="H79" s="205">
        <v>21035</v>
      </c>
      <c r="I79" s="206"/>
      <c r="J79" s="207">
        <v>27.62</v>
      </c>
      <c r="K79" s="208">
        <f t="shared" si="6"/>
        <v>41120.389999999992</v>
      </c>
      <c r="L79" s="162"/>
    </row>
    <row r="80" spans="1:12" s="142" customFormat="1" ht="17.25" customHeight="1">
      <c r="A80" s="142">
        <f t="shared" si="4"/>
        <v>6</v>
      </c>
      <c r="B80" s="157">
        <v>41444</v>
      </c>
      <c r="C80" s="158" t="s">
        <v>145</v>
      </c>
      <c r="D80" s="157">
        <v>41444</v>
      </c>
      <c r="E80" s="159" t="s">
        <v>240</v>
      </c>
      <c r="F80" s="162">
        <f t="shared" si="5"/>
        <v>58057</v>
      </c>
      <c r="G80" s="160" t="s">
        <v>35</v>
      </c>
      <c r="H80" s="205">
        <v>21035</v>
      </c>
      <c r="I80" s="206"/>
      <c r="J80" s="207">
        <v>2.76</v>
      </c>
      <c r="K80" s="208">
        <f t="shared" si="6"/>
        <v>41117.62999999999</v>
      </c>
      <c r="L80" s="162"/>
    </row>
    <row r="81" spans="1:12" s="142" customFormat="1" ht="17.25" customHeight="1">
      <c r="A81" s="142">
        <f t="shared" si="4"/>
        <v>6</v>
      </c>
      <c r="B81" s="157">
        <v>41444</v>
      </c>
      <c r="C81" s="158" t="s">
        <v>145</v>
      </c>
      <c r="D81" s="157">
        <v>41444</v>
      </c>
      <c r="E81" s="159" t="s">
        <v>581</v>
      </c>
      <c r="F81" s="162">
        <f t="shared" si="5"/>
        <v>6311</v>
      </c>
      <c r="G81" s="160" t="s">
        <v>35</v>
      </c>
      <c r="H81" s="205">
        <v>21037</v>
      </c>
      <c r="I81" s="206"/>
      <c r="J81" s="207">
        <v>0.3</v>
      </c>
      <c r="K81" s="208">
        <f t="shared" si="6"/>
        <v>41117.329999999987</v>
      </c>
      <c r="L81" s="162"/>
    </row>
    <row r="82" spans="1:12" s="142" customFormat="1" ht="17.25" customHeight="1">
      <c r="A82" s="142">
        <f t="shared" si="4"/>
        <v>6</v>
      </c>
      <c r="B82" s="157">
        <v>41445</v>
      </c>
      <c r="C82" s="158" t="s">
        <v>145</v>
      </c>
      <c r="D82" s="157">
        <v>41445</v>
      </c>
      <c r="E82" s="159" t="s">
        <v>248</v>
      </c>
      <c r="F82" s="162">
        <f t="shared" si="5"/>
        <v>864579600</v>
      </c>
      <c r="G82" s="160" t="s">
        <v>36</v>
      </c>
      <c r="H82" s="205">
        <v>21036</v>
      </c>
      <c r="I82" s="206"/>
      <c r="J82" s="207">
        <v>41100</v>
      </c>
      <c r="K82" s="208">
        <f t="shared" si="6"/>
        <v>17.329999999987194</v>
      </c>
      <c r="L82" s="162"/>
    </row>
    <row r="83" spans="1:12" s="142" customFormat="1" ht="17.25" customHeight="1">
      <c r="A83" s="142">
        <f t="shared" si="4"/>
        <v>6</v>
      </c>
      <c r="B83" s="157">
        <v>41449</v>
      </c>
      <c r="C83" s="158" t="s">
        <v>148</v>
      </c>
      <c r="D83" s="157">
        <v>41449</v>
      </c>
      <c r="E83" s="159" t="s">
        <v>157</v>
      </c>
      <c r="F83" s="162">
        <f t="shared" si="5"/>
        <v>7993</v>
      </c>
      <c r="G83" s="160" t="s">
        <v>158</v>
      </c>
      <c r="H83" s="205">
        <v>21034</v>
      </c>
      <c r="I83" s="206">
        <v>0.38</v>
      </c>
      <c r="J83" s="207"/>
      <c r="K83" s="208">
        <f t="shared" si="6"/>
        <v>17.709999999987193</v>
      </c>
      <c r="L83" s="162"/>
    </row>
    <row r="84" spans="1:12" s="348" customFormat="1" ht="17.25" customHeight="1">
      <c r="A84" s="348">
        <f t="shared" si="4"/>
        <v>6</v>
      </c>
      <c r="B84" s="349">
        <v>41449</v>
      </c>
      <c r="C84" s="350" t="s">
        <v>145</v>
      </c>
      <c r="D84" s="349">
        <v>41449</v>
      </c>
      <c r="E84" s="351" t="s">
        <v>752</v>
      </c>
      <c r="F84" s="162">
        <f t="shared" si="5"/>
        <v>315525</v>
      </c>
      <c r="G84" s="353" t="s">
        <v>192</v>
      </c>
      <c r="H84" s="354">
        <v>21035</v>
      </c>
      <c r="I84" s="355"/>
      <c r="J84" s="356">
        <v>15</v>
      </c>
      <c r="K84" s="208">
        <f t="shared" si="6"/>
        <v>2.7099999999871933</v>
      </c>
      <c r="L84" s="352"/>
    </row>
    <row r="85" spans="1:12" s="142" customFormat="1" ht="17.25" customHeight="1">
      <c r="A85" s="142">
        <f t="shared" si="4"/>
        <v>6</v>
      </c>
      <c r="B85" s="157">
        <v>41449</v>
      </c>
      <c r="C85" s="158" t="s">
        <v>145</v>
      </c>
      <c r="D85" s="157">
        <v>41449</v>
      </c>
      <c r="E85" s="159" t="s">
        <v>753</v>
      </c>
      <c r="F85" s="162">
        <f t="shared" si="5"/>
        <v>31553</v>
      </c>
      <c r="G85" s="160" t="s">
        <v>35</v>
      </c>
      <c r="H85" s="205">
        <v>21035</v>
      </c>
      <c r="I85" s="206"/>
      <c r="J85" s="207">
        <v>1.5</v>
      </c>
      <c r="K85" s="208">
        <f t="shared" si="6"/>
        <v>1.2099999999871933</v>
      </c>
      <c r="L85" s="162"/>
    </row>
    <row r="86" spans="1:12" s="142" customFormat="1" ht="17.25" customHeight="1">
      <c r="A86" s="142">
        <f t="shared" si="4"/>
        <v>6</v>
      </c>
      <c r="B86" s="157">
        <v>41453</v>
      </c>
      <c r="C86" s="158" t="s">
        <v>148</v>
      </c>
      <c r="D86" s="157">
        <v>41453</v>
      </c>
      <c r="E86" s="159" t="s">
        <v>746</v>
      </c>
      <c r="F86" s="162">
        <f t="shared" si="5"/>
        <v>273738000</v>
      </c>
      <c r="G86" s="160" t="s">
        <v>166</v>
      </c>
      <c r="H86" s="205">
        <v>21220</v>
      </c>
      <c r="I86" s="206">
        <v>12900</v>
      </c>
      <c r="J86" s="207"/>
      <c r="K86" s="208">
        <f t="shared" si="6"/>
        <v>12901.209999999986</v>
      </c>
      <c r="L86" s="162"/>
    </row>
    <row r="87" spans="1:12" s="142" customFormat="1" ht="17.25" customHeight="1">
      <c r="A87" s="142">
        <f t="shared" si="4"/>
        <v>6</v>
      </c>
      <c r="B87" s="157">
        <v>41453</v>
      </c>
      <c r="C87" s="158" t="s">
        <v>145</v>
      </c>
      <c r="D87" s="157">
        <v>41453</v>
      </c>
      <c r="E87" s="159" t="s">
        <v>248</v>
      </c>
      <c r="F87" s="162">
        <f t="shared" si="5"/>
        <v>270720000</v>
      </c>
      <c r="G87" s="160" t="s">
        <v>36</v>
      </c>
      <c r="H87" s="205">
        <v>21150</v>
      </c>
      <c r="I87" s="206"/>
      <c r="J87" s="207">
        <v>12800</v>
      </c>
      <c r="K87" s="208">
        <f t="shared" si="6"/>
        <v>101.20999999998639</v>
      </c>
      <c r="L87" s="162"/>
    </row>
    <row r="88" spans="1:12" s="142" customFormat="1" ht="17.25" customHeight="1">
      <c r="A88" s="142">
        <f t="shared" si="4"/>
        <v>6</v>
      </c>
      <c r="B88" s="157">
        <v>41454</v>
      </c>
      <c r="C88" s="158" t="s">
        <v>145</v>
      </c>
      <c r="D88" s="157">
        <v>41454</v>
      </c>
      <c r="E88" s="159" t="s">
        <v>249</v>
      </c>
      <c r="F88" s="162">
        <f t="shared" si="5"/>
        <v>388498</v>
      </c>
      <c r="G88" s="160" t="s">
        <v>192</v>
      </c>
      <c r="H88" s="205">
        <v>21160</v>
      </c>
      <c r="I88" s="206"/>
      <c r="J88" s="207">
        <v>18.36</v>
      </c>
      <c r="K88" s="208">
        <f t="shared" si="6"/>
        <v>82.849999999986395</v>
      </c>
      <c r="L88" s="162"/>
    </row>
    <row r="89" spans="1:12" s="142" customFormat="1" ht="17.25" customHeight="1">
      <c r="A89" s="142">
        <f t="shared" si="4"/>
        <v>6</v>
      </c>
      <c r="B89" s="157">
        <v>41454</v>
      </c>
      <c r="C89" s="158" t="s">
        <v>145</v>
      </c>
      <c r="D89" s="157">
        <v>41454</v>
      </c>
      <c r="E89" s="159" t="s">
        <v>250</v>
      </c>
      <c r="F89" s="162">
        <f t="shared" si="5"/>
        <v>38934</v>
      </c>
      <c r="G89" s="160" t="s">
        <v>35</v>
      </c>
      <c r="H89" s="205">
        <v>21160</v>
      </c>
      <c r="I89" s="206"/>
      <c r="J89" s="207">
        <v>1.84</v>
      </c>
      <c r="K89" s="208">
        <f t="shared" si="6"/>
        <v>81.009999999986391</v>
      </c>
      <c r="L89" s="162"/>
    </row>
    <row r="90" spans="1:12" s="142" customFormat="1" ht="17.25" customHeight="1">
      <c r="A90" s="142">
        <f t="shared" si="4"/>
        <v>6</v>
      </c>
      <c r="B90" s="157">
        <v>41454</v>
      </c>
      <c r="C90" s="158" t="s">
        <v>145</v>
      </c>
      <c r="D90" s="157">
        <v>41454</v>
      </c>
      <c r="E90" s="159" t="s">
        <v>225</v>
      </c>
      <c r="F90" s="162">
        <f t="shared" si="5"/>
        <v>584439</v>
      </c>
      <c r="G90" s="160" t="s">
        <v>192</v>
      </c>
      <c r="H90" s="205">
        <v>21160</v>
      </c>
      <c r="I90" s="206"/>
      <c r="J90" s="207">
        <v>27.62</v>
      </c>
      <c r="K90" s="208">
        <f t="shared" si="6"/>
        <v>53.389999999986387</v>
      </c>
      <c r="L90" s="162"/>
    </row>
    <row r="91" spans="1:12" s="142" customFormat="1" ht="17.25" customHeight="1">
      <c r="A91" s="142">
        <f t="shared" si="4"/>
        <v>6</v>
      </c>
      <c r="B91" s="157">
        <v>41454</v>
      </c>
      <c r="C91" s="158" t="s">
        <v>145</v>
      </c>
      <c r="D91" s="157">
        <v>41454</v>
      </c>
      <c r="E91" s="159" t="s">
        <v>226</v>
      </c>
      <c r="F91" s="162">
        <f t="shared" si="5"/>
        <v>58402</v>
      </c>
      <c r="G91" s="160" t="s">
        <v>35</v>
      </c>
      <c r="H91" s="205">
        <v>21160</v>
      </c>
      <c r="I91" s="206"/>
      <c r="J91" s="207">
        <v>2.76</v>
      </c>
      <c r="K91" s="208">
        <f t="shared" si="6"/>
        <v>50.629999999986389</v>
      </c>
      <c r="L91" s="162"/>
    </row>
    <row r="92" spans="1:12" s="142" customFormat="1" ht="17.25" customHeight="1">
      <c r="A92" s="142">
        <f t="shared" si="4"/>
        <v>6</v>
      </c>
      <c r="B92" s="157">
        <v>41454</v>
      </c>
      <c r="C92" s="158" t="s">
        <v>145</v>
      </c>
      <c r="D92" s="157">
        <v>41454</v>
      </c>
      <c r="E92" s="159" t="s">
        <v>225</v>
      </c>
      <c r="F92" s="162">
        <f t="shared" si="5"/>
        <v>756258</v>
      </c>
      <c r="G92" s="160" t="s">
        <v>192</v>
      </c>
      <c r="H92" s="205">
        <v>21160</v>
      </c>
      <c r="I92" s="206"/>
      <c r="J92" s="207">
        <v>35.74</v>
      </c>
      <c r="K92" s="208">
        <f t="shared" si="6"/>
        <v>14.889999999986387</v>
      </c>
      <c r="L92" s="162"/>
    </row>
    <row r="93" spans="1:12" s="142" customFormat="1" ht="17.25" customHeight="1">
      <c r="A93" s="142">
        <f t="shared" si="4"/>
        <v>6</v>
      </c>
      <c r="B93" s="157">
        <v>41454</v>
      </c>
      <c r="C93" s="158" t="s">
        <v>145</v>
      </c>
      <c r="D93" s="157">
        <v>41454</v>
      </c>
      <c r="E93" s="159" t="s">
        <v>226</v>
      </c>
      <c r="F93" s="162">
        <f t="shared" si="5"/>
        <v>75541</v>
      </c>
      <c r="G93" s="160" t="s">
        <v>35</v>
      </c>
      <c r="H93" s="205">
        <v>21160</v>
      </c>
      <c r="I93" s="206"/>
      <c r="J93" s="207">
        <v>3.57</v>
      </c>
      <c r="K93" s="208">
        <f t="shared" si="6"/>
        <v>11.319999999986386</v>
      </c>
      <c r="L93" s="162"/>
    </row>
    <row r="94" spans="1:12" s="142" customFormat="1" ht="17.25" customHeight="1">
      <c r="A94" s="142">
        <f t="shared" si="4"/>
        <v>7</v>
      </c>
      <c r="B94" s="157">
        <v>41457</v>
      </c>
      <c r="C94" s="158" t="s">
        <v>148</v>
      </c>
      <c r="D94" s="157">
        <v>41457</v>
      </c>
      <c r="E94" s="159" t="s">
        <v>724</v>
      </c>
      <c r="F94" s="162">
        <f t="shared" si="5"/>
        <v>39907551</v>
      </c>
      <c r="G94" s="160" t="s">
        <v>166</v>
      </c>
      <c r="H94" s="205">
        <v>21190</v>
      </c>
      <c r="I94" s="206">
        <v>1883.32</v>
      </c>
      <c r="J94" s="207"/>
      <c r="K94" s="208">
        <f t="shared" si="6"/>
        <v>1894.6399999999862</v>
      </c>
      <c r="L94" s="162"/>
    </row>
    <row r="95" spans="1:12" s="142" customFormat="1" ht="17.25" customHeight="1">
      <c r="A95" s="142">
        <f t="shared" si="4"/>
        <v>7</v>
      </c>
      <c r="B95" s="157">
        <v>41461</v>
      </c>
      <c r="C95" s="158" t="s">
        <v>148</v>
      </c>
      <c r="D95" s="157">
        <v>41461</v>
      </c>
      <c r="E95" s="159" t="s">
        <v>724</v>
      </c>
      <c r="F95" s="162">
        <f t="shared" si="5"/>
        <v>12746217</v>
      </c>
      <c r="G95" s="160" t="s">
        <v>166</v>
      </c>
      <c r="H95" s="205">
        <v>21220</v>
      </c>
      <c r="I95" s="206">
        <v>600.66999999999996</v>
      </c>
      <c r="J95" s="207"/>
      <c r="K95" s="208">
        <f t="shared" si="6"/>
        <v>2495.3099999999863</v>
      </c>
      <c r="L95" s="162"/>
    </row>
    <row r="96" spans="1:12" s="142" customFormat="1" ht="17.25" customHeight="1">
      <c r="A96" s="142">
        <f t="shared" si="4"/>
        <v>7</v>
      </c>
      <c r="B96" s="157">
        <v>41461</v>
      </c>
      <c r="C96" s="158" t="s">
        <v>145</v>
      </c>
      <c r="D96" s="157">
        <v>41461</v>
      </c>
      <c r="E96" s="159" t="s">
        <v>758</v>
      </c>
      <c r="F96" s="162">
        <f t="shared" si="5"/>
        <v>5238794</v>
      </c>
      <c r="G96" s="160" t="s">
        <v>150</v>
      </c>
      <c r="H96" s="205">
        <v>21220</v>
      </c>
      <c r="I96" s="206"/>
      <c r="J96" s="207">
        <v>246.88</v>
      </c>
      <c r="K96" s="208">
        <f t="shared" si="6"/>
        <v>2248.4299999999862</v>
      </c>
      <c r="L96" s="162"/>
    </row>
    <row r="97" spans="1:13" s="142" customFormat="1" ht="17.25" customHeight="1">
      <c r="A97" s="142">
        <f>IF(B97&lt;&gt;"",MONTH(B97),"")</f>
        <v>7</v>
      </c>
      <c r="B97" s="157">
        <v>41461</v>
      </c>
      <c r="C97" s="158" t="s">
        <v>145</v>
      </c>
      <c r="D97" s="157">
        <v>41461</v>
      </c>
      <c r="E97" s="159" t="s">
        <v>759</v>
      </c>
      <c r="F97" s="162">
        <f t="shared" si="5"/>
        <v>16991066</v>
      </c>
      <c r="G97" s="160" t="s">
        <v>150</v>
      </c>
      <c r="H97" s="205">
        <v>21220</v>
      </c>
      <c r="I97" s="206"/>
      <c r="J97" s="207">
        <v>800.71</v>
      </c>
      <c r="K97" s="208">
        <f t="shared" si="6"/>
        <v>1447.7199999999862</v>
      </c>
      <c r="L97" s="162"/>
    </row>
    <row r="98" spans="1:13" s="142" customFormat="1" ht="17.25" customHeight="1">
      <c r="A98" s="142">
        <f t="shared" si="4"/>
        <v>7</v>
      </c>
      <c r="B98" s="157">
        <v>41461</v>
      </c>
      <c r="C98" s="158" t="s">
        <v>145</v>
      </c>
      <c r="D98" s="157">
        <v>41461</v>
      </c>
      <c r="E98" s="159" t="s">
        <v>760</v>
      </c>
      <c r="F98" s="162">
        <f t="shared" si="5"/>
        <v>10610212</v>
      </c>
      <c r="G98" s="160" t="s">
        <v>150</v>
      </c>
      <c r="H98" s="205">
        <v>21220</v>
      </c>
      <c r="I98" s="206"/>
      <c r="J98" s="207">
        <v>500.01</v>
      </c>
      <c r="K98" s="208">
        <f t="shared" si="6"/>
        <v>947.70999999998617</v>
      </c>
      <c r="L98" s="162"/>
    </row>
    <row r="99" spans="1:13" s="142" customFormat="1" ht="17.25" customHeight="1">
      <c r="A99" s="142">
        <f t="shared" si="4"/>
        <v>7</v>
      </c>
      <c r="B99" s="157">
        <v>41461</v>
      </c>
      <c r="C99" s="158" t="s">
        <v>145</v>
      </c>
      <c r="D99" s="157">
        <v>41461</v>
      </c>
      <c r="E99" s="159" t="s">
        <v>761</v>
      </c>
      <c r="F99" s="162">
        <f t="shared" si="5"/>
        <v>14853363</v>
      </c>
      <c r="G99" s="160" t="s">
        <v>150</v>
      </c>
      <c r="H99" s="205">
        <v>21220</v>
      </c>
      <c r="I99" s="206"/>
      <c r="J99" s="207">
        <v>699.97</v>
      </c>
      <c r="K99" s="208">
        <f t="shared" si="6"/>
        <v>247.73999999998614</v>
      </c>
      <c r="L99" s="162"/>
    </row>
    <row r="100" spans="1:13" s="142" customFormat="1" ht="17.25" customHeight="1">
      <c r="A100" s="142">
        <f t="shared" si="4"/>
        <v>7</v>
      </c>
      <c r="B100" s="157">
        <v>41463</v>
      </c>
      <c r="C100" s="158" t="s">
        <v>148</v>
      </c>
      <c r="D100" s="157">
        <v>41463</v>
      </c>
      <c r="E100" s="159" t="s">
        <v>605</v>
      </c>
      <c r="F100" s="162">
        <f t="shared" si="5"/>
        <v>2134266930</v>
      </c>
      <c r="G100" s="160" t="s">
        <v>36</v>
      </c>
      <c r="H100" s="205">
        <v>21246</v>
      </c>
      <c r="I100" s="206">
        <v>100455</v>
      </c>
      <c r="J100" s="207"/>
      <c r="K100" s="208">
        <f t="shared" si="6"/>
        <v>100702.73999999999</v>
      </c>
      <c r="L100" s="162"/>
    </row>
    <row r="101" spans="1:13" s="142" customFormat="1" ht="17.25" customHeight="1">
      <c r="A101" s="142">
        <f>IF(B101&lt;&gt;"",MONTH(B101),"")</f>
        <v>7</v>
      </c>
      <c r="B101" s="157">
        <v>41463</v>
      </c>
      <c r="C101" s="158" t="s">
        <v>148</v>
      </c>
      <c r="D101" s="157">
        <v>41463</v>
      </c>
      <c r="E101" s="159" t="s">
        <v>762</v>
      </c>
      <c r="F101" s="162">
        <f t="shared" si="5"/>
        <v>2134266930</v>
      </c>
      <c r="G101" s="160" t="s">
        <v>215</v>
      </c>
      <c r="H101" s="205">
        <v>21246</v>
      </c>
      <c r="I101" s="206"/>
      <c r="J101" s="207">
        <v>100455</v>
      </c>
      <c r="K101" s="208">
        <f t="shared" si="6"/>
        <v>247.73999999999069</v>
      </c>
      <c r="L101" s="162"/>
    </row>
    <row r="102" spans="1:13" s="142" customFormat="1" ht="17.25" customHeight="1">
      <c r="A102" s="142">
        <f>IF(B102&lt;&gt;"",MONTH(B102),"")</f>
        <v>7</v>
      </c>
      <c r="B102" s="157">
        <v>41464</v>
      </c>
      <c r="C102" s="158" t="s">
        <v>148</v>
      </c>
      <c r="D102" s="157">
        <v>41464</v>
      </c>
      <c r="E102" s="159" t="s">
        <v>763</v>
      </c>
      <c r="F102" s="162">
        <f t="shared" si="5"/>
        <v>1965255000</v>
      </c>
      <c r="G102" s="160" t="s">
        <v>215</v>
      </c>
      <c r="H102" s="205">
        <v>21246</v>
      </c>
      <c r="I102" s="206">
        <v>92500</v>
      </c>
      <c r="J102" s="207"/>
      <c r="K102" s="208">
        <f t="shared" si="6"/>
        <v>92747.739999999991</v>
      </c>
      <c r="L102" s="162"/>
    </row>
    <row r="103" spans="1:13" s="142" customFormat="1" ht="17.25" customHeight="1">
      <c r="A103" s="142">
        <f t="shared" si="4"/>
        <v>7</v>
      </c>
      <c r="B103" s="157">
        <v>41470</v>
      </c>
      <c r="C103" s="158" t="s">
        <v>145</v>
      </c>
      <c r="D103" s="157">
        <v>41470</v>
      </c>
      <c r="E103" s="159" t="s">
        <v>245</v>
      </c>
      <c r="F103" s="162">
        <f t="shared" si="5"/>
        <v>106100</v>
      </c>
      <c r="G103" s="160" t="s">
        <v>192</v>
      </c>
      <c r="H103" s="205">
        <v>21220</v>
      </c>
      <c r="I103" s="206"/>
      <c r="J103" s="207">
        <v>5</v>
      </c>
      <c r="K103" s="208">
        <f t="shared" si="6"/>
        <v>92742.739999999991</v>
      </c>
      <c r="L103" s="162"/>
    </row>
    <row r="104" spans="1:13" s="142" customFormat="1" ht="17.25" customHeight="1">
      <c r="A104" s="142">
        <f>IF(B104&lt;&gt;"",MONTH(B104),"")</f>
        <v>7</v>
      </c>
      <c r="B104" s="157">
        <v>41470</v>
      </c>
      <c r="C104" s="158" t="s">
        <v>145</v>
      </c>
      <c r="D104" s="157">
        <v>41470</v>
      </c>
      <c r="E104" s="159" t="s">
        <v>246</v>
      </c>
      <c r="F104" s="162">
        <f t="shared" si="5"/>
        <v>10610</v>
      </c>
      <c r="G104" s="160" t="s">
        <v>35</v>
      </c>
      <c r="H104" s="205">
        <v>21220</v>
      </c>
      <c r="I104" s="206"/>
      <c r="J104" s="207">
        <v>0.5</v>
      </c>
      <c r="K104" s="208">
        <f t="shared" si="6"/>
        <v>92742.239999999991</v>
      </c>
      <c r="L104" s="162"/>
    </row>
    <row r="105" spans="1:13" s="142" customFormat="1" ht="17.25" customHeight="1">
      <c r="A105" s="142">
        <f>IF(B105&lt;&gt;"",MONTH(B105),"")</f>
        <v>7</v>
      </c>
      <c r="B105" s="157">
        <v>41471</v>
      </c>
      <c r="C105" s="158" t="s">
        <v>148</v>
      </c>
      <c r="D105" s="157">
        <v>41471</v>
      </c>
      <c r="E105" s="159" t="s">
        <v>764</v>
      </c>
      <c r="F105" s="162">
        <f t="shared" si="5"/>
        <v>2015900000</v>
      </c>
      <c r="G105" s="160" t="s">
        <v>215</v>
      </c>
      <c r="H105" s="205">
        <v>21220</v>
      </c>
      <c r="I105" s="206">
        <v>95000</v>
      </c>
      <c r="J105" s="207"/>
      <c r="K105" s="208">
        <f t="shared" si="6"/>
        <v>187742.24</v>
      </c>
      <c r="L105" s="162"/>
    </row>
    <row r="106" spans="1:13" s="142" customFormat="1" ht="17.25" customHeight="1">
      <c r="A106" s="142">
        <f>IF(B106&lt;&gt;"",MONTH(B106),"")</f>
        <v>7</v>
      </c>
      <c r="B106" s="157">
        <v>41471</v>
      </c>
      <c r="C106" s="158" t="s">
        <v>145</v>
      </c>
      <c r="D106" s="157">
        <v>41471</v>
      </c>
      <c r="E106" s="159" t="s">
        <v>232</v>
      </c>
      <c r="F106" s="162">
        <f t="shared" si="5"/>
        <v>318300</v>
      </c>
      <c r="G106" s="160" t="s">
        <v>192</v>
      </c>
      <c r="H106" s="205">
        <v>21220</v>
      </c>
      <c r="I106" s="206"/>
      <c r="J106" s="207">
        <v>15</v>
      </c>
      <c r="K106" s="208">
        <f t="shared" si="6"/>
        <v>187727.24</v>
      </c>
      <c r="L106" s="162"/>
    </row>
    <row r="107" spans="1:13" s="142" customFormat="1" ht="17.25" customHeight="1">
      <c r="A107" s="142">
        <f>IF(B107&lt;&gt;"",MONTH(B107),"")</f>
        <v>7</v>
      </c>
      <c r="B107" s="157">
        <v>41471</v>
      </c>
      <c r="C107" s="158" t="s">
        <v>145</v>
      </c>
      <c r="D107" s="157">
        <v>41471</v>
      </c>
      <c r="E107" s="159" t="s">
        <v>233</v>
      </c>
      <c r="F107" s="162">
        <f t="shared" si="5"/>
        <v>31830</v>
      </c>
      <c r="G107" s="160" t="s">
        <v>35</v>
      </c>
      <c r="H107" s="205">
        <v>21220</v>
      </c>
      <c r="I107" s="206"/>
      <c r="J107" s="207">
        <v>1.5</v>
      </c>
      <c r="K107" s="208">
        <f t="shared" si="6"/>
        <v>187725.74</v>
      </c>
      <c r="L107" s="162"/>
    </row>
    <row r="108" spans="1:13" s="142" customFormat="1" ht="17.25" customHeight="1">
      <c r="A108" s="142">
        <f>IF(B108&lt;&gt;"",MONTH(B108),"")</f>
        <v>7</v>
      </c>
      <c r="B108" s="157">
        <v>41471</v>
      </c>
      <c r="C108" s="158" t="s">
        <v>145</v>
      </c>
      <c r="D108" s="157">
        <v>41471</v>
      </c>
      <c r="E108" s="159" t="s">
        <v>248</v>
      </c>
      <c r="F108" s="162">
        <f t="shared" si="5"/>
        <v>2015900000</v>
      </c>
      <c r="G108" s="160" t="s">
        <v>36</v>
      </c>
      <c r="H108" s="205">
        <v>21220</v>
      </c>
      <c r="I108" s="206"/>
      <c r="J108" s="207">
        <v>95000</v>
      </c>
      <c r="K108" s="208">
        <f t="shared" si="6"/>
        <v>92725.739999999991</v>
      </c>
      <c r="L108" s="162"/>
    </row>
    <row r="109" spans="1:13" s="142" customFormat="1" ht="17.25" customHeight="1">
      <c r="A109" s="142">
        <f t="shared" si="4"/>
        <v>7</v>
      </c>
      <c r="B109" s="157">
        <v>41471</v>
      </c>
      <c r="C109" s="158" t="s">
        <v>148</v>
      </c>
      <c r="D109" s="157">
        <v>41471</v>
      </c>
      <c r="E109" s="159" t="s">
        <v>248</v>
      </c>
      <c r="F109" s="162">
        <f t="shared" si="5"/>
        <v>1965255000</v>
      </c>
      <c r="G109" s="160" t="s">
        <v>36</v>
      </c>
      <c r="H109" s="205">
        <v>21246</v>
      </c>
      <c r="I109" s="206"/>
      <c r="J109" s="207">
        <v>92500</v>
      </c>
      <c r="K109" s="208">
        <f t="shared" si="6"/>
        <v>225.73999999999069</v>
      </c>
      <c r="L109" s="162"/>
    </row>
    <row r="110" spans="1:13" s="142" customFormat="1" ht="17.25" customHeight="1">
      <c r="A110" s="142">
        <f t="shared" ref="A110:A141" si="7">IF(B110&lt;&gt;"",MONTH(B110),"")</f>
        <v>7</v>
      </c>
      <c r="B110" s="157">
        <v>41472</v>
      </c>
      <c r="C110" s="158" t="s">
        <v>148</v>
      </c>
      <c r="D110" s="157">
        <v>41472</v>
      </c>
      <c r="E110" s="159" t="s">
        <v>735</v>
      </c>
      <c r="F110" s="162">
        <f t="shared" si="5"/>
        <v>837092400</v>
      </c>
      <c r="G110" s="160" t="s">
        <v>166</v>
      </c>
      <c r="H110" s="205">
        <v>21246</v>
      </c>
      <c r="I110" s="206">
        <v>39400</v>
      </c>
      <c r="J110" s="207"/>
      <c r="K110" s="208">
        <f t="shared" si="6"/>
        <v>39625.739999999991</v>
      </c>
      <c r="L110" s="162"/>
      <c r="M110" s="265">
        <f>K110+'Q4-USD'!K33</f>
        <v>39626.009999999995</v>
      </c>
    </row>
    <row r="111" spans="1:13" s="142" customFormat="1" ht="17.25" customHeight="1">
      <c r="A111" s="142">
        <f t="shared" si="7"/>
        <v>7</v>
      </c>
      <c r="B111" s="157">
        <v>41472</v>
      </c>
      <c r="C111" s="158" t="s">
        <v>145</v>
      </c>
      <c r="D111" s="157">
        <v>41472</v>
      </c>
      <c r="E111" s="159" t="s">
        <v>248</v>
      </c>
      <c r="F111" s="162">
        <f t="shared" si="5"/>
        <v>838585000</v>
      </c>
      <c r="G111" s="160" t="s">
        <v>36</v>
      </c>
      <c r="H111" s="205">
        <v>21230</v>
      </c>
      <c r="I111" s="206"/>
      <c r="J111" s="207">
        <v>39500</v>
      </c>
      <c r="K111" s="208">
        <f t="shared" si="6"/>
        <v>125.73999999999069</v>
      </c>
      <c r="L111" s="162"/>
    </row>
    <row r="112" spans="1:13" s="142" customFormat="1" ht="17.25" customHeight="1">
      <c r="A112" s="142">
        <f t="shared" si="7"/>
        <v>7</v>
      </c>
      <c r="B112" s="157">
        <v>41472</v>
      </c>
      <c r="C112" s="158" t="s">
        <v>145</v>
      </c>
      <c r="D112" s="157">
        <v>41472</v>
      </c>
      <c r="E112" s="159" t="s">
        <v>249</v>
      </c>
      <c r="F112" s="162">
        <f t="shared" si="5"/>
        <v>1188880</v>
      </c>
      <c r="G112" s="160" t="s">
        <v>192</v>
      </c>
      <c r="H112" s="205">
        <v>21230</v>
      </c>
      <c r="I112" s="206"/>
      <c r="J112" s="207">
        <v>56</v>
      </c>
      <c r="K112" s="208">
        <f t="shared" si="6"/>
        <v>69.739999999990687</v>
      </c>
      <c r="L112" s="162"/>
    </row>
    <row r="113" spans="1:12" s="142" customFormat="1" ht="17.25" customHeight="1">
      <c r="A113" s="142">
        <f t="shared" si="7"/>
        <v>7</v>
      </c>
      <c r="B113" s="157">
        <v>41472</v>
      </c>
      <c r="C113" s="158" t="s">
        <v>145</v>
      </c>
      <c r="D113" s="157">
        <v>41472</v>
      </c>
      <c r="E113" s="159" t="s">
        <v>250</v>
      </c>
      <c r="F113" s="162">
        <f t="shared" si="5"/>
        <v>118888</v>
      </c>
      <c r="G113" s="160" t="s">
        <v>35</v>
      </c>
      <c r="H113" s="205">
        <v>21230</v>
      </c>
      <c r="I113" s="206"/>
      <c r="J113" s="207">
        <v>5.6</v>
      </c>
      <c r="K113" s="208">
        <f t="shared" si="6"/>
        <v>64.139999999990692</v>
      </c>
      <c r="L113" s="162"/>
    </row>
    <row r="114" spans="1:12" s="142" customFormat="1" ht="17.25" customHeight="1">
      <c r="A114" s="142">
        <f t="shared" si="7"/>
        <v>7</v>
      </c>
      <c r="B114" s="157">
        <v>41472</v>
      </c>
      <c r="C114" s="158" t="s">
        <v>145</v>
      </c>
      <c r="D114" s="157">
        <v>41472</v>
      </c>
      <c r="E114" s="159" t="s">
        <v>239</v>
      </c>
      <c r="F114" s="162">
        <f t="shared" si="5"/>
        <v>586373</v>
      </c>
      <c r="G114" s="160" t="s">
        <v>192</v>
      </c>
      <c r="H114" s="205">
        <v>21230</v>
      </c>
      <c r="I114" s="206"/>
      <c r="J114" s="207">
        <v>27.62</v>
      </c>
      <c r="K114" s="208">
        <f t="shared" si="6"/>
        <v>36.519999999990688</v>
      </c>
      <c r="L114" s="162"/>
    </row>
    <row r="115" spans="1:12" s="142" customFormat="1" ht="17.25" customHeight="1">
      <c r="A115" s="142">
        <f t="shared" si="7"/>
        <v>7</v>
      </c>
      <c r="B115" s="157">
        <v>41472</v>
      </c>
      <c r="C115" s="158" t="s">
        <v>145</v>
      </c>
      <c r="D115" s="157">
        <v>41472</v>
      </c>
      <c r="E115" s="347" t="s">
        <v>240</v>
      </c>
      <c r="F115" s="162">
        <f t="shared" si="5"/>
        <v>58595</v>
      </c>
      <c r="G115" s="160" t="s">
        <v>35</v>
      </c>
      <c r="H115" s="205">
        <v>21230</v>
      </c>
      <c r="I115" s="206"/>
      <c r="J115" s="207">
        <v>2.76</v>
      </c>
      <c r="K115" s="208">
        <f t="shared" si="6"/>
        <v>33.75999999999069</v>
      </c>
      <c r="L115" s="162"/>
    </row>
    <row r="116" spans="1:12" s="142" customFormat="1" ht="17.25" customHeight="1">
      <c r="A116" s="142">
        <f t="shared" si="7"/>
        <v>7</v>
      </c>
      <c r="B116" s="157">
        <v>41475</v>
      </c>
      <c r="C116" s="158" t="s">
        <v>145</v>
      </c>
      <c r="D116" s="157">
        <v>41475</v>
      </c>
      <c r="E116" s="159" t="s">
        <v>232</v>
      </c>
      <c r="F116" s="162">
        <f t="shared" si="5"/>
        <v>318000</v>
      </c>
      <c r="G116" s="160" t="s">
        <v>192</v>
      </c>
      <c r="H116" s="205">
        <v>21200</v>
      </c>
      <c r="I116" s="206"/>
      <c r="J116" s="207">
        <v>15</v>
      </c>
      <c r="K116" s="208">
        <f t="shared" si="6"/>
        <v>18.75999999999069</v>
      </c>
      <c r="L116" s="162"/>
    </row>
    <row r="117" spans="1:12" s="142" customFormat="1" ht="17.25" customHeight="1">
      <c r="A117" s="142">
        <f t="shared" si="7"/>
        <v>7</v>
      </c>
      <c r="B117" s="157">
        <v>41475</v>
      </c>
      <c r="C117" s="158" t="s">
        <v>145</v>
      </c>
      <c r="D117" s="157">
        <v>41475</v>
      </c>
      <c r="E117" s="159" t="s">
        <v>233</v>
      </c>
      <c r="F117" s="162">
        <f t="shared" si="5"/>
        <v>31800</v>
      </c>
      <c r="G117" s="160" t="s">
        <v>35</v>
      </c>
      <c r="H117" s="205">
        <v>21200</v>
      </c>
      <c r="I117" s="206"/>
      <c r="J117" s="207">
        <v>1.5</v>
      </c>
      <c r="K117" s="208">
        <f t="shared" si="6"/>
        <v>17.25999999999069</v>
      </c>
      <c r="L117" s="162"/>
    </row>
    <row r="118" spans="1:12" s="142" customFormat="1" ht="17.25" customHeight="1">
      <c r="A118" s="142">
        <f t="shared" si="7"/>
        <v>7</v>
      </c>
      <c r="B118" s="157">
        <v>41484</v>
      </c>
      <c r="C118" s="158" t="s">
        <v>148</v>
      </c>
      <c r="D118" s="157">
        <v>41484</v>
      </c>
      <c r="E118" s="159" t="s">
        <v>724</v>
      </c>
      <c r="F118" s="162">
        <f t="shared" si="5"/>
        <v>38851109</v>
      </c>
      <c r="G118" s="160" t="s">
        <v>166</v>
      </c>
      <c r="H118" s="205">
        <v>21180</v>
      </c>
      <c r="I118" s="206">
        <v>1834.33</v>
      </c>
      <c r="J118" s="207"/>
      <c r="K118" s="208">
        <f t="shared" si="6"/>
        <v>1851.5899999999906</v>
      </c>
      <c r="L118" s="162"/>
    </row>
    <row r="119" spans="1:12" s="142" customFormat="1" ht="17.25" customHeight="1">
      <c r="A119" s="142">
        <f t="shared" si="7"/>
        <v>8</v>
      </c>
      <c r="B119" s="157">
        <v>41489</v>
      </c>
      <c r="C119" s="158" t="s">
        <v>148</v>
      </c>
      <c r="D119" s="157">
        <v>41489</v>
      </c>
      <c r="E119" s="159" t="s">
        <v>724</v>
      </c>
      <c r="F119" s="162">
        <f t="shared" si="5"/>
        <v>431868000</v>
      </c>
      <c r="G119" s="160" t="s">
        <v>166</v>
      </c>
      <c r="H119" s="205">
        <v>21170</v>
      </c>
      <c r="I119" s="206">
        <v>20400</v>
      </c>
      <c r="J119" s="207"/>
      <c r="K119" s="208">
        <f t="shared" si="6"/>
        <v>22251.589999999989</v>
      </c>
      <c r="L119" s="162"/>
    </row>
    <row r="120" spans="1:12" s="142" customFormat="1" ht="17.25" customHeight="1">
      <c r="A120" s="142">
        <f t="shared" si="7"/>
        <v>8</v>
      </c>
      <c r="B120" s="157">
        <v>41489</v>
      </c>
      <c r="C120" s="158" t="s">
        <v>145</v>
      </c>
      <c r="D120" s="157">
        <v>41489</v>
      </c>
      <c r="E120" s="159" t="s">
        <v>249</v>
      </c>
      <c r="F120" s="162">
        <f t="shared" si="5"/>
        <v>612612</v>
      </c>
      <c r="G120" s="160" t="s">
        <v>192</v>
      </c>
      <c r="H120" s="205">
        <v>21110</v>
      </c>
      <c r="I120" s="206"/>
      <c r="J120" s="207">
        <v>29.02</v>
      </c>
      <c r="K120" s="208">
        <f t="shared" si="6"/>
        <v>22222.569999999989</v>
      </c>
      <c r="L120" s="162"/>
    </row>
    <row r="121" spans="1:12" s="142" customFormat="1" ht="17.25" customHeight="1">
      <c r="A121" s="142">
        <f t="shared" si="7"/>
        <v>8</v>
      </c>
      <c r="B121" s="157">
        <v>41489</v>
      </c>
      <c r="C121" s="158" t="s">
        <v>145</v>
      </c>
      <c r="D121" s="157">
        <v>41489</v>
      </c>
      <c r="E121" s="159" t="s">
        <v>250</v>
      </c>
      <c r="F121" s="162">
        <f t="shared" si="5"/>
        <v>61219</v>
      </c>
      <c r="G121" s="160" t="s">
        <v>35</v>
      </c>
      <c r="H121" s="205">
        <v>21110</v>
      </c>
      <c r="I121" s="206"/>
      <c r="J121" s="207">
        <v>2.9</v>
      </c>
      <c r="K121" s="208">
        <f t="shared" si="6"/>
        <v>22219.669999999987</v>
      </c>
      <c r="L121" s="162"/>
    </row>
    <row r="122" spans="1:12" s="142" customFormat="1" ht="17.25" customHeight="1">
      <c r="A122" s="142">
        <f t="shared" si="7"/>
        <v>8</v>
      </c>
      <c r="B122" s="157">
        <v>41489</v>
      </c>
      <c r="C122" s="158" t="s">
        <v>145</v>
      </c>
      <c r="D122" s="157">
        <v>41489</v>
      </c>
      <c r="E122" s="159" t="s">
        <v>239</v>
      </c>
      <c r="F122" s="162">
        <f t="shared" si="5"/>
        <v>583058</v>
      </c>
      <c r="G122" s="160" t="s">
        <v>192</v>
      </c>
      <c r="H122" s="205">
        <v>21110</v>
      </c>
      <c r="I122" s="206"/>
      <c r="J122" s="207">
        <v>27.62</v>
      </c>
      <c r="K122" s="208">
        <f t="shared" si="6"/>
        <v>22192.049999999988</v>
      </c>
      <c r="L122" s="162"/>
    </row>
    <row r="123" spans="1:12" s="142" customFormat="1" ht="17.25" customHeight="1">
      <c r="A123" s="142">
        <f t="shared" si="7"/>
        <v>8</v>
      </c>
      <c r="B123" s="157">
        <v>41489</v>
      </c>
      <c r="C123" s="158" t="s">
        <v>145</v>
      </c>
      <c r="D123" s="157">
        <v>41489</v>
      </c>
      <c r="E123" s="159" t="s">
        <v>240</v>
      </c>
      <c r="F123" s="162">
        <f t="shared" si="5"/>
        <v>58264</v>
      </c>
      <c r="G123" s="160" t="s">
        <v>35</v>
      </c>
      <c r="H123" s="205">
        <v>21110</v>
      </c>
      <c r="I123" s="206"/>
      <c r="J123" s="207">
        <v>2.76</v>
      </c>
      <c r="K123" s="208">
        <f t="shared" si="6"/>
        <v>22189.28999999999</v>
      </c>
      <c r="L123" s="162"/>
    </row>
    <row r="124" spans="1:12" s="142" customFormat="1" ht="17.25" customHeight="1">
      <c r="A124" s="142">
        <f t="shared" si="7"/>
        <v>8</v>
      </c>
      <c r="B124" s="157">
        <v>41489</v>
      </c>
      <c r="C124" s="158" t="s">
        <v>145</v>
      </c>
      <c r="D124" s="157">
        <v>41489</v>
      </c>
      <c r="E124" s="159" t="s">
        <v>239</v>
      </c>
      <c r="F124" s="162">
        <f t="shared" si="5"/>
        <v>754471</v>
      </c>
      <c r="G124" s="160" t="s">
        <v>192</v>
      </c>
      <c r="H124" s="205">
        <v>21110</v>
      </c>
      <c r="I124" s="206"/>
      <c r="J124" s="207">
        <v>35.74</v>
      </c>
      <c r="K124" s="208">
        <f t="shared" si="6"/>
        <v>22153.549999999988</v>
      </c>
      <c r="L124" s="162"/>
    </row>
    <row r="125" spans="1:12" s="142" customFormat="1" ht="17.25" customHeight="1">
      <c r="A125" s="142">
        <f t="shared" si="7"/>
        <v>8</v>
      </c>
      <c r="B125" s="157">
        <v>41489</v>
      </c>
      <c r="C125" s="158" t="s">
        <v>145</v>
      </c>
      <c r="D125" s="157">
        <v>41489</v>
      </c>
      <c r="E125" s="159" t="s">
        <v>240</v>
      </c>
      <c r="F125" s="162">
        <f t="shared" si="5"/>
        <v>75363</v>
      </c>
      <c r="G125" s="160" t="s">
        <v>35</v>
      </c>
      <c r="H125" s="205">
        <v>21110</v>
      </c>
      <c r="I125" s="206"/>
      <c r="J125" s="207">
        <v>3.57</v>
      </c>
      <c r="K125" s="208">
        <f t="shared" si="6"/>
        <v>22149.979999999989</v>
      </c>
      <c r="L125" s="162"/>
    </row>
    <row r="126" spans="1:12" s="142" customFormat="1" ht="17.25" customHeight="1">
      <c r="A126" s="142">
        <f t="shared" si="7"/>
        <v>8</v>
      </c>
      <c r="B126" s="157">
        <v>41489</v>
      </c>
      <c r="C126" s="158" t="s">
        <v>145</v>
      </c>
      <c r="D126" s="157">
        <v>41489</v>
      </c>
      <c r="E126" s="159" t="s">
        <v>248</v>
      </c>
      <c r="F126" s="162">
        <f t="shared" si="5"/>
        <v>422400000</v>
      </c>
      <c r="G126" s="160" t="s">
        <v>36</v>
      </c>
      <c r="H126" s="205">
        <v>21120</v>
      </c>
      <c r="I126" s="206"/>
      <c r="J126" s="207">
        <v>20000</v>
      </c>
      <c r="K126" s="208">
        <f t="shared" si="6"/>
        <v>2149.9799999999886</v>
      </c>
      <c r="L126" s="162"/>
    </row>
    <row r="127" spans="1:12" s="142" customFormat="1" ht="17.25" customHeight="1">
      <c r="A127" s="142">
        <f t="shared" si="7"/>
        <v>8</v>
      </c>
      <c r="B127" s="157">
        <v>41492</v>
      </c>
      <c r="C127" s="158" t="s">
        <v>145</v>
      </c>
      <c r="D127" s="157">
        <v>41492</v>
      </c>
      <c r="E127" s="159" t="s">
        <v>232</v>
      </c>
      <c r="F127" s="162">
        <f t="shared" si="5"/>
        <v>315750</v>
      </c>
      <c r="G127" s="160" t="s">
        <v>192</v>
      </c>
      <c r="H127" s="205">
        <v>21050</v>
      </c>
      <c r="I127" s="206"/>
      <c r="J127" s="207">
        <v>15</v>
      </c>
      <c r="K127" s="208">
        <f t="shared" si="6"/>
        <v>2134.9799999999886</v>
      </c>
      <c r="L127" s="162"/>
    </row>
    <row r="128" spans="1:12" s="142" customFormat="1" ht="17.25" customHeight="1">
      <c r="A128" s="142">
        <f t="shared" si="7"/>
        <v>8</v>
      </c>
      <c r="B128" s="157">
        <v>41492</v>
      </c>
      <c r="C128" s="158" t="s">
        <v>145</v>
      </c>
      <c r="D128" s="157">
        <v>41492</v>
      </c>
      <c r="E128" s="159" t="s">
        <v>233</v>
      </c>
      <c r="F128" s="162">
        <f t="shared" si="5"/>
        <v>31575</v>
      </c>
      <c r="G128" s="160" t="s">
        <v>35</v>
      </c>
      <c r="H128" s="205">
        <v>21050</v>
      </c>
      <c r="I128" s="206"/>
      <c r="J128" s="207">
        <v>1.5</v>
      </c>
      <c r="K128" s="208">
        <f t="shared" si="6"/>
        <v>2133.4799999999886</v>
      </c>
      <c r="L128" s="162"/>
    </row>
    <row r="129" spans="1:12" s="142" customFormat="1" ht="17.25" customHeight="1">
      <c r="A129" s="142">
        <f t="shared" si="7"/>
        <v>8</v>
      </c>
      <c r="B129" s="157">
        <v>41493</v>
      </c>
      <c r="C129" s="158" t="s">
        <v>145</v>
      </c>
      <c r="D129" s="157">
        <v>41493</v>
      </c>
      <c r="E129" s="159" t="s">
        <v>149</v>
      </c>
      <c r="F129" s="162">
        <f t="shared" si="5"/>
        <v>5371750</v>
      </c>
      <c r="G129" s="160" t="s">
        <v>150</v>
      </c>
      <c r="H129" s="205">
        <v>21050</v>
      </c>
      <c r="I129" s="206"/>
      <c r="J129" s="207">
        <v>255.19</v>
      </c>
      <c r="K129" s="208">
        <f t="shared" si="6"/>
        <v>1878.2899999999886</v>
      </c>
      <c r="L129" s="162"/>
    </row>
    <row r="130" spans="1:12" s="142" customFormat="1" ht="17.25" customHeight="1">
      <c r="A130" s="142">
        <f t="shared" si="7"/>
        <v>8</v>
      </c>
      <c r="B130" s="157">
        <v>41493</v>
      </c>
      <c r="C130" s="158" t="s">
        <v>145</v>
      </c>
      <c r="D130" s="157">
        <v>41493</v>
      </c>
      <c r="E130" s="159" t="s">
        <v>151</v>
      </c>
      <c r="F130" s="162">
        <f t="shared" si="5"/>
        <v>17422454</v>
      </c>
      <c r="G130" s="160" t="s">
        <v>150</v>
      </c>
      <c r="H130" s="205">
        <v>21050</v>
      </c>
      <c r="I130" s="206"/>
      <c r="J130" s="207">
        <v>827.67</v>
      </c>
      <c r="K130" s="208">
        <f t="shared" si="6"/>
        <v>1050.6199999999885</v>
      </c>
      <c r="L130" s="162"/>
    </row>
    <row r="131" spans="1:12" s="142" customFormat="1" ht="17.25" customHeight="1">
      <c r="A131" s="142">
        <f t="shared" si="7"/>
        <v>8</v>
      </c>
      <c r="B131" s="157">
        <v>41493</v>
      </c>
      <c r="C131" s="158" t="s">
        <v>145</v>
      </c>
      <c r="D131" s="157">
        <v>41493</v>
      </c>
      <c r="E131" s="159" t="s">
        <v>152</v>
      </c>
      <c r="F131" s="162">
        <f t="shared" si="5"/>
        <v>10879482</v>
      </c>
      <c r="G131" s="160" t="s">
        <v>150</v>
      </c>
      <c r="H131" s="205">
        <v>21050</v>
      </c>
      <c r="I131" s="206"/>
      <c r="J131" s="207">
        <v>516.84</v>
      </c>
      <c r="K131" s="208">
        <f t="shared" si="6"/>
        <v>533.77999999998849</v>
      </c>
      <c r="L131" s="162"/>
    </row>
    <row r="132" spans="1:12" s="142" customFormat="1" ht="17.25" customHeight="1">
      <c r="A132" s="142">
        <f t="shared" si="7"/>
        <v>8</v>
      </c>
      <c r="B132" s="157">
        <v>41494</v>
      </c>
      <c r="C132" s="158" t="s">
        <v>148</v>
      </c>
      <c r="D132" s="157">
        <v>41494</v>
      </c>
      <c r="E132" s="159" t="s">
        <v>724</v>
      </c>
      <c r="F132" s="162">
        <f t="shared" si="5"/>
        <v>21020064</v>
      </c>
      <c r="G132" s="160" t="s">
        <v>166</v>
      </c>
      <c r="H132" s="205">
        <v>21070</v>
      </c>
      <c r="I132" s="206">
        <v>997.63</v>
      </c>
      <c r="J132" s="207"/>
      <c r="K132" s="208">
        <f t="shared" si="6"/>
        <v>1531.4099999999885</v>
      </c>
      <c r="L132" s="162"/>
    </row>
    <row r="133" spans="1:12" s="142" customFormat="1" ht="17.25" customHeight="1">
      <c r="A133" s="142">
        <f t="shared" si="7"/>
        <v>8</v>
      </c>
      <c r="B133" s="157">
        <v>41495</v>
      </c>
      <c r="C133" s="158" t="s">
        <v>145</v>
      </c>
      <c r="D133" s="157">
        <v>41495</v>
      </c>
      <c r="E133" s="159" t="s">
        <v>248</v>
      </c>
      <c r="F133" s="162">
        <f t="shared" si="5"/>
        <v>31605000</v>
      </c>
      <c r="G133" s="160" t="s">
        <v>36</v>
      </c>
      <c r="H133" s="205">
        <v>21070</v>
      </c>
      <c r="I133" s="206"/>
      <c r="J133" s="207">
        <v>1500</v>
      </c>
      <c r="K133" s="208">
        <f t="shared" si="6"/>
        <v>31.409999999988486</v>
      </c>
      <c r="L133" s="162"/>
    </row>
    <row r="134" spans="1:12" s="142" customFormat="1" ht="17.25" customHeight="1">
      <c r="A134" s="142">
        <f t="shared" si="7"/>
        <v>8</v>
      </c>
      <c r="B134" s="157">
        <v>41499</v>
      </c>
      <c r="C134" s="158" t="s">
        <v>148</v>
      </c>
      <c r="D134" s="157">
        <v>41499</v>
      </c>
      <c r="E134" s="159" t="s">
        <v>765</v>
      </c>
      <c r="F134" s="162">
        <f t="shared" si="5"/>
        <v>2066330000</v>
      </c>
      <c r="G134" s="160" t="s">
        <v>215</v>
      </c>
      <c r="H134" s="205">
        <v>21085</v>
      </c>
      <c r="I134" s="206">
        <v>98000</v>
      </c>
      <c r="J134" s="207"/>
      <c r="K134" s="208">
        <f t="shared" si="6"/>
        <v>98031.409999999989</v>
      </c>
      <c r="L134" s="162"/>
    </row>
    <row r="135" spans="1:12" s="142" customFormat="1" ht="17.25" customHeight="1">
      <c r="A135" s="142">
        <f t="shared" si="7"/>
        <v>8</v>
      </c>
      <c r="B135" s="157">
        <v>41499</v>
      </c>
      <c r="C135" s="158" t="s">
        <v>145</v>
      </c>
      <c r="D135" s="157">
        <v>41499</v>
      </c>
      <c r="E135" s="159" t="s">
        <v>248</v>
      </c>
      <c r="F135" s="162">
        <f t="shared" si="5"/>
        <v>2066330000</v>
      </c>
      <c r="G135" s="160" t="s">
        <v>36</v>
      </c>
      <c r="H135" s="205">
        <v>21085</v>
      </c>
      <c r="I135" s="206"/>
      <c r="J135" s="207">
        <v>98000</v>
      </c>
      <c r="K135" s="208">
        <f t="shared" si="6"/>
        <v>31.409999999988941</v>
      </c>
      <c r="L135" s="162"/>
    </row>
    <row r="136" spans="1:12" s="142" customFormat="1" ht="17.25" customHeight="1">
      <c r="A136" s="142">
        <f t="shared" si="7"/>
        <v>8</v>
      </c>
      <c r="B136" s="157">
        <v>41501</v>
      </c>
      <c r="C136" s="158" t="s">
        <v>145</v>
      </c>
      <c r="D136" s="157">
        <v>41501</v>
      </c>
      <c r="E136" s="159" t="s">
        <v>245</v>
      </c>
      <c r="F136" s="162">
        <f t="shared" si="5"/>
        <v>105350</v>
      </c>
      <c r="G136" s="160" t="s">
        <v>192</v>
      </c>
      <c r="H136" s="205">
        <v>21070</v>
      </c>
      <c r="I136" s="206"/>
      <c r="J136" s="207">
        <v>5</v>
      </c>
      <c r="K136" s="208">
        <f t="shared" si="6"/>
        <v>26.409999999988941</v>
      </c>
      <c r="L136" s="162"/>
    </row>
    <row r="137" spans="1:12" s="142" customFormat="1" ht="17.25" customHeight="1">
      <c r="A137" s="142">
        <f t="shared" si="7"/>
        <v>8</v>
      </c>
      <c r="B137" s="157">
        <v>41501</v>
      </c>
      <c r="C137" s="158" t="s">
        <v>145</v>
      </c>
      <c r="D137" s="157">
        <v>41501</v>
      </c>
      <c r="E137" s="347" t="s">
        <v>246</v>
      </c>
      <c r="F137" s="162">
        <f t="shared" si="5"/>
        <v>10535</v>
      </c>
      <c r="G137" s="160" t="s">
        <v>35</v>
      </c>
      <c r="H137" s="205">
        <v>21070</v>
      </c>
      <c r="I137" s="206"/>
      <c r="J137" s="207">
        <v>0.5</v>
      </c>
      <c r="K137" s="208">
        <f t="shared" si="6"/>
        <v>25.909999999988941</v>
      </c>
      <c r="L137" s="162"/>
    </row>
    <row r="138" spans="1:12" s="142" customFormat="1" ht="17.25" customHeight="1">
      <c r="A138" s="142">
        <f t="shared" si="7"/>
        <v>8</v>
      </c>
      <c r="B138" s="157">
        <v>41508</v>
      </c>
      <c r="C138" s="158" t="s">
        <v>148</v>
      </c>
      <c r="D138" s="157">
        <v>41508</v>
      </c>
      <c r="E138" s="159" t="s">
        <v>491</v>
      </c>
      <c r="F138" s="162">
        <f t="shared" si="5"/>
        <v>169690780</v>
      </c>
      <c r="G138" s="160" t="s">
        <v>166</v>
      </c>
      <c r="H138" s="205">
        <v>21140</v>
      </c>
      <c r="I138" s="206">
        <v>8027</v>
      </c>
      <c r="J138" s="207"/>
      <c r="K138" s="208">
        <f t="shared" si="6"/>
        <v>8052.9099999999889</v>
      </c>
      <c r="L138" s="162"/>
    </row>
    <row r="139" spans="1:12" s="142" customFormat="1" ht="17.25" customHeight="1">
      <c r="A139" s="142">
        <f t="shared" si="7"/>
        <v>8</v>
      </c>
      <c r="B139" s="157">
        <v>41508</v>
      </c>
      <c r="C139" s="158" t="s">
        <v>145</v>
      </c>
      <c r="D139" s="157">
        <v>41508</v>
      </c>
      <c r="E139" s="159" t="s">
        <v>248</v>
      </c>
      <c r="F139" s="162">
        <f t="shared" si="5"/>
        <v>169120000</v>
      </c>
      <c r="G139" s="160" t="s">
        <v>36</v>
      </c>
      <c r="H139" s="205">
        <v>21140</v>
      </c>
      <c r="I139" s="206"/>
      <c r="J139" s="207">
        <v>8000</v>
      </c>
      <c r="K139" s="208">
        <f t="shared" si="6"/>
        <v>52.909999999988941</v>
      </c>
      <c r="L139" s="162"/>
    </row>
    <row r="140" spans="1:12" s="142" customFormat="1" ht="17.25" customHeight="1">
      <c r="A140" s="142">
        <f t="shared" si="7"/>
        <v>8</v>
      </c>
      <c r="B140" s="157">
        <v>41513</v>
      </c>
      <c r="C140" s="158" t="s">
        <v>148</v>
      </c>
      <c r="D140" s="157">
        <v>41513</v>
      </c>
      <c r="E140" s="159" t="s">
        <v>724</v>
      </c>
      <c r="F140" s="162">
        <f t="shared" si="5"/>
        <v>1516515000</v>
      </c>
      <c r="G140" s="160" t="s">
        <v>166</v>
      </c>
      <c r="H140" s="205">
        <v>21210</v>
      </c>
      <c r="I140" s="206">
        <v>71500</v>
      </c>
      <c r="J140" s="207"/>
      <c r="K140" s="208">
        <f t="shared" si="6"/>
        <v>71552.909999999989</v>
      </c>
      <c r="L140" s="162"/>
    </row>
    <row r="141" spans="1:12" s="142" customFormat="1" ht="17.25" customHeight="1">
      <c r="A141" s="142">
        <f t="shared" si="7"/>
        <v>8</v>
      </c>
      <c r="B141" s="157">
        <v>41513</v>
      </c>
      <c r="C141" s="158" t="s">
        <v>148</v>
      </c>
      <c r="D141" s="157">
        <v>41513</v>
      </c>
      <c r="E141" s="159" t="s">
        <v>724</v>
      </c>
      <c r="F141" s="162">
        <f t="shared" ref="F141:F204" si="8">ROUND((I141+J141)*H141,0)</f>
        <v>1707405000</v>
      </c>
      <c r="G141" s="160" t="s">
        <v>166</v>
      </c>
      <c r="H141" s="205">
        <v>21210</v>
      </c>
      <c r="I141" s="206">
        <v>80500</v>
      </c>
      <c r="J141" s="207"/>
      <c r="K141" s="208">
        <f t="shared" ref="K141:K176" si="9">IF(B141&lt;&gt;"",K140+I141-J141,0)</f>
        <v>152052.90999999997</v>
      </c>
      <c r="L141" s="162"/>
    </row>
    <row r="142" spans="1:12" s="142" customFormat="1" ht="17.25" customHeight="1">
      <c r="A142" s="142">
        <f t="shared" ref="A142:A176" si="10">IF(B142&lt;&gt;"",MONTH(B142),"")</f>
        <v>8</v>
      </c>
      <c r="B142" s="157">
        <v>41513</v>
      </c>
      <c r="C142" s="158" t="s">
        <v>145</v>
      </c>
      <c r="D142" s="157">
        <v>41513</v>
      </c>
      <c r="E142" s="159" t="s">
        <v>249</v>
      </c>
      <c r="F142" s="162">
        <f t="shared" si="8"/>
        <v>2417695</v>
      </c>
      <c r="G142" s="160" t="s">
        <v>192</v>
      </c>
      <c r="H142" s="205">
        <v>21130</v>
      </c>
      <c r="I142" s="206"/>
      <c r="J142" s="207">
        <v>114.42</v>
      </c>
      <c r="K142" s="208">
        <f t="shared" si="9"/>
        <v>151938.48999999996</v>
      </c>
      <c r="L142" s="162"/>
    </row>
    <row r="143" spans="1:12" s="142" customFormat="1" ht="17.25" customHeight="1">
      <c r="A143" s="142">
        <f t="shared" si="10"/>
        <v>8</v>
      </c>
      <c r="B143" s="157">
        <v>41513</v>
      </c>
      <c r="C143" s="158" t="s">
        <v>145</v>
      </c>
      <c r="D143" s="157">
        <v>41513</v>
      </c>
      <c r="E143" s="159" t="s">
        <v>250</v>
      </c>
      <c r="F143" s="162">
        <f t="shared" si="8"/>
        <v>241727</v>
      </c>
      <c r="G143" s="160" t="s">
        <v>35</v>
      </c>
      <c r="H143" s="205">
        <v>21130</v>
      </c>
      <c r="I143" s="206"/>
      <c r="J143" s="207">
        <v>11.44</v>
      </c>
      <c r="K143" s="208">
        <f t="shared" si="9"/>
        <v>151927.04999999996</v>
      </c>
      <c r="L143" s="162"/>
    </row>
    <row r="144" spans="1:12" s="142" customFormat="1" ht="17.25" customHeight="1">
      <c r="A144" s="142">
        <f t="shared" si="10"/>
        <v>8</v>
      </c>
      <c r="B144" s="157">
        <v>41513</v>
      </c>
      <c r="C144" s="158" t="s">
        <v>145</v>
      </c>
      <c r="D144" s="157">
        <v>41513</v>
      </c>
      <c r="E144" s="159" t="s">
        <v>239</v>
      </c>
      <c r="F144" s="162">
        <f t="shared" si="8"/>
        <v>583611</v>
      </c>
      <c r="G144" s="160" t="s">
        <v>192</v>
      </c>
      <c r="H144" s="205">
        <v>21130</v>
      </c>
      <c r="I144" s="206"/>
      <c r="J144" s="207">
        <v>27.62</v>
      </c>
      <c r="K144" s="208">
        <f t="shared" si="9"/>
        <v>151899.42999999996</v>
      </c>
      <c r="L144" s="162"/>
    </row>
    <row r="145" spans="1:12" s="142" customFormat="1" ht="17.25" customHeight="1">
      <c r="A145" s="142">
        <f t="shared" si="10"/>
        <v>8</v>
      </c>
      <c r="B145" s="157">
        <v>41513</v>
      </c>
      <c r="C145" s="158" t="s">
        <v>145</v>
      </c>
      <c r="D145" s="157">
        <v>41513</v>
      </c>
      <c r="E145" s="159" t="s">
        <v>240</v>
      </c>
      <c r="F145" s="162">
        <f t="shared" si="8"/>
        <v>58319</v>
      </c>
      <c r="G145" s="160" t="s">
        <v>35</v>
      </c>
      <c r="H145" s="205">
        <v>21130</v>
      </c>
      <c r="I145" s="206"/>
      <c r="J145" s="207">
        <v>2.76</v>
      </c>
      <c r="K145" s="208">
        <f t="shared" si="9"/>
        <v>151896.66999999995</v>
      </c>
      <c r="L145" s="162"/>
    </row>
    <row r="146" spans="1:12" s="142" customFormat="1" ht="17.25" customHeight="1">
      <c r="A146" s="142">
        <f>IF(B146&lt;&gt;"",MONTH(B146),"")</f>
        <v>8</v>
      </c>
      <c r="B146" s="157">
        <v>41513</v>
      </c>
      <c r="C146" s="158" t="s">
        <v>145</v>
      </c>
      <c r="D146" s="157">
        <v>41513</v>
      </c>
      <c r="E146" s="159" t="s">
        <v>239</v>
      </c>
      <c r="F146" s="162">
        <f t="shared" si="8"/>
        <v>755186</v>
      </c>
      <c r="G146" s="160" t="s">
        <v>192</v>
      </c>
      <c r="H146" s="205">
        <v>21130</v>
      </c>
      <c r="I146" s="206"/>
      <c r="J146" s="207">
        <v>35.74</v>
      </c>
      <c r="K146" s="208">
        <f>IF(B146&lt;&gt;"",K145+I146-J146,0)</f>
        <v>151860.92999999996</v>
      </c>
      <c r="L146" s="162"/>
    </row>
    <row r="147" spans="1:12" s="142" customFormat="1" ht="17.25" customHeight="1">
      <c r="A147" s="142">
        <f>IF(B147&lt;&gt;"",MONTH(B147),"")</f>
        <v>8</v>
      </c>
      <c r="B147" s="157">
        <v>41513</v>
      </c>
      <c r="C147" s="158" t="s">
        <v>145</v>
      </c>
      <c r="D147" s="157">
        <v>41513</v>
      </c>
      <c r="E147" s="159" t="s">
        <v>240</v>
      </c>
      <c r="F147" s="162">
        <f t="shared" si="8"/>
        <v>75434</v>
      </c>
      <c r="G147" s="160" t="s">
        <v>35</v>
      </c>
      <c r="H147" s="205">
        <v>21130</v>
      </c>
      <c r="I147" s="206"/>
      <c r="J147" s="207">
        <v>3.57</v>
      </c>
      <c r="K147" s="208">
        <f>IF(B147&lt;&gt;"",K146+I147-J147,0)</f>
        <v>151857.35999999996</v>
      </c>
      <c r="L147" s="162"/>
    </row>
    <row r="148" spans="1:12" s="142" customFormat="1" ht="17.25" customHeight="1">
      <c r="A148" s="142">
        <f t="shared" si="10"/>
        <v>8</v>
      </c>
      <c r="B148" s="157">
        <v>41513</v>
      </c>
      <c r="C148" s="158" t="s">
        <v>145</v>
      </c>
      <c r="D148" s="157">
        <v>41513</v>
      </c>
      <c r="E148" s="159" t="s">
        <v>249</v>
      </c>
      <c r="F148" s="162">
        <f t="shared" si="8"/>
        <v>2148076</v>
      </c>
      <c r="G148" s="160" t="s">
        <v>192</v>
      </c>
      <c r="H148" s="205">
        <v>21130</v>
      </c>
      <c r="I148" s="206"/>
      <c r="J148" s="207">
        <v>101.66</v>
      </c>
      <c r="K148" s="208">
        <f t="shared" si="9"/>
        <v>151755.69999999995</v>
      </c>
      <c r="L148" s="162"/>
    </row>
    <row r="149" spans="1:12" s="142" customFormat="1" ht="17.25" customHeight="1">
      <c r="A149" s="142">
        <f t="shared" si="10"/>
        <v>8</v>
      </c>
      <c r="B149" s="157">
        <v>41513</v>
      </c>
      <c r="C149" s="158" t="s">
        <v>145</v>
      </c>
      <c r="D149" s="157">
        <v>41513</v>
      </c>
      <c r="E149" s="159" t="s">
        <v>250</v>
      </c>
      <c r="F149" s="162">
        <f t="shared" si="8"/>
        <v>214892</v>
      </c>
      <c r="G149" s="160" t="s">
        <v>35</v>
      </c>
      <c r="H149" s="205">
        <v>21130</v>
      </c>
      <c r="I149" s="206"/>
      <c r="J149" s="207">
        <v>10.17</v>
      </c>
      <c r="K149" s="208">
        <f t="shared" si="9"/>
        <v>151745.52999999994</v>
      </c>
      <c r="L149" s="162"/>
    </row>
    <row r="150" spans="1:12" s="142" customFormat="1" ht="17.25" customHeight="1">
      <c r="A150" s="142">
        <f t="shared" si="10"/>
        <v>8</v>
      </c>
      <c r="B150" s="157">
        <v>41513</v>
      </c>
      <c r="C150" s="158" t="s">
        <v>145</v>
      </c>
      <c r="D150" s="157">
        <v>41513</v>
      </c>
      <c r="E150" s="159" t="s">
        <v>239</v>
      </c>
      <c r="F150" s="162">
        <f t="shared" si="8"/>
        <v>583611</v>
      </c>
      <c r="G150" s="160" t="s">
        <v>192</v>
      </c>
      <c r="H150" s="205">
        <v>21130</v>
      </c>
      <c r="I150" s="206"/>
      <c r="J150" s="207">
        <v>27.62</v>
      </c>
      <c r="K150" s="208">
        <f t="shared" si="9"/>
        <v>151717.90999999995</v>
      </c>
      <c r="L150" s="162"/>
    </row>
    <row r="151" spans="1:12" s="142" customFormat="1" ht="17.25" customHeight="1">
      <c r="A151" s="142">
        <f t="shared" si="10"/>
        <v>8</v>
      </c>
      <c r="B151" s="157">
        <v>41513</v>
      </c>
      <c r="C151" s="158" t="s">
        <v>145</v>
      </c>
      <c r="D151" s="157">
        <v>41513</v>
      </c>
      <c r="E151" s="159" t="s">
        <v>240</v>
      </c>
      <c r="F151" s="162">
        <f t="shared" si="8"/>
        <v>58319</v>
      </c>
      <c r="G151" s="160" t="s">
        <v>35</v>
      </c>
      <c r="H151" s="205">
        <v>21130</v>
      </c>
      <c r="I151" s="206"/>
      <c r="J151" s="207">
        <v>2.76</v>
      </c>
      <c r="K151" s="208">
        <f t="shared" si="9"/>
        <v>151715.14999999994</v>
      </c>
      <c r="L151" s="162"/>
    </row>
    <row r="152" spans="1:12" s="142" customFormat="1" ht="17.25" customHeight="1">
      <c r="A152" s="142">
        <f t="shared" si="10"/>
        <v>8</v>
      </c>
      <c r="B152" s="157">
        <v>41513</v>
      </c>
      <c r="C152" s="158" t="s">
        <v>145</v>
      </c>
      <c r="D152" s="157">
        <v>41513</v>
      </c>
      <c r="E152" s="159" t="s">
        <v>239</v>
      </c>
      <c r="F152" s="162">
        <f t="shared" si="8"/>
        <v>583611</v>
      </c>
      <c r="G152" s="160" t="s">
        <v>192</v>
      </c>
      <c r="H152" s="205">
        <v>21130</v>
      </c>
      <c r="I152" s="206"/>
      <c r="J152" s="207">
        <v>27.62</v>
      </c>
      <c r="K152" s="208">
        <f t="shared" si="9"/>
        <v>151687.52999999994</v>
      </c>
      <c r="L152" s="162"/>
    </row>
    <row r="153" spans="1:12" s="142" customFormat="1" ht="17.25" customHeight="1">
      <c r="A153" s="142">
        <f t="shared" si="10"/>
        <v>8</v>
      </c>
      <c r="B153" s="157">
        <v>41513</v>
      </c>
      <c r="C153" s="158" t="s">
        <v>145</v>
      </c>
      <c r="D153" s="157">
        <v>41513</v>
      </c>
      <c r="E153" s="159" t="s">
        <v>240</v>
      </c>
      <c r="F153" s="162">
        <f t="shared" si="8"/>
        <v>58319</v>
      </c>
      <c r="G153" s="160" t="s">
        <v>35</v>
      </c>
      <c r="H153" s="205">
        <v>21130</v>
      </c>
      <c r="I153" s="206"/>
      <c r="J153" s="207">
        <v>2.76</v>
      </c>
      <c r="K153" s="208">
        <f t="shared" si="9"/>
        <v>151684.76999999993</v>
      </c>
      <c r="L153" s="162"/>
    </row>
    <row r="154" spans="1:12" s="142" customFormat="1" ht="17.25" customHeight="1">
      <c r="A154" s="142">
        <f t="shared" si="10"/>
        <v>8</v>
      </c>
      <c r="B154" s="157">
        <v>41513</v>
      </c>
      <c r="C154" s="158" t="s">
        <v>145</v>
      </c>
      <c r="D154" s="157">
        <v>41513</v>
      </c>
      <c r="E154" s="159" t="s">
        <v>248</v>
      </c>
      <c r="F154" s="162">
        <f t="shared" si="8"/>
        <v>1163800000</v>
      </c>
      <c r="G154" s="160" t="s">
        <v>36</v>
      </c>
      <c r="H154" s="205">
        <v>21160</v>
      </c>
      <c r="I154" s="206"/>
      <c r="J154" s="207">
        <v>55000</v>
      </c>
      <c r="K154" s="208">
        <f t="shared" si="9"/>
        <v>96684.769999999931</v>
      </c>
      <c r="L154" s="162"/>
    </row>
    <row r="155" spans="1:12" s="142" customFormat="1" ht="17.25" customHeight="1">
      <c r="A155" s="142">
        <f t="shared" si="10"/>
        <v>8</v>
      </c>
      <c r="B155" s="157">
        <v>41513</v>
      </c>
      <c r="C155" s="158" t="s">
        <v>145</v>
      </c>
      <c r="D155" s="157">
        <v>41513</v>
      </c>
      <c r="E155" s="159" t="s">
        <v>248</v>
      </c>
      <c r="F155" s="162">
        <f t="shared" si="8"/>
        <v>2044056000</v>
      </c>
      <c r="G155" s="160" t="s">
        <v>36</v>
      </c>
      <c r="H155" s="205">
        <v>21160</v>
      </c>
      <c r="I155" s="206"/>
      <c r="J155" s="207">
        <v>96600</v>
      </c>
      <c r="K155" s="208">
        <f t="shared" si="9"/>
        <v>84.769999999931315</v>
      </c>
      <c r="L155" s="162"/>
    </row>
    <row r="156" spans="1:12" s="142" customFormat="1" ht="17.25" customHeight="1">
      <c r="A156" s="142">
        <f t="shared" si="10"/>
        <v>8</v>
      </c>
      <c r="B156" s="157">
        <v>41516</v>
      </c>
      <c r="C156" s="158" t="s">
        <v>148</v>
      </c>
      <c r="D156" s="157">
        <v>41516</v>
      </c>
      <c r="E156" s="159" t="s">
        <v>724</v>
      </c>
      <c r="F156" s="162">
        <f t="shared" si="8"/>
        <v>317850000</v>
      </c>
      <c r="G156" s="160" t="s">
        <v>166</v>
      </c>
      <c r="H156" s="205">
        <v>21190</v>
      </c>
      <c r="I156" s="206">
        <v>15000</v>
      </c>
      <c r="J156" s="207"/>
      <c r="K156" s="208">
        <f t="shared" si="9"/>
        <v>15084.769999999931</v>
      </c>
      <c r="L156" s="162"/>
    </row>
    <row r="157" spans="1:12" s="142" customFormat="1" ht="17.25" customHeight="1">
      <c r="A157" s="142">
        <f t="shared" si="10"/>
        <v>8</v>
      </c>
      <c r="B157" s="157">
        <v>41516</v>
      </c>
      <c r="C157" s="158" t="s">
        <v>148</v>
      </c>
      <c r="D157" s="157">
        <v>41516</v>
      </c>
      <c r="E157" s="159" t="s">
        <v>724</v>
      </c>
      <c r="F157" s="162">
        <f t="shared" si="8"/>
        <v>360230000</v>
      </c>
      <c r="G157" s="160" t="s">
        <v>166</v>
      </c>
      <c r="H157" s="205">
        <v>21190</v>
      </c>
      <c r="I157" s="206">
        <v>17000</v>
      </c>
      <c r="J157" s="207"/>
      <c r="K157" s="208">
        <f t="shared" si="9"/>
        <v>32084.769999999931</v>
      </c>
      <c r="L157" s="162"/>
    </row>
    <row r="158" spans="1:12" s="142" customFormat="1" ht="17.25" customHeight="1">
      <c r="A158" s="142">
        <f t="shared" si="10"/>
        <v>8</v>
      </c>
      <c r="B158" s="157">
        <v>41516</v>
      </c>
      <c r="C158" s="158" t="s">
        <v>145</v>
      </c>
      <c r="D158" s="157">
        <v>41516</v>
      </c>
      <c r="E158" s="159" t="s">
        <v>249</v>
      </c>
      <c r="F158" s="162">
        <f t="shared" si="8"/>
        <v>510682</v>
      </c>
      <c r="G158" s="160" t="s">
        <v>192</v>
      </c>
      <c r="H158" s="205">
        <v>21120</v>
      </c>
      <c r="I158" s="206"/>
      <c r="J158" s="207">
        <v>24.18</v>
      </c>
      <c r="K158" s="208">
        <f t="shared" si="9"/>
        <v>32060.589999999931</v>
      </c>
      <c r="L158" s="162"/>
    </row>
    <row r="159" spans="1:12" s="142" customFormat="1" ht="17.25" customHeight="1">
      <c r="A159" s="142">
        <f t="shared" si="10"/>
        <v>8</v>
      </c>
      <c r="B159" s="157">
        <v>41516</v>
      </c>
      <c r="C159" s="158" t="s">
        <v>145</v>
      </c>
      <c r="D159" s="157">
        <v>41516</v>
      </c>
      <c r="E159" s="159" t="s">
        <v>250</v>
      </c>
      <c r="F159" s="162">
        <f t="shared" si="8"/>
        <v>51110</v>
      </c>
      <c r="G159" s="160" t="s">
        <v>35</v>
      </c>
      <c r="H159" s="205">
        <v>21120</v>
      </c>
      <c r="I159" s="206"/>
      <c r="J159" s="207">
        <v>2.42</v>
      </c>
      <c r="K159" s="208">
        <f t="shared" si="9"/>
        <v>32058.169999999933</v>
      </c>
      <c r="L159" s="162"/>
    </row>
    <row r="160" spans="1:12" s="142" customFormat="1" ht="17.25" customHeight="1">
      <c r="A160" s="142">
        <f>IF(B160&lt;&gt;"",MONTH(B160),"")</f>
        <v>8</v>
      </c>
      <c r="B160" s="157">
        <v>41516</v>
      </c>
      <c r="C160" s="158" t="s">
        <v>145</v>
      </c>
      <c r="D160" s="157">
        <v>41516</v>
      </c>
      <c r="E160" s="159" t="s">
        <v>239</v>
      </c>
      <c r="F160" s="162">
        <f t="shared" si="8"/>
        <v>754829</v>
      </c>
      <c r="G160" s="160" t="s">
        <v>192</v>
      </c>
      <c r="H160" s="205">
        <v>21120</v>
      </c>
      <c r="I160" s="206"/>
      <c r="J160" s="207">
        <v>35.74</v>
      </c>
      <c r="K160" s="208">
        <f>IF(B160&lt;&gt;"",K159+I160-J160,0)</f>
        <v>32022.429999999931</v>
      </c>
      <c r="L160" s="162"/>
    </row>
    <row r="161" spans="1:12" s="142" customFormat="1" ht="17.25" customHeight="1">
      <c r="A161" s="142">
        <f>IF(B161&lt;&gt;"",MONTH(B161),"")</f>
        <v>8</v>
      </c>
      <c r="B161" s="157">
        <v>41516</v>
      </c>
      <c r="C161" s="158" t="s">
        <v>145</v>
      </c>
      <c r="D161" s="157">
        <v>41516</v>
      </c>
      <c r="E161" s="159" t="s">
        <v>240</v>
      </c>
      <c r="F161" s="162">
        <f t="shared" si="8"/>
        <v>75398</v>
      </c>
      <c r="G161" s="160" t="s">
        <v>35</v>
      </c>
      <c r="H161" s="205">
        <v>21120</v>
      </c>
      <c r="I161" s="206"/>
      <c r="J161" s="207">
        <v>3.57</v>
      </c>
      <c r="K161" s="208">
        <f>IF(B161&lt;&gt;"",K160+I161-J161,0)</f>
        <v>32018.859999999931</v>
      </c>
      <c r="L161" s="162"/>
    </row>
    <row r="162" spans="1:12" s="142" customFormat="1" ht="17.25" customHeight="1">
      <c r="A162" s="142">
        <f>IF(B162&lt;&gt;"",MONTH(B162),"")</f>
        <v>8</v>
      </c>
      <c r="B162" s="157">
        <v>41516</v>
      </c>
      <c r="C162" s="158" t="s">
        <v>145</v>
      </c>
      <c r="D162" s="157">
        <v>41516</v>
      </c>
      <c r="E162" s="159" t="s">
        <v>239</v>
      </c>
      <c r="F162" s="162">
        <f t="shared" si="8"/>
        <v>583334</v>
      </c>
      <c r="G162" s="160" t="s">
        <v>192</v>
      </c>
      <c r="H162" s="205">
        <v>21120</v>
      </c>
      <c r="I162" s="206"/>
      <c r="J162" s="207">
        <v>27.62</v>
      </c>
      <c r="K162" s="208">
        <f>IF(B162&lt;&gt;"",K161+I162-J162,0)</f>
        <v>31991.239999999932</v>
      </c>
      <c r="L162" s="162"/>
    </row>
    <row r="163" spans="1:12" s="142" customFormat="1" ht="17.25" customHeight="1">
      <c r="A163" s="142">
        <f t="shared" si="10"/>
        <v>8</v>
      </c>
      <c r="B163" s="157">
        <v>41516</v>
      </c>
      <c r="C163" s="158" t="s">
        <v>145</v>
      </c>
      <c r="D163" s="157">
        <v>41516</v>
      </c>
      <c r="E163" s="159" t="s">
        <v>240</v>
      </c>
      <c r="F163" s="162">
        <f t="shared" si="8"/>
        <v>58291</v>
      </c>
      <c r="G163" s="160" t="s">
        <v>35</v>
      </c>
      <c r="H163" s="205">
        <v>21120</v>
      </c>
      <c r="I163" s="206"/>
      <c r="J163" s="207">
        <v>2.76</v>
      </c>
      <c r="K163" s="208">
        <f t="shared" si="9"/>
        <v>31988.479999999934</v>
      </c>
      <c r="L163" s="162"/>
    </row>
    <row r="164" spans="1:12" s="142" customFormat="1" ht="17.25" customHeight="1">
      <c r="A164" s="142">
        <f t="shared" si="10"/>
        <v>8</v>
      </c>
      <c r="B164" s="157">
        <v>41516</v>
      </c>
      <c r="C164" s="158" t="s">
        <v>145</v>
      </c>
      <c r="D164" s="157">
        <v>41516</v>
      </c>
      <c r="E164" s="159" t="s">
        <v>249</v>
      </c>
      <c r="F164" s="162">
        <f t="shared" si="8"/>
        <v>450490</v>
      </c>
      <c r="G164" s="160" t="s">
        <v>192</v>
      </c>
      <c r="H164" s="205">
        <v>21120</v>
      </c>
      <c r="I164" s="206"/>
      <c r="J164" s="207">
        <v>21.33</v>
      </c>
      <c r="K164" s="208">
        <f t="shared" si="9"/>
        <v>31967.149999999932</v>
      </c>
      <c r="L164" s="162"/>
    </row>
    <row r="165" spans="1:12" s="142" customFormat="1" ht="17.25" customHeight="1">
      <c r="A165" s="142">
        <f t="shared" si="10"/>
        <v>8</v>
      </c>
      <c r="B165" s="157">
        <v>41516</v>
      </c>
      <c r="C165" s="158" t="s">
        <v>145</v>
      </c>
      <c r="D165" s="157">
        <v>41516</v>
      </c>
      <c r="E165" s="159" t="s">
        <v>250</v>
      </c>
      <c r="F165" s="162">
        <f t="shared" si="8"/>
        <v>44986</v>
      </c>
      <c r="G165" s="160" t="s">
        <v>35</v>
      </c>
      <c r="H165" s="205">
        <v>21120</v>
      </c>
      <c r="I165" s="206"/>
      <c r="J165" s="207">
        <v>2.13</v>
      </c>
      <c r="K165" s="208">
        <f t="shared" si="9"/>
        <v>31965.019999999931</v>
      </c>
      <c r="L165" s="162"/>
    </row>
    <row r="166" spans="1:12" s="142" customFormat="1" ht="17.25" customHeight="1">
      <c r="A166" s="142">
        <f t="shared" si="10"/>
        <v>8</v>
      </c>
      <c r="B166" s="157">
        <v>41516</v>
      </c>
      <c r="C166" s="158" t="s">
        <v>145</v>
      </c>
      <c r="D166" s="157">
        <v>41516</v>
      </c>
      <c r="E166" s="159" t="s">
        <v>239</v>
      </c>
      <c r="F166" s="162">
        <f t="shared" si="8"/>
        <v>754829</v>
      </c>
      <c r="G166" s="160" t="s">
        <v>192</v>
      </c>
      <c r="H166" s="205">
        <v>21120</v>
      </c>
      <c r="I166" s="206"/>
      <c r="J166" s="207">
        <v>35.74</v>
      </c>
      <c r="K166" s="208">
        <f t="shared" si="9"/>
        <v>31929.27999999993</v>
      </c>
      <c r="L166" s="162"/>
    </row>
    <row r="167" spans="1:12" s="142" customFormat="1" ht="17.25" customHeight="1">
      <c r="A167" s="142">
        <f t="shared" si="10"/>
        <v>8</v>
      </c>
      <c r="B167" s="157">
        <v>41516</v>
      </c>
      <c r="C167" s="158" t="s">
        <v>145</v>
      </c>
      <c r="D167" s="157">
        <v>41516</v>
      </c>
      <c r="E167" s="159" t="s">
        <v>240</v>
      </c>
      <c r="F167" s="162">
        <f t="shared" si="8"/>
        <v>75398</v>
      </c>
      <c r="G167" s="160" t="s">
        <v>35</v>
      </c>
      <c r="H167" s="205">
        <v>21120</v>
      </c>
      <c r="I167" s="206"/>
      <c r="J167" s="207">
        <v>3.57</v>
      </c>
      <c r="K167" s="208">
        <f t="shared" si="9"/>
        <v>31925.70999999993</v>
      </c>
      <c r="L167" s="162"/>
    </row>
    <row r="168" spans="1:12" s="142" customFormat="1" ht="17.25" customHeight="1">
      <c r="A168" s="142">
        <f t="shared" si="10"/>
        <v>8</v>
      </c>
      <c r="B168" s="157">
        <v>41516</v>
      </c>
      <c r="C168" s="158" t="s">
        <v>145</v>
      </c>
      <c r="D168" s="157">
        <v>41516</v>
      </c>
      <c r="E168" s="159" t="s">
        <v>239</v>
      </c>
      <c r="F168" s="162">
        <f t="shared" si="8"/>
        <v>583334</v>
      </c>
      <c r="G168" s="160" t="s">
        <v>192</v>
      </c>
      <c r="H168" s="205">
        <v>21120</v>
      </c>
      <c r="I168" s="206"/>
      <c r="J168" s="207">
        <v>27.62</v>
      </c>
      <c r="K168" s="208">
        <f t="shared" si="9"/>
        <v>31898.089999999931</v>
      </c>
      <c r="L168" s="162"/>
    </row>
    <row r="169" spans="1:12" s="142" customFormat="1" ht="17.25" customHeight="1">
      <c r="A169" s="142">
        <f t="shared" si="10"/>
        <v>8</v>
      </c>
      <c r="B169" s="157">
        <v>41516</v>
      </c>
      <c r="C169" s="158" t="s">
        <v>145</v>
      </c>
      <c r="D169" s="157">
        <v>41516</v>
      </c>
      <c r="E169" s="159" t="s">
        <v>240</v>
      </c>
      <c r="F169" s="162">
        <f t="shared" si="8"/>
        <v>58291</v>
      </c>
      <c r="G169" s="160" t="s">
        <v>35</v>
      </c>
      <c r="H169" s="205">
        <v>21120</v>
      </c>
      <c r="I169" s="206"/>
      <c r="J169" s="207">
        <v>2.76</v>
      </c>
      <c r="K169" s="208">
        <f t="shared" si="9"/>
        <v>31895.329999999933</v>
      </c>
      <c r="L169" s="162"/>
    </row>
    <row r="170" spans="1:12" s="142" customFormat="1" ht="17.25" customHeight="1">
      <c r="A170" s="142">
        <f t="shared" si="10"/>
        <v>8</v>
      </c>
      <c r="B170" s="157">
        <v>41517</v>
      </c>
      <c r="C170" s="158" t="s">
        <v>145</v>
      </c>
      <c r="D170" s="157">
        <v>41517</v>
      </c>
      <c r="E170" s="159" t="s">
        <v>248</v>
      </c>
      <c r="F170" s="162">
        <f t="shared" si="8"/>
        <v>672093000</v>
      </c>
      <c r="G170" s="160" t="s">
        <v>36</v>
      </c>
      <c r="H170" s="205">
        <v>21135</v>
      </c>
      <c r="I170" s="206"/>
      <c r="J170" s="207">
        <v>31800</v>
      </c>
      <c r="K170" s="208">
        <f t="shared" si="9"/>
        <v>95.329999999932625</v>
      </c>
      <c r="L170" s="162"/>
    </row>
    <row r="171" spans="1:12" s="142" customFormat="1" ht="17.25" customHeight="1">
      <c r="A171" s="142">
        <f>IF(B171&lt;&gt;"",MONTH(B171),"")</f>
        <v>9</v>
      </c>
      <c r="B171" s="157">
        <v>41520</v>
      </c>
      <c r="C171" s="158" t="s">
        <v>148</v>
      </c>
      <c r="D171" s="157">
        <v>41520</v>
      </c>
      <c r="E171" s="159" t="s">
        <v>491</v>
      </c>
      <c r="F171" s="162">
        <f t="shared" si="8"/>
        <v>78048749</v>
      </c>
      <c r="G171" s="160" t="s">
        <v>166</v>
      </c>
      <c r="H171" s="205">
        <v>21120</v>
      </c>
      <c r="I171" s="206">
        <v>3695.49</v>
      </c>
      <c r="J171" s="207"/>
      <c r="K171" s="208">
        <f>IF(B171&lt;&gt;"",K170+I171-J171,0)</f>
        <v>3790.8199999999324</v>
      </c>
      <c r="L171" s="162"/>
    </row>
    <row r="172" spans="1:12" s="142" customFormat="1" ht="17.25" customHeight="1">
      <c r="A172" s="142">
        <f t="shared" si="10"/>
        <v>9</v>
      </c>
      <c r="B172" s="157">
        <v>41520</v>
      </c>
      <c r="C172" s="158" t="s">
        <v>145</v>
      </c>
      <c r="D172" s="157">
        <v>41520</v>
      </c>
      <c r="E172" s="159" t="s">
        <v>232</v>
      </c>
      <c r="F172" s="162">
        <f t="shared" si="8"/>
        <v>316800</v>
      </c>
      <c r="G172" s="160" t="s">
        <v>192</v>
      </c>
      <c r="H172" s="205">
        <v>21120</v>
      </c>
      <c r="I172" s="206"/>
      <c r="J172" s="207">
        <v>15</v>
      </c>
      <c r="K172" s="208">
        <f t="shared" si="9"/>
        <v>3775.8199999999324</v>
      </c>
      <c r="L172" s="162"/>
    </row>
    <row r="173" spans="1:12" s="142" customFormat="1" ht="17.25" customHeight="1">
      <c r="A173" s="142">
        <f t="shared" si="10"/>
        <v>9</v>
      </c>
      <c r="B173" s="157">
        <v>41520</v>
      </c>
      <c r="C173" s="158" t="s">
        <v>145</v>
      </c>
      <c r="D173" s="157">
        <v>41520</v>
      </c>
      <c r="E173" s="159" t="s">
        <v>233</v>
      </c>
      <c r="F173" s="162">
        <f t="shared" si="8"/>
        <v>31680</v>
      </c>
      <c r="G173" s="160" t="s">
        <v>35</v>
      </c>
      <c r="H173" s="205">
        <v>21120</v>
      </c>
      <c r="I173" s="206"/>
      <c r="J173" s="207">
        <v>1.5</v>
      </c>
      <c r="K173" s="208">
        <f t="shared" si="9"/>
        <v>3774.3199999999324</v>
      </c>
      <c r="L173" s="162"/>
    </row>
    <row r="174" spans="1:12" s="142" customFormat="1" ht="17.25" customHeight="1">
      <c r="A174" s="142">
        <f>IF(B174&lt;&gt;"",MONTH(B174),"")</f>
        <v>9</v>
      </c>
      <c r="B174" s="157">
        <v>41521</v>
      </c>
      <c r="C174" s="158" t="s">
        <v>148</v>
      </c>
      <c r="D174" s="157">
        <v>41521</v>
      </c>
      <c r="E174" s="159" t="s">
        <v>146</v>
      </c>
      <c r="F174" s="162">
        <f t="shared" si="8"/>
        <v>1956837500</v>
      </c>
      <c r="G174" s="160" t="s">
        <v>36</v>
      </c>
      <c r="H174" s="205">
        <v>21155</v>
      </c>
      <c r="I174" s="206">
        <v>92500</v>
      </c>
      <c r="J174" s="207"/>
      <c r="K174" s="208">
        <f>IF(B174&lt;&gt;"",K173+I174-J174,0)</f>
        <v>96274.319999999934</v>
      </c>
      <c r="L174" s="162"/>
    </row>
    <row r="175" spans="1:12" s="142" customFormat="1" ht="17.25" customHeight="1">
      <c r="A175" s="142">
        <f t="shared" si="10"/>
        <v>9</v>
      </c>
      <c r="B175" s="157">
        <v>41521</v>
      </c>
      <c r="C175" s="158" t="s">
        <v>145</v>
      </c>
      <c r="D175" s="157">
        <v>41521</v>
      </c>
      <c r="E175" s="159" t="s">
        <v>766</v>
      </c>
      <c r="F175" s="162">
        <f t="shared" si="8"/>
        <v>2017552350</v>
      </c>
      <c r="G175" s="160" t="s">
        <v>215</v>
      </c>
      <c r="H175" s="205">
        <v>21155</v>
      </c>
      <c r="I175" s="206"/>
      <c r="J175" s="207">
        <v>95370</v>
      </c>
      <c r="K175" s="208">
        <f t="shared" si="9"/>
        <v>904.31999999993423</v>
      </c>
      <c r="L175" s="162"/>
    </row>
    <row r="176" spans="1:12" s="142" customFormat="1" ht="17.25" customHeight="1">
      <c r="A176" s="142">
        <f t="shared" si="10"/>
        <v>9</v>
      </c>
      <c r="B176" s="157">
        <v>41521</v>
      </c>
      <c r="C176" s="158" t="s">
        <v>145</v>
      </c>
      <c r="D176" s="157">
        <v>41521</v>
      </c>
      <c r="E176" s="159" t="s">
        <v>767</v>
      </c>
      <c r="F176" s="162">
        <f t="shared" si="8"/>
        <v>6192703</v>
      </c>
      <c r="G176" s="160" t="s">
        <v>150</v>
      </c>
      <c r="H176" s="205">
        <v>21155</v>
      </c>
      <c r="I176" s="206"/>
      <c r="J176" s="207">
        <v>292.73</v>
      </c>
      <c r="K176" s="208">
        <f t="shared" si="9"/>
        <v>611.58999999993421</v>
      </c>
      <c r="L176" s="162"/>
    </row>
    <row r="177" spans="1:12" s="142" customFormat="1" ht="17.25" customHeight="1">
      <c r="A177" s="142">
        <f t="shared" ref="A177:A240" si="11">IF(B177&lt;&gt;"",MONTH(B177),"")</f>
        <v>9</v>
      </c>
      <c r="B177" s="157">
        <v>41522</v>
      </c>
      <c r="C177" s="158" t="s">
        <v>148</v>
      </c>
      <c r="D177" s="157">
        <v>41522</v>
      </c>
      <c r="E177" s="159" t="s">
        <v>491</v>
      </c>
      <c r="F177" s="162">
        <f t="shared" si="8"/>
        <v>84720134</v>
      </c>
      <c r="G177" s="160" t="s">
        <v>166</v>
      </c>
      <c r="H177" s="205">
        <v>21120</v>
      </c>
      <c r="I177" s="206">
        <v>4011.37</v>
      </c>
      <c r="J177" s="207"/>
      <c r="K177" s="208">
        <f t="shared" ref="K177:K240" si="12">IF(B177&lt;&gt;"",K176+I177-J177,0)</f>
        <v>4622.9599999999336</v>
      </c>
      <c r="L177" s="162"/>
    </row>
    <row r="178" spans="1:12" s="142" customFormat="1" ht="17.25" customHeight="1">
      <c r="A178" s="142">
        <f t="shared" si="11"/>
        <v>9</v>
      </c>
      <c r="B178" s="157">
        <v>41522</v>
      </c>
      <c r="C178" s="158" t="s">
        <v>148</v>
      </c>
      <c r="D178" s="157">
        <v>41522</v>
      </c>
      <c r="E178" s="159" t="s">
        <v>768</v>
      </c>
      <c r="F178" s="162">
        <f t="shared" si="8"/>
        <v>2017075500</v>
      </c>
      <c r="G178" s="160" t="s">
        <v>215</v>
      </c>
      <c r="H178" s="205">
        <v>21150</v>
      </c>
      <c r="I178" s="206">
        <v>95370</v>
      </c>
      <c r="J178" s="207"/>
      <c r="K178" s="208">
        <f t="shared" si="12"/>
        <v>99992.959999999934</v>
      </c>
      <c r="L178" s="162"/>
    </row>
    <row r="179" spans="1:12" s="142" customFormat="1" ht="17.25" customHeight="1">
      <c r="A179" s="142">
        <f t="shared" si="11"/>
        <v>9</v>
      </c>
      <c r="B179" s="157">
        <v>41522</v>
      </c>
      <c r="C179" s="158" t="s">
        <v>145</v>
      </c>
      <c r="D179" s="157">
        <v>41522</v>
      </c>
      <c r="E179" s="159" t="s">
        <v>248</v>
      </c>
      <c r="F179" s="162">
        <f t="shared" si="8"/>
        <v>2017075500</v>
      </c>
      <c r="G179" s="160" t="s">
        <v>36</v>
      </c>
      <c r="H179" s="205">
        <v>21150</v>
      </c>
      <c r="I179" s="206"/>
      <c r="J179" s="207">
        <v>95370</v>
      </c>
      <c r="K179" s="208">
        <f t="shared" si="12"/>
        <v>4622.9599999999336</v>
      </c>
      <c r="L179" s="162"/>
    </row>
    <row r="180" spans="1:12" s="142" customFormat="1" ht="17.25" customHeight="1">
      <c r="A180" s="142">
        <f t="shared" si="11"/>
        <v>9</v>
      </c>
      <c r="B180" s="157">
        <v>41522</v>
      </c>
      <c r="C180" s="158" t="s">
        <v>145</v>
      </c>
      <c r="D180" s="157">
        <v>41522</v>
      </c>
      <c r="E180" s="159" t="s">
        <v>769</v>
      </c>
      <c r="F180" s="162">
        <f t="shared" si="8"/>
        <v>10489050</v>
      </c>
      <c r="G180" s="160" t="s">
        <v>192</v>
      </c>
      <c r="H180" s="205">
        <v>21190</v>
      </c>
      <c r="I180" s="206"/>
      <c r="J180" s="207">
        <v>495</v>
      </c>
      <c r="K180" s="208">
        <f t="shared" si="12"/>
        <v>4127.9599999999336</v>
      </c>
      <c r="L180" s="162"/>
    </row>
    <row r="181" spans="1:12" s="142" customFormat="1" ht="17.25" customHeight="1">
      <c r="A181" s="142">
        <f t="shared" si="11"/>
        <v>9</v>
      </c>
      <c r="B181" s="157">
        <v>41523</v>
      </c>
      <c r="C181" s="158" t="s">
        <v>148</v>
      </c>
      <c r="D181" s="157">
        <v>41523</v>
      </c>
      <c r="E181" s="159" t="s">
        <v>491</v>
      </c>
      <c r="F181" s="162">
        <f t="shared" si="8"/>
        <v>14785866</v>
      </c>
      <c r="G181" s="160" t="s">
        <v>166</v>
      </c>
      <c r="H181" s="205">
        <v>21110</v>
      </c>
      <c r="I181" s="206">
        <v>700.42</v>
      </c>
      <c r="J181" s="207"/>
      <c r="K181" s="208">
        <f t="shared" si="12"/>
        <v>4828.3799999999337</v>
      </c>
      <c r="L181" s="162"/>
    </row>
    <row r="182" spans="1:12" s="142" customFormat="1" ht="17.25" customHeight="1">
      <c r="A182" s="142">
        <f t="shared" si="11"/>
        <v>9</v>
      </c>
      <c r="B182" s="157">
        <v>41523</v>
      </c>
      <c r="C182" s="158" t="s">
        <v>148</v>
      </c>
      <c r="D182" s="157">
        <v>41523</v>
      </c>
      <c r="E182" s="159" t="s">
        <v>491</v>
      </c>
      <c r="F182" s="162">
        <f t="shared" si="8"/>
        <v>17151242</v>
      </c>
      <c r="G182" s="160" t="s">
        <v>166</v>
      </c>
      <c r="H182" s="205">
        <v>21110</v>
      </c>
      <c r="I182" s="206">
        <v>812.47</v>
      </c>
      <c r="J182" s="207"/>
      <c r="K182" s="208">
        <f t="shared" si="12"/>
        <v>5640.849999999934</v>
      </c>
      <c r="L182" s="162"/>
    </row>
    <row r="183" spans="1:12" s="142" customFormat="1" ht="17.25" customHeight="1">
      <c r="A183" s="142">
        <f t="shared" si="11"/>
        <v>9</v>
      </c>
      <c r="B183" s="157">
        <v>41523</v>
      </c>
      <c r="C183" s="158" t="s">
        <v>145</v>
      </c>
      <c r="D183" s="157">
        <v>41523</v>
      </c>
      <c r="E183" s="159" t="s">
        <v>248</v>
      </c>
      <c r="F183" s="162">
        <f t="shared" si="8"/>
        <v>105550000</v>
      </c>
      <c r="G183" s="160" t="s">
        <v>36</v>
      </c>
      <c r="H183" s="205">
        <v>21110</v>
      </c>
      <c r="I183" s="206"/>
      <c r="J183" s="207">
        <v>5000</v>
      </c>
      <c r="K183" s="208">
        <f t="shared" si="12"/>
        <v>640.84999999993397</v>
      </c>
      <c r="L183" s="162"/>
    </row>
    <row r="184" spans="1:12" s="142" customFormat="1" ht="17.25" customHeight="1">
      <c r="A184" s="142">
        <f t="shared" si="11"/>
        <v>9</v>
      </c>
      <c r="B184" s="157">
        <v>41530</v>
      </c>
      <c r="C184" s="158" t="s">
        <v>145</v>
      </c>
      <c r="D184" s="157">
        <v>41530</v>
      </c>
      <c r="E184" s="159" t="s">
        <v>245</v>
      </c>
      <c r="F184" s="162">
        <f t="shared" si="8"/>
        <v>105450</v>
      </c>
      <c r="G184" s="160" t="s">
        <v>192</v>
      </c>
      <c r="H184" s="205">
        <v>21090</v>
      </c>
      <c r="I184" s="206"/>
      <c r="J184" s="207">
        <v>5</v>
      </c>
      <c r="K184" s="208">
        <f t="shared" si="12"/>
        <v>635.84999999993397</v>
      </c>
      <c r="L184" s="162"/>
    </row>
    <row r="185" spans="1:12" s="142" customFormat="1" ht="17.25" customHeight="1">
      <c r="A185" s="142">
        <f t="shared" si="11"/>
        <v>9</v>
      </c>
      <c r="B185" s="157">
        <v>41530</v>
      </c>
      <c r="C185" s="158" t="s">
        <v>145</v>
      </c>
      <c r="D185" s="157">
        <v>41530</v>
      </c>
      <c r="E185" s="159" t="s">
        <v>246</v>
      </c>
      <c r="F185" s="162">
        <f t="shared" si="8"/>
        <v>10545</v>
      </c>
      <c r="G185" s="160" t="s">
        <v>35</v>
      </c>
      <c r="H185" s="205">
        <v>21090</v>
      </c>
      <c r="I185" s="206"/>
      <c r="J185" s="207">
        <v>0.5</v>
      </c>
      <c r="K185" s="208">
        <f t="shared" si="12"/>
        <v>635.34999999993397</v>
      </c>
      <c r="L185" s="162"/>
    </row>
    <row r="186" spans="1:12" s="142" customFormat="1" ht="17.25" customHeight="1">
      <c r="A186" s="142">
        <f t="shared" si="11"/>
        <v>9</v>
      </c>
      <c r="B186" s="157">
        <v>41541</v>
      </c>
      <c r="C186" s="158" t="s">
        <v>148</v>
      </c>
      <c r="D186" s="157">
        <v>41541</v>
      </c>
      <c r="E186" s="159" t="s">
        <v>157</v>
      </c>
      <c r="F186" s="162">
        <f t="shared" si="8"/>
        <v>3164</v>
      </c>
      <c r="G186" s="160" t="s">
        <v>158</v>
      </c>
      <c r="H186" s="205">
        <v>21093</v>
      </c>
      <c r="I186" s="206">
        <v>0.15</v>
      </c>
      <c r="J186" s="207"/>
      <c r="K186" s="208">
        <f t="shared" si="12"/>
        <v>635.49999999993395</v>
      </c>
      <c r="L186" s="162"/>
    </row>
    <row r="187" spans="1:12" s="142" customFormat="1" ht="17.25" customHeight="1">
      <c r="A187" s="142">
        <f t="shared" si="11"/>
        <v>9</v>
      </c>
      <c r="B187" s="157">
        <v>41543</v>
      </c>
      <c r="C187" s="158" t="s">
        <v>148</v>
      </c>
      <c r="D187" s="157">
        <v>41543</v>
      </c>
      <c r="E187" s="159" t="s">
        <v>770</v>
      </c>
      <c r="F187" s="162">
        <f t="shared" si="8"/>
        <v>338400000</v>
      </c>
      <c r="G187" s="160" t="s">
        <v>166</v>
      </c>
      <c r="H187" s="205">
        <v>21150</v>
      </c>
      <c r="I187" s="206">
        <v>16000</v>
      </c>
      <c r="J187" s="207"/>
      <c r="K187" s="208">
        <f t="shared" si="12"/>
        <v>16635.499999999935</v>
      </c>
      <c r="L187" s="162"/>
    </row>
    <row r="188" spans="1:12" s="142" customFormat="1" ht="17.25" customHeight="1">
      <c r="A188" s="142">
        <f t="shared" si="11"/>
        <v>9</v>
      </c>
      <c r="B188" s="157">
        <v>41543</v>
      </c>
      <c r="C188" s="158" t="s">
        <v>148</v>
      </c>
      <c r="D188" s="157">
        <v>41543</v>
      </c>
      <c r="E188" s="159" t="s">
        <v>771</v>
      </c>
      <c r="F188" s="162">
        <f t="shared" si="8"/>
        <v>628155000</v>
      </c>
      <c r="G188" s="160" t="s">
        <v>166</v>
      </c>
      <c r="H188" s="205">
        <v>21150</v>
      </c>
      <c r="I188" s="206">
        <v>29700</v>
      </c>
      <c r="J188" s="207"/>
      <c r="K188" s="208">
        <f t="shared" si="12"/>
        <v>46335.499999999935</v>
      </c>
      <c r="L188" s="162"/>
    </row>
    <row r="189" spans="1:12" s="142" customFormat="1" ht="17.25" customHeight="1">
      <c r="A189" s="142">
        <f t="shared" si="11"/>
        <v>9</v>
      </c>
      <c r="B189" s="157">
        <v>41543</v>
      </c>
      <c r="C189" s="158" t="s">
        <v>145</v>
      </c>
      <c r="D189" s="157">
        <v>41543</v>
      </c>
      <c r="E189" s="159" t="s">
        <v>249</v>
      </c>
      <c r="F189" s="162">
        <f t="shared" si="8"/>
        <v>892529</v>
      </c>
      <c r="G189" s="160" t="s">
        <v>192</v>
      </c>
      <c r="H189" s="205">
        <v>21090</v>
      </c>
      <c r="I189" s="206"/>
      <c r="J189" s="207">
        <v>42.32</v>
      </c>
      <c r="K189" s="208">
        <f t="shared" si="12"/>
        <v>46293.179999999935</v>
      </c>
      <c r="L189" s="162"/>
    </row>
    <row r="190" spans="1:12" s="142" customFormat="1" ht="17.25" customHeight="1">
      <c r="A190" s="142">
        <f t="shared" si="11"/>
        <v>9</v>
      </c>
      <c r="B190" s="157">
        <v>41543</v>
      </c>
      <c r="C190" s="158" t="s">
        <v>145</v>
      </c>
      <c r="D190" s="157">
        <v>41543</v>
      </c>
      <c r="E190" s="159" t="s">
        <v>250</v>
      </c>
      <c r="F190" s="162">
        <f t="shared" si="8"/>
        <v>89211</v>
      </c>
      <c r="G190" s="160" t="s">
        <v>35</v>
      </c>
      <c r="H190" s="205">
        <v>21090</v>
      </c>
      <c r="I190" s="206"/>
      <c r="J190" s="207">
        <v>4.2300000000000004</v>
      </c>
      <c r="K190" s="208">
        <f t="shared" si="12"/>
        <v>46288.949999999932</v>
      </c>
      <c r="L190" s="162"/>
    </row>
    <row r="191" spans="1:12" s="142" customFormat="1" ht="17.25" customHeight="1">
      <c r="A191" s="142">
        <f t="shared" si="11"/>
        <v>9</v>
      </c>
      <c r="B191" s="157">
        <v>41543</v>
      </c>
      <c r="C191" s="158" t="s">
        <v>145</v>
      </c>
      <c r="D191" s="157">
        <v>41543</v>
      </c>
      <c r="E191" s="159" t="s">
        <v>239</v>
      </c>
      <c r="F191" s="162">
        <f t="shared" si="8"/>
        <v>582506</v>
      </c>
      <c r="G191" s="160" t="s">
        <v>192</v>
      </c>
      <c r="H191" s="205">
        <v>21090</v>
      </c>
      <c r="I191" s="206"/>
      <c r="J191" s="207">
        <v>27.62</v>
      </c>
      <c r="K191" s="208">
        <f t="shared" si="12"/>
        <v>46261.329999999929</v>
      </c>
      <c r="L191" s="162"/>
    </row>
    <row r="192" spans="1:12" s="142" customFormat="1" ht="17.25" customHeight="1">
      <c r="A192" s="142">
        <f t="shared" si="11"/>
        <v>9</v>
      </c>
      <c r="B192" s="157">
        <v>41543</v>
      </c>
      <c r="C192" s="158" t="s">
        <v>145</v>
      </c>
      <c r="D192" s="157">
        <v>41543</v>
      </c>
      <c r="E192" s="159" t="s">
        <v>240</v>
      </c>
      <c r="F192" s="162">
        <f t="shared" si="8"/>
        <v>58208</v>
      </c>
      <c r="G192" s="160" t="s">
        <v>35</v>
      </c>
      <c r="H192" s="205">
        <v>21090</v>
      </c>
      <c r="I192" s="206"/>
      <c r="J192" s="207">
        <v>2.76</v>
      </c>
      <c r="K192" s="208">
        <f t="shared" si="12"/>
        <v>46258.569999999927</v>
      </c>
      <c r="L192" s="162"/>
    </row>
    <row r="193" spans="1:12" s="142" customFormat="1" ht="17.25" customHeight="1">
      <c r="A193" s="142">
        <f t="shared" si="11"/>
        <v>9</v>
      </c>
      <c r="B193" s="157">
        <v>41543</v>
      </c>
      <c r="C193" s="158" t="s">
        <v>145</v>
      </c>
      <c r="D193" s="157">
        <v>41543</v>
      </c>
      <c r="E193" s="159" t="s">
        <v>239</v>
      </c>
      <c r="F193" s="162">
        <f t="shared" si="8"/>
        <v>753757</v>
      </c>
      <c r="G193" s="160" t="s">
        <v>192</v>
      </c>
      <c r="H193" s="205">
        <v>21090</v>
      </c>
      <c r="I193" s="206"/>
      <c r="J193" s="207">
        <v>35.74</v>
      </c>
      <c r="K193" s="208">
        <f t="shared" si="12"/>
        <v>46222.829999999929</v>
      </c>
      <c r="L193" s="162"/>
    </row>
    <row r="194" spans="1:12" s="142" customFormat="1" ht="17.25" customHeight="1">
      <c r="A194" s="142">
        <f t="shared" si="11"/>
        <v>9</v>
      </c>
      <c r="B194" s="157">
        <v>41543</v>
      </c>
      <c r="C194" s="158" t="s">
        <v>145</v>
      </c>
      <c r="D194" s="157">
        <v>41543</v>
      </c>
      <c r="E194" s="159" t="s">
        <v>240</v>
      </c>
      <c r="F194" s="162">
        <f t="shared" si="8"/>
        <v>75291</v>
      </c>
      <c r="G194" s="160" t="s">
        <v>35</v>
      </c>
      <c r="H194" s="205">
        <v>21090</v>
      </c>
      <c r="I194" s="206"/>
      <c r="J194" s="207">
        <v>3.57</v>
      </c>
      <c r="K194" s="208">
        <f t="shared" si="12"/>
        <v>46219.259999999929</v>
      </c>
      <c r="L194" s="162"/>
    </row>
    <row r="195" spans="1:12" s="142" customFormat="1" ht="17.25" customHeight="1">
      <c r="A195" s="142">
        <f t="shared" si="11"/>
        <v>9</v>
      </c>
      <c r="B195" s="157">
        <v>41543</v>
      </c>
      <c r="C195" s="158" t="s">
        <v>145</v>
      </c>
      <c r="D195" s="157">
        <v>41543</v>
      </c>
      <c r="E195" s="159" t="s">
        <v>249</v>
      </c>
      <c r="F195" s="162">
        <f t="shared" si="8"/>
        <v>481274</v>
      </c>
      <c r="G195" s="160" t="s">
        <v>192</v>
      </c>
      <c r="H195" s="205">
        <v>21090</v>
      </c>
      <c r="I195" s="206"/>
      <c r="J195" s="207">
        <v>22.82</v>
      </c>
      <c r="K195" s="208">
        <f t="shared" si="12"/>
        <v>46196.43999999993</v>
      </c>
      <c r="L195" s="162"/>
    </row>
    <row r="196" spans="1:12" s="142" customFormat="1" ht="17.25" customHeight="1">
      <c r="A196" s="142">
        <f t="shared" si="11"/>
        <v>9</v>
      </c>
      <c r="B196" s="157">
        <v>41543</v>
      </c>
      <c r="C196" s="158" t="s">
        <v>145</v>
      </c>
      <c r="D196" s="157">
        <v>41543</v>
      </c>
      <c r="E196" s="159" t="s">
        <v>250</v>
      </c>
      <c r="F196" s="162">
        <f t="shared" si="8"/>
        <v>48085</v>
      </c>
      <c r="G196" s="160" t="s">
        <v>35</v>
      </c>
      <c r="H196" s="205">
        <v>21090</v>
      </c>
      <c r="I196" s="206"/>
      <c r="J196" s="207">
        <v>2.2799999999999998</v>
      </c>
      <c r="K196" s="208">
        <f t="shared" si="12"/>
        <v>46194.159999999931</v>
      </c>
      <c r="L196" s="162"/>
    </row>
    <row r="197" spans="1:12" s="142" customFormat="1" ht="17.25" customHeight="1">
      <c r="A197" s="142">
        <f t="shared" si="11"/>
        <v>9</v>
      </c>
      <c r="B197" s="157">
        <v>41543</v>
      </c>
      <c r="C197" s="158" t="s">
        <v>145</v>
      </c>
      <c r="D197" s="157">
        <v>41543</v>
      </c>
      <c r="E197" s="159" t="s">
        <v>239</v>
      </c>
      <c r="F197" s="162">
        <f t="shared" si="8"/>
        <v>582506</v>
      </c>
      <c r="G197" s="160" t="s">
        <v>192</v>
      </c>
      <c r="H197" s="205">
        <v>21090</v>
      </c>
      <c r="I197" s="206"/>
      <c r="J197" s="207">
        <v>27.62</v>
      </c>
      <c r="K197" s="208">
        <f t="shared" si="12"/>
        <v>46166.539999999928</v>
      </c>
      <c r="L197" s="162"/>
    </row>
    <row r="198" spans="1:12" s="142" customFormat="1" ht="17.25" customHeight="1">
      <c r="A198" s="142">
        <f t="shared" si="11"/>
        <v>9</v>
      </c>
      <c r="B198" s="157">
        <v>41543</v>
      </c>
      <c r="C198" s="158" t="s">
        <v>145</v>
      </c>
      <c r="D198" s="157">
        <v>41543</v>
      </c>
      <c r="E198" s="159" t="s">
        <v>240</v>
      </c>
      <c r="F198" s="162">
        <f t="shared" si="8"/>
        <v>58208</v>
      </c>
      <c r="G198" s="160" t="s">
        <v>35</v>
      </c>
      <c r="H198" s="205">
        <v>21090</v>
      </c>
      <c r="I198" s="206"/>
      <c r="J198" s="207">
        <v>2.76</v>
      </c>
      <c r="K198" s="208">
        <f t="shared" si="12"/>
        <v>46163.779999999926</v>
      </c>
      <c r="L198" s="162"/>
    </row>
    <row r="199" spans="1:12" s="142" customFormat="1" ht="17.25" customHeight="1">
      <c r="A199" s="142">
        <f t="shared" si="11"/>
        <v>9</v>
      </c>
      <c r="B199" s="157">
        <v>41543</v>
      </c>
      <c r="C199" s="158" t="s">
        <v>145</v>
      </c>
      <c r="D199" s="157">
        <v>41543</v>
      </c>
      <c r="E199" s="159" t="s">
        <v>239</v>
      </c>
      <c r="F199" s="162">
        <f t="shared" si="8"/>
        <v>753757</v>
      </c>
      <c r="G199" s="160" t="s">
        <v>192</v>
      </c>
      <c r="H199" s="205">
        <v>21090</v>
      </c>
      <c r="I199" s="206"/>
      <c r="J199" s="207">
        <v>35.74</v>
      </c>
      <c r="K199" s="208">
        <f t="shared" si="12"/>
        <v>46128.039999999928</v>
      </c>
      <c r="L199" s="162"/>
    </row>
    <row r="200" spans="1:12" s="142" customFormat="1" ht="17.25" customHeight="1">
      <c r="A200" s="142">
        <f t="shared" si="11"/>
        <v>9</v>
      </c>
      <c r="B200" s="157">
        <v>41543</v>
      </c>
      <c r="C200" s="158" t="s">
        <v>145</v>
      </c>
      <c r="D200" s="157">
        <v>41543</v>
      </c>
      <c r="E200" s="159" t="s">
        <v>240</v>
      </c>
      <c r="F200" s="162">
        <f t="shared" si="8"/>
        <v>75291</v>
      </c>
      <c r="G200" s="160" t="s">
        <v>35</v>
      </c>
      <c r="H200" s="205">
        <v>21090</v>
      </c>
      <c r="I200" s="206"/>
      <c r="J200" s="207">
        <v>3.57</v>
      </c>
      <c r="K200" s="208">
        <f t="shared" si="12"/>
        <v>46124.469999999928</v>
      </c>
      <c r="L200" s="162"/>
    </row>
    <row r="201" spans="1:12" s="142" customFormat="1" ht="17.25" customHeight="1">
      <c r="A201" s="142">
        <f t="shared" si="11"/>
        <v>9</v>
      </c>
      <c r="B201" s="157">
        <v>41543</v>
      </c>
      <c r="C201" s="158" t="s">
        <v>145</v>
      </c>
      <c r="D201" s="157">
        <v>41543</v>
      </c>
      <c r="E201" s="159" t="s">
        <v>248</v>
      </c>
      <c r="F201" s="162">
        <f t="shared" si="8"/>
        <v>971290000</v>
      </c>
      <c r="G201" s="160" t="s">
        <v>36</v>
      </c>
      <c r="H201" s="205">
        <v>21115</v>
      </c>
      <c r="I201" s="206"/>
      <c r="J201" s="207">
        <v>46000</v>
      </c>
      <c r="K201" s="208">
        <f t="shared" si="12"/>
        <v>124.4699999999284</v>
      </c>
      <c r="L201" s="162"/>
    </row>
    <row r="202" spans="1:12" s="142" customFormat="1" ht="17.25" customHeight="1">
      <c r="A202" s="142">
        <f t="shared" si="11"/>
        <v>9</v>
      </c>
      <c r="B202" s="157">
        <v>41547</v>
      </c>
      <c r="C202" s="158" t="s">
        <v>148</v>
      </c>
      <c r="D202" s="157">
        <v>41547</v>
      </c>
      <c r="E202" s="159" t="s">
        <v>772</v>
      </c>
      <c r="F202" s="162">
        <f t="shared" si="8"/>
        <v>1902318000</v>
      </c>
      <c r="G202" s="160" t="s">
        <v>166</v>
      </c>
      <c r="H202" s="205">
        <v>21090</v>
      </c>
      <c r="I202" s="206">
        <v>90200</v>
      </c>
      <c r="J202" s="207"/>
      <c r="K202" s="208">
        <f t="shared" si="12"/>
        <v>90324.469999999928</v>
      </c>
      <c r="L202" s="162"/>
    </row>
    <row r="203" spans="1:12" s="142" customFormat="1" ht="17.25" customHeight="1">
      <c r="A203" s="142">
        <f t="shared" si="11"/>
        <v>9</v>
      </c>
      <c r="B203" s="157">
        <v>41547</v>
      </c>
      <c r="C203" s="158" t="s">
        <v>145</v>
      </c>
      <c r="D203" s="157">
        <v>41547</v>
      </c>
      <c r="E203" s="159" t="s">
        <v>249</v>
      </c>
      <c r="F203" s="162">
        <f t="shared" si="8"/>
        <v>2704793</v>
      </c>
      <c r="G203" s="160" t="s">
        <v>192</v>
      </c>
      <c r="H203" s="205">
        <v>21090</v>
      </c>
      <c r="I203" s="206"/>
      <c r="J203" s="207">
        <v>128.25</v>
      </c>
      <c r="K203" s="208">
        <f t="shared" si="12"/>
        <v>90196.219999999928</v>
      </c>
      <c r="L203" s="162"/>
    </row>
    <row r="204" spans="1:12" s="142" customFormat="1" ht="17.25" customHeight="1">
      <c r="A204" s="142">
        <f t="shared" si="11"/>
        <v>9</v>
      </c>
      <c r="B204" s="157">
        <v>41547</v>
      </c>
      <c r="C204" s="158" t="s">
        <v>145</v>
      </c>
      <c r="D204" s="157">
        <v>41547</v>
      </c>
      <c r="E204" s="159" t="s">
        <v>250</v>
      </c>
      <c r="F204" s="162">
        <f t="shared" si="8"/>
        <v>270585</v>
      </c>
      <c r="G204" s="160" t="s">
        <v>35</v>
      </c>
      <c r="H204" s="205">
        <v>21090</v>
      </c>
      <c r="I204" s="206"/>
      <c r="J204" s="207">
        <v>12.83</v>
      </c>
      <c r="K204" s="208">
        <f t="shared" si="12"/>
        <v>90183.389999999927</v>
      </c>
      <c r="L204" s="162"/>
    </row>
    <row r="205" spans="1:12" s="142" customFormat="1" ht="17.25" customHeight="1">
      <c r="A205" s="142">
        <f t="shared" si="11"/>
        <v>9</v>
      </c>
      <c r="B205" s="157">
        <v>41547</v>
      </c>
      <c r="C205" s="158" t="s">
        <v>145</v>
      </c>
      <c r="D205" s="157">
        <v>41547</v>
      </c>
      <c r="E205" s="159" t="s">
        <v>239</v>
      </c>
      <c r="F205" s="162">
        <f t="shared" ref="F205:F268" si="13">ROUND((I205+J205)*H205,0)</f>
        <v>582506</v>
      </c>
      <c r="G205" s="160" t="s">
        <v>192</v>
      </c>
      <c r="H205" s="205">
        <v>21090</v>
      </c>
      <c r="I205" s="206"/>
      <c r="J205" s="207">
        <v>27.62</v>
      </c>
      <c r="K205" s="208">
        <f t="shared" si="12"/>
        <v>90155.769999999931</v>
      </c>
      <c r="L205" s="162"/>
    </row>
    <row r="206" spans="1:12" s="142" customFormat="1" ht="17.25" customHeight="1">
      <c r="A206" s="142">
        <f t="shared" si="11"/>
        <v>9</v>
      </c>
      <c r="B206" s="157">
        <v>41547</v>
      </c>
      <c r="C206" s="158" t="s">
        <v>145</v>
      </c>
      <c r="D206" s="157">
        <v>41547</v>
      </c>
      <c r="E206" s="159" t="s">
        <v>240</v>
      </c>
      <c r="F206" s="162">
        <f t="shared" si="13"/>
        <v>58208</v>
      </c>
      <c r="G206" s="160" t="s">
        <v>35</v>
      </c>
      <c r="H206" s="205">
        <v>21090</v>
      </c>
      <c r="I206" s="206"/>
      <c r="J206" s="207">
        <v>2.76</v>
      </c>
      <c r="K206" s="208">
        <f t="shared" si="12"/>
        <v>90153.009999999937</v>
      </c>
      <c r="L206" s="162"/>
    </row>
    <row r="207" spans="1:12" s="142" customFormat="1" ht="17.25" customHeight="1">
      <c r="A207" s="142">
        <f t="shared" si="11"/>
        <v>9</v>
      </c>
      <c r="B207" s="157">
        <v>41547</v>
      </c>
      <c r="C207" s="158" t="s">
        <v>145</v>
      </c>
      <c r="D207" s="157">
        <v>41547</v>
      </c>
      <c r="E207" s="159" t="s">
        <v>239</v>
      </c>
      <c r="F207" s="162">
        <f t="shared" si="13"/>
        <v>582506</v>
      </c>
      <c r="G207" s="160" t="s">
        <v>192</v>
      </c>
      <c r="H207" s="205">
        <v>21090</v>
      </c>
      <c r="I207" s="206"/>
      <c r="J207" s="207">
        <v>27.62</v>
      </c>
      <c r="K207" s="208">
        <f t="shared" si="12"/>
        <v>90125.389999999941</v>
      </c>
      <c r="L207" s="162"/>
    </row>
    <row r="208" spans="1:12" s="142" customFormat="1" ht="17.25" customHeight="1">
      <c r="A208" s="142">
        <f t="shared" si="11"/>
        <v>9</v>
      </c>
      <c r="B208" s="157">
        <v>41547</v>
      </c>
      <c r="C208" s="158" t="s">
        <v>145</v>
      </c>
      <c r="D208" s="157">
        <v>41547</v>
      </c>
      <c r="E208" s="159" t="s">
        <v>240</v>
      </c>
      <c r="F208" s="162">
        <f t="shared" si="13"/>
        <v>58208</v>
      </c>
      <c r="G208" s="160" t="s">
        <v>35</v>
      </c>
      <c r="H208" s="205">
        <v>21090</v>
      </c>
      <c r="I208" s="206"/>
      <c r="J208" s="207">
        <v>2.76</v>
      </c>
      <c r="K208" s="208">
        <f t="shared" si="12"/>
        <v>90122.629999999946</v>
      </c>
      <c r="L208" s="162"/>
    </row>
    <row r="209" spans="1:12" s="142" customFormat="1" ht="17.25" customHeight="1">
      <c r="A209" s="142">
        <f t="shared" si="11"/>
        <v>10</v>
      </c>
      <c r="B209" s="157">
        <v>41548</v>
      </c>
      <c r="C209" s="158" t="s">
        <v>148</v>
      </c>
      <c r="D209" s="157">
        <v>41548</v>
      </c>
      <c r="E209" s="159" t="s">
        <v>660</v>
      </c>
      <c r="F209" s="162">
        <f t="shared" si="13"/>
        <v>8460000</v>
      </c>
      <c r="G209" s="160" t="s">
        <v>36</v>
      </c>
      <c r="H209" s="205">
        <v>21150</v>
      </c>
      <c r="I209" s="206">
        <v>400</v>
      </c>
      <c r="J209" s="207"/>
      <c r="K209" s="208">
        <f t="shared" si="12"/>
        <v>90522.629999999946</v>
      </c>
      <c r="L209" s="162"/>
    </row>
    <row r="210" spans="1:12" s="142" customFormat="1" ht="17.25" customHeight="1">
      <c r="A210" s="142">
        <f t="shared" si="11"/>
        <v>10</v>
      </c>
      <c r="B210" s="157">
        <v>41548</v>
      </c>
      <c r="C210" s="158" t="s">
        <v>148</v>
      </c>
      <c r="D210" s="157">
        <v>41548</v>
      </c>
      <c r="E210" s="159" t="s">
        <v>773</v>
      </c>
      <c r="F210" s="162">
        <f t="shared" si="13"/>
        <v>1909550000</v>
      </c>
      <c r="G210" s="160" t="s">
        <v>215</v>
      </c>
      <c r="H210" s="205">
        <v>21100</v>
      </c>
      <c r="I210" s="206">
        <v>90500</v>
      </c>
      <c r="J210" s="207"/>
      <c r="K210" s="208">
        <f t="shared" si="12"/>
        <v>181022.62999999995</v>
      </c>
      <c r="L210" s="162"/>
    </row>
    <row r="211" spans="1:12" s="142" customFormat="1" ht="17.25" customHeight="1">
      <c r="A211" s="142">
        <f t="shared" si="11"/>
        <v>10</v>
      </c>
      <c r="B211" s="157">
        <v>41548</v>
      </c>
      <c r="C211" s="158" t="s">
        <v>145</v>
      </c>
      <c r="D211" s="157">
        <v>41547</v>
      </c>
      <c r="E211" s="159" t="s">
        <v>232</v>
      </c>
      <c r="F211" s="162">
        <f t="shared" si="13"/>
        <v>316350</v>
      </c>
      <c r="G211" s="160" t="s">
        <v>192</v>
      </c>
      <c r="H211" s="205">
        <v>21090</v>
      </c>
      <c r="I211" s="206"/>
      <c r="J211" s="207">
        <v>15</v>
      </c>
      <c r="K211" s="208">
        <f t="shared" si="12"/>
        <v>181007.62999999995</v>
      </c>
      <c r="L211" s="162"/>
    </row>
    <row r="212" spans="1:12" s="142" customFormat="1" ht="17.25" customHeight="1">
      <c r="A212" s="142">
        <f t="shared" si="11"/>
        <v>10</v>
      </c>
      <c r="B212" s="157">
        <v>41548</v>
      </c>
      <c r="C212" s="158" t="s">
        <v>145</v>
      </c>
      <c r="D212" s="157">
        <v>41547</v>
      </c>
      <c r="E212" s="159" t="s">
        <v>233</v>
      </c>
      <c r="F212" s="162">
        <f t="shared" si="13"/>
        <v>31635</v>
      </c>
      <c r="G212" s="160" t="s">
        <v>35</v>
      </c>
      <c r="H212" s="205">
        <v>21090</v>
      </c>
      <c r="I212" s="206"/>
      <c r="J212" s="207">
        <v>1.5</v>
      </c>
      <c r="K212" s="208">
        <f t="shared" si="12"/>
        <v>181006.12999999995</v>
      </c>
      <c r="L212" s="162"/>
    </row>
    <row r="213" spans="1:12" s="142" customFormat="1" ht="17.25" customHeight="1">
      <c r="A213" s="142">
        <f t="shared" si="11"/>
        <v>10</v>
      </c>
      <c r="B213" s="157">
        <v>41548</v>
      </c>
      <c r="C213" s="158" t="s">
        <v>145</v>
      </c>
      <c r="D213" s="157">
        <v>41548</v>
      </c>
      <c r="E213" s="159" t="s">
        <v>245</v>
      </c>
      <c r="F213" s="162">
        <f t="shared" si="13"/>
        <v>105450</v>
      </c>
      <c r="G213" s="160" t="s">
        <v>192</v>
      </c>
      <c r="H213" s="205">
        <v>21090</v>
      </c>
      <c r="I213" s="206"/>
      <c r="J213" s="207">
        <v>5</v>
      </c>
      <c r="K213" s="208">
        <f t="shared" si="12"/>
        <v>181001.12999999995</v>
      </c>
      <c r="L213" s="162"/>
    </row>
    <row r="214" spans="1:12" s="142" customFormat="1" ht="17.25" customHeight="1">
      <c r="A214" s="142">
        <f t="shared" si="11"/>
        <v>10</v>
      </c>
      <c r="B214" s="157">
        <v>41548</v>
      </c>
      <c r="C214" s="158" t="s">
        <v>145</v>
      </c>
      <c r="D214" s="157">
        <v>41548</v>
      </c>
      <c r="E214" s="159" t="s">
        <v>246</v>
      </c>
      <c r="F214" s="162">
        <f t="shared" si="13"/>
        <v>10545</v>
      </c>
      <c r="G214" s="160" t="s">
        <v>35</v>
      </c>
      <c r="H214" s="205">
        <v>21090</v>
      </c>
      <c r="I214" s="206"/>
      <c r="J214" s="207">
        <v>0.5</v>
      </c>
      <c r="K214" s="208">
        <f t="shared" si="12"/>
        <v>181000.62999999995</v>
      </c>
      <c r="L214" s="162"/>
    </row>
    <row r="215" spans="1:12" s="142" customFormat="1" ht="17.25" customHeight="1">
      <c r="A215" s="142">
        <f t="shared" si="11"/>
        <v>10</v>
      </c>
      <c r="B215" s="157">
        <v>41548</v>
      </c>
      <c r="C215" s="158" t="s">
        <v>145</v>
      </c>
      <c r="D215" s="157">
        <v>41548</v>
      </c>
      <c r="E215" s="159" t="s">
        <v>774</v>
      </c>
      <c r="F215" s="162">
        <f t="shared" si="13"/>
        <v>1909550000</v>
      </c>
      <c r="G215" s="160" t="s">
        <v>215</v>
      </c>
      <c r="H215" s="205">
        <v>21100</v>
      </c>
      <c r="I215" s="206"/>
      <c r="J215" s="207">
        <v>90500</v>
      </c>
      <c r="K215" s="208">
        <f t="shared" si="12"/>
        <v>90500.629999999946</v>
      </c>
      <c r="L215" s="162"/>
    </row>
    <row r="216" spans="1:12" s="142" customFormat="1" ht="17.25" customHeight="1">
      <c r="A216" s="142">
        <f t="shared" si="11"/>
        <v>10</v>
      </c>
      <c r="B216" s="157">
        <v>41548</v>
      </c>
      <c r="C216" s="158" t="s">
        <v>145</v>
      </c>
      <c r="D216" s="157">
        <v>41548</v>
      </c>
      <c r="E216" s="159" t="s">
        <v>248</v>
      </c>
      <c r="F216" s="162">
        <f t="shared" si="13"/>
        <v>1909550000</v>
      </c>
      <c r="G216" s="160" t="s">
        <v>36</v>
      </c>
      <c r="H216" s="205">
        <v>21100</v>
      </c>
      <c r="I216" s="206"/>
      <c r="J216" s="207">
        <v>90500</v>
      </c>
      <c r="K216" s="208">
        <f t="shared" si="12"/>
        <v>0.62999999994644895</v>
      </c>
      <c r="L216" s="162"/>
    </row>
    <row r="217" spans="1:12" s="142" customFormat="1" ht="17.25" customHeight="1">
      <c r="A217" s="142">
        <f t="shared" si="11"/>
        <v>10</v>
      </c>
      <c r="B217" s="157">
        <v>41550</v>
      </c>
      <c r="C217" s="158" t="s">
        <v>148</v>
      </c>
      <c r="D217" s="157">
        <v>41550</v>
      </c>
      <c r="E217" s="159" t="s">
        <v>491</v>
      </c>
      <c r="F217" s="162">
        <f t="shared" si="13"/>
        <v>16860190</v>
      </c>
      <c r="G217" s="160" t="s">
        <v>166</v>
      </c>
      <c r="H217" s="205">
        <v>21090</v>
      </c>
      <c r="I217" s="206">
        <v>799.44</v>
      </c>
      <c r="J217" s="207"/>
      <c r="K217" s="208">
        <f t="shared" si="12"/>
        <v>800.0699999999465</v>
      </c>
      <c r="L217" s="162"/>
    </row>
    <row r="218" spans="1:12" s="142" customFormat="1" ht="17.25" customHeight="1">
      <c r="A218" s="142">
        <f t="shared" si="11"/>
        <v>10</v>
      </c>
      <c r="B218" s="157">
        <v>41550</v>
      </c>
      <c r="C218" s="158" t="s">
        <v>148</v>
      </c>
      <c r="D218" s="157">
        <v>41550</v>
      </c>
      <c r="E218" s="159" t="s">
        <v>491</v>
      </c>
      <c r="F218" s="162">
        <f t="shared" si="13"/>
        <v>32396771</v>
      </c>
      <c r="G218" s="160" t="s">
        <v>166</v>
      </c>
      <c r="H218" s="205">
        <v>21090</v>
      </c>
      <c r="I218" s="206">
        <v>1536.12</v>
      </c>
      <c r="J218" s="207"/>
      <c r="K218" s="208">
        <f t="shared" si="12"/>
        <v>2336.1899999999464</v>
      </c>
      <c r="L218" s="162"/>
    </row>
    <row r="219" spans="1:12" s="142" customFormat="1" ht="17.25" customHeight="1">
      <c r="A219" s="142">
        <f t="shared" si="11"/>
        <v>10</v>
      </c>
      <c r="B219" s="157">
        <v>41551</v>
      </c>
      <c r="C219" s="158" t="s">
        <v>148</v>
      </c>
      <c r="D219" s="157">
        <v>41551</v>
      </c>
      <c r="E219" s="159" t="s">
        <v>491</v>
      </c>
      <c r="F219" s="162">
        <f t="shared" si="13"/>
        <v>73747723</v>
      </c>
      <c r="G219" s="160" t="s">
        <v>166</v>
      </c>
      <c r="H219" s="205">
        <v>21090</v>
      </c>
      <c r="I219" s="206">
        <v>3496.81</v>
      </c>
      <c r="J219" s="207"/>
      <c r="K219" s="208">
        <f t="shared" si="12"/>
        <v>5832.9999999999463</v>
      </c>
      <c r="L219" s="162"/>
    </row>
    <row r="220" spans="1:12" s="142" customFormat="1" ht="17.25" customHeight="1">
      <c r="A220" s="142">
        <f t="shared" si="11"/>
        <v>10</v>
      </c>
      <c r="B220" s="157">
        <v>41551</v>
      </c>
      <c r="C220" s="158" t="s">
        <v>148</v>
      </c>
      <c r="D220" s="157">
        <v>41551</v>
      </c>
      <c r="E220" s="159" t="s">
        <v>491</v>
      </c>
      <c r="F220" s="162">
        <f t="shared" si="13"/>
        <v>233930280</v>
      </c>
      <c r="G220" s="160" t="s">
        <v>166</v>
      </c>
      <c r="H220" s="205">
        <v>21090</v>
      </c>
      <c r="I220" s="206">
        <v>11092</v>
      </c>
      <c r="J220" s="207"/>
      <c r="K220" s="208">
        <f t="shared" si="12"/>
        <v>16924.999999999945</v>
      </c>
      <c r="L220" s="162"/>
    </row>
    <row r="221" spans="1:12" s="142" customFormat="1" ht="17.25" customHeight="1">
      <c r="A221" s="142">
        <f t="shared" si="11"/>
        <v>10</v>
      </c>
      <c r="B221" s="157">
        <v>41554</v>
      </c>
      <c r="C221" s="158" t="s">
        <v>145</v>
      </c>
      <c r="D221" s="157">
        <v>41554</v>
      </c>
      <c r="E221" s="159" t="s">
        <v>149</v>
      </c>
      <c r="F221" s="162">
        <f t="shared" si="13"/>
        <v>5206699</v>
      </c>
      <c r="G221" s="160" t="s">
        <v>150</v>
      </c>
      <c r="H221" s="205">
        <v>21090</v>
      </c>
      <c r="I221" s="206"/>
      <c r="J221" s="207">
        <v>246.88</v>
      </c>
      <c r="K221" s="208">
        <f t="shared" si="12"/>
        <v>16678.119999999944</v>
      </c>
      <c r="L221" s="162"/>
    </row>
    <row r="222" spans="1:12" s="142" customFormat="1" ht="17.25" customHeight="1">
      <c r="A222" s="142">
        <f t="shared" si="11"/>
        <v>10</v>
      </c>
      <c r="B222" s="157">
        <v>41554</v>
      </c>
      <c r="C222" s="158" t="s">
        <v>145</v>
      </c>
      <c r="D222" s="157">
        <v>41554</v>
      </c>
      <c r="E222" s="159" t="s">
        <v>151</v>
      </c>
      <c r="F222" s="162">
        <f t="shared" si="13"/>
        <v>16886974</v>
      </c>
      <c r="G222" s="160" t="s">
        <v>150</v>
      </c>
      <c r="H222" s="205">
        <v>21090</v>
      </c>
      <c r="I222" s="206"/>
      <c r="J222" s="207">
        <v>800.71</v>
      </c>
      <c r="K222" s="208">
        <f t="shared" si="12"/>
        <v>15877.409999999945</v>
      </c>
      <c r="L222" s="162"/>
    </row>
    <row r="223" spans="1:12" s="142" customFormat="1" ht="17.25" customHeight="1">
      <c r="A223" s="142">
        <f t="shared" si="11"/>
        <v>10</v>
      </c>
      <c r="B223" s="157">
        <v>41554</v>
      </c>
      <c r="C223" s="158" t="s">
        <v>145</v>
      </c>
      <c r="D223" s="157">
        <v>41554</v>
      </c>
      <c r="E223" s="159" t="s">
        <v>152</v>
      </c>
      <c r="F223" s="162">
        <f t="shared" si="13"/>
        <v>10545211</v>
      </c>
      <c r="G223" s="160" t="s">
        <v>150</v>
      </c>
      <c r="H223" s="205">
        <v>21090</v>
      </c>
      <c r="I223" s="206"/>
      <c r="J223" s="207">
        <v>500.01</v>
      </c>
      <c r="K223" s="208">
        <f t="shared" si="12"/>
        <v>15377.399999999945</v>
      </c>
      <c r="L223" s="162"/>
    </row>
    <row r="224" spans="1:12" s="142" customFormat="1" ht="17.25" customHeight="1">
      <c r="A224" s="142">
        <f t="shared" si="11"/>
        <v>10</v>
      </c>
      <c r="B224" s="157">
        <v>41554</v>
      </c>
      <c r="C224" s="158" t="s">
        <v>145</v>
      </c>
      <c r="D224" s="157">
        <v>41554</v>
      </c>
      <c r="E224" s="159" t="s">
        <v>153</v>
      </c>
      <c r="F224" s="162">
        <f t="shared" si="13"/>
        <v>14762367</v>
      </c>
      <c r="G224" s="160" t="s">
        <v>150</v>
      </c>
      <c r="H224" s="205">
        <v>21090</v>
      </c>
      <c r="I224" s="206"/>
      <c r="J224" s="207">
        <v>699.97</v>
      </c>
      <c r="K224" s="208">
        <f t="shared" si="12"/>
        <v>14677.429999999946</v>
      </c>
      <c r="L224" s="162"/>
    </row>
    <row r="225" spans="1:12" s="142" customFormat="1" ht="17.25" customHeight="1">
      <c r="A225" s="142">
        <f t="shared" si="11"/>
        <v>10</v>
      </c>
      <c r="B225" s="157">
        <v>41554</v>
      </c>
      <c r="C225" s="158" t="s">
        <v>145</v>
      </c>
      <c r="D225" s="157">
        <v>41554</v>
      </c>
      <c r="E225" s="159" t="s">
        <v>259</v>
      </c>
      <c r="F225" s="162">
        <f t="shared" si="13"/>
        <v>308841960</v>
      </c>
      <c r="G225" s="160" t="s">
        <v>258</v>
      </c>
      <c r="H225" s="205">
        <v>21090</v>
      </c>
      <c r="I225" s="206"/>
      <c r="J225" s="207">
        <v>14644</v>
      </c>
      <c r="K225" s="208">
        <f t="shared" si="12"/>
        <v>33.429999999945721</v>
      </c>
      <c r="L225" s="162"/>
    </row>
    <row r="226" spans="1:12" s="142" customFormat="1" ht="17.25" customHeight="1">
      <c r="A226" s="142">
        <f t="shared" si="11"/>
        <v>10</v>
      </c>
      <c r="B226" s="157">
        <v>41555</v>
      </c>
      <c r="C226" s="158" t="s">
        <v>148</v>
      </c>
      <c r="D226" s="157">
        <v>41555</v>
      </c>
      <c r="E226" s="159" t="s">
        <v>491</v>
      </c>
      <c r="F226" s="162">
        <f t="shared" si="13"/>
        <v>98380210</v>
      </c>
      <c r="G226" s="160" t="s">
        <v>166</v>
      </c>
      <c r="H226" s="205">
        <v>21090</v>
      </c>
      <c r="I226" s="206">
        <v>4664.78</v>
      </c>
      <c r="J226" s="207"/>
      <c r="K226" s="208">
        <f t="shared" si="12"/>
        <v>4698.2099999999455</v>
      </c>
      <c r="L226" s="162"/>
    </row>
    <row r="227" spans="1:12" s="142" customFormat="1" ht="17.25" customHeight="1">
      <c r="A227" s="142">
        <f t="shared" si="11"/>
        <v>10</v>
      </c>
      <c r="B227" s="157">
        <v>41558</v>
      </c>
      <c r="C227" s="158" t="s">
        <v>148</v>
      </c>
      <c r="D227" s="157">
        <v>41558</v>
      </c>
      <c r="E227" s="159" t="s">
        <v>775</v>
      </c>
      <c r="F227" s="162">
        <f t="shared" si="13"/>
        <v>1320312500</v>
      </c>
      <c r="G227" s="160" t="s">
        <v>166</v>
      </c>
      <c r="H227" s="205">
        <v>21125</v>
      </c>
      <c r="I227" s="206">
        <v>62500</v>
      </c>
      <c r="J227" s="207"/>
      <c r="K227" s="208">
        <f t="shared" si="12"/>
        <v>67198.209999999948</v>
      </c>
      <c r="L227" s="162"/>
    </row>
    <row r="228" spans="1:12" s="142" customFormat="1" ht="17.25" customHeight="1">
      <c r="A228" s="142">
        <f t="shared" si="11"/>
        <v>10</v>
      </c>
      <c r="B228" s="157">
        <v>41558</v>
      </c>
      <c r="C228" s="158" t="s">
        <v>145</v>
      </c>
      <c r="D228" s="157">
        <v>41558</v>
      </c>
      <c r="E228" s="159" t="s">
        <v>249</v>
      </c>
      <c r="F228" s="162">
        <f t="shared" si="13"/>
        <v>1877783</v>
      </c>
      <c r="G228" s="160" t="s">
        <v>192</v>
      </c>
      <c r="H228" s="205">
        <v>21075</v>
      </c>
      <c r="I228" s="206"/>
      <c r="J228" s="207">
        <v>89.1</v>
      </c>
      <c r="K228" s="208">
        <f t="shared" si="12"/>
        <v>67109.109999999942</v>
      </c>
      <c r="L228" s="162"/>
    </row>
    <row r="229" spans="1:12" s="142" customFormat="1" ht="17.25" customHeight="1">
      <c r="A229" s="142">
        <f t="shared" si="11"/>
        <v>10</v>
      </c>
      <c r="B229" s="157">
        <v>41558</v>
      </c>
      <c r="C229" s="158" t="s">
        <v>145</v>
      </c>
      <c r="D229" s="157">
        <v>41558</v>
      </c>
      <c r="E229" s="159" t="s">
        <v>250</v>
      </c>
      <c r="F229" s="162">
        <f t="shared" si="13"/>
        <v>187778</v>
      </c>
      <c r="G229" s="160" t="s">
        <v>35</v>
      </c>
      <c r="H229" s="205">
        <v>21075</v>
      </c>
      <c r="I229" s="206"/>
      <c r="J229" s="207">
        <v>8.91</v>
      </c>
      <c r="K229" s="208">
        <f t="shared" si="12"/>
        <v>67100.199999999939</v>
      </c>
      <c r="L229" s="162"/>
    </row>
    <row r="230" spans="1:12" s="142" customFormat="1" ht="17.25" customHeight="1">
      <c r="A230" s="142">
        <f t="shared" si="11"/>
        <v>10</v>
      </c>
      <c r="B230" s="157">
        <v>41558</v>
      </c>
      <c r="C230" s="158" t="s">
        <v>145</v>
      </c>
      <c r="D230" s="157">
        <v>41558</v>
      </c>
      <c r="E230" s="159" t="s">
        <v>239</v>
      </c>
      <c r="F230" s="162">
        <f t="shared" si="13"/>
        <v>582092</v>
      </c>
      <c r="G230" s="160" t="s">
        <v>192</v>
      </c>
      <c r="H230" s="205">
        <v>21075</v>
      </c>
      <c r="I230" s="206"/>
      <c r="J230" s="207">
        <v>27.62</v>
      </c>
      <c r="K230" s="208">
        <f t="shared" si="12"/>
        <v>67072.579999999944</v>
      </c>
      <c r="L230" s="162"/>
    </row>
    <row r="231" spans="1:12" s="142" customFormat="1" ht="17.25" customHeight="1">
      <c r="A231" s="142">
        <f t="shared" si="11"/>
        <v>10</v>
      </c>
      <c r="B231" s="157">
        <v>41558</v>
      </c>
      <c r="C231" s="158" t="s">
        <v>145</v>
      </c>
      <c r="D231" s="157">
        <v>41558</v>
      </c>
      <c r="E231" s="159" t="s">
        <v>240</v>
      </c>
      <c r="F231" s="162">
        <f t="shared" si="13"/>
        <v>58167</v>
      </c>
      <c r="G231" s="160" t="s">
        <v>35</v>
      </c>
      <c r="H231" s="205">
        <v>21075</v>
      </c>
      <c r="I231" s="206"/>
      <c r="J231" s="207">
        <v>2.76</v>
      </c>
      <c r="K231" s="208">
        <f t="shared" si="12"/>
        <v>67069.819999999949</v>
      </c>
      <c r="L231" s="162"/>
    </row>
    <row r="232" spans="1:12" s="142" customFormat="1" ht="17.25" customHeight="1">
      <c r="A232" s="142">
        <f t="shared" si="11"/>
        <v>10</v>
      </c>
      <c r="B232" s="157">
        <v>41558</v>
      </c>
      <c r="C232" s="158" t="s">
        <v>145</v>
      </c>
      <c r="D232" s="157">
        <v>41558</v>
      </c>
      <c r="E232" s="159" t="s">
        <v>248</v>
      </c>
      <c r="F232" s="162">
        <f t="shared" si="13"/>
        <v>451219000</v>
      </c>
      <c r="G232" s="160" t="s">
        <v>36</v>
      </c>
      <c r="H232" s="205">
        <v>21085</v>
      </c>
      <c r="I232" s="206"/>
      <c r="J232" s="207">
        <v>21400</v>
      </c>
      <c r="K232" s="208">
        <f t="shared" si="12"/>
        <v>45669.819999999949</v>
      </c>
      <c r="L232" s="162"/>
    </row>
    <row r="233" spans="1:12" s="142" customFormat="1" ht="17.25" customHeight="1">
      <c r="A233" s="142">
        <f t="shared" si="11"/>
        <v>10</v>
      </c>
      <c r="B233" s="157">
        <v>41558</v>
      </c>
      <c r="C233" s="158" t="s">
        <v>145</v>
      </c>
      <c r="D233" s="157">
        <v>41558</v>
      </c>
      <c r="E233" s="159" t="s">
        <v>259</v>
      </c>
      <c r="F233" s="162">
        <f t="shared" si="13"/>
        <v>198575000</v>
      </c>
      <c r="G233" s="160" t="s">
        <v>258</v>
      </c>
      <c r="H233" s="205">
        <v>21125</v>
      </c>
      <c r="I233" s="206"/>
      <c r="J233" s="207">
        <v>9400</v>
      </c>
      <c r="K233" s="208">
        <f t="shared" si="12"/>
        <v>36269.819999999949</v>
      </c>
      <c r="L233" s="162"/>
    </row>
    <row r="234" spans="1:12" s="142" customFormat="1" ht="17.25" customHeight="1">
      <c r="A234" s="142">
        <f t="shared" si="11"/>
        <v>10</v>
      </c>
      <c r="B234" s="157">
        <v>41558</v>
      </c>
      <c r="C234" s="158" t="s">
        <v>145</v>
      </c>
      <c r="D234" s="157">
        <v>41558</v>
      </c>
      <c r="E234" s="159" t="s">
        <v>260</v>
      </c>
      <c r="F234" s="162">
        <f t="shared" si="13"/>
        <v>318818500</v>
      </c>
      <c r="G234" s="160" t="s">
        <v>258</v>
      </c>
      <c r="H234" s="205">
        <v>21125</v>
      </c>
      <c r="I234" s="206"/>
      <c r="J234" s="207">
        <v>15092</v>
      </c>
      <c r="K234" s="208">
        <f t="shared" si="12"/>
        <v>21177.819999999949</v>
      </c>
      <c r="L234" s="162"/>
    </row>
    <row r="235" spans="1:12" s="142" customFormat="1" ht="17.25" customHeight="1">
      <c r="A235" s="142">
        <f t="shared" si="11"/>
        <v>10</v>
      </c>
      <c r="B235" s="157">
        <v>41558</v>
      </c>
      <c r="C235" s="158" t="s">
        <v>145</v>
      </c>
      <c r="D235" s="157">
        <v>41558</v>
      </c>
      <c r="E235" s="159" t="s">
        <v>261</v>
      </c>
      <c r="F235" s="162">
        <f t="shared" si="13"/>
        <v>446329000</v>
      </c>
      <c r="G235" s="160" t="s">
        <v>258</v>
      </c>
      <c r="H235" s="205">
        <v>21125</v>
      </c>
      <c r="I235" s="206"/>
      <c r="J235" s="207">
        <v>21128</v>
      </c>
      <c r="K235" s="208">
        <f t="shared" si="12"/>
        <v>49.819999999948777</v>
      </c>
      <c r="L235" s="162"/>
    </row>
    <row r="236" spans="1:12" s="142" customFormat="1" ht="17.25" customHeight="1">
      <c r="A236" s="142">
        <f t="shared" si="11"/>
        <v>10</v>
      </c>
      <c r="B236" s="157">
        <v>41569</v>
      </c>
      <c r="C236" s="158" t="s">
        <v>148</v>
      </c>
      <c r="D236" s="157">
        <v>41569</v>
      </c>
      <c r="E236" s="159" t="s">
        <v>252</v>
      </c>
      <c r="F236" s="162">
        <f t="shared" si="13"/>
        <v>143103895</v>
      </c>
      <c r="G236" s="160" t="s">
        <v>147</v>
      </c>
      <c r="H236" s="205">
        <v>21085</v>
      </c>
      <c r="I236" s="206">
        <v>6787</v>
      </c>
      <c r="J236" s="207"/>
      <c r="K236" s="208">
        <f t="shared" si="12"/>
        <v>6836.8199999999488</v>
      </c>
      <c r="L236" s="162"/>
    </row>
    <row r="237" spans="1:12" s="142" customFormat="1" ht="17.25" customHeight="1">
      <c r="A237" s="142">
        <f t="shared" si="11"/>
        <v>10</v>
      </c>
      <c r="B237" s="157">
        <v>41569</v>
      </c>
      <c r="C237" s="158" t="s">
        <v>145</v>
      </c>
      <c r="D237" s="157">
        <v>41569</v>
      </c>
      <c r="E237" s="159" t="s">
        <v>631</v>
      </c>
      <c r="F237" s="162">
        <f t="shared" si="13"/>
        <v>10575814</v>
      </c>
      <c r="G237" s="160" t="s">
        <v>150</v>
      </c>
      <c r="H237" s="205">
        <v>21085</v>
      </c>
      <c r="I237" s="206"/>
      <c r="J237" s="207">
        <v>501.58</v>
      </c>
      <c r="K237" s="208">
        <f t="shared" si="12"/>
        <v>6335.2399999999489</v>
      </c>
      <c r="L237" s="162"/>
    </row>
    <row r="238" spans="1:12" s="142" customFormat="1" ht="17.25" customHeight="1">
      <c r="A238" s="142">
        <f t="shared" si="11"/>
        <v>10</v>
      </c>
      <c r="B238" s="157">
        <v>41569</v>
      </c>
      <c r="C238" s="158" t="s">
        <v>145</v>
      </c>
      <c r="D238" s="157">
        <v>41569</v>
      </c>
      <c r="E238" s="159" t="s">
        <v>632</v>
      </c>
      <c r="F238" s="162">
        <f t="shared" si="13"/>
        <v>10861727</v>
      </c>
      <c r="G238" s="160" t="s">
        <v>150</v>
      </c>
      <c r="H238" s="205">
        <v>21085</v>
      </c>
      <c r="I238" s="206"/>
      <c r="J238" s="207">
        <v>515.14</v>
      </c>
      <c r="K238" s="208">
        <f t="shared" si="12"/>
        <v>5820.0999999999485</v>
      </c>
      <c r="L238" s="162"/>
    </row>
    <row r="239" spans="1:12" s="142" customFormat="1" ht="17.25" customHeight="1">
      <c r="A239" s="142">
        <f t="shared" si="11"/>
        <v>10</v>
      </c>
      <c r="B239" s="157">
        <v>41569</v>
      </c>
      <c r="C239" s="158" t="s">
        <v>145</v>
      </c>
      <c r="D239" s="157">
        <v>41569</v>
      </c>
      <c r="E239" s="159" t="s">
        <v>251</v>
      </c>
      <c r="F239" s="162">
        <f t="shared" si="13"/>
        <v>11204780</v>
      </c>
      <c r="G239" s="160" t="s">
        <v>150</v>
      </c>
      <c r="H239" s="205">
        <v>21085</v>
      </c>
      <c r="I239" s="206"/>
      <c r="J239" s="207">
        <v>531.41</v>
      </c>
      <c r="K239" s="208">
        <f t="shared" si="12"/>
        <v>5288.6899999999487</v>
      </c>
      <c r="L239" s="162"/>
    </row>
    <row r="240" spans="1:12" s="142" customFormat="1" ht="17.25" customHeight="1">
      <c r="A240" s="142">
        <f t="shared" si="11"/>
        <v>10</v>
      </c>
      <c r="B240" s="157">
        <v>41569</v>
      </c>
      <c r="C240" s="158" t="s">
        <v>145</v>
      </c>
      <c r="D240" s="157">
        <v>41569</v>
      </c>
      <c r="E240" s="159" t="s">
        <v>234</v>
      </c>
      <c r="F240" s="162">
        <f t="shared" si="13"/>
        <v>15629045</v>
      </c>
      <c r="G240" s="160" t="s">
        <v>150</v>
      </c>
      <c r="H240" s="205">
        <v>21085</v>
      </c>
      <c r="I240" s="206"/>
      <c r="J240" s="207">
        <v>741.24</v>
      </c>
      <c r="K240" s="208">
        <f t="shared" si="12"/>
        <v>4547.4499999999489</v>
      </c>
      <c r="L240" s="162"/>
    </row>
    <row r="241" spans="1:12" s="142" customFormat="1" ht="17.25" customHeight="1">
      <c r="A241" s="142">
        <f t="shared" ref="A241:A304" si="14">IF(B241&lt;&gt;"",MONTH(B241),"")</f>
        <v>10</v>
      </c>
      <c r="B241" s="157">
        <v>41569</v>
      </c>
      <c r="C241" s="158" t="s">
        <v>145</v>
      </c>
      <c r="D241" s="157">
        <v>41569</v>
      </c>
      <c r="E241" s="159" t="s">
        <v>248</v>
      </c>
      <c r="F241" s="162">
        <f t="shared" si="13"/>
        <v>94882500</v>
      </c>
      <c r="G241" s="160" t="s">
        <v>36</v>
      </c>
      <c r="H241" s="205">
        <v>21085</v>
      </c>
      <c r="I241" s="206"/>
      <c r="J241" s="207">
        <v>4500</v>
      </c>
      <c r="K241" s="208">
        <f t="shared" ref="K241:K304" si="15">IF(B241&lt;&gt;"",K240+I241-J241,0)</f>
        <v>47.449999999948886</v>
      </c>
      <c r="L241" s="162"/>
    </row>
    <row r="242" spans="1:12" s="142" customFormat="1" ht="17.25" customHeight="1">
      <c r="A242" s="142">
        <f t="shared" si="14"/>
        <v>10</v>
      </c>
      <c r="B242" s="157">
        <v>41570</v>
      </c>
      <c r="C242" s="158" t="s">
        <v>145</v>
      </c>
      <c r="D242" s="157">
        <v>41570</v>
      </c>
      <c r="E242" s="159" t="s">
        <v>232</v>
      </c>
      <c r="F242" s="162">
        <f t="shared" si="13"/>
        <v>316200</v>
      </c>
      <c r="G242" s="160" t="s">
        <v>192</v>
      </c>
      <c r="H242" s="205">
        <v>21080</v>
      </c>
      <c r="I242" s="206"/>
      <c r="J242" s="207">
        <v>15</v>
      </c>
      <c r="K242" s="208">
        <f t="shared" si="15"/>
        <v>32.449999999948886</v>
      </c>
      <c r="L242" s="162"/>
    </row>
    <row r="243" spans="1:12" s="142" customFormat="1" ht="17.25" customHeight="1">
      <c r="A243" s="142">
        <f t="shared" si="14"/>
        <v>10</v>
      </c>
      <c r="B243" s="157">
        <v>41570</v>
      </c>
      <c r="C243" s="158" t="s">
        <v>145</v>
      </c>
      <c r="D243" s="157">
        <v>41570</v>
      </c>
      <c r="E243" s="159" t="s">
        <v>233</v>
      </c>
      <c r="F243" s="162">
        <f t="shared" si="13"/>
        <v>31620</v>
      </c>
      <c r="G243" s="160" t="s">
        <v>35</v>
      </c>
      <c r="H243" s="205">
        <v>21080</v>
      </c>
      <c r="I243" s="206"/>
      <c r="J243" s="207">
        <v>1.5</v>
      </c>
      <c r="K243" s="208">
        <f t="shared" si="15"/>
        <v>30.949999999948886</v>
      </c>
      <c r="L243" s="162"/>
    </row>
    <row r="244" spans="1:12" s="142" customFormat="1" ht="17.25" customHeight="1">
      <c r="A244" s="142">
        <f t="shared" si="14"/>
        <v>10</v>
      </c>
      <c r="B244" s="157">
        <v>41571</v>
      </c>
      <c r="C244" s="158" t="s">
        <v>148</v>
      </c>
      <c r="D244" s="157">
        <v>41571</v>
      </c>
      <c r="E244" s="159" t="s">
        <v>157</v>
      </c>
      <c r="F244" s="162">
        <f t="shared" si="13"/>
        <v>9273</v>
      </c>
      <c r="G244" s="160" t="s">
        <v>158</v>
      </c>
      <c r="H244" s="205">
        <v>21075</v>
      </c>
      <c r="I244" s="206">
        <v>0.44</v>
      </c>
      <c r="J244" s="207"/>
      <c r="K244" s="208">
        <f t="shared" si="15"/>
        <v>31.389999999948888</v>
      </c>
      <c r="L244" s="162"/>
    </row>
    <row r="245" spans="1:12" s="142" customFormat="1" ht="17.25" customHeight="1">
      <c r="A245" s="142">
        <f t="shared" si="14"/>
        <v>10</v>
      </c>
      <c r="B245" s="157">
        <v>41571</v>
      </c>
      <c r="C245" s="158" t="s">
        <v>145</v>
      </c>
      <c r="D245" s="157">
        <v>41571</v>
      </c>
      <c r="E245" s="159" t="s">
        <v>232</v>
      </c>
      <c r="F245" s="162">
        <f t="shared" si="13"/>
        <v>316125</v>
      </c>
      <c r="G245" s="160" t="s">
        <v>192</v>
      </c>
      <c r="H245" s="205">
        <v>21075</v>
      </c>
      <c r="I245" s="206"/>
      <c r="J245" s="207">
        <v>15</v>
      </c>
      <c r="K245" s="208">
        <f t="shared" si="15"/>
        <v>16.389999999948888</v>
      </c>
      <c r="L245" s="162"/>
    </row>
    <row r="246" spans="1:12" s="142" customFormat="1" ht="17.25" customHeight="1">
      <c r="A246" s="142">
        <f t="shared" si="14"/>
        <v>10</v>
      </c>
      <c r="B246" s="157">
        <v>41571</v>
      </c>
      <c r="C246" s="158" t="s">
        <v>145</v>
      </c>
      <c r="D246" s="157">
        <v>41571</v>
      </c>
      <c r="E246" s="159" t="s">
        <v>233</v>
      </c>
      <c r="F246" s="162">
        <f t="shared" si="13"/>
        <v>31613</v>
      </c>
      <c r="G246" s="160" t="s">
        <v>35</v>
      </c>
      <c r="H246" s="205">
        <v>21075</v>
      </c>
      <c r="I246" s="206"/>
      <c r="J246" s="207">
        <v>1.5</v>
      </c>
      <c r="K246" s="208">
        <f t="shared" si="15"/>
        <v>14.889999999948888</v>
      </c>
      <c r="L246" s="162"/>
    </row>
    <row r="247" spans="1:12" s="142" customFormat="1" ht="17.25" customHeight="1">
      <c r="A247" s="142">
        <f t="shared" si="14"/>
        <v>10</v>
      </c>
      <c r="B247" s="157">
        <v>41575</v>
      </c>
      <c r="C247" s="158" t="s">
        <v>148</v>
      </c>
      <c r="D247" s="157">
        <v>41575</v>
      </c>
      <c r="E247" s="159" t="s">
        <v>735</v>
      </c>
      <c r="F247" s="162">
        <f t="shared" si="13"/>
        <v>282472000</v>
      </c>
      <c r="G247" s="160" t="s">
        <v>166</v>
      </c>
      <c r="H247" s="205">
        <v>21080</v>
      </c>
      <c r="I247" s="206">
        <v>13400</v>
      </c>
      <c r="J247" s="207"/>
      <c r="K247" s="208">
        <f t="shared" si="15"/>
        <v>13414.889999999948</v>
      </c>
      <c r="L247" s="162"/>
    </row>
    <row r="248" spans="1:12" s="142" customFormat="1" ht="17.25" customHeight="1">
      <c r="A248" s="142">
        <f t="shared" si="14"/>
        <v>10</v>
      </c>
      <c r="B248" s="157">
        <v>41575</v>
      </c>
      <c r="C248" s="158" t="s">
        <v>148</v>
      </c>
      <c r="D248" s="157">
        <v>41575</v>
      </c>
      <c r="E248" s="159" t="s">
        <v>735</v>
      </c>
      <c r="F248" s="162">
        <f t="shared" si="13"/>
        <v>440572000</v>
      </c>
      <c r="G248" s="160" t="s">
        <v>166</v>
      </c>
      <c r="H248" s="205">
        <v>21080</v>
      </c>
      <c r="I248" s="206">
        <v>20900</v>
      </c>
      <c r="J248" s="207"/>
      <c r="K248" s="208">
        <f t="shared" si="15"/>
        <v>34314.889999999948</v>
      </c>
      <c r="L248" s="162"/>
    </row>
    <row r="249" spans="1:12" s="142" customFormat="1" ht="17.25" customHeight="1">
      <c r="A249" s="142">
        <f t="shared" si="14"/>
        <v>10</v>
      </c>
      <c r="B249" s="157">
        <v>41575</v>
      </c>
      <c r="C249" s="158" t="s">
        <v>145</v>
      </c>
      <c r="D249" s="157">
        <v>41575</v>
      </c>
      <c r="E249" s="159" t="s">
        <v>249</v>
      </c>
      <c r="F249" s="162">
        <f t="shared" si="13"/>
        <v>404104</v>
      </c>
      <c r="G249" s="160" t="s">
        <v>192</v>
      </c>
      <c r="H249" s="205">
        <v>21080</v>
      </c>
      <c r="I249" s="206"/>
      <c r="J249" s="207">
        <v>19.170000000000002</v>
      </c>
      <c r="K249" s="208">
        <f t="shared" si="15"/>
        <v>34295.71999999995</v>
      </c>
      <c r="L249" s="162"/>
    </row>
    <row r="250" spans="1:12" s="142" customFormat="1" ht="17.25" customHeight="1">
      <c r="A250" s="142">
        <f t="shared" si="14"/>
        <v>10</v>
      </c>
      <c r="B250" s="157">
        <v>41575</v>
      </c>
      <c r="C250" s="158" t="s">
        <v>145</v>
      </c>
      <c r="D250" s="157">
        <v>41575</v>
      </c>
      <c r="E250" s="159" t="s">
        <v>250</v>
      </c>
      <c r="F250" s="162">
        <f t="shared" si="13"/>
        <v>40474</v>
      </c>
      <c r="G250" s="160" t="s">
        <v>35</v>
      </c>
      <c r="H250" s="205">
        <v>21080</v>
      </c>
      <c r="I250" s="206"/>
      <c r="J250" s="207">
        <v>1.92</v>
      </c>
      <c r="K250" s="208">
        <f t="shared" si="15"/>
        <v>34293.799999999952</v>
      </c>
      <c r="L250" s="162"/>
    </row>
    <row r="251" spans="1:12" s="142" customFormat="1" ht="17.25" customHeight="1">
      <c r="A251" s="142">
        <f t="shared" si="14"/>
        <v>10</v>
      </c>
      <c r="B251" s="157">
        <v>41575</v>
      </c>
      <c r="C251" s="158" t="s">
        <v>145</v>
      </c>
      <c r="D251" s="157">
        <v>41575</v>
      </c>
      <c r="E251" s="159" t="s">
        <v>239</v>
      </c>
      <c r="F251" s="162">
        <f t="shared" si="13"/>
        <v>753399</v>
      </c>
      <c r="G251" s="160" t="s">
        <v>192</v>
      </c>
      <c r="H251" s="205">
        <v>21080</v>
      </c>
      <c r="I251" s="206"/>
      <c r="J251" s="207">
        <v>35.74</v>
      </c>
      <c r="K251" s="208">
        <f t="shared" si="15"/>
        <v>34258.059999999954</v>
      </c>
      <c r="L251" s="162"/>
    </row>
    <row r="252" spans="1:12" s="142" customFormat="1" ht="17.25" customHeight="1">
      <c r="A252" s="142">
        <f t="shared" si="14"/>
        <v>10</v>
      </c>
      <c r="B252" s="157">
        <v>41575</v>
      </c>
      <c r="C252" s="158" t="s">
        <v>145</v>
      </c>
      <c r="D252" s="157">
        <v>41575</v>
      </c>
      <c r="E252" s="159" t="s">
        <v>240</v>
      </c>
      <c r="F252" s="162">
        <f t="shared" si="13"/>
        <v>75256</v>
      </c>
      <c r="G252" s="160" t="s">
        <v>35</v>
      </c>
      <c r="H252" s="205">
        <v>21080</v>
      </c>
      <c r="I252" s="206"/>
      <c r="J252" s="207">
        <v>3.57</v>
      </c>
      <c r="K252" s="208">
        <f t="shared" si="15"/>
        <v>34254.489999999954</v>
      </c>
      <c r="L252" s="162"/>
    </row>
    <row r="253" spans="1:12" s="142" customFormat="1" ht="17.25" customHeight="1">
      <c r="A253" s="142">
        <f t="shared" si="14"/>
        <v>10</v>
      </c>
      <c r="B253" s="157">
        <v>41575</v>
      </c>
      <c r="C253" s="158" t="s">
        <v>145</v>
      </c>
      <c r="D253" s="157">
        <v>41575</v>
      </c>
      <c r="E253" s="159" t="s">
        <v>239</v>
      </c>
      <c r="F253" s="162">
        <f t="shared" si="13"/>
        <v>582230</v>
      </c>
      <c r="G253" s="160" t="s">
        <v>192</v>
      </c>
      <c r="H253" s="205">
        <v>21080</v>
      </c>
      <c r="I253" s="206"/>
      <c r="J253" s="207">
        <v>27.62</v>
      </c>
      <c r="K253" s="208">
        <f t="shared" si="15"/>
        <v>34226.869999999952</v>
      </c>
      <c r="L253" s="162"/>
    </row>
    <row r="254" spans="1:12" s="142" customFormat="1" ht="17.25" customHeight="1">
      <c r="A254" s="142">
        <f t="shared" si="14"/>
        <v>10</v>
      </c>
      <c r="B254" s="157">
        <v>41575</v>
      </c>
      <c r="C254" s="158" t="s">
        <v>145</v>
      </c>
      <c r="D254" s="157">
        <v>41575</v>
      </c>
      <c r="E254" s="159" t="s">
        <v>240</v>
      </c>
      <c r="F254" s="162">
        <f t="shared" si="13"/>
        <v>58181</v>
      </c>
      <c r="G254" s="160" t="s">
        <v>35</v>
      </c>
      <c r="H254" s="205">
        <v>21080</v>
      </c>
      <c r="I254" s="206"/>
      <c r="J254" s="207">
        <v>2.76</v>
      </c>
      <c r="K254" s="208">
        <f t="shared" si="15"/>
        <v>34224.10999999995</v>
      </c>
      <c r="L254" s="162"/>
    </row>
    <row r="255" spans="1:12" s="142" customFormat="1" ht="17.25" customHeight="1">
      <c r="A255" s="142">
        <f t="shared" si="14"/>
        <v>10</v>
      </c>
      <c r="B255" s="157">
        <v>41575</v>
      </c>
      <c r="C255" s="158" t="s">
        <v>145</v>
      </c>
      <c r="D255" s="157">
        <v>41575</v>
      </c>
      <c r="E255" s="159" t="s">
        <v>249</v>
      </c>
      <c r="F255" s="162">
        <f t="shared" si="13"/>
        <v>626076</v>
      </c>
      <c r="G255" s="160" t="s">
        <v>192</v>
      </c>
      <c r="H255" s="205">
        <v>21080</v>
      </c>
      <c r="I255" s="206"/>
      <c r="J255" s="207">
        <v>29.7</v>
      </c>
      <c r="K255" s="208">
        <f t="shared" si="15"/>
        <v>34194.409999999953</v>
      </c>
      <c r="L255" s="162"/>
    </row>
    <row r="256" spans="1:12" s="142" customFormat="1" ht="17.25" customHeight="1">
      <c r="A256" s="142">
        <f t="shared" si="14"/>
        <v>10</v>
      </c>
      <c r="B256" s="157">
        <v>41575</v>
      </c>
      <c r="C256" s="158" t="s">
        <v>145</v>
      </c>
      <c r="D256" s="157">
        <v>41575</v>
      </c>
      <c r="E256" s="159" t="s">
        <v>250</v>
      </c>
      <c r="F256" s="162">
        <f t="shared" si="13"/>
        <v>62608</v>
      </c>
      <c r="G256" s="160" t="s">
        <v>35</v>
      </c>
      <c r="H256" s="205">
        <v>21080</v>
      </c>
      <c r="I256" s="206"/>
      <c r="J256" s="207">
        <v>2.97</v>
      </c>
      <c r="K256" s="208">
        <f t="shared" si="15"/>
        <v>34191.439999999951</v>
      </c>
      <c r="L256" s="162"/>
    </row>
    <row r="257" spans="1:12" s="142" customFormat="1" ht="17.25" customHeight="1">
      <c r="A257" s="142">
        <f t="shared" si="14"/>
        <v>10</v>
      </c>
      <c r="B257" s="157">
        <v>41575</v>
      </c>
      <c r="C257" s="158" t="s">
        <v>145</v>
      </c>
      <c r="D257" s="157">
        <v>41575</v>
      </c>
      <c r="E257" s="159" t="s">
        <v>239</v>
      </c>
      <c r="F257" s="162">
        <f t="shared" si="13"/>
        <v>753399</v>
      </c>
      <c r="G257" s="160" t="s">
        <v>192</v>
      </c>
      <c r="H257" s="205">
        <v>21080</v>
      </c>
      <c r="I257" s="206"/>
      <c r="J257" s="207">
        <v>35.74</v>
      </c>
      <c r="K257" s="208">
        <f t="shared" si="15"/>
        <v>34155.699999999953</v>
      </c>
      <c r="L257" s="162"/>
    </row>
    <row r="258" spans="1:12" s="142" customFormat="1" ht="17.25" customHeight="1">
      <c r="A258" s="142">
        <f t="shared" si="14"/>
        <v>10</v>
      </c>
      <c r="B258" s="157">
        <v>41575</v>
      </c>
      <c r="C258" s="158" t="s">
        <v>145</v>
      </c>
      <c r="D258" s="157">
        <v>41575</v>
      </c>
      <c r="E258" s="159" t="s">
        <v>240</v>
      </c>
      <c r="F258" s="162">
        <f t="shared" si="13"/>
        <v>75256</v>
      </c>
      <c r="G258" s="160" t="s">
        <v>35</v>
      </c>
      <c r="H258" s="205">
        <v>21080</v>
      </c>
      <c r="I258" s="206"/>
      <c r="J258" s="207">
        <v>3.57</v>
      </c>
      <c r="K258" s="208">
        <f t="shared" si="15"/>
        <v>34152.129999999954</v>
      </c>
      <c r="L258" s="162"/>
    </row>
    <row r="259" spans="1:12" s="142" customFormat="1" ht="17.25" customHeight="1">
      <c r="A259" s="142">
        <f t="shared" si="14"/>
        <v>10</v>
      </c>
      <c r="B259" s="157">
        <v>41575</v>
      </c>
      <c r="C259" s="158" t="s">
        <v>145</v>
      </c>
      <c r="D259" s="157">
        <v>41575</v>
      </c>
      <c r="E259" s="159" t="s">
        <v>239</v>
      </c>
      <c r="F259" s="162">
        <f t="shared" si="13"/>
        <v>582230</v>
      </c>
      <c r="G259" s="160" t="s">
        <v>192</v>
      </c>
      <c r="H259" s="205">
        <v>21080</v>
      </c>
      <c r="I259" s="206"/>
      <c r="J259" s="207">
        <v>27.62</v>
      </c>
      <c r="K259" s="208">
        <f t="shared" si="15"/>
        <v>34124.509999999951</v>
      </c>
      <c r="L259" s="162"/>
    </row>
    <row r="260" spans="1:12" s="142" customFormat="1" ht="17.25" customHeight="1">
      <c r="A260" s="142">
        <f t="shared" si="14"/>
        <v>10</v>
      </c>
      <c r="B260" s="157">
        <v>41575</v>
      </c>
      <c r="C260" s="158" t="s">
        <v>145</v>
      </c>
      <c r="D260" s="157">
        <v>41575</v>
      </c>
      <c r="E260" s="159" t="s">
        <v>240</v>
      </c>
      <c r="F260" s="162">
        <f t="shared" si="13"/>
        <v>58181</v>
      </c>
      <c r="G260" s="160" t="s">
        <v>35</v>
      </c>
      <c r="H260" s="205">
        <v>21080</v>
      </c>
      <c r="I260" s="206"/>
      <c r="J260" s="207">
        <v>2.76</v>
      </c>
      <c r="K260" s="208">
        <f t="shared" si="15"/>
        <v>34121.749999999949</v>
      </c>
      <c r="L260" s="162"/>
    </row>
    <row r="261" spans="1:12" s="142" customFormat="1" ht="17.25" customHeight="1">
      <c r="A261" s="142">
        <f t="shared" si="14"/>
        <v>10</v>
      </c>
      <c r="B261" s="157">
        <v>41575</v>
      </c>
      <c r="C261" s="158" t="s">
        <v>145</v>
      </c>
      <c r="D261" s="157">
        <v>41575</v>
      </c>
      <c r="E261" s="159" t="s">
        <v>248</v>
      </c>
      <c r="F261" s="162">
        <f t="shared" si="13"/>
        <v>716890000</v>
      </c>
      <c r="G261" s="160" t="s">
        <v>36</v>
      </c>
      <c r="H261" s="205">
        <v>21085</v>
      </c>
      <c r="I261" s="206"/>
      <c r="J261" s="207">
        <v>34000</v>
      </c>
      <c r="K261" s="208">
        <f t="shared" si="15"/>
        <v>121.74999999994907</v>
      </c>
      <c r="L261" s="162"/>
    </row>
    <row r="262" spans="1:12" s="142" customFormat="1" ht="17.25" customHeight="1">
      <c r="A262" s="142">
        <f t="shared" si="14"/>
        <v>10</v>
      </c>
      <c r="B262" s="157">
        <v>41576</v>
      </c>
      <c r="C262" s="158" t="s">
        <v>145</v>
      </c>
      <c r="D262" s="157">
        <v>41576</v>
      </c>
      <c r="E262" s="159" t="s">
        <v>245</v>
      </c>
      <c r="F262" s="162">
        <f t="shared" si="13"/>
        <v>105400</v>
      </c>
      <c r="G262" s="160" t="s">
        <v>192</v>
      </c>
      <c r="H262" s="205">
        <v>21080</v>
      </c>
      <c r="I262" s="206"/>
      <c r="J262" s="207">
        <v>5</v>
      </c>
      <c r="K262" s="208">
        <f t="shared" si="15"/>
        <v>116.74999999994907</v>
      </c>
      <c r="L262" s="162"/>
    </row>
    <row r="263" spans="1:12" s="142" customFormat="1" ht="17.25" customHeight="1">
      <c r="A263" s="142">
        <f t="shared" si="14"/>
        <v>10</v>
      </c>
      <c r="B263" s="157">
        <v>41576</v>
      </c>
      <c r="C263" s="158" t="s">
        <v>145</v>
      </c>
      <c r="D263" s="157">
        <v>41576</v>
      </c>
      <c r="E263" s="159" t="s">
        <v>246</v>
      </c>
      <c r="F263" s="162">
        <f t="shared" si="13"/>
        <v>10540</v>
      </c>
      <c r="G263" s="160" t="s">
        <v>35</v>
      </c>
      <c r="H263" s="205">
        <v>21080</v>
      </c>
      <c r="I263" s="206"/>
      <c r="J263" s="207">
        <v>0.5</v>
      </c>
      <c r="K263" s="208">
        <f t="shared" si="15"/>
        <v>116.24999999994907</v>
      </c>
      <c r="L263" s="162"/>
    </row>
    <row r="264" spans="1:12" s="142" customFormat="1" ht="17.25" customHeight="1">
      <c r="A264" s="142">
        <f t="shared" si="14"/>
        <v>11</v>
      </c>
      <c r="B264" s="157">
        <v>41583</v>
      </c>
      <c r="C264" s="158" t="s">
        <v>148</v>
      </c>
      <c r="D264" s="157">
        <v>41583</v>
      </c>
      <c r="E264" s="159" t="s">
        <v>491</v>
      </c>
      <c r="F264" s="162">
        <f t="shared" si="13"/>
        <v>67139589</v>
      </c>
      <c r="G264" s="160" t="s">
        <v>166</v>
      </c>
      <c r="H264" s="205">
        <v>21080</v>
      </c>
      <c r="I264" s="206">
        <v>3184.99</v>
      </c>
      <c r="J264" s="207"/>
      <c r="K264" s="208">
        <f t="shared" si="15"/>
        <v>3301.2399999999489</v>
      </c>
      <c r="L264" s="162"/>
    </row>
    <row r="265" spans="1:12" s="142" customFormat="1" ht="17.25" customHeight="1">
      <c r="A265" s="142">
        <f t="shared" si="14"/>
        <v>11</v>
      </c>
      <c r="B265" s="157">
        <v>41583</v>
      </c>
      <c r="C265" s="158" t="s">
        <v>145</v>
      </c>
      <c r="D265" s="157">
        <v>41583</v>
      </c>
      <c r="E265" s="159" t="s">
        <v>245</v>
      </c>
      <c r="F265" s="162">
        <f t="shared" si="13"/>
        <v>105400</v>
      </c>
      <c r="G265" s="160" t="s">
        <v>192</v>
      </c>
      <c r="H265" s="205">
        <v>21080</v>
      </c>
      <c r="I265" s="206"/>
      <c r="J265" s="207">
        <v>5</v>
      </c>
      <c r="K265" s="208">
        <f t="shared" si="15"/>
        <v>3296.2399999999489</v>
      </c>
      <c r="L265" s="162"/>
    </row>
    <row r="266" spans="1:12" s="142" customFormat="1" ht="17.25" customHeight="1">
      <c r="A266" s="142">
        <f t="shared" si="14"/>
        <v>11</v>
      </c>
      <c r="B266" s="157">
        <v>41583</v>
      </c>
      <c r="C266" s="158" t="s">
        <v>145</v>
      </c>
      <c r="D266" s="157">
        <v>41583</v>
      </c>
      <c r="E266" s="159" t="s">
        <v>776</v>
      </c>
      <c r="F266" s="162">
        <f t="shared" si="13"/>
        <v>10540</v>
      </c>
      <c r="G266" s="160" t="s">
        <v>35</v>
      </c>
      <c r="H266" s="205">
        <v>21080</v>
      </c>
      <c r="I266" s="206"/>
      <c r="J266" s="207">
        <v>0.5</v>
      </c>
      <c r="K266" s="208">
        <f t="shared" si="15"/>
        <v>3295.7399999999489</v>
      </c>
      <c r="L266" s="162"/>
    </row>
    <row r="267" spans="1:12" s="142" customFormat="1" ht="17.25" customHeight="1">
      <c r="A267" s="142">
        <f t="shared" si="14"/>
        <v>11</v>
      </c>
      <c r="B267" s="157">
        <v>41584</v>
      </c>
      <c r="C267" s="158" t="s">
        <v>148</v>
      </c>
      <c r="D267" s="157">
        <v>41584</v>
      </c>
      <c r="E267" s="159" t="s">
        <v>491</v>
      </c>
      <c r="F267" s="162">
        <f t="shared" si="13"/>
        <v>14634790</v>
      </c>
      <c r="G267" s="160" t="s">
        <v>166</v>
      </c>
      <c r="H267" s="205">
        <v>21080</v>
      </c>
      <c r="I267" s="206">
        <v>694.25</v>
      </c>
      <c r="J267" s="207"/>
      <c r="K267" s="208">
        <f t="shared" si="15"/>
        <v>3989.9899999999489</v>
      </c>
      <c r="L267" s="162"/>
    </row>
    <row r="268" spans="1:12" s="142" customFormat="1" ht="17.25" customHeight="1">
      <c r="A268" s="142">
        <f t="shared" si="14"/>
        <v>11</v>
      </c>
      <c r="B268" s="157">
        <v>41584</v>
      </c>
      <c r="C268" s="158" t="s">
        <v>148</v>
      </c>
      <c r="D268" s="157">
        <v>41584</v>
      </c>
      <c r="E268" s="159" t="s">
        <v>491</v>
      </c>
      <c r="F268" s="162">
        <f t="shared" si="13"/>
        <v>20845380</v>
      </c>
      <c r="G268" s="160" t="s">
        <v>166</v>
      </c>
      <c r="H268" s="205">
        <v>21080</v>
      </c>
      <c r="I268" s="206">
        <v>988.87</v>
      </c>
      <c r="J268" s="207"/>
      <c r="K268" s="208">
        <f t="shared" si="15"/>
        <v>4978.8599999999487</v>
      </c>
      <c r="L268" s="162"/>
    </row>
    <row r="269" spans="1:12" s="142" customFormat="1" ht="17.25" customHeight="1">
      <c r="A269" s="142">
        <f t="shared" si="14"/>
        <v>11</v>
      </c>
      <c r="B269" s="157">
        <v>41584</v>
      </c>
      <c r="C269" s="158" t="s">
        <v>148</v>
      </c>
      <c r="D269" s="157">
        <v>41584</v>
      </c>
      <c r="E269" s="159" t="s">
        <v>777</v>
      </c>
      <c r="F269" s="162">
        <f t="shared" ref="F269:F332" si="16">ROUND((I269+J269)*H269,0)</f>
        <v>580800000</v>
      </c>
      <c r="G269" s="160" t="s">
        <v>166</v>
      </c>
      <c r="H269" s="205">
        <v>21120</v>
      </c>
      <c r="I269" s="206">
        <v>27500</v>
      </c>
      <c r="J269" s="207"/>
      <c r="K269" s="208">
        <f t="shared" si="15"/>
        <v>32478.85999999995</v>
      </c>
      <c r="L269" s="162"/>
    </row>
    <row r="270" spans="1:12" s="142" customFormat="1" ht="17.25" customHeight="1">
      <c r="A270" s="142">
        <f t="shared" si="14"/>
        <v>11</v>
      </c>
      <c r="B270" s="157">
        <v>41584</v>
      </c>
      <c r="C270" s="158" t="s">
        <v>148</v>
      </c>
      <c r="D270" s="157">
        <v>41584</v>
      </c>
      <c r="E270" s="159" t="s">
        <v>777</v>
      </c>
      <c r="F270" s="162">
        <f t="shared" si="16"/>
        <v>1203840000</v>
      </c>
      <c r="G270" s="160" t="s">
        <v>166</v>
      </c>
      <c r="H270" s="205">
        <v>21120</v>
      </c>
      <c r="I270" s="206">
        <v>57000</v>
      </c>
      <c r="J270" s="207"/>
      <c r="K270" s="208">
        <f t="shared" si="15"/>
        <v>89478.859999999957</v>
      </c>
      <c r="L270" s="162"/>
    </row>
    <row r="271" spans="1:12" s="142" customFormat="1" ht="17.25" customHeight="1">
      <c r="A271" s="142">
        <f t="shared" si="14"/>
        <v>11</v>
      </c>
      <c r="B271" s="157">
        <v>41584</v>
      </c>
      <c r="C271" s="158" t="s">
        <v>145</v>
      </c>
      <c r="D271" s="157">
        <v>41584</v>
      </c>
      <c r="E271" s="159" t="s">
        <v>245</v>
      </c>
      <c r="F271" s="162">
        <f t="shared" si="16"/>
        <v>105400</v>
      </c>
      <c r="G271" s="160" t="s">
        <v>192</v>
      </c>
      <c r="H271" s="205">
        <v>21080</v>
      </c>
      <c r="I271" s="206"/>
      <c r="J271" s="207">
        <v>5</v>
      </c>
      <c r="K271" s="208">
        <f t="shared" si="15"/>
        <v>89473.859999999957</v>
      </c>
      <c r="L271" s="162"/>
    </row>
    <row r="272" spans="1:12" s="142" customFormat="1" ht="17.25" customHeight="1">
      <c r="A272" s="142">
        <f t="shared" si="14"/>
        <v>11</v>
      </c>
      <c r="B272" s="157">
        <v>41584</v>
      </c>
      <c r="C272" s="158" t="s">
        <v>145</v>
      </c>
      <c r="D272" s="157">
        <v>41584</v>
      </c>
      <c r="E272" s="159" t="s">
        <v>776</v>
      </c>
      <c r="F272" s="162">
        <f t="shared" si="16"/>
        <v>10540</v>
      </c>
      <c r="G272" s="160" t="s">
        <v>35</v>
      </c>
      <c r="H272" s="205">
        <v>21080</v>
      </c>
      <c r="I272" s="206"/>
      <c r="J272" s="207">
        <v>0.5</v>
      </c>
      <c r="K272" s="208">
        <f t="shared" si="15"/>
        <v>89473.359999999957</v>
      </c>
      <c r="L272" s="162"/>
    </row>
    <row r="273" spans="1:12" s="142" customFormat="1" ht="17.25" customHeight="1">
      <c r="A273" s="142">
        <f t="shared" si="14"/>
        <v>11</v>
      </c>
      <c r="B273" s="157">
        <v>41584</v>
      </c>
      <c r="C273" s="158" t="s">
        <v>145</v>
      </c>
      <c r="D273" s="157">
        <v>41584</v>
      </c>
      <c r="E273" s="159" t="s">
        <v>778</v>
      </c>
      <c r="F273" s="162">
        <f t="shared" si="16"/>
        <v>5377719</v>
      </c>
      <c r="G273" s="160" t="s">
        <v>150</v>
      </c>
      <c r="H273" s="205">
        <v>21080</v>
      </c>
      <c r="I273" s="206"/>
      <c r="J273" s="207">
        <v>255.11</v>
      </c>
      <c r="K273" s="208">
        <f t="shared" si="15"/>
        <v>89218.249999999956</v>
      </c>
      <c r="L273" s="162"/>
    </row>
    <row r="274" spans="1:12" s="142" customFormat="1" ht="17.25" customHeight="1">
      <c r="A274" s="142">
        <f t="shared" si="14"/>
        <v>11</v>
      </c>
      <c r="B274" s="157">
        <v>41584</v>
      </c>
      <c r="C274" s="158" t="s">
        <v>145</v>
      </c>
      <c r="D274" s="157">
        <v>41584</v>
      </c>
      <c r="E274" s="159" t="s">
        <v>779</v>
      </c>
      <c r="F274" s="162">
        <f t="shared" si="16"/>
        <v>14383306</v>
      </c>
      <c r="G274" s="160" t="s">
        <v>150</v>
      </c>
      <c r="H274" s="205">
        <v>21080</v>
      </c>
      <c r="I274" s="206"/>
      <c r="J274" s="207">
        <v>682.32</v>
      </c>
      <c r="K274" s="208">
        <f t="shared" si="15"/>
        <v>88535.929999999949</v>
      </c>
      <c r="L274" s="162"/>
    </row>
    <row r="275" spans="1:12" s="142" customFormat="1" ht="17.25" customHeight="1">
      <c r="A275" s="142">
        <f t="shared" si="14"/>
        <v>11</v>
      </c>
      <c r="B275" s="157">
        <v>41584</v>
      </c>
      <c r="C275" s="158" t="s">
        <v>145</v>
      </c>
      <c r="D275" s="157">
        <v>41584</v>
      </c>
      <c r="E275" s="159" t="s">
        <v>780</v>
      </c>
      <c r="F275" s="162">
        <f t="shared" si="16"/>
        <v>9202474</v>
      </c>
      <c r="G275" s="160" t="s">
        <v>150</v>
      </c>
      <c r="H275" s="205">
        <v>21080</v>
      </c>
      <c r="I275" s="206"/>
      <c r="J275" s="207">
        <v>436.55</v>
      </c>
      <c r="K275" s="208">
        <f t="shared" si="15"/>
        <v>88099.379999999946</v>
      </c>
      <c r="L275" s="162"/>
    </row>
    <row r="276" spans="1:12" s="142" customFormat="1" ht="17.25" customHeight="1">
      <c r="A276" s="142">
        <f t="shared" si="14"/>
        <v>11</v>
      </c>
      <c r="B276" s="157">
        <v>41584</v>
      </c>
      <c r="C276" s="158" t="s">
        <v>145</v>
      </c>
      <c r="D276" s="157">
        <v>41584</v>
      </c>
      <c r="E276" s="159" t="s">
        <v>781</v>
      </c>
      <c r="F276" s="162">
        <f t="shared" si="16"/>
        <v>12883042</v>
      </c>
      <c r="G276" s="160" t="s">
        <v>150</v>
      </c>
      <c r="H276" s="205">
        <v>21080</v>
      </c>
      <c r="I276" s="206"/>
      <c r="J276" s="207">
        <v>611.15</v>
      </c>
      <c r="K276" s="208">
        <f t="shared" si="15"/>
        <v>87488.229999999952</v>
      </c>
      <c r="L276" s="162"/>
    </row>
    <row r="277" spans="1:12" s="142" customFormat="1" ht="17.25" customHeight="1">
      <c r="A277" s="142">
        <f t="shared" si="14"/>
        <v>11</v>
      </c>
      <c r="B277" s="157">
        <v>41584</v>
      </c>
      <c r="C277" s="158" t="s">
        <v>145</v>
      </c>
      <c r="D277" s="157">
        <v>41584</v>
      </c>
      <c r="E277" s="159" t="s">
        <v>782</v>
      </c>
      <c r="F277" s="162">
        <f t="shared" si="16"/>
        <v>825282</v>
      </c>
      <c r="G277" s="160" t="s">
        <v>192</v>
      </c>
      <c r="H277" s="205">
        <v>21080</v>
      </c>
      <c r="I277" s="206"/>
      <c r="J277" s="207">
        <v>39.15</v>
      </c>
      <c r="K277" s="208">
        <f t="shared" si="15"/>
        <v>87449.079999999958</v>
      </c>
      <c r="L277" s="162"/>
    </row>
    <row r="278" spans="1:12" s="142" customFormat="1" ht="17.25" customHeight="1">
      <c r="A278" s="142">
        <f t="shared" si="14"/>
        <v>11</v>
      </c>
      <c r="B278" s="157">
        <v>41584</v>
      </c>
      <c r="C278" s="158" t="s">
        <v>145</v>
      </c>
      <c r="D278" s="157">
        <v>41584</v>
      </c>
      <c r="E278" s="159" t="s">
        <v>783</v>
      </c>
      <c r="F278" s="162">
        <f t="shared" si="16"/>
        <v>82634</v>
      </c>
      <c r="G278" s="160" t="s">
        <v>35</v>
      </c>
      <c r="H278" s="205">
        <v>21080</v>
      </c>
      <c r="I278" s="206"/>
      <c r="J278" s="207">
        <v>3.92</v>
      </c>
      <c r="K278" s="208">
        <f t="shared" si="15"/>
        <v>87445.15999999996</v>
      </c>
      <c r="L278" s="162"/>
    </row>
    <row r="279" spans="1:12" s="142" customFormat="1" ht="17.25" customHeight="1">
      <c r="A279" s="142">
        <f t="shared" si="14"/>
        <v>11</v>
      </c>
      <c r="B279" s="157">
        <v>41584</v>
      </c>
      <c r="C279" s="158" t="s">
        <v>145</v>
      </c>
      <c r="D279" s="157">
        <v>41584</v>
      </c>
      <c r="E279" s="159" t="s">
        <v>239</v>
      </c>
      <c r="F279" s="162">
        <f t="shared" si="16"/>
        <v>582230</v>
      </c>
      <c r="G279" s="160" t="s">
        <v>192</v>
      </c>
      <c r="H279" s="205">
        <v>21080</v>
      </c>
      <c r="I279" s="206"/>
      <c r="J279" s="207">
        <v>27.62</v>
      </c>
      <c r="K279" s="208">
        <f t="shared" si="15"/>
        <v>87417.539999999964</v>
      </c>
      <c r="L279" s="162"/>
    </row>
    <row r="280" spans="1:12" s="142" customFormat="1" ht="17.25" customHeight="1">
      <c r="A280" s="142">
        <f t="shared" si="14"/>
        <v>11</v>
      </c>
      <c r="B280" s="157">
        <v>41584</v>
      </c>
      <c r="C280" s="158" t="s">
        <v>145</v>
      </c>
      <c r="D280" s="157">
        <v>41584</v>
      </c>
      <c r="E280" s="159" t="s">
        <v>240</v>
      </c>
      <c r="F280" s="162">
        <f t="shared" si="16"/>
        <v>58181</v>
      </c>
      <c r="G280" s="160" t="s">
        <v>35</v>
      </c>
      <c r="H280" s="205">
        <v>21080</v>
      </c>
      <c r="I280" s="206"/>
      <c r="J280" s="207">
        <v>2.76</v>
      </c>
      <c r="K280" s="208">
        <f t="shared" si="15"/>
        <v>87414.77999999997</v>
      </c>
      <c r="L280" s="162"/>
    </row>
    <row r="281" spans="1:12" s="142" customFormat="1" ht="17.25" customHeight="1">
      <c r="A281" s="142">
        <f t="shared" si="14"/>
        <v>11</v>
      </c>
      <c r="B281" s="157">
        <v>41584</v>
      </c>
      <c r="C281" s="158" t="s">
        <v>145</v>
      </c>
      <c r="D281" s="157">
        <v>41584</v>
      </c>
      <c r="E281" s="159" t="s">
        <v>784</v>
      </c>
      <c r="F281" s="162">
        <f t="shared" si="16"/>
        <v>105400</v>
      </c>
      <c r="G281" s="160" t="s">
        <v>192</v>
      </c>
      <c r="H281" s="205">
        <v>21080</v>
      </c>
      <c r="I281" s="206"/>
      <c r="J281" s="207">
        <v>5</v>
      </c>
      <c r="K281" s="208">
        <f t="shared" si="15"/>
        <v>87409.77999999997</v>
      </c>
      <c r="L281" s="162"/>
    </row>
    <row r="282" spans="1:12" s="142" customFormat="1" ht="17.25" customHeight="1">
      <c r="A282" s="142">
        <f t="shared" si="14"/>
        <v>11</v>
      </c>
      <c r="B282" s="157">
        <v>41584</v>
      </c>
      <c r="C282" s="158" t="s">
        <v>145</v>
      </c>
      <c r="D282" s="157">
        <v>41584</v>
      </c>
      <c r="E282" s="159" t="s">
        <v>785</v>
      </c>
      <c r="F282" s="162">
        <f t="shared" si="16"/>
        <v>10540</v>
      </c>
      <c r="G282" s="160" t="s">
        <v>35</v>
      </c>
      <c r="H282" s="205">
        <v>21080</v>
      </c>
      <c r="I282" s="206"/>
      <c r="J282" s="207">
        <v>0.5</v>
      </c>
      <c r="K282" s="208">
        <f t="shared" si="15"/>
        <v>87409.27999999997</v>
      </c>
      <c r="L282" s="162"/>
    </row>
    <row r="283" spans="1:12" s="142" customFormat="1" ht="17.25" customHeight="1">
      <c r="A283" s="142">
        <f t="shared" si="14"/>
        <v>11</v>
      </c>
      <c r="B283" s="157">
        <v>41584</v>
      </c>
      <c r="C283" s="158" t="s">
        <v>145</v>
      </c>
      <c r="D283" s="157">
        <v>41584</v>
      </c>
      <c r="E283" s="159" t="s">
        <v>782</v>
      </c>
      <c r="F283" s="162">
        <f t="shared" si="16"/>
        <v>1707480</v>
      </c>
      <c r="G283" s="160" t="s">
        <v>192</v>
      </c>
      <c r="H283" s="205">
        <v>21080</v>
      </c>
      <c r="I283" s="206"/>
      <c r="J283" s="207">
        <v>81</v>
      </c>
      <c r="K283" s="208">
        <f t="shared" si="15"/>
        <v>87328.27999999997</v>
      </c>
      <c r="L283" s="162"/>
    </row>
    <row r="284" spans="1:12" s="142" customFormat="1" ht="17.25" customHeight="1">
      <c r="A284" s="142">
        <f t="shared" si="14"/>
        <v>11</v>
      </c>
      <c r="B284" s="157">
        <v>41584</v>
      </c>
      <c r="C284" s="158" t="s">
        <v>145</v>
      </c>
      <c r="D284" s="157">
        <v>41584</v>
      </c>
      <c r="E284" s="159" t="s">
        <v>783</v>
      </c>
      <c r="F284" s="162">
        <f t="shared" si="16"/>
        <v>170748</v>
      </c>
      <c r="G284" s="160" t="s">
        <v>35</v>
      </c>
      <c r="H284" s="205">
        <v>21080</v>
      </c>
      <c r="I284" s="206"/>
      <c r="J284" s="207">
        <v>8.1</v>
      </c>
      <c r="K284" s="208">
        <f t="shared" si="15"/>
        <v>87320.179999999964</v>
      </c>
      <c r="L284" s="162"/>
    </row>
    <row r="285" spans="1:12" s="142" customFormat="1" ht="17.25" customHeight="1">
      <c r="A285" s="142">
        <f t="shared" si="14"/>
        <v>11</v>
      </c>
      <c r="B285" s="157">
        <v>41584</v>
      </c>
      <c r="C285" s="158" t="s">
        <v>145</v>
      </c>
      <c r="D285" s="157">
        <v>41584</v>
      </c>
      <c r="E285" s="159" t="s">
        <v>239</v>
      </c>
      <c r="F285" s="162">
        <f t="shared" si="16"/>
        <v>582230</v>
      </c>
      <c r="G285" s="160" t="s">
        <v>192</v>
      </c>
      <c r="H285" s="205">
        <v>21080</v>
      </c>
      <c r="I285" s="206"/>
      <c r="J285" s="207">
        <v>27.62</v>
      </c>
      <c r="K285" s="208">
        <f t="shared" si="15"/>
        <v>87292.559999999969</v>
      </c>
      <c r="L285" s="162"/>
    </row>
    <row r="286" spans="1:12" s="142" customFormat="1" ht="17.25" customHeight="1">
      <c r="A286" s="142">
        <f t="shared" si="14"/>
        <v>11</v>
      </c>
      <c r="B286" s="157">
        <v>41584</v>
      </c>
      <c r="C286" s="158" t="s">
        <v>145</v>
      </c>
      <c r="D286" s="157">
        <v>41584</v>
      </c>
      <c r="E286" s="159" t="s">
        <v>240</v>
      </c>
      <c r="F286" s="162">
        <f t="shared" si="16"/>
        <v>58181</v>
      </c>
      <c r="G286" s="160" t="s">
        <v>35</v>
      </c>
      <c r="H286" s="205">
        <v>21080</v>
      </c>
      <c r="I286" s="206"/>
      <c r="J286" s="207">
        <v>2.76</v>
      </c>
      <c r="K286" s="208">
        <f t="shared" si="15"/>
        <v>87289.799999999974</v>
      </c>
      <c r="L286" s="162"/>
    </row>
    <row r="287" spans="1:12" s="142" customFormat="1" ht="17.25" customHeight="1">
      <c r="A287" s="142">
        <f t="shared" si="14"/>
        <v>11</v>
      </c>
      <c r="B287" s="157">
        <v>41584</v>
      </c>
      <c r="C287" s="158" t="s">
        <v>145</v>
      </c>
      <c r="D287" s="157">
        <v>41584</v>
      </c>
      <c r="E287" s="159" t="s">
        <v>784</v>
      </c>
      <c r="F287" s="162">
        <f t="shared" si="16"/>
        <v>105400</v>
      </c>
      <c r="G287" s="160" t="s">
        <v>192</v>
      </c>
      <c r="H287" s="205">
        <v>21080</v>
      </c>
      <c r="I287" s="206"/>
      <c r="J287" s="207">
        <v>5</v>
      </c>
      <c r="K287" s="208">
        <f t="shared" si="15"/>
        <v>87284.799999999974</v>
      </c>
      <c r="L287" s="162"/>
    </row>
    <row r="288" spans="1:12" s="142" customFormat="1" ht="17.25" customHeight="1">
      <c r="A288" s="142">
        <f t="shared" si="14"/>
        <v>11</v>
      </c>
      <c r="B288" s="157">
        <v>41584</v>
      </c>
      <c r="C288" s="158" t="s">
        <v>145</v>
      </c>
      <c r="D288" s="157">
        <v>41584</v>
      </c>
      <c r="E288" s="159" t="s">
        <v>785</v>
      </c>
      <c r="F288" s="162">
        <f t="shared" si="16"/>
        <v>10540</v>
      </c>
      <c r="G288" s="160" t="s">
        <v>35</v>
      </c>
      <c r="H288" s="205">
        <v>21080</v>
      </c>
      <c r="I288" s="206"/>
      <c r="J288" s="207">
        <v>0.5</v>
      </c>
      <c r="K288" s="208">
        <f t="shared" si="15"/>
        <v>87284.299999999974</v>
      </c>
      <c r="L288" s="162"/>
    </row>
    <row r="289" spans="1:12" s="142" customFormat="1" ht="17.25" customHeight="1">
      <c r="A289" s="142">
        <f t="shared" si="14"/>
        <v>11</v>
      </c>
      <c r="B289" s="157">
        <v>41584</v>
      </c>
      <c r="C289" s="158" t="s">
        <v>145</v>
      </c>
      <c r="D289" s="157">
        <v>41584</v>
      </c>
      <c r="E289" s="159" t="s">
        <v>248</v>
      </c>
      <c r="F289" s="162">
        <f t="shared" si="16"/>
        <v>1834569000</v>
      </c>
      <c r="G289" s="160" t="s">
        <v>36</v>
      </c>
      <c r="H289" s="205">
        <v>21087</v>
      </c>
      <c r="I289" s="206"/>
      <c r="J289" s="207">
        <v>87000</v>
      </c>
      <c r="K289" s="208">
        <f t="shared" si="15"/>
        <v>284.29999999997381</v>
      </c>
      <c r="L289" s="162"/>
    </row>
    <row r="290" spans="1:12" s="142" customFormat="1" ht="17.25" customHeight="1">
      <c r="A290" s="142">
        <f t="shared" si="14"/>
        <v>11</v>
      </c>
      <c r="B290" s="157">
        <v>41585</v>
      </c>
      <c r="C290" s="158" t="s">
        <v>145</v>
      </c>
      <c r="D290" s="157">
        <v>41585</v>
      </c>
      <c r="E290" s="159" t="s">
        <v>245</v>
      </c>
      <c r="F290" s="162">
        <f t="shared" si="16"/>
        <v>105400</v>
      </c>
      <c r="G290" s="160" t="s">
        <v>192</v>
      </c>
      <c r="H290" s="205">
        <v>21080</v>
      </c>
      <c r="I290" s="206"/>
      <c r="J290" s="207">
        <v>5</v>
      </c>
      <c r="K290" s="208">
        <f t="shared" si="15"/>
        <v>279.29999999997381</v>
      </c>
      <c r="L290" s="162"/>
    </row>
    <row r="291" spans="1:12" s="142" customFormat="1" ht="17.25" customHeight="1">
      <c r="A291" s="142">
        <f t="shared" si="14"/>
        <v>11</v>
      </c>
      <c r="B291" s="157">
        <v>41585</v>
      </c>
      <c r="C291" s="158" t="s">
        <v>145</v>
      </c>
      <c r="D291" s="157">
        <v>41585</v>
      </c>
      <c r="E291" s="159" t="s">
        <v>246</v>
      </c>
      <c r="F291" s="162">
        <f t="shared" si="16"/>
        <v>10540</v>
      </c>
      <c r="G291" s="160" t="s">
        <v>35</v>
      </c>
      <c r="H291" s="205">
        <v>21080</v>
      </c>
      <c r="I291" s="206"/>
      <c r="J291" s="207">
        <v>0.5</v>
      </c>
      <c r="K291" s="208">
        <f t="shared" si="15"/>
        <v>278.79999999997381</v>
      </c>
      <c r="L291" s="162"/>
    </row>
    <row r="292" spans="1:12" s="142" customFormat="1" ht="17.25" customHeight="1">
      <c r="A292" s="142">
        <f t="shared" si="14"/>
        <v>11</v>
      </c>
      <c r="B292" s="157">
        <v>41590</v>
      </c>
      <c r="C292" s="158" t="s">
        <v>148</v>
      </c>
      <c r="D292" s="157">
        <v>41590</v>
      </c>
      <c r="E292" s="159" t="s">
        <v>777</v>
      </c>
      <c r="F292" s="162">
        <f t="shared" si="16"/>
        <v>1962048000</v>
      </c>
      <c r="G292" s="160" t="s">
        <v>166</v>
      </c>
      <c r="H292" s="205">
        <v>21120</v>
      </c>
      <c r="I292" s="206">
        <v>92900</v>
      </c>
      <c r="J292" s="207"/>
      <c r="K292" s="208">
        <f t="shared" si="15"/>
        <v>93178.799999999974</v>
      </c>
      <c r="L292" s="162"/>
    </row>
    <row r="293" spans="1:12" s="142" customFormat="1" ht="17.25" customHeight="1">
      <c r="A293" s="142">
        <f t="shared" si="14"/>
        <v>11</v>
      </c>
      <c r="B293" s="157">
        <v>41590</v>
      </c>
      <c r="C293" s="158" t="s">
        <v>145</v>
      </c>
      <c r="D293" s="157">
        <v>41590</v>
      </c>
      <c r="E293" s="159" t="s">
        <v>782</v>
      </c>
      <c r="F293" s="162">
        <f t="shared" si="16"/>
        <v>2784036</v>
      </c>
      <c r="G293" s="160" t="s">
        <v>192</v>
      </c>
      <c r="H293" s="205">
        <v>21080</v>
      </c>
      <c r="I293" s="206"/>
      <c r="J293" s="207">
        <v>132.07</v>
      </c>
      <c r="K293" s="208">
        <f t="shared" si="15"/>
        <v>93046.729999999967</v>
      </c>
      <c r="L293" s="162"/>
    </row>
    <row r="294" spans="1:12" s="142" customFormat="1" ht="17.25" customHeight="1">
      <c r="A294" s="142">
        <f t="shared" si="14"/>
        <v>11</v>
      </c>
      <c r="B294" s="157">
        <v>41590</v>
      </c>
      <c r="C294" s="158" t="s">
        <v>145</v>
      </c>
      <c r="D294" s="157">
        <v>41590</v>
      </c>
      <c r="E294" s="159" t="s">
        <v>783</v>
      </c>
      <c r="F294" s="162">
        <f t="shared" si="16"/>
        <v>278467</v>
      </c>
      <c r="G294" s="160" t="s">
        <v>35</v>
      </c>
      <c r="H294" s="205">
        <v>21080</v>
      </c>
      <c r="I294" s="206"/>
      <c r="J294" s="207">
        <v>13.21</v>
      </c>
      <c r="K294" s="208">
        <f t="shared" si="15"/>
        <v>93033.51999999996</v>
      </c>
      <c r="L294" s="162"/>
    </row>
    <row r="295" spans="1:12" s="142" customFormat="1" ht="17.25" customHeight="1">
      <c r="A295" s="142">
        <f t="shared" si="14"/>
        <v>11</v>
      </c>
      <c r="B295" s="157">
        <v>41590</v>
      </c>
      <c r="C295" s="158" t="s">
        <v>145</v>
      </c>
      <c r="D295" s="157">
        <v>41590</v>
      </c>
      <c r="E295" s="159" t="s">
        <v>239</v>
      </c>
      <c r="F295" s="162">
        <f t="shared" si="16"/>
        <v>582230</v>
      </c>
      <c r="G295" s="160" t="s">
        <v>192</v>
      </c>
      <c r="H295" s="205">
        <v>21080</v>
      </c>
      <c r="I295" s="206"/>
      <c r="J295" s="207">
        <v>27.62</v>
      </c>
      <c r="K295" s="208">
        <f t="shared" si="15"/>
        <v>93005.899999999965</v>
      </c>
      <c r="L295" s="162"/>
    </row>
    <row r="296" spans="1:12" s="142" customFormat="1" ht="17.25" customHeight="1">
      <c r="A296" s="142">
        <f t="shared" si="14"/>
        <v>11</v>
      </c>
      <c r="B296" s="157">
        <v>41590</v>
      </c>
      <c r="C296" s="158" t="s">
        <v>145</v>
      </c>
      <c r="D296" s="157">
        <v>41590</v>
      </c>
      <c r="E296" s="159" t="s">
        <v>240</v>
      </c>
      <c r="F296" s="162">
        <f t="shared" si="16"/>
        <v>58181</v>
      </c>
      <c r="G296" s="160" t="s">
        <v>35</v>
      </c>
      <c r="H296" s="205">
        <v>21080</v>
      </c>
      <c r="I296" s="206"/>
      <c r="J296" s="207">
        <v>2.76</v>
      </c>
      <c r="K296" s="208">
        <f t="shared" si="15"/>
        <v>93003.13999999997</v>
      </c>
      <c r="L296" s="162"/>
    </row>
    <row r="297" spans="1:12" s="142" customFormat="1" ht="17.25" customHeight="1">
      <c r="A297" s="142">
        <f t="shared" si="14"/>
        <v>11</v>
      </c>
      <c r="B297" s="157">
        <v>41590</v>
      </c>
      <c r="C297" s="158" t="s">
        <v>145</v>
      </c>
      <c r="D297" s="157">
        <v>41590</v>
      </c>
      <c r="E297" s="159" t="s">
        <v>248</v>
      </c>
      <c r="F297" s="162">
        <f t="shared" si="16"/>
        <v>1961370000</v>
      </c>
      <c r="G297" s="160" t="s">
        <v>36</v>
      </c>
      <c r="H297" s="205">
        <v>21090</v>
      </c>
      <c r="I297" s="206"/>
      <c r="J297" s="207">
        <v>93000</v>
      </c>
      <c r="K297" s="208">
        <f t="shared" si="15"/>
        <v>3.1399999999703141</v>
      </c>
      <c r="L297" s="162"/>
    </row>
    <row r="298" spans="1:12" s="142" customFormat="1" ht="17.25" customHeight="1">
      <c r="A298" s="142">
        <f t="shared" si="14"/>
        <v>11</v>
      </c>
      <c r="B298" s="157">
        <v>41597</v>
      </c>
      <c r="C298" s="158" t="s">
        <v>148</v>
      </c>
      <c r="D298" s="157">
        <v>41597</v>
      </c>
      <c r="E298" s="159" t="s">
        <v>491</v>
      </c>
      <c r="F298" s="162">
        <f t="shared" si="16"/>
        <v>101282654</v>
      </c>
      <c r="G298" s="160" t="s">
        <v>166</v>
      </c>
      <c r="H298" s="205">
        <v>21080</v>
      </c>
      <c r="I298" s="206">
        <v>4804.68</v>
      </c>
      <c r="J298" s="207"/>
      <c r="K298" s="208">
        <f t="shared" si="15"/>
        <v>4807.8199999999706</v>
      </c>
      <c r="L298" s="162"/>
    </row>
    <row r="299" spans="1:12" s="142" customFormat="1" ht="17.25" customHeight="1">
      <c r="A299" s="142">
        <f t="shared" si="14"/>
        <v>11</v>
      </c>
      <c r="B299" s="157">
        <v>41603</v>
      </c>
      <c r="C299" s="158" t="s">
        <v>145</v>
      </c>
      <c r="D299" s="157">
        <v>41603</v>
      </c>
      <c r="E299" s="159" t="s">
        <v>248</v>
      </c>
      <c r="F299" s="162">
        <f t="shared" si="16"/>
        <v>101232000</v>
      </c>
      <c r="G299" s="160" t="s">
        <v>36</v>
      </c>
      <c r="H299" s="205">
        <v>21090</v>
      </c>
      <c r="I299" s="206"/>
      <c r="J299" s="207">
        <v>4800</v>
      </c>
      <c r="K299" s="208">
        <f t="shared" si="15"/>
        <v>7.8199999999706051</v>
      </c>
      <c r="L299" s="162"/>
    </row>
    <row r="300" spans="1:12" s="142" customFormat="1" ht="17.25" customHeight="1">
      <c r="A300" s="142">
        <f t="shared" si="14"/>
        <v>11</v>
      </c>
      <c r="B300" s="157">
        <v>41604</v>
      </c>
      <c r="C300" s="158" t="s">
        <v>148</v>
      </c>
      <c r="D300" s="157">
        <v>41604</v>
      </c>
      <c r="E300" s="159" t="s">
        <v>491</v>
      </c>
      <c r="F300" s="162">
        <f t="shared" si="16"/>
        <v>54869220</v>
      </c>
      <c r="G300" s="160" t="s">
        <v>166</v>
      </c>
      <c r="H300" s="205">
        <v>21090</v>
      </c>
      <c r="I300" s="206">
        <v>2601.67</v>
      </c>
      <c r="J300" s="207"/>
      <c r="K300" s="208">
        <f t="shared" si="15"/>
        <v>2609.4899999999707</v>
      </c>
      <c r="L300" s="162"/>
    </row>
    <row r="301" spans="1:12" s="142" customFormat="1" ht="17.25" customHeight="1">
      <c r="A301" s="142">
        <f t="shared" si="14"/>
        <v>11</v>
      </c>
      <c r="B301" s="157">
        <v>41605</v>
      </c>
      <c r="C301" s="158" t="s">
        <v>148</v>
      </c>
      <c r="D301" s="157">
        <v>41605</v>
      </c>
      <c r="E301" s="159" t="s">
        <v>491</v>
      </c>
      <c r="F301" s="162">
        <f t="shared" si="16"/>
        <v>26581569</v>
      </c>
      <c r="G301" s="160" t="s">
        <v>166</v>
      </c>
      <c r="H301" s="205">
        <v>21100</v>
      </c>
      <c r="I301" s="206">
        <v>1259.79</v>
      </c>
      <c r="J301" s="207"/>
      <c r="K301" s="208">
        <f t="shared" si="15"/>
        <v>3869.2799999999706</v>
      </c>
      <c r="L301" s="162"/>
    </row>
    <row r="302" spans="1:12" s="142" customFormat="1" ht="17.25" customHeight="1">
      <c r="A302" s="142">
        <f t="shared" si="14"/>
        <v>11</v>
      </c>
      <c r="B302" s="157">
        <v>41605</v>
      </c>
      <c r="C302" s="158" t="s">
        <v>148</v>
      </c>
      <c r="D302" s="157">
        <v>41605</v>
      </c>
      <c r="E302" s="159" t="s">
        <v>491</v>
      </c>
      <c r="F302" s="162">
        <f t="shared" si="16"/>
        <v>1942585348</v>
      </c>
      <c r="G302" s="160" t="s">
        <v>166</v>
      </c>
      <c r="H302" s="205">
        <v>21090</v>
      </c>
      <c r="I302" s="206">
        <v>92109.31</v>
      </c>
      <c r="J302" s="207"/>
      <c r="K302" s="208">
        <f t="shared" si="15"/>
        <v>95978.589999999967</v>
      </c>
      <c r="L302" s="162"/>
    </row>
    <row r="303" spans="1:12" s="142" customFormat="1" ht="17.25" customHeight="1">
      <c r="A303" s="142">
        <f t="shared" si="14"/>
        <v>11</v>
      </c>
      <c r="B303" s="157">
        <v>41605</v>
      </c>
      <c r="C303" s="158" t="s">
        <v>145</v>
      </c>
      <c r="D303" s="157">
        <v>41605</v>
      </c>
      <c r="E303" s="159" t="s">
        <v>232</v>
      </c>
      <c r="F303" s="162">
        <f t="shared" si="16"/>
        <v>316425</v>
      </c>
      <c r="G303" s="160" t="s">
        <v>192</v>
      </c>
      <c r="H303" s="205">
        <v>21095</v>
      </c>
      <c r="I303" s="206"/>
      <c r="J303" s="207">
        <v>15</v>
      </c>
      <c r="K303" s="208">
        <f t="shared" si="15"/>
        <v>95963.589999999967</v>
      </c>
      <c r="L303" s="162"/>
    </row>
    <row r="304" spans="1:12" s="142" customFormat="1" ht="17.25" customHeight="1">
      <c r="A304" s="142">
        <f t="shared" si="14"/>
        <v>11</v>
      </c>
      <c r="B304" s="157">
        <v>41605</v>
      </c>
      <c r="C304" s="158" t="s">
        <v>145</v>
      </c>
      <c r="D304" s="157">
        <v>41605</v>
      </c>
      <c r="E304" s="159" t="s">
        <v>244</v>
      </c>
      <c r="F304" s="162">
        <f t="shared" si="16"/>
        <v>31643</v>
      </c>
      <c r="G304" s="160" t="s">
        <v>35</v>
      </c>
      <c r="H304" s="205">
        <v>21095</v>
      </c>
      <c r="I304" s="206"/>
      <c r="J304" s="207">
        <v>1.5</v>
      </c>
      <c r="K304" s="208">
        <f t="shared" si="15"/>
        <v>95962.089999999967</v>
      </c>
      <c r="L304" s="162"/>
    </row>
    <row r="305" spans="1:12" s="142" customFormat="1" ht="17.25" customHeight="1">
      <c r="A305" s="142">
        <f t="shared" ref="A305:A330" si="17">IF(B305&lt;&gt;"",MONTH(B305),"")</f>
        <v>11</v>
      </c>
      <c r="B305" s="157">
        <v>41605</v>
      </c>
      <c r="C305" s="158" t="s">
        <v>145</v>
      </c>
      <c r="D305" s="157">
        <v>41605</v>
      </c>
      <c r="E305" s="159" t="s">
        <v>248</v>
      </c>
      <c r="F305" s="162">
        <f t="shared" si="16"/>
        <v>2024640800</v>
      </c>
      <c r="G305" s="160" t="s">
        <v>36</v>
      </c>
      <c r="H305" s="205">
        <v>21112</v>
      </c>
      <c r="I305" s="206"/>
      <c r="J305" s="207">
        <v>95900</v>
      </c>
      <c r="K305" s="208">
        <f t="shared" ref="K305:K330" si="18">IF(B305&lt;&gt;"",K304+I305-J305,0)</f>
        <v>62.089999999967404</v>
      </c>
      <c r="L305" s="162"/>
    </row>
    <row r="306" spans="1:12" s="142" customFormat="1" ht="17.25" customHeight="1">
      <c r="A306" s="142">
        <f t="shared" si="17"/>
        <v>12</v>
      </c>
      <c r="B306" s="157">
        <v>41610</v>
      </c>
      <c r="C306" s="158" t="s">
        <v>145</v>
      </c>
      <c r="D306" s="157">
        <v>41610</v>
      </c>
      <c r="E306" s="159" t="s">
        <v>232</v>
      </c>
      <c r="F306" s="162">
        <f t="shared" si="16"/>
        <v>316350</v>
      </c>
      <c r="G306" s="160" t="s">
        <v>192</v>
      </c>
      <c r="H306" s="205">
        <v>21090</v>
      </c>
      <c r="I306" s="206"/>
      <c r="J306" s="207">
        <v>15</v>
      </c>
      <c r="K306" s="208">
        <f t="shared" si="18"/>
        <v>47.089999999967404</v>
      </c>
      <c r="L306" s="162"/>
    </row>
    <row r="307" spans="1:12" s="142" customFormat="1" ht="17.25" customHeight="1">
      <c r="A307" s="142">
        <f t="shared" si="17"/>
        <v>12</v>
      </c>
      <c r="B307" s="157">
        <v>41610</v>
      </c>
      <c r="C307" s="158" t="s">
        <v>145</v>
      </c>
      <c r="D307" s="157">
        <v>41610</v>
      </c>
      <c r="E307" s="159" t="s">
        <v>233</v>
      </c>
      <c r="F307" s="162">
        <f t="shared" si="16"/>
        <v>31635</v>
      </c>
      <c r="G307" s="160" t="s">
        <v>35</v>
      </c>
      <c r="H307" s="205">
        <v>21090</v>
      </c>
      <c r="I307" s="206"/>
      <c r="J307" s="207">
        <v>1.5</v>
      </c>
      <c r="K307" s="208">
        <f t="shared" si="18"/>
        <v>45.589999999967404</v>
      </c>
      <c r="L307" s="162"/>
    </row>
    <row r="308" spans="1:12" s="142" customFormat="1" ht="17.25" customHeight="1">
      <c r="A308" s="142">
        <f t="shared" si="17"/>
        <v>12</v>
      </c>
      <c r="B308" s="157">
        <v>41615</v>
      </c>
      <c r="C308" s="158" t="s">
        <v>145</v>
      </c>
      <c r="D308" s="157">
        <v>41615</v>
      </c>
      <c r="E308" s="159" t="s">
        <v>233</v>
      </c>
      <c r="F308" s="162">
        <f t="shared" si="16"/>
        <v>105600</v>
      </c>
      <c r="G308" s="160" t="s">
        <v>192</v>
      </c>
      <c r="H308" s="205">
        <v>21120</v>
      </c>
      <c r="I308" s="206"/>
      <c r="J308" s="207">
        <v>5</v>
      </c>
      <c r="K308" s="208">
        <f t="shared" si="18"/>
        <v>40.589999999967404</v>
      </c>
      <c r="L308" s="162"/>
    </row>
    <row r="309" spans="1:12" s="142" customFormat="1" ht="17.25" customHeight="1">
      <c r="A309" s="142">
        <f t="shared" si="17"/>
        <v>12</v>
      </c>
      <c r="B309" s="157">
        <v>41615</v>
      </c>
      <c r="C309" s="158" t="s">
        <v>145</v>
      </c>
      <c r="D309" s="157">
        <v>41615</v>
      </c>
      <c r="E309" s="159" t="s">
        <v>233</v>
      </c>
      <c r="F309" s="162">
        <f t="shared" si="16"/>
        <v>10560</v>
      </c>
      <c r="G309" s="160" t="s">
        <v>35</v>
      </c>
      <c r="H309" s="205">
        <v>21120</v>
      </c>
      <c r="I309" s="206"/>
      <c r="J309" s="207">
        <v>0.5</v>
      </c>
      <c r="K309" s="208">
        <f t="shared" si="18"/>
        <v>40.089999999967404</v>
      </c>
      <c r="L309" s="162"/>
    </row>
    <row r="310" spans="1:12" s="142" customFormat="1" ht="17.25" customHeight="1">
      <c r="A310" s="142">
        <f t="shared" si="17"/>
        <v>12</v>
      </c>
      <c r="B310" s="157">
        <v>41619</v>
      </c>
      <c r="C310" s="158" t="s">
        <v>148</v>
      </c>
      <c r="D310" s="157">
        <v>41619</v>
      </c>
      <c r="E310" s="159" t="s">
        <v>777</v>
      </c>
      <c r="F310" s="162">
        <f t="shared" si="16"/>
        <v>1415710000</v>
      </c>
      <c r="G310" s="160" t="s">
        <v>166</v>
      </c>
      <c r="H310" s="205">
        <v>21130</v>
      </c>
      <c r="I310" s="206">
        <v>67000</v>
      </c>
      <c r="J310" s="207"/>
      <c r="K310" s="208">
        <f t="shared" si="18"/>
        <v>67040.089999999967</v>
      </c>
      <c r="L310" s="162"/>
    </row>
    <row r="311" spans="1:12" s="142" customFormat="1" ht="17.25" customHeight="1">
      <c r="A311" s="142">
        <f t="shared" si="17"/>
        <v>12</v>
      </c>
      <c r="B311" s="157">
        <v>41619</v>
      </c>
      <c r="C311" s="158" t="s">
        <v>145</v>
      </c>
      <c r="D311" s="157">
        <v>41619</v>
      </c>
      <c r="E311" s="159" t="s">
        <v>249</v>
      </c>
      <c r="F311" s="162">
        <f t="shared" si="16"/>
        <v>2008401</v>
      </c>
      <c r="G311" s="160" t="s">
        <v>192</v>
      </c>
      <c r="H311" s="205">
        <v>21090</v>
      </c>
      <c r="I311" s="206"/>
      <c r="J311" s="207">
        <v>95.23</v>
      </c>
      <c r="K311" s="208">
        <f t="shared" si="18"/>
        <v>66944.859999999971</v>
      </c>
      <c r="L311" s="162"/>
    </row>
    <row r="312" spans="1:12" s="142" customFormat="1" ht="17.25" customHeight="1">
      <c r="A312" s="142">
        <f t="shared" si="17"/>
        <v>12</v>
      </c>
      <c r="B312" s="157">
        <v>41619</v>
      </c>
      <c r="C312" s="158" t="s">
        <v>145</v>
      </c>
      <c r="D312" s="157">
        <v>41619</v>
      </c>
      <c r="E312" s="159" t="s">
        <v>783</v>
      </c>
      <c r="F312" s="162">
        <f t="shared" si="16"/>
        <v>200777</v>
      </c>
      <c r="G312" s="160" t="s">
        <v>35</v>
      </c>
      <c r="H312" s="205">
        <v>21090</v>
      </c>
      <c r="I312" s="206"/>
      <c r="J312" s="207">
        <v>9.52</v>
      </c>
      <c r="K312" s="208">
        <f t="shared" si="18"/>
        <v>66935.339999999967</v>
      </c>
      <c r="L312" s="162"/>
    </row>
    <row r="313" spans="1:12" s="142" customFormat="1" ht="17.25" customHeight="1">
      <c r="A313" s="142">
        <f t="shared" si="17"/>
        <v>12</v>
      </c>
      <c r="B313" s="157">
        <v>41619</v>
      </c>
      <c r="C313" s="158" t="s">
        <v>145</v>
      </c>
      <c r="D313" s="157">
        <v>41619</v>
      </c>
      <c r="E313" s="159" t="s">
        <v>239</v>
      </c>
      <c r="F313" s="162">
        <f t="shared" si="16"/>
        <v>582506</v>
      </c>
      <c r="G313" s="160" t="s">
        <v>192</v>
      </c>
      <c r="H313" s="205">
        <v>21090</v>
      </c>
      <c r="I313" s="206"/>
      <c r="J313" s="207">
        <v>27.62</v>
      </c>
      <c r="K313" s="208">
        <f t="shared" si="18"/>
        <v>66907.719999999972</v>
      </c>
      <c r="L313" s="162"/>
    </row>
    <row r="314" spans="1:12" s="142" customFormat="1" ht="17.25" customHeight="1">
      <c r="A314" s="142">
        <f t="shared" si="17"/>
        <v>12</v>
      </c>
      <c r="B314" s="157">
        <v>41619</v>
      </c>
      <c r="C314" s="158" t="s">
        <v>145</v>
      </c>
      <c r="D314" s="157">
        <v>41619</v>
      </c>
      <c r="E314" s="159" t="s">
        <v>240</v>
      </c>
      <c r="F314" s="162">
        <f t="shared" si="16"/>
        <v>58208</v>
      </c>
      <c r="G314" s="160" t="s">
        <v>35</v>
      </c>
      <c r="H314" s="205">
        <v>21090</v>
      </c>
      <c r="I314" s="206"/>
      <c r="J314" s="207">
        <v>2.76</v>
      </c>
      <c r="K314" s="208">
        <f t="shared" si="18"/>
        <v>66904.959999999977</v>
      </c>
      <c r="L314" s="162"/>
    </row>
    <row r="315" spans="1:12" s="142" customFormat="1" ht="17.25" customHeight="1">
      <c r="A315" s="142">
        <f t="shared" si="17"/>
        <v>12</v>
      </c>
      <c r="B315" s="157">
        <v>41619</v>
      </c>
      <c r="C315" s="158" t="s">
        <v>145</v>
      </c>
      <c r="D315" s="157">
        <v>41619</v>
      </c>
      <c r="E315" s="159" t="s">
        <v>786</v>
      </c>
      <c r="F315" s="162">
        <f t="shared" si="16"/>
        <v>5215135</v>
      </c>
      <c r="G315" s="160" t="s">
        <v>192</v>
      </c>
      <c r="H315" s="205">
        <v>21090</v>
      </c>
      <c r="I315" s="206"/>
      <c r="J315" s="207">
        <v>247.28</v>
      </c>
      <c r="K315" s="208">
        <f t="shared" si="18"/>
        <v>66657.679999999978</v>
      </c>
      <c r="L315" s="162"/>
    </row>
    <row r="316" spans="1:12" s="142" customFormat="1" ht="17.25" customHeight="1">
      <c r="A316" s="142">
        <f t="shared" si="17"/>
        <v>12</v>
      </c>
      <c r="B316" s="157">
        <v>41619</v>
      </c>
      <c r="C316" s="158" t="s">
        <v>145</v>
      </c>
      <c r="D316" s="157">
        <v>41619</v>
      </c>
      <c r="E316" s="159" t="s">
        <v>787</v>
      </c>
      <c r="F316" s="162">
        <f t="shared" si="16"/>
        <v>13612962</v>
      </c>
      <c r="G316" s="160" t="s">
        <v>192</v>
      </c>
      <c r="H316" s="205">
        <v>21090</v>
      </c>
      <c r="I316" s="206"/>
      <c r="J316" s="207">
        <v>645.47</v>
      </c>
      <c r="K316" s="208">
        <f t="shared" si="18"/>
        <v>66012.209999999977</v>
      </c>
      <c r="L316" s="162"/>
    </row>
    <row r="317" spans="1:12" s="142" customFormat="1" ht="17.25" customHeight="1">
      <c r="A317" s="142">
        <f t="shared" si="17"/>
        <v>12</v>
      </c>
      <c r="B317" s="157">
        <v>41619</v>
      </c>
      <c r="C317" s="158" t="s">
        <v>145</v>
      </c>
      <c r="D317" s="157">
        <v>41619</v>
      </c>
      <c r="E317" s="159" t="s">
        <v>248</v>
      </c>
      <c r="F317" s="162">
        <f t="shared" si="16"/>
        <v>1393920000</v>
      </c>
      <c r="G317" s="160" t="s">
        <v>36</v>
      </c>
      <c r="H317" s="205">
        <v>21120</v>
      </c>
      <c r="I317" s="206"/>
      <c r="J317" s="207">
        <v>66000</v>
      </c>
      <c r="K317" s="208">
        <f t="shared" si="18"/>
        <v>12.209999999977299</v>
      </c>
      <c r="L317" s="162"/>
    </row>
    <row r="318" spans="1:12" s="142" customFormat="1" ht="17.25" customHeight="1">
      <c r="A318" s="142">
        <f t="shared" si="17"/>
        <v>12</v>
      </c>
      <c r="B318" s="157">
        <v>41624</v>
      </c>
      <c r="C318" s="158" t="s">
        <v>148</v>
      </c>
      <c r="D318" s="157">
        <v>41624</v>
      </c>
      <c r="E318" s="159" t="s">
        <v>491</v>
      </c>
      <c r="F318" s="162">
        <f t="shared" si="16"/>
        <v>683108896</v>
      </c>
      <c r="G318" s="160" t="s">
        <v>166</v>
      </c>
      <c r="H318" s="205">
        <v>21090</v>
      </c>
      <c r="I318" s="206">
        <v>32390.18</v>
      </c>
      <c r="J318" s="207"/>
      <c r="K318" s="208">
        <f t="shared" si="18"/>
        <v>32402.389999999978</v>
      </c>
      <c r="L318" s="162"/>
    </row>
    <row r="319" spans="1:12" s="142" customFormat="1" ht="17.25" customHeight="1">
      <c r="A319" s="142">
        <f t="shared" si="17"/>
        <v>12</v>
      </c>
      <c r="B319" s="157">
        <v>41625</v>
      </c>
      <c r="C319" s="158" t="s">
        <v>148</v>
      </c>
      <c r="D319" s="157">
        <v>41625</v>
      </c>
      <c r="E319" s="159" t="s">
        <v>777</v>
      </c>
      <c r="F319" s="162">
        <f t="shared" si="16"/>
        <v>1204410000</v>
      </c>
      <c r="G319" s="160" t="s">
        <v>166</v>
      </c>
      <c r="H319" s="205">
        <v>21130</v>
      </c>
      <c r="I319" s="206">
        <v>57000</v>
      </c>
      <c r="J319" s="207"/>
      <c r="K319" s="208">
        <f t="shared" si="18"/>
        <v>89402.389999999985</v>
      </c>
      <c r="L319" s="162"/>
    </row>
    <row r="320" spans="1:12" s="142" customFormat="1" ht="17.25" customHeight="1">
      <c r="A320" s="142">
        <f t="shared" si="17"/>
        <v>12</v>
      </c>
      <c r="B320" s="157">
        <v>41625</v>
      </c>
      <c r="C320" s="158" t="s">
        <v>145</v>
      </c>
      <c r="D320" s="157">
        <v>41625</v>
      </c>
      <c r="E320" s="159" t="s">
        <v>249</v>
      </c>
      <c r="F320" s="162">
        <f t="shared" si="16"/>
        <v>1708290</v>
      </c>
      <c r="G320" s="160" t="s">
        <v>192</v>
      </c>
      <c r="H320" s="205">
        <v>21090</v>
      </c>
      <c r="I320" s="206"/>
      <c r="J320" s="207">
        <v>81</v>
      </c>
      <c r="K320" s="208">
        <f t="shared" si="18"/>
        <v>89321.389999999985</v>
      </c>
      <c r="L320" s="162"/>
    </row>
    <row r="321" spans="1:12" s="142" customFormat="1" ht="17.25" customHeight="1">
      <c r="A321" s="142">
        <f t="shared" si="17"/>
        <v>12</v>
      </c>
      <c r="B321" s="157">
        <v>41625</v>
      </c>
      <c r="C321" s="158" t="s">
        <v>145</v>
      </c>
      <c r="D321" s="157">
        <v>41625</v>
      </c>
      <c r="E321" s="159" t="s">
        <v>783</v>
      </c>
      <c r="F321" s="162">
        <f t="shared" si="16"/>
        <v>170829</v>
      </c>
      <c r="G321" s="160" t="s">
        <v>35</v>
      </c>
      <c r="H321" s="205">
        <v>21090</v>
      </c>
      <c r="I321" s="206"/>
      <c r="J321" s="207">
        <v>8.1</v>
      </c>
      <c r="K321" s="208">
        <f t="shared" si="18"/>
        <v>89313.289999999979</v>
      </c>
      <c r="L321" s="162"/>
    </row>
    <row r="322" spans="1:12" s="142" customFormat="1" ht="17.25" customHeight="1">
      <c r="A322" s="142">
        <f t="shared" si="17"/>
        <v>12</v>
      </c>
      <c r="B322" s="157">
        <v>41625</v>
      </c>
      <c r="C322" s="158" t="s">
        <v>145</v>
      </c>
      <c r="D322" s="157">
        <v>41625</v>
      </c>
      <c r="E322" s="159" t="s">
        <v>239</v>
      </c>
      <c r="F322" s="162">
        <f t="shared" si="16"/>
        <v>582506</v>
      </c>
      <c r="G322" s="160" t="s">
        <v>192</v>
      </c>
      <c r="H322" s="205">
        <v>21090</v>
      </c>
      <c r="I322" s="206"/>
      <c r="J322" s="207">
        <v>27.62</v>
      </c>
      <c r="K322" s="208">
        <f t="shared" si="18"/>
        <v>89285.669999999984</v>
      </c>
      <c r="L322" s="162"/>
    </row>
    <row r="323" spans="1:12" s="142" customFormat="1" ht="17.25" customHeight="1">
      <c r="A323" s="142">
        <f t="shared" si="17"/>
        <v>12</v>
      </c>
      <c r="B323" s="157">
        <v>41625</v>
      </c>
      <c r="C323" s="158" t="s">
        <v>145</v>
      </c>
      <c r="D323" s="157">
        <v>41625</v>
      </c>
      <c r="E323" s="159" t="s">
        <v>240</v>
      </c>
      <c r="F323" s="162">
        <f t="shared" si="16"/>
        <v>58208</v>
      </c>
      <c r="G323" s="160" t="s">
        <v>35</v>
      </c>
      <c r="H323" s="205">
        <v>21090</v>
      </c>
      <c r="I323" s="206"/>
      <c r="J323" s="207">
        <v>2.76</v>
      </c>
      <c r="K323" s="208">
        <f t="shared" si="18"/>
        <v>89282.909999999989</v>
      </c>
      <c r="L323" s="162"/>
    </row>
    <row r="324" spans="1:12" s="142" customFormat="1" ht="17.25" customHeight="1">
      <c r="A324" s="142">
        <f t="shared" si="17"/>
        <v>12</v>
      </c>
      <c r="B324" s="157">
        <v>41625</v>
      </c>
      <c r="C324" s="158" t="s">
        <v>145</v>
      </c>
      <c r="D324" s="157">
        <v>41625</v>
      </c>
      <c r="E324" s="159" t="s">
        <v>248</v>
      </c>
      <c r="F324" s="162">
        <f t="shared" si="16"/>
        <v>1198480000</v>
      </c>
      <c r="G324" s="160" t="s">
        <v>36</v>
      </c>
      <c r="H324" s="205">
        <v>21100</v>
      </c>
      <c r="I324" s="206"/>
      <c r="J324" s="207">
        <v>56800</v>
      </c>
      <c r="K324" s="208">
        <f t="shared" si="18"/>
        <v>32482.909999999989</v>
      </c>
      <c r="L324" s="162"/>
    </row>
    <row r="325" spans="1:12" s="142" customFormat="1" ht="17.25" customHeight="1">
      <c r="A325" s="142">
        <f t="shared" si="17"/>
        <v>12</v>
      </c>
      <c r="B325" s="157">
        <v>41625</v>
      </c>
      <c r="C325" s="158" t="s">
        <v>145</v>
      </c>
      <c r="D325" s="157">
        <v>41625</v>
      </c>
      <c r="E325" s="159" t="s">
        <v>248</v>
      </c>
      <c r="F325" s="162">
        <f t="shared" si="16"/>
        <v>681594600</v>
      </c>
      <c r="G325" s="160" t="s">
        <v>36</v>
      </c>
      <c r="H325" s="205">
        <v>21102</v>
      </c>
      <c r="I325" s="206"/>
      <c r="J325" s="207">
        <v>32300</v>
      </c>
      <c r="K325" s="208">
        <f t="shared" si="18"/>
        <v>182.90999999998894</v>
      </c>
      <c r="L325" s="162"/>
    </row>
    <row r="326" spans="1:12" s="142" customFormat="1" ht="17.25" customHeight="1">
      <c r="A326" s="142">
        <f t="shared" si="17"/>
        <v>12</v>
      </c>
      <c r="B326" s="157">
        <v>41629</v>
      </c>
      <c r="C326" s="158" t="s">
        <v>148</v>
      </c>
      <c r="D326" s="157">
        <v>41629</v>
      </c>
      <c r="E326" s="159" t="s">
        <v>491</v>
      </c>
      <c r="F326" s="162">
        <f t="shared" si="16"/>
        <v>72025095</v>
      </c>
      <c r="G326" s="160" t="s">
        <v>166</v>
      </c>
      <c r="H326" s="205">
        <v>21085</v>
      </c>
      <c r="I326" s="206">
        <v>3415.94</v>
      </c>
      <c r="J326" s="207"/>
      <c r="K326" s="208">
        <f t="shared" si="18"/>
        <v>3598.849999999989</v>
      </c>
      <c r="L326" s="162"/>
    </row>
    <row r="327" spans="1:12" s="142" customFormat="1" ht="17.25" customHeight="1">
      <c r="A327" s="142">
        <f t="shared" si="17"/>
        <v>12</v>
      </c>
      <c r="B327" s="157">
        <v>41632</v>
      </c>
      <c r="C327" s="158" t="s">
        <v>148</v>
      </c>
      <c r="D327" s="157">
        <v>41632</v>
      </c>
      <c r="E327" s="159" t="s">
        <v>157</v>
      </c>
      <c r="F327" s="162">
        <f t="shared" si="16"/>
        <v>3374</v>
      </c>
      <c r="G327" s="160" t="s">
        <v>158</v>
      </c>
      <c r="H327" s="205">
        <v>21088</v>
      </c>
      <c r="I327" s="206">
        <v>0.16</v>
      </c>
      <c r="J327" s="207"/>
      <c r="K327" s="208">
        <f t="shared" si="18"/>
        <v>3599.0099999999888</v>
      </c>
      <c r="L327" s="162"/>
    </row>
    <row r="328" spans="1:12" s="142" customFormat="1" ht="17.25" customHeight="1">
      <c r="A328" s="142">
        <f t="shared" si="17"/>
        <v>12</v>
      </c>
      <c r="B328" s="157">
        <v>41635</v>
      </c>
      <c r="C328" s="158" t="s">
        <v>148</v>
      </c>
      <c r="D328" s="157">
        <v>41635</v>
      </c>
      <c r="E328" s="159" t="s">
        <v>777</v>
      </c>
      <c r="F328" s="162">
        <f t="shared" si="16"/>
        <v>448897500</v>
      </c>
      <c r="G328" s="160" t="s">
        <v>166</v>
      </c>
      <c r="H328" s="205">
        <v>21075</v>
      </c>
      <c r="I328" s="206">
        <v>21300</v>
      </c>
      <c r="J328" s="207"/>
      <c r="K328" s="208">
        <f t="shared" si="18"/>
        <v>24899.009999999987</v>
      </c>
      <c r="L328" s="162"/>
    </row>
    <row r="329" spans="1:12" s="142" customFormat="1" ht="17.25" customHeight="1">
      <c r="A329" s="142">
        <f t="shared" si="17"/>
        <v>12</v>
      </c>
      <c r="B329" s="157">
        <v>41635</v>
      </c>
      <c r="C329" s="158" t="s">
        <v>148</v>
      </c>
      <c r="D329" s="157">
        <v>41635</v>
      </c>
      <c r="E329" s="159" t="s">
        <v>777</v>
      </c>
      <c r="F329" s="162">
        <f t="shared" si="16"/>
        <v>453112500</v>
      </c>
      <c r="G329" s="160" t="s">
        <v>166</v>
      </c>
      <c r="H329" s="205">
        <v>21075</v>
      </c>
      <c r="I329" s="206">
        <v>21500</v>
      </c>
      <c r="J329" s="207"/>
      <c r="K329" s="208">
        <f t="shared" si="18"/>
        <v>46399.009999999987</v>
      </c>
      <c r="L329" s="162"/>
    </row>
    <row r="330" spans="1:12" s="142" customFormat="1" ht="17.25" customHeight="1">
      <c r="A330" s="142">
        <f t="shared" si="17"/>
        <v>12</v>
      </c>
      <c r="B330" s="157">
        <v>41635</v>
      </c>
      <c r="C330" s="158" t="s">
        <v>148</v>
      </c>
      <c r="D330" s="157">
        <v>41635</v>
      </c>
      <c r="E330" s="159" t="s">
        <v>491</v>
      </c>
      <c r="F330" s="162">
        <f t="shared" si="16"/>
        <v>526311244</v>
      </c>
      <c r="G330" s="160" t="s">
        <v>166</v>
      </c>
      <c r="H330" s="205">
        <v>21075</v>
      </c>
      <c r="I330" s="206">
        <v>24973.25</v>
      </c>
      <c r="J330" s="207"/>
      <c r="K330" s="208">
        <f t="shared" si="18"/>
        <v>71372.25999999998</v>
      </c>
      <c r="L330" s="162"/>
    </row>
    <row r="331" spans="1:12" s="142" customFormat="1" ht="17.25" customHeight="1">
      <c r="A331" s="142">
        <f t="shared" ref="A331:A342" si="19">IF(B331&lt;&gt;"",MONTH(B331),"")</f>
        <v>12</v>
      </c>
      <c r="B331" s="157">
        <v>41635</v>
      </c>
      <c r="C331" s="158" t="s">
        <v>145</v>
      </c>
      <c r="D331" s="157">
        <v>41635</v>
      </c>
      <c r="E331" s="159" t="s">
        <v>248</v>
      </c>
      <c r="F331" s="162">
        <f t="shared" si="16"/>
        <v>1499214600</v>
      </c>
      <c r="G331" s="160" t="s">
        <v>36</v>
      </c>
      <c r="H331" s="205">
        <v>21086</v>
      </c>
      <c r="I331" s="206"/>
      <c r="J331" s="207">
        <v>71100</v>
      </c>
      <c r="K331" s="208">
        <f t="shared" ref="K331:K342" si="20">IF(B331&lt;&gt;"",K330+I331-J331,0)</f>
        <v>272.25999999998021</v>
      </c>
      <c r="L331" s="162"/>
    </row>
    <row r="332" spans="1:12" s="142" customFormat="1" ht="17.25" customHeight="1">
      <c r="A332" s="142">
        <f t="shared" si="19"/>
        <v>12</v>
      </c>
      <c r="B332" s="157">
        <v>41635</v>
      </c>
      <c r="C332" s="158" t="s">
        <v>145</v>
      </c>
      <c r="D332" s="157">
        <v>41635</v>
      </c>
      <c r="E332" s="159" t="s">
        <v>788</v>
      </c>
      <c r="F332" s="162">
        <f t="shared" si="16"/>
        <v>641980</v>
      </c>
      <c r="G332" s="160" t="s">
        <v>192</v>
      </c>
      <c r="H332" s="205">
        <v>21090</v>
      </c>
      <c r="I332" s="206"/>
      <c r="J332" s="207">
        <v>30.44</v>
      </c>
      <c r="K332" s="208">
        <f t="shared" si="20"/>
        <v>241.81999999998021</v>
      </c>
      <c r="L332" s="162"/>
    </row>
    <row r="333" spans="1:12" s="142" customFormat="1" ht="17.25" customHeight="1">
      <c r="A333" s="142">
        <f t="shared" si="19"/>
        <v>12</v>
      </c>
      <c r="B333" s="157">
        <v>41635</v>
      </c>
      <c r="C333" s="158" t="s">
        <v>145</v>
      </c>
      <c r="D333" s="157">
        <v>41635</v>
      </c>
      <c r="E333" s="159" t="s">
        <v>789</v>
      </c>
      <c r="F333" s="162">
        <f t="shared" ref="F333:F346" si="21">ROUND((I333+J333)*H333,0)</f>
        <v>64114</v>
      </c>
      <c r="G333" s="160" t="s">
        <v>35</v>
      </c>
      <c r="H333" s="205">
        <v>21090</v>
      </c>
      <c r="I333" s="206"/>
      <c r="J333" s="207">
        <v>3.04</v>
      </c>
      <c r="K333" s="208">
        <f t="shared" si="20"/>
        <v>238.77999999998022</v>
      </c>
      <c r="L333" s="162"/>
    </row>
    <row r="334" spans="1:12" s="142" customFormat="1" ht="17.25" customHeight="1">
      <c r="A334" s="142">
        <f t="shared" si="19"/>
        <v>12</v>
      </c>
      <c r="B334" s="157">
        <v>41635</v>
      </c>
      <c r="C334" s="158" t="s">
        <v>145</v>
      </c>
      <c r="D334" s="157">
        <v>41635</v>
      </c>
      <c r="E334" s="159" t="s">
        <v>239</v>
      </c>
      <c r="F334" s="162">
        <f t="shared" si="21"/>
        <v>582506</v>
      </c>
      <c r="G334" s="160" t="s">
        <v>192</v>
      </c>
      <c r="H334" s="205">
        <v>21090</v>
      </c>
      <c r="I334" s="206"/>
      <c r="J334" s="207">
        <v>27.62</v>
      </c>
      <c r="K334" s="208">
        <f t="shared" si="20"/>
        <v>211.15999999998022</v>
      </c>
      <c r="L334" s="162"/>
    </row>
    <row r="335" spans="1:12" s="142" customFormat="1" ht="17.25" customHeight="1">
      <c r="A335" s="142">
        <f t="shared" si="19"/>
        <v>12</v>
      </c>
      <c r="B335" s="157">
        <v>41635</v>
      </c>
      <c r="C335" s="158" t="s">
        <v>145</v>
      </c>
      <c r="D335" s="157">
        <v>41635</v>
      </c>
      <c r="E335" s="159" t="s">
        <v>240</v>
      </c>
      <c r="F335" s="162">
        <f t="shared" si="21"/>
        <v>58208</v>
      </c>
      <c r="G335" s="160" t="s">
        <v>35</v>
      </c>
      <c r="H335" s="205">
        <v>21090</v>
      </c>
      <c r="I335" s="206"/>
      <c r="J335" s="207">
        <v>2.76</v>
      </c>
      <c r="K335" s="208">
        <f t="shared" si="20"/>
        <v>208.39999999998022</v>
      </c>
      <c r="L335" s="162"/>
    </row>
    <row r="336" spans="1:12" s="142" customFormat="1" ht="17.25" customHeight="1">
      <c r="A336" s="142">
        <f t="shared" si="19"/>
        <v>12</v>
      </c>
      <c r="B336" s="157">
        <v>41635</v>
      </c>
      <c r="C336" s="158" t="s">
        <v>145</v>
      </c>
      <c r="D336" s="157">
        <v>41635</v>
      </c>
      <c r="E336" s="159" t="s">
        <v>239</v>
      </c>
      <c r="F336" s="162">
        <f t="shared" si="21"/>
        <v>753757</v>
      </c>
      <c r="G336" s="160" t="s">
        <v>192</v>
      </c>
      <c r="H336" s="205">
        <v>21090</v>
      </c>
      <c r="I336" s="206"/>
      <c r="J336" s="207">
        <v>35.74</v>
      </c>
      <c r="K336" s="208">
        <f t="shared" si="20"/>
        <v>172.65999999998022</v>
      </c>
      <c r="L336" s="162"/>
    </row>
    <row r="337" spans="1:13" s="142" customFormat="1" ht="17.25" customHeight="1">
      <c r="A337" s="142">
        <f t="shared" si="19"/>
        <v>12</v>
      </c>
      <c r="B337" s="157">
        <v>41635</v>
      </c>
      <c r="C337" s="158" t="s">
        <v>145</v>
      </c>
      <c r="D337" s="157">
        <v>41635</v>
      </c>
      <c r="E337" s="159" t="s">
        <v>240</v>
      </c>
      <c r="F337" s="162">
        <f t="shared" si="21"/>
        <v>75291</v>
      </c>
      <c r="G337" s="160" t="s">
        <v>35</v>
      </c>
      <c r="H337" s="205">
        <v>21090</v>
      </c>
      <c r="I337" s="206"/>
      <c r="J337" s="207">
        <v>3.57</v>
      </c>
      <c r="K337" s="208">
        <f t="shared" si="20"/>
        <v>169.08999999998022</v>
      </c>
      <c r="L337" s="162"/>
    </row>
    <row r="338" spans="1:13" s="142" customFormat="1" ht="17.25" customHeight="1">
      <c r="A338" s="142">
        <f t="shared" si="19"/>
        <v>12</v>
      </c>
      <c r="B338" s="157">
        <v>41635</v>
      </c>
      <c r="C338" s="158" t="s">
        <v>145</v>
      </c>
      <c r="D338" s="157">
        <v>41635</v>
      </c>
      <c r="E338" s="159" t="s">
        <v>249</v>
      </c>
      <c r="F338" s="162">
        <f t="shared" si="21"/>
        <v>648728</v>
      </c>
      <c r="G338" s="160" t="s">
        <v>192</v>
      </c>
      <c r="H338" s="205">
        <v>21090</v>
      </c>
      <c r="I338" s="206"/>
      <c r="J338" s="207">
        <v>30.76</v>
      </c>
      <c r="K338" s="208">
        <f t="shared" si="20"/>
        <v>138.32999999998023</v>
      </c>
      <c r="L338" s="162"/>
    </row>
    <row r="339" spans="1:13" s="142" customFormat="1" ht="17.25" customHeight="1">
      <c r="A339" s="142">
        <f t="shared" si="19"/>
        <v>12</v>
      </c>
      <c r="B339" s="157">
        <v>41635</v>
      </c>
      <c r="C339" s="158" t="s">
        <v>145</v>
      </c>
      <c r="D339" s="157">
        <v>41635</v>
      </c>
      <c r="E339" s="159" t="s">
        <v>250</v>
      </c>
      <c r="F339" s="162">
        <f t="shared" si="21"/>
        <v>64957</v>
      </c>
      <c r="G339" s="160" t="s">
        <v>35</v>
      </c>
      <c r="H339" s="205">
        <v>21090</v>
      </c>
      <c r="I339" s="206"/>
      <c r="J339" s="207">
        <v>3.08</v>
      </c>
      <c r="K339" s="208">
        <f t="shared" si="20"/>
        <v>135.24999999998022</v>
      </c>
      <c r="L339" s="162"/>
    </row>
    <row r="340" spans="1:13" s="142" customFormat="1" ht="17.25" customHeight="1">
      <c r="A340" s="142">
        <f t="shared" si="19"/>
        <v>12</v>
      </c>
      <c r="B340" s="157">
        <v>41635</v>
      </c>
      <c r="C340" s="158" t="s">
        <v>145</v>
      </c>
      <c r="D340" s="157">
        <v>41635</v>
      </c>
      <c r="E340" s="159" t="s">
        <v>239</v>
      </c>
      <c r="F340" s="162">
        <f t="shared" si="21"/>
        <v>582506</v>
      </c>
      <c r="G340" s="160" t="s">
        <v>192</v>
      </c>
      <c r="H340" s="205">
        <v>21090</v>
      </c>
      <c r="I340" s="206"/>
      <c r="J340" s="207">
        <v>27.62</v>
      </c>
      <c r="K340" s="208">
        <f t="shared" si="20"/>
        <v>107.62999999998021</v>
      </c>
      <c r="L340" s="162"/>
    </row>
    <row r="341" spans="1:13" s="142" customFormat="1" ht="17.25" customHeight="1">
      <c r="A341" s="142">
        <f t="shared" si="19"/>
        <v>12</v>
      </c>
      <c r="B341" s="157">
        <v>41635</v>
      </c>
      <c r="C341" s="158" t="s">
        <v>145</v>
      </c>
      <c r="D341" s="157">
        <v>41635</v>
      </c>
      <c r="E341" s="159" t="s">
        <v>240</v>
      </c>
      <c r="F341" s="162">
        <f t="shared" si="21"/>
        <v>58208</v>
      </c>
      <c r="G341" s="160" t="s">
        <v>35</v>
      </c>
      <c r="H341" s="205">
        <v>21090</v>
      </c>
      <c r="I341" s="206"/>
      <c r="J341" s="207">
        <v>2.76</v>
      </c>
      <c r="K341" s="208">
        <f t="shared" si="20"/>
        <v>104.86999999998021</v>
      </c>
      <c r="L341" s="162"/>
    </row>
    <row r="342" spans="1:13" s="142" customFormat="1" ht="17.25" customHeight="1">
      <c r="A342" s="142">
        <f t="shared" si="19"/>
        <v>12</v>
      </c>
      <c r="B342" s="157">
        <v>41635</v>
      </c>
      <c r="C342" s="158" t="s">
        <v>145</v>
      </c>
      <c r="D342" s="157">
        <v>41635</v>
      </c>
      <c r="E342" s="159" t="s">
        <v>239</v>
      </c>
      <c r="F342" s="162">
        <f t="shared" si="21"/>
        <v>753757</v>
      </c>
      <c r="G342" s="160" t="s">
        <v>192</v>
      </c>
      <c r="H342" s="205">
        <v>21090</v>
      </c>
      <c r="I342" s="206"/>
      <c r="J342" s="207">
        <v>35.74</v>
      </c>
      <c r="K342" s="208">
        <f t="shared" si="20"/>
        <v>69.129999999980214</v>
      </c>
      <c r="L342" s="162"/>
    </row>
    <row r="343" spans="1:13" s="142" customFormat="1" ht="17.25" customHeight="1">
      <c r="A343" s="142">
        <f t="shared" ref="A343:A346" si="22">IF(B343&lt;&gt;"",MONTH(B343),"")</f>
        <v>12</v>
      </c>
      <c r="B343" s="157">
        <v>41635</v>
      </c>
      <c r="C343" s="158" t="s">
        <v>145</v>
      </c>
      <c r="D343" s="157">
        <v>41635</v>
      </c>
      <c r="E343" s="159" t="s">
        <v>240</v>
      </c>
      <c r="F343" s="162">
        <f t="shared" si="21"/>
        <v>75291</v>
      </c>
      <c r="G343" s="160" t="s">
        <v>35</v>
      </c>
      <c r="H343" s="205">
        <v>21090</v>
      </c>
      <c r="I343" s="206"/>
      <c r="J343" s="207">
        <v>3.57</v>
      </c>
      <c r="K343" s="208">
        <f t="shared" ref="K343:K346" si="23">IF(B343&lt;&gt;"",K342+I343-J343,0)</f>
        <v>65.559999999980221</v>
      </c>
      <c r="L343" s="162"/>
    </row>
    <row r="344" spans="1:13" s="142" customFormat="1" ht="17.25" customHeight="1">
      <c r="A344" s="142">
        <f t="shared" si="22"/>
        <v>12</v>
      </c>
      <c r="B344" s="157">
        <v>41638</v>
      </c>
      <c r="C344" s="158" t="s">
        <v>145</v>
      </c>
      <c r="D344" s="157">
        <v>41638</v>
      </c>
      <c r="E344" s="159" t="s">
        <v>491</v>
      </c>
      <c r="F344" s="162">
        <f t="shared" si="21"/>
        <v>101128349</v>
      </c>
      <c r="G344" s="160" t="s">
        <v>166</v>
      </c>
      <c r="H344" s="205">
        <v>21080</v>
      </c>
      <c r="I344" s="206">
        <v>4797.3599999999997</v>
      </c>
      <c r="J344" s="207"/>
      <c r="K344" s="208">
        <f t="shared" si="23"/>
        <v>4862.9199999999801</v>
      </c>
      <c r="L344" s="162"/>
    </row>
    <row r="345" spans="1:13" s="142" customFormat="1" ht="17.25" customHeight="1">
      <c r="A345" s="142">
        <f t="shared" si="22"/>
        <v>12</v>
      </c>
      <c r="B345" s="157">
        <v>41638</v>
      </c>
      <c r="C345" s="158" t="s">
        <v>145</v>
      </c>
      <c r="D345" s="157">
        <v>41638</v>
      </c>
      <c r="E345" s="159" t="s">
        <v>788</v>
      </c>
      <c r="F345" s="162">
        <f t="shared" si="21"/>
        <v>316350</v>
      </c>
      <c r="G345" s="160" t="s">
        <v>192</v>
      </c>
      <c r="H345" s="205">
        <v>21090</v>
      </c>
      <c r="I345" s="206"/>
      <c r="J345" s="207">
        <v>15</v>
      </c>
      <c r="K345" s="208">
        <f t="shared" si="23"/>
        <v>4847.9199999999801</v>
      </c>
      <c r="L345" s="162"/>
    </row>
    <row r="346" spans="1:13" s="142" customFormat="1" ht="17.25" customHeight="1">
      <c r="A346" s="142">
        <f t="shared" si="22"/>
        <v>12</v>
      </c>
      <c r="B346" s="157">
        <v>41638</v>
      </c>
      <c r="C346" s="158" t="s">
        <v>145</v>
      </c>
      <c r="D346" s="157">
        <v>41638</v>
      </c>
      <c r="E346" s="159" t="s">
        <v>789</v>
      </c>
      <c r="F346" s="162">
        <f t="shared" si="21"/>
        <v>31635</v>
      </c>
      <c r="G346" s="160" t="s">
        <v>35</v>
      </c>
      <c r="H346" s="205">
        <v>21090</v>
      </c>
      <c r="I346" s="206"/>
      <c r="J346" s="207">
        <v>1.5</v>
      </c>
      <c r="K346" s="208">
        <f t="shared" si="23"/>
        <v>4846.4199999999801</v>
      </c>
      <c r="L346" s="162"/>
    </row>
    <row r="347" spans="1:13" s="186" customFormat="1" ht="17.25" customHeight="1">
      <c r="B347" s="157"/>
      <c r="C347" s="209"/>
      <c r="D347" s="210"/>
      <c r="E347" s="211"/>
      <c r="F347" s="211"/>
      <c r="G347" s="209"/>
      <c r="H347" s="212"/>
      <c r="I347" s="213"/>
      <c r="J347" s="213"/>
      <c r="K347" s="214"/>
      <c r="L347" s="211"/>
    </row>
    <row r="348" spans="1:13" s="194" customFormat="1" ht="17.25" customHeight="1">
      <c r="B348" s="215"/>
      <c r="C348" s="216"/>
      <c r="D348" s="217"/>
      <c r="E348" s="200" t="s">
        <v>29</v>
      </c>
      <c r="F348" s="200"/>
      <c r="G348" s="217"/>
      <c r="H348" s="218"/>
      <c r="I348" s="203">
        <f>SUM(I12:I347)</f>
        <v>2692591.7100000009</v>
      </c>
      <c r="J348" s="203">
        <f>SUM(J12:J347)</f>
        <v>2687760.49</v>
      </c>
      <c r="K348" s="203">
        <f>K11+I348-J348</f>
        <v>4846.4200000008568</v>
      </c>
      <c r="L348" s="217"/>
    </row>
    <row r="349" spans="1:13" s="194" customFormat="1" ht="17.25" customHeight="1">
      <c r="B349" s="215"/>
      <c r="C349" s="216"/>
      <c r="D349" s="217"/>
      <c r="E349" s="200" t="s">
        <v>161</v>
      </c>
      <c r="F349" s="200"/>
      <c r="G349" s="217"/>
      <c r="H349" s="218"/>
      <c r="I349" s="203"/>
      <c r="J349" s="203"/>
      <c r="K349" s="203">
        <f>K348</f>
        <v>4846.4200000008568</v>
      </c>
      <c r="L349" s="217"/>
      <c r="M349" s="204"/>
    </row>
    <row r="350" spans="1:13" s="186" customFormat="1" ht="22.5" customHeight="1">
      <c r="B350" s="219" t="s">
        <v>162</v>
      </c>
      <c r="C350" s="220"/>
      <c r="H350" s="188"/>
      <c r="I350" s="221"/>
      <c r="J350" s="189"/>
      <c r="K350" s="371">
        <f>K349+'Q4-USD'!K39</f>
        <v>4863.61000000083</v>
      </c>
      <c r="M350" s="247">
        <f>K350*H157</f>
        <v>103059895.90001759</v>
      </c>
    </row>
    <row r="351" spans="1:13" s="186" customFormat="1" ht="15">
      <c r="B351" s="222" t="s">
        <v>167</v>
      </c>
      <c r="C351" s="137"/>
      <c r="H351" s="188"/>
      <c r="I351" s="190"/>
      <c r="J351" s="189"/>
      <c r="K351" s="189"/>
    </row>
    <row r="352" spans="1:13" s="186" customFormat="1" ht="15">
      <c r="B352" s="223"/>
      <c r="C352" s="135"/>
      <c r="D352" s="224"/>
      <c r="H352" s="188"/>
      <c r="I352" s="189"/>
      <c r="J352" s="409" t="s">
        <v>163</v>
      </c>
      <c r="K352" s="409"/>
      <c r="L352" s="409"/>
    </row>
    <row r="353" spans="2:13" s="186" customFormat="1" ht="17.25" customHeight="1">
      <c r="B353" s="426" t="s">
        <v>33</v>
      </c>
      <c r="C353" s="426"/>
      <c r="D353" s="135"/>
      <c r="G353" s="138" t="s">
        <v>13</v>
      </c>
      <c r="H353" s="225"/>
      <c r="I353" s="226"/>
      <c r="J353" s="227"/>
      <c r="K353" s="228" t="s">
        <v>14</v>
      </c>
      <c r="L353" s="229"/>
      <c r="M353" s="223"/>
    </row>
    <row r="354" spans="2:13" s="186" customFormat="1" ht="15">
      <c r="B354" s="427" t="s">
        <v>15</v>
      </c>
      <c r="C354" s="427"/>
      <c r="D354" s="230"/>
      <c r="G354" s="136" t="s">
        <v>15</v>
      </c>
      <c r="H354" s="231"/>
      <c r="I354" s="232"/>
      <c r="J354" s="429" t="s">
        <v>16</v>
      </c>
      <c r="K354" s="429"/>
      <c r="L354" s="429"/>
      <c r="M354" s="233"/>
    </row>
    <row r="359" spans="2:13">
      <c r="K359" s="234"/>
    </row>
  </sheetData>
  <autoFilter ref="A10:N330">
    <filterColumn colId="0"/>
    <filterColumn colId="6"/>
  </autoFilter>
  <mergeCells count="19">
    <mergeCell ref="B5:L5"/>
    <mergeCell ref="B6:L6"/>
    <mergeCell ref="B8:B9"/>
    <mergeCell ref="C8:D8"/>
    <mergeCell ref="E8:E9"/>
    <mergeCell ref="I8:K8"/>
    <mergeCell ref="L8:L9"/>
    <mergeCell ref="H8:H9"/>
    <mergeCell ref="G8:G9"/>
    <mergeCell ref="A8:A9"/>
    <mergeCell ref="J352:L352"/>
    <mergeCell ref="B353:C353"/>
    <mergeCell ref="B354:C354"/>
    <mergeCell ref="J354:L354"/>
    <mergeCell ref="J1:L1"/>
    <mergeCell ref="B2:E3"/>
    <mergeCell ref="J2:L2"/>
    <mergeCell ref="J3:L3"/>
    <mergeCell ref="B4:L4"/>
  </mergeCells>
  <phoneticPr fontId="55" type="noConversion"/>
  <printOptions horizontalCentered="1"/>
  <pageMargins left="0.5" right="0.25" top="0.5" bottom="0.5" header="0.5" footer="0.25"/>
  <pageSetup scale="85" orientation="portrait" r:id="rId1"/>
  <headerFooter alignWithMargins="0">
    <oddFooter>&amp;RTrang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7" enableFormatConditionsCalculation="0">
    <tabColor indexed="12"/>
  </sheetPr>
  <dimension ref="A1:N82"/>
  <sheetViews>
    <sheetView topLeftCell="A8" workbookViewId="0">
      <pane ySplit="4" topLeftCell="A48" activePane="bottomLeft" state="frozen"/>
      <selection activeCell="E186" sqref="E186"/>
      <selection pane="bottomLeft" activeCell="A48" sqref="A48:XFD51"/>
    </sheetView>
  </sheetViews>
  <sheetFormatPr defaultRowHeight="15.75"/>
  <cols>
    <col min="1" max="1" width="3.7109375" style="235" customWidth="1"/>
    <col min="2" max="2" width="10.7109375" style="261" customWidth="1"/>
    <col min="3" max="3" width="5.42578125" style="236" customWidth="1"/>
    <col min="4" max="4" width="9.7109375" style="261" customWidth="1"/>
    <col min="5" max="5" width="33" style="235" customWidth="1"/>
    <col min="6" max="6" width="35.28515625" style="235" hidden="1" customWidth="1"/>
    <col min="7" max="7" width="6.5703125" style="235" customWidth="1"/>
    <col min="8" max="9" width="14" style="235" customWidth="1"/>
    <col min="10" max="10" width="14.85546875" style="235" customWidth="1"/>
    <col min="11" max="11" width="8.5703125" style="235" customWidth="1"/>
    <col min="12" max="12" width="10.7109375" style="235" bestFit="1" customWidth="1"/>
    <col min="13" max="13" width="11.140625" style="235" bestFit="1" customWidth="1"/>
    <col min="14" max="14" width="5.140625" style="235" customWidth="1"/>
    <col min="15" max="16384" width="9.140625" style="235"/>
  </cols>
  <sheetData>
    <row r="1" spans="1:14" s="186" customFormat="1" ht="16.5" customHeight="1">
      <c r="B1" s="239" t="s">
        <v>127</v>
      </c>
      <c r="C1" s="135"/>
      <c r="D1" s="240"/>
      <c r="I1" s="424" t="s">
        <v>128</v>
      </c>
      <c r="J1" s="424"/>
      <c r="K1" s="424"/>
      <c r="L1" s="138"/>
      <c r="M1" s="138"/>
    </row>
    <row r="2" spans="1:14" s="186" customFormat="1" ht="16.5" customHeight="1">
      <c r="B2" s="425" t="s">
        <v>129</v>
      </c>
      <c r="C2" s="425"/>
      <c r="D2" s="425"/>
      <c r="E2" s="425"/>
      <c r="F2" s="139"/>
      <c r="I2" s="427" t="s">
        <v>130</v>
      </c>
      <c r="J2" s="427"/>
      <c r="K2" s="427"/>
      <c r="L2" s="136"/>
      <c r="M2" s="136"/>
    </row>
    <row r="3" spans="1:14" s="186" customFormat="1" ht="16.5" customHeight="1">
      <c r="B3" s="425"/>
      <c r="C3" s="425"/>
      <c r="D3" s="425"/>
      <c r="E3" s="425"/>
      <c r="F3" s="139"/>
      <c r="I3" s="427" t="s">
        <v>131</v>
      </c>
      <c r="J3" s="427"/>
      <c r="K3" s="427"/>
    </row>
    <row r="4" spans="1:14" s="186" customFormat="1" ht="19.5" customHeight="1">
      <c r="B4" s="428" t="s">
        <v>132</v>
      </c>
      <c r="C4" s="428"/>
      <c r="D4" s="428"/>
      <c r="E4" s="428"/>
      <c r="F4" s="428"/>
      <c r="G4" s="428"/>
      <c r="H4" s="428"/>
      <c r="I4" s="428"/>
      <c r="J4" s="428"/>
      <c r="K4" s="428"/>
    </row>
    <row r="5" spans="1:14" s="186" customFormat="1" ht="15">
      <c r="B5" s="429" t="s">
        <v>168</v>
      </c>
      <c r="C5" s="429"/>
      <c r="D5" s="429"/>
      <c r="E5" s="429"/>
      <c r="F5" s="429"/>
      <c r="G5" s="429"/>
      <c r="H5" s="429"/>
      <c r="I5" s="429"/>
      <c r="J5" s="429"/>
      <c r="K5" s="429"/>
    </row>
    <row r="6" spans="1:14" s="186" customFormat="1" ht="15">
      <c r="B6" s="429" t="s">
        <v>169</v>
      </c>
      <c r="C6" s="429"/>
      <c r="D6" s="429"/>
      <c r="E6" s="429"/>
      <c r="F6" s="429"/>
      <c r="G6" s="429"/>
      <c r="H6" s="429"/>
      <c r="I6" s="429"/>
      <c r="J6" s="429"/>
      <c r="K6" s="429"/>
    </row>
    <row r="7" spans="1:14" s="186" customFormat="1" ht="8.25" customHeight="1">
      <c r="B7" s="241"/>
      <c r="C7" s="137"/>
      <c r="D7" s="241"/>
      <c r="E7" s="137"/>
      <c r="F7" s="137"/>
      <c r="G7" s="137"/>
      <c r="H7" s="137"/>
      <c r="I7" s="137"/>
      <c r="J7" s="137"/>
      <c r="K7" s="137"/>
    </row>
    <row r="8" spans="1:14" s="142" customFormat="1" ht="16.5" customHeight="1">
      <c r="A8" s="417" t="s">
        <v>114</v>
      </c>
      <c r="B8" s="442" t="s">
        <v>135</v>
      </c>
      <c r="C8" s="415" t="s">
        <v>136</v>
      </c>
      <c r="D8" s="416"/>
      <c r="E8" s="434" t="s">
        <v>3</v>
      </c>
      <c r="F8" s="193"/>
      <c r="G8" s="412" t="s">
        <v>22</v>
      </c>
      <c r="H8" s="414" t="s">
        <v>66</v>
      </c>
      <c r="I8" s="415"/>
      <c r="J8" s="416"/>
      <c r="K8" s="434" t="s">
        <v>4</v>
      </c>
    </row>
    <row r="9" spans="1:14" s="142" customFormat="1" ht="26.25" customHeight="1">
      <c r="A9" s="418"/>
      <c r="B9" s="443"/>
      <c r="C9" s="140" t="s">
        <v>137</v>
      </c>
      <c r="D9" s="143" t="s">
        <v>138</v>
      </c>
      <c r="E9" s="435"/>
      <c r="F9" s="195"/>
      <c r="G9" s="413"/>
      <c r="H9" s="141" t="s">
        <v>139</v>
      </c>
      <c r="I9" s="141" t="s">
        <v>140</v>
      </c>
      <c r="J9" s="193" t="s">
        <v>141</v>
      </c>
      <c r="K9" s="435"/>
    </row>
    <row r="10" spans="1:14" s="199" customFormat="1" ht="12">
      <c r="A10" s="145"/>
      <c r="B10" s="242" t="s">
        <v>7</v>
      </c>
      <c r="C10" s="197" t="s">
        <v>8</v>
      </c>
      <c r="D10" s="242" t="s">
        <v>9</v>
      </c>
      <c r="E10" s="197" t="s">
        <v>10</v>
      </c>
      <c r="F10" s="197"/>
      <c r="G10" s="197" t="s">
        <v>11</v>
      </c>
      <c r="H10" s="197">
        <v>1</v>
      </c>
      <c r="I10" s="197">
        <v>2</v>
      </c>
      <c r="J10" s="197">
        <v>3</v>
      </c>
      <c r="K10" s="197" t="s">
        <v>27</v>
      </c>
    </row>
    <row r="11" spans="1:14" s="194" customFormat="1" ht="18" customHeight="1">
      <c r="A11" s="149"/>
      <c r="B11" s="243"/>
      <c r="C11" s="201"/>
      <c r="D11" s="243"/>
      <c r="E11" s="200" t="s">
        <v>142</v>
      </c>
      <c r="F11" s="200"/>
      <c r="G11" s="200"/>
      <c r="H11" s="202"/>
      <c r="I11" s="200"/>
      <c r="J11" s="202">
        <f>936738+M11</f>
        <v>2156730</v>
      </c>
      <c r="K11" s="200"/>
      <c r="M11" s="385">
        <v>1219992</v>
      </c>
      <c r="N11" s="386" t="s">
        <v>143</v>
      </c>
    </row>
    <row r="12" spans="1:14" s="142" customFormat="1" ht="18" customHeight="1">
      <c r="A12" s="142">
        <f t="shared" ref="A12:A43" si="0">IF(B12&lt;&gt;"",MONTH(B12),"")</f>
        <v>1</v>
      </c>
      <c r="B12" s="380">
        <v>41284</v>
      </c>
      <c r="C12" s="381" t="s">
        <v>486</v>
      </c>
      <c r="D12" s="380">
        <v>41284</v>
      </c>
      <c r="E12" s="381" t="s">
        <v>248</v>
      </c>
      <c r="F12" s="381"/>
      <c r="G12" s="382" t="s">
        <v>147</v>
      </c>
      <c r="H12" s="161">
        <v>1114940000</v>
      </c>
      <c r="I12" s="161"/>
      <c r="J12" s="162">
        <f t="shared" ref="J12:J43" si="1">IF(B12&lt;&gt;"",J11+H12-I12,0)</f>
        <v>1117096730</v>
      </c>
      <c r="K12" s="162"/>
    </row>
    <row r="13" spans="1:14" s="142" customFormat="1" ht="18" customHeight="1">
      <c r="A13" s="142">
        <f t="shared" si="0"/>
        <v>1</v>
      </c>
      <c r="B13" s="380">
        <v>41284</v>
      </c>
      <c r="C13" s="381" t="s">
        <v>484</v>
      </c>
      <c r="D13" s="380">
        <v>41284</v>
      </c>
      <c r="E13" s="381" t="s">
        <v>269</v>
      </c>
      <c r="F13" s="381"/>
      <c r="G13" s="382" t="s">
        <v>707</v>
      </c>
      <c r="H13" s="161"/>
      <c r="I13" s="161">
        <v>814000000</v>
      </c>
      <c r="J13" s="162">
        <f t="shared" si="1"/>
        <v>303096730</v>
      </c>
      <c r="K13" s="162"/>
    </row>
    <row r="14" spans="1:14" s="142" customFormat="1" ht="18" customHeight="1">
      <c r="A14" s="142">
        <f t="shared" si="0"/>
        <v>1</v>
      </c>
      <c r="B14" s="380">
        <v>41285</v>
      </c>
      <c r="C14" s="381" t="s">
        <v>145</v>
      </c>
      <c r="D14" s="380">
        <v>41285</v>
      </c>
      <c r="E14" s="381" t="s">
        <v>188</v>
      </c>
      <c r="F14" s="381"/>
      <c r="G14" s="383" t="s">
        <v>35</v>
      </c>
      <c r="H14" s="161"/>
      <c r="I14" s="161">
        <v>2000</v>
      </c>
      <c r="J14" s="162">
        <f t="shared" si="1"/>
        <v>303094730</v>
      </c>
      <c r="K14" s="162"/>
    </row>
    <row r="15" spans="1:14" s="142" customFormat="1" ht="18" customHeight="1">
      <c r="A15" s="142">
        <f t="shared" si="0"/>
        <v>1</v>
      </c>
      <c r="B15" s="380">
        <v>41285</v>
      </c>
      <c r="C15" s="381" t="s">
        <v>145</v>
      </c>
      <c r="D15" s="380">
        <v>41285</v>
      </c>
      <c r="E15" s="381" t="s">
        <v>187</v>
      </c>
      <c r="F15" s="381"/>
      <c r="G15" s="382" t="s">
        <v>192</v>
      </c>
      <c r="H15" s="161"/>
      <c r="I15" s="161">
        <v>20000</v>
      </c>
      <c r="J15" s="162">
        <f t="shared" si="1"/>
        <v>303074730</v>
      </c>
      <c r="K15" s="162"/>
    </row>
    <row r="16" spans="1:14" s="142" customFormat="1" ht="18" customHeight="1">
      <c r="A16" s="142">
        <f t="shared" si="0"/>
        <v>1</v>
      </c>
      <c r="B16" s="380">
        <v>41285</v>
      </c>
      <c r="C16" s="381" t="s">
        <v>145</v>
      </c>
      <c r="D16" s="380">
        <v>41285</v>
      </c>
      <c r="E16" s="381" t="s">
        <v>708</v>
      </c>
      <c r="F16" s="381"/>
      <c r="G16" s="383" t="s">
        <v>34</v>
      </c>
      <c r="H16" s="161"/>
      <c r="I16" s="161">
        <v>21162130</v>
      </c>
      <c r="J16" s="162">
        <f t="shared" si="1"/>
        <v>281912600</v>
      </c>
      <c r="K16" s="162"/>
    </row>
    <row r="17" spans="1:13" s="142" customFormat="1" ht="18" customHeight="1">
      <c r="A17" s="142">
        <f t="shared" si="0"/>
        <v>1</v>
      </c>
      <c r="B17" s="380">
        <v>41285</v>
      </c>
      <c r="C17" s="381" t="s">
        <v>145</v>
      </c>
      <c r="D17" s="380">
        <v>41285</v>
      </c>
      <c r="E17" s="381" t="s">
        <v>483</v>
      </c>
      <c r="F17" s="381"/>
      <c r="G17" s="382" t="s">
        <v>56</v>
      </c>
      <c r="H17" s="161"/>
      <c r="I17" s="161">
        <v>260000000</v>
      </c>
      <c r="J17" s="162">
        <f t="shared" si="1"/>
        <v>21912600</v>
      </c>
      <c r="K17" s="162"/>
    </row>
    <row r="18" spans="1:13" s="142" customFormat="1" ht="18" customHeight="1">
      <c r="A18" s="142">
        <f t="shared" si="0"/>
        <v>1</v>
      </c>
      <c r="B18" s="380">
        <v>41291</v>
      </c>
      <c r="C18" s="381" t="s">
        <v>148</v>
      </c>
      <c r="D18" s="380">
        <v>41291</v>
      </c>
      <c r="E18" s="381" t="s">
        <v>185</v>
      </c>
      <c r="F18" s="381"/>
      <c r="G18" s="382" t="s">
        <v>36</v>
      </c>
      <c r="H18" s="161"/>
      <c r="I18" s="161">
        <v>10000000</v>
      </c>
      <c r="J18" s="162">
        <f t="shared" si="1"/>
        <v>11912600</v>
      </c>
      <c r="K18" s="162"/>
    </row>
    <row r="19" spans="1:13" s="142" customFormat="1" ht="18" customHeight="1">
      <c r="A19" s="142">
        <f t="shared" si="0"/>
        <v>1</v>
      </c>
      <c r="B19" s="380">
        <v>41291</v>
      </c>
      <c r="C19" s="381" t="s">
        <v>145</v>
      </c>
      <c r="D19" s="380">
        <v>41291</v>
      </c>
      <c r="E19" s="381" t="s">
        <v>483</v>
      </c>
      <c r="F19" s="381"/>
      <c r="G19" s="382" t="s">
        <v>56</v>
      </c>
      <c r="H19" s="161"/>
      <c r="I19" s="161">
        <v>10000000</v>
      </c>
      <c r="J19" s="162">
        <f t="shared" si="1"/>
        <v>1912600</v>
      </c>
      <c r="K19" s="162"/>
    </row>
    <row r="20" spans="1:13" s="142" customFormat="1" ht="18" customHeight="1">
      <c r="A20" s="142">
        <f t="shared" si="0"/>
        <v>1</v>
      </c>
      <c r="B20" s="380">
        <v>41298</v>
      </c>
      <c r="C20" s="381" t="s">
        <v>148</v>
      </c>
      <c r="D20" s="380">
        <v>41298</v>
      </c>
      <c r="E20" s="381" t="s">
        <v>157</v>
      </c>
      <c r="F20" s="381"/>
      <c r="G20" s="383" t="s">
        <v>158</v>
      </c>
      <c r="H20" s="161">
        <v>12420</v>
      </c>
      <c r="I20" s="161"/>
      <c r="J20" s="162">
        <f t="shared" si="1"/>
        <v>1925020</v>
      </c>
      <c r="K20" s="162"/>
    </row>
    <row r="21" spans="1:13" s="142" customFormat="1" ht="18" customHeight="1">
      <c r="A21" s="142">
        <f t="shared" si="0"/>
        <v>1</v>
      </c>
      <c r="B21" s="380">
        <v>41298</v>
      </c>
      <c r="C21" s="381" t="s">
        <v>486</v>
      </c>
      <c r="D21" s="380">
        <v>41298</v>
      </c>
      <c r="E21" s="381" t="s">
        <v>227</v>
      </c>
      <c r="F21" s="381"/>
      <c r="G21" s="383" t="s">
        <v>707</v>
      </c>
      <c r="H21" s="161">
        <v>45000000</v>
      </c>
      <c r="I21" s="161"/>
      <c r="J21" s="162">
        <f t="shared" si="1"/>
        <v>46925020</v>
      </c>
      <c r="K21" s="162"/>
    </row>
    <row r="22" spans="1:13" s="142" customFormat="1" ht="18" customHeight="1">
      <c r="A22" s="142">
        <f t="shared" si="0"/>
        <v>1</v>
      </c>
      <c r="B22" s="380">
        <v>41298</v>
      </c>
      <c r="C22" s="381" t="s">
        <v>145</v>
      </c>
      <c r="D22" s="380">
        <v>41298</v>
      </c>
      <c r="E22" s="381" t="s">
        <v>248</v>
      </c>
      <c r="F22" s="381"/>
      <c r="G22" s="382" t="s">
        <v>147</v>
      </c>
      <c r="H22" s="161">
        <v>45815000</v>
      </c>
      <c r="I22" s="161"/>
      <c r="J22" s="162">
        <f t="shared" si="1"/>
        <v>92740020</v>
      </c>
      <c r="K22" s="162"/>
    </row>
    <row r="23" spans="1:13" s="142" customFormat="1" ht="18" customHeight="1">
      <c r="A23" s="142">
        <f t="shared" si="0"/>
        <v>1</v>
      </c>
      <c r="B23" s="380">
        <v>41298</v>
      </c>
      <c r="C23" s="381" t="s">
        <v>145</v>
      </c>
      <c r="D23" s="380">
        <v>41298</v>
      </c>
      <c r="E23" s="381" t="s">
        <v>188</v>
      </c>
      <c r="F23" s="381"/>
      <c r="G23" s="382" t="s">
        <v>35</v>
      </c>
      <c r="H23" s="161"/>
      <c r="I23" s="161">
        <v>1000</v>
      </c>
      <c r="J23" s="162">
        <f t="shared" si="1"/>
        <v>92739020</v>
      </c>
      <c r="K23" s="162"/>
    </row>
    <row r="24" spans="1:13" s="142" customFormat="1" ht="18" customHeight="1">
      <c r="A24" s="142">
        <f t="shared" si="0"/>
        <v>1</v>
      </c>
      <c r="B24" s="380">
        <v>41298</v>
      </c>
      <c r="C24" s="381" t="s">
        <v>145</v>
      </c>
      <c r="D24" s="380">
        <v>41298</v>
      </c>
      <c r="E24" s="381" t="s">
        <v>188</v>
      </c>
      <c r="F24" s="381"/>
      <c r="G24" s="382" t="s">
        <v>35</v>
      </c>
      <c r="H24" s="161"/>
      <c r="I24" s="161">
        <v>1000</v>
      </c>
      <c r="J24" s="162">
        <f t="shared" si="1"/>
        <v>92738020</v>
      </c>
      <c r="K24" s="162"/>
    </row>
    <row r="25" spans="1:13" s="142" customFormat="1" ht="18" customHeight="1">
      <c r="A25" s="142">
        <f t="shared" si="0"/>
        <v>1</v>
      </c>
      <c r="B25" s="380">
        <v>41298</v>
      </c>
      <c r="C25" s="381" t="s">
        <v>145</v>
      </c>
      <c r="D25" s="380">
        <v>41298</v>
      </c>
      <c r="E25" s="381" t="s">
        <v>499</v>
      </c>
      <c r="F25" s="381"/>
      <c r="G25" s="382" t="s">
        <v>35</v>
      </c>
      <c r="H25" s="161"/>
      <c r="I25" s="161">
        <v>2000</v>
      </c>
      <c r="J25" s="162">
        <f t="shared" si="1"/>
        <v>92736020</v>
      </c>
      <c r="K25" s="162"/>
    </row>
    <row r="26" spans="1:13" s="142" customFormat="1" ht="18" customHeight="1">
      <c r="A26" s="142">
        <f t="shared" si="0"/>
        <v>1</v>
      </c>
      <c r="B26" s="380">
        <v>41298</v>
      </c>
      <c r="C26" s="381" t="s">
        <v>145</v>
      </c>
      <c r="D26" s="380">
        <v>41298</v>
      </c>
      <c r="E26" s="381" t="s">
        <v>499</v>
      </c>
      <c r="F26" s="381"/>
      <c r="G26" s="382" t="s">
        <v>35</v>
      </c>
      <c r="H26" s="161"/>
      <c r="I26" s="161">
        <v>4951</v>
      </c>
      <c r="J26" s="162">
        <f t="shared" si="1"/>
        <v>92731069</v>
      </c>
      <c r="K26" s="162"/>
      <c r="M26" s="155"/>
    </row>
    <row r="27" spans="1:13" s="142" customFormat="1" ht="18" customHeight="1">
      <c r="A27" s="142">
        <f t="shared" si="0"/>
        <v>1</v>
      </c>
      <c r="B27" s="380">
        <v>41298</v>
      </c>
      <c r="C27" s="381" t="s">
        <v>145</v>
      </c>
      <c r="D27" s="380">
        <v>41298</v>
      </c>
      <c r="E27" s="381" t="s">
        <v>187</v>
      </c>
      <c r="F27" s="381"/>
      <c r="G27" s="382" t="s">
        <v>192</v>
      </c>
      <c r="H27" s="161"/>
      <c r="I27" s="161">
        <v>10000</v>
      </c>
      <c r="J27" s="162">
        <f t="shared" si="1"/>
        <v>92721069</v>
      </c>
      <c r="K27" s="162"/>
    </row>
    <row r="28" spans="1:13" s="142" customFormat="1" ht="18" customHeight="1">
      <c r="A28" s="142">
        <f t="shared" si="0"/>
        <v>1</v>
      </c>
      <c r="B28" s="380">
        <v>41298</v>
      </c>
      <c r="C28" s="381" t="s">
        <v>145</v>
      </c>
      <c r="D28" s="380">
        <v>41298</v>
      </c>
      <c r="E28" s="381" t="s">
        <v>187</v>
      </c>
      <c r="F28" s="381"/>
      <c r="G28" s="382" t="s">
        <v>192</v>
      </c>
      <c r="H28" s="161"/>
      <c r="I28" s="161">
        <v>10000</v>
      </c>
      <c r="J28" s="162">
        <f t="shared" si="1"/>
        <v>92711069</v>
      </c>
      <c r="K28" s="162"/>
    </row>
    <row r="29" spans="1:13" s="142" customFormat="1" ht="18" customHeight="1">
      <c r="A29" s="142">
        <f t="shared" si="0"/>
        <v>1</v>
      </c>
      <c r="B29" s="380">
        <v>41298</v>
      </c>
      <c r="C29" s="381" t="s">
        <v>145</v>
      </c>
      <c r="D29" s="380">
        <v>41298</v>
      </c>
      <c r="E29" s="381" t="s">
        <v>498</v>
      </c>
      <c r="F29" s="381"/>
      <c r="G29" s="382" t="s">
        <v>192</v>
      </c>
      <c r="H29" s="161"/>
      <c r="I29" s="161">
        <v>20000</v>
      </c>
      <c r="J29" s="162">
        <f t="shared" si="1"/>
        <v>92691069</v>
      </c>
      <c r="K29" s="162"/>
    </row>
    <row r="30" spans="1:13" s="142" customFormat="1" ht="18" customHeight="1">
      <c r="A30" s="142">
        <f t="shared" si="0"/>
        <v>1</v>
      </c>
      <c r="B30" s="380">
        <v>41298</v>
      </c>
      <c r="C30" s="381" t="s">
        <v>145</v>
      </c>
      <c r="D30" s="380">
        <v>41298</v>
      </c>
      <c r="E30" s="381" t="s">
        <v>498</v>
      </c>
      <c r="F30" s="381"/>
      <c r="G30" s="382" t="s">
        <v>192</v>
      </c>
      <c r="H30" s="161"/>
      <c r="I30" s="161">
        <v>49505</v>
      </c>
      <c r="J30" s="162">
        <f t="shared" si="1"/>
        <v>92641564</v>
      </c>
      <c r="K30" s="162"/>
    </row>
    <row r="31" spans="1:13" s="142" customFormat="1" ht="18" customHeight="1">
      <c r="A31" s="142">
        <f t="shared" si="0"/>
        <v>1</v>
      </c>
      <c r="B31" s="380">
        <v>41298</v>
      </c>
      <c r="C31" s="381" t="s">
        <v>145</v>
      </c>
      <c r="D31" s="380">
        <v>41298</v>
      </c>
      <c r="E31" s="381" t="s">
        <v>709</v>
      </c>
      <c r="F31" s="381"/>
      <c r="G31" s="383" t="s">
        <v>34</v>
      </c>
      <c r="H31" s="161"/>
      <c r="I31" s="161">
        <v>960000</v>
      </c>
      <c r="J31" s="162">
        <f t="shared" si="1"/>
        <v>91681564</v>
      </c>
      <c r="K31" s="162"/>
    </row>
    <row r="32" spans="1:13" s="142" customFormat="1" ht="18" customHeight="1">
      <c r="A32" s="142">
        <f t="shared" si="0"/>
        <v>1</v>
      </c>
      <c r="B32" s="380">
        <v>41298</v>
      </c>
      <c r="C32" s="381" t="s">
        <v>145</v>
      </c>
      <c r="D32" s="380">
        <v>41298</v>
      </c>
      <c r="E32" s="381" t="s">
        <v>709</v>
      </c>
      <c r="F32" s="381"/>
      <c r="G32" s="382" t="s">
        <v>34</v>
      </c>
      <c r="H32" s="161"/>
      <c r="I32" s="161">
        <v>1500000</v>
      </c>
      <c r="J32" s="162">
        <f t="shared" si="1"/>
        <v>90181564</v>
      </c>
      <c r="K32" s="162"/>
    </row>
    <row r="33" spans="1:11" s="142" customFormat="1" ht="18" customHeight="1">
      <c r="A33" s="142">
        <f t="shared" si="0"/>
        <v>1</v>
      </c>
      <c r="B33" s="380">
        <v>41298</v>
      </c>
      <c r="C33" s="381" t="s">
        <v>145</v>
      </c>
      <c r="D33" s="380">
        <v>41298</v>
      </c>
      <c r="E33" s="381" t="s">
        <v>710</v>
      </c>
      <c r="F33" s="381"/>
      <c r="G33" s="382" t="s">
        <v>34</v>
      </c>
      <c r="H33" s="161"/>
      <c r="I33" s="161">
        <v>14917409</v>
      </c>
      <c r="J33" s="162">
        <f t="shared" si="1"/>
        <v>75264155</v>
      </c>
      <c r="K33" s="162"/>
    </row>
    <row r="34" spans="1:11" s="142" customFormat="1" ht="18" customHeight="1">
      <c r="A34" s="142">
        <f t="shared" si="0"/>
        <v>1</v>
      </c>
      <c r="B34" s="380">
        <v>41298</v>
      </c>
      <c r="C34" s="381" t="s">
        <v>145</v>
      </c>
      <c r="D34" s="380">
        <v>41298</v>
      </c>
      <c r="E34" s="381" t="s">
        <v>497</v>
      </c>
      <c r="F34" s="381"/>
      <c r="G34" s="383" t="s">
        <v>34</v>
      </c>
      <c r="H34" s="161"/>
      <c r="I34" s="161">
        <v>72786000</v>
      </c>
      <c r="J34" s="162">
        <f t="shared" si="1"/>
        <v>2478155</v>
      </c>
      <c r="K34" s="162"/>
    </row>
    <row r="35" spans="1:11" s="142" customFormat="1" ht="18" customHeight="1">
      <c r="A35" s="142">
        <f t="shared" si="0"/>
        <v>2</v>
      </c>
      <c r="B35" s="380">
        <v>41310</v>
      </c>
      <c r="C35" s="381" t="s">
        <v>486</v>
      </c>
      <c r="D35" s="380">
        <v>41310</v>
      </c>
      <c r="E35" s="381" t="s">
        <v>227</v>
      </c>
      <c r="F35" s="381"/>
      <c r="G35" s="382" t="s">
        <v>707</v>
      </c>
      <c r="H35" s="161">
        <v>63000000</v>
      </c>
      <c r="I35" s="161"/>
      <c r="J35" s="162">
        <f t="shared" si="1"/>
        <v>65478155</v>
      </c>
      <c r="K35" s="162"/>
    </row>
    <row r="36" spans="1:11" s="142" customFormat="1" ht="18" customHeight="1">
      <c r="A36" s="142">
        <f t="shared" si="0"/>
        <v>2</v>
      </c>
      <c r="B36" s="380">
        <v>41310</v>
      </c>
      <c r="C36" s="381" t="s">
        <v>145</v>
      </c>
      <c r="D36" s="380">
        <v>41310</v>
      </c>
      <c r="E36" s="381" t="s">
        <v>160</v>
      </c>
      <c r="F36" s="381"/>
      <c r="G36" s="382" t="s">
        <v>35</v>
      </c>
      <c r="H36" s="161"/>
      <c r="I36" s="161">
        <v>1000</v>
      </c>
      <c r="J36" s="162">
        <f t="shared" si="1"/>
        <v>65477155</v>
      </c>
      <c r="K36" s="162"/>
    </row>
    <row r="37" spans="1:11" s="142" customFormat="1" ht="18" customHeight="1">
      <c r="A37" s="142">
        <f t="shared" si="0"/>
        <v>2</v>
      </c>
      <c r="B37" s="380">
        <v>41310</v>
      </c>
      <c r="C37" s="381" t="s">
        <v>145</v>
      </c>
      <c r="D37" s="380">
        <v>41310</v>
      </c>
      <c r="E37" s="381" t="s">
        <v>188</v>
      </c>
      <c r="F37" s="381"/>
      <c r="G37" s="383" t="s">
        <v>35</v>
      </c>
      <c r="H37" s="161"/>
      <c r="I37" s="161">
        <v>2000</v>
      </c>
      <c r="J37" s="162">
        <f t="shared" si="1"/>
        <v>65475155</v>
      </c>
      <c r="K37" s="162"/>
    </row>
    <row r="38" spans="1:11" s="142" customFormat="1" ht="18" customHeight="1">
      <c r="A38" s="142">
        <f t="shared" si="0"/>
        <v>2</v>
      </c>
      <c r="B38" s="380">
        <v>41310</v>
      </c>
      <c r="C38" s="381" t="s">
        <v>145</v>
      </c>
      <c r="D38" s="380">
        <v>41310</v>
      </c>
      <c r="E38" s="381" t="s">
        <v>711</v>
      </c>
      <c r="F38" s="381"/>
      <c r="G38" s="382" t="s">
        <v>35</v>
      </c>
      <c r="H38" s="161"/>
      <c r="I38" s="161">
        <v>2400</v>
      </c>
      <c r="J38" s="162">
        <f t="shared" si="1"/>
        <v>65472755</v>
      </c>
      <c r="K38" s="162"/>
    </row>
    <row r="39" spans="1:11" s="142" customFormat="1" ht="18" customHeight="1">
      <c r="A39" s="142">
        <f t="shared" si="0"/>
        <v>2</v>
      </c>
      <c r="B39" s="380">
        <v>41310</v>
      </c>
      <c r="C39" s="381" t="s">
        <v>145</v>
      </c>
      <c r="D39" s="380">
        <v>41310</v>
      </c>
      <c r="E39" s="381" t="s">
        <v>711</v>
      </c>
      <c r="F39" s="381"/>
      <c r="G39" s="382" t="s">
        <v>35</v>
      </c>
      <c r="H39" s="161"/>
      <c r="I39" s="161">
        <v>2400</v>
      </c>
      <c r="J39" s="162">
        <f t="shared" si="1"/>
        <v>65470355</v>
      </c>
      <c r="K39" s="162"/>
    </row>
    <row r="40" spans="1:11" s="142" customFormat="1" ht="18" customHeight="1">
      <c r="A40" s="142">
        <f t="shared" si="0"/>
        <v>2</v>
      </c>
      <c r="B40" s="380">
        <v>41310</v>
      </c>
      <c r="C40" s="381" t="s">
        <v>145</v>
      </c>
      <c r="D40" s="380">
        <v>41310</v>
      </c>
      <c r="E40" s="381" t="s">
        <v>238</v>
      </c>
      <c r="F40" s="381"/>
      <c r="G40" s="383" t="s">
        <v>35</v>
      </c>
      <c r="H40" s="161"/>
      <c r="I40" s="161">
        <v>2500</v>
      </c>
      <c r="J40" s="162">
        <f t="shared" si="1"/>
        <v>65467855</v>
      </c>
      <c r="K40" s="162"/>
    </row>
    <row r="41" spans="1:11" s="142" customFormat="1" ht="18" customHeight="1">
      <c r="A41" s="142">
        <f t="shared" si="0"/>
        <v>2</v>
      </c>
      <c r="B41" s="380">
        <v>41310</v>
      </c>
      <c r="C41" s="381" t="s">
        <v>145</v>
      </c>
      <c r="D41" s="380">
        <v>41310</v>
      </c>
      <c r="E41" s="381" t="s">
        <v>159</v>
      </c>
      <c r="F41" s="381"/>
      <c r="G41" s="382" t="s">
        <v>192</v>
      </c>
      <c r="H41" s="161"/>
      <c r="I41" s="161">
        <v>10000</v>
      </c>
      <c r="J41" s="162">
        <f t="shared" si="1"/>
        <v>65457855</v>
      </c>
      <c r="K41" s="162"/>
    </row>
    <row r="42" spans="1:11" s="142" customFormat="1" ht="18" customHeight="1">
      <c r="A42" s="142">
        <f t="shared" si="0"/>
        <v>2</v>
      </c>
      <c r="B42" s="380">
        <v>41310</v>
      </c>
      <c r="C42" s="381" t="s">
        <v>145</v>
      </c>
      <c r="D42" s="380">
        <v>41310</v>
      </c>
      <c r="E42" s="381" t="s">
        <v>187</v>
      </c>
      <c r="F42" s="381"/>
      <c r="G42" s="382" t="s">
        <v>192</v>
      </c>
      <c r="H42" s="161"/>
      <c r="I42" s="161">
        <v>20000</v>
      </c>
      <c r="J42" s="162">
        <f t="shared" si="1"/>
        <v>65437855</v>
      </c>
      <c r="K42" s="162"/>
    </row>
    <row r="43" spans="1:11" s="142" customFormat="1" ht="18" customHeight="1">
      <c r="A43" s="142">
        <f t="shared" si="0"/>
        <v>2</v>
      </c>
      <c r="B43" s="380">
        <v>41310</v>
      </c>
      <c r="C43" s="381" t="s">
        <v>145</v>
      </c>
      <c r="D43" s="380">
        <v>41310</v>
      </c>
      <c r="E43" s="381" t="s">
        <v>712</v>
      </c>
      <c r="F43" s="381"/>
      <c r="G43" s="383" t="s">
        <v>192</v>
      </c>
      <c r="H43" s="161"/>
      <c r="I43" s="161">
        <v>24000</v>
      </c>
      <c r="J43" s="162">
        <f t="shared" si="1"/>
        <v>65413855</v>
      </c>
      <c r="K43" s="162"/>
    </row>
    <row r="44" spans="1:11" s="142" customFormat="1" ht="18" customHeight="1">
      <c r="A44" s="142">
        <f t="shared" ref="A44:A74" si="2">IF(B44&lt;&gt;"",MONTH(B44),"")</f>
        <v>2</v>
      </c>
      <c r="B44" s="380">
        <v>41310</v>
      </c>
      <c r="C44" s="381" t="s">
        <v>145</v>
      </c>
      <c r="D44" s="380">
        <v>41310</v>
      </c>
      <c r="E44" s="381" t="s">
        <v>712</v>
      </c>
      <c r="F44" s="381"/>
      <c r="G44" s="382" t="s">
        <v>192</v>
      </c>
      <c r="H44" s="161"/>
      <c r="I44" s="161">
        <v>24000</v>
      </c>
      <c r="J44" s="162">
        <f t="shared" ref="J44:J74" si="3">IF(B44&lt;&gt;"",J43+H44-I44,0)</f>
        <v>65389855</v>
      </c>
      <c r="K44" s="162"/>
    </row>
    <row r="45" spans="1:11" s="142" customFormat="1" ht="18" customHeight="1">
      <c r="A45" s="142">
        <f t="shared" si="2"/>
        <v>2</v>
      </c>
      <c r="B45" s="380">
        <v>41310</v>
      </c>
      <c r="C45" s="381" t="s">
        <v>145</v>
      </c>
      <c r="D45" s="380">
        <v>41310</v>
      </c>
      <c r="E45" s="381" t="s">
        <v>237</v>
      </c>
      <c r="F45" s="381"/>
      <c r="G45" s="382" t="s">
        <v>192</v>
      </c>
      <c r="H45" s="161"/>
      <c r="I45" s="161">
        <v>25000</v>
      </c>
      <c r="J45" s="162">
        <f t="shared" si="3"/>
        <v>65364855</v>
      </c>
      <c r="K45" s="162"/>
    </row>
    <row r="46" spans="1:11" s="142" customFormat="1" ht="18" customHeight="1">
      <c r="A46" s="142">
        <f t="shared" si="2"/>
        <v>2</v>
      </c>
      <c r="B46" s="380">
        <v>41310</v>
      </c>
      <c r="C46" s="381" t="s">
        <v>145</v>
      </c>
      <c r="D46" s="380">
        <v>41310</v>
      </c>
      <c r="E46" s="381" t="s">
        <v>713</v>
      </c>
      <c r="F46" s="381"/>
      <c r="G46" s="383" t="s">
        <v>34</v>
      </c>
      <c r="H46" s="161"/>
      <c r="I46" s="161">
        <v>12506560</v>
      </c>
      <c r="J46" s="162">
        <f t="shared" si="3"/>
        <v>52858295</v>
      </c>
      <c r="K46" s="162"/>
    </row>
    <row r="47" spans="1:11" s="142" customFormat="1" ht="18" customHeight="1">
      <c r="A47" s="142">
        <f t="shared" si="2"/>
        <v>2</v>
      </c>
      <c r="B47" s="380">
        <v>41310</v>
      </c>
      <c r="C47" s="381" t="s">
        <v>145</v>
      </c>
      <c r="D47" s="380">
        <v>41310</v>
      </c>
      <c r="E47" s="381" t="s">
        <v>478</v>
      </c>
      <c r="F47" s="381"/>
      <c r="G47" s="382" t="s">
        <v>34</v>
      </c>
      <c r="H47" s="161"/>
      <c r="I47" s="161">
        <v>50000000</v>
      </c>
      <c r="J47" s="162">
        <f t="shared" si="3"/>
        <v>2858295</v>
      </c>
      <c r="K47" s="162"/>
    </row>
    <row r="48" spans="1:11" s="142" customFormat="1" ht="18" customHeight="1">
      <c r="A48" s="142">
        <f t="shared" si="2"/>
        <v>5</v>
      </c>
      <c r="B48" s="380">
        <v>41400</v>
      </c>
      <c r="C48" s="381" t="s">
        <v>145</v>
      </c>
      <c r="D48" s="380">
        <v>41400</v>
      </c>
      <c r="E48" s="381" t="s">
        <v>711</v>
      </c>
      <c r="F48" s="381"/>
      <c r="G48" s="382" t="s">
        <v>35</v>
      </c>
      <c r="H48" s="161"/>
      <c r="I48" s="161">
        <v>3000</v>
      </c>
      <c r="J48" s="162">
        <f t="shared" si="3"/>
        <v>2855295</v>
      </c>
      <c r="K48" s="162"/>
    </row>
    <row r="49" spans="1:12" s="142" customFormat="1" ht="18" customHeight="1">
      <c r="A49" s="142">
        <f t="shared" si="2"/>
        <v>5</v>
      </c>
      <c r="B49" s="380">
        <v>41400</v>
      </c>
      <c r="C49" s="381" t="s">
        <v>145</v>
      </c>
      <c r="D49" s="380">
        <v>41400</v>
      </c>
      <c r="E49" s="381" t="s">
        <v>711</v>
      </c>
      <c r="F49" s="381"/>
      <c r="G49" s="383" t="s">
        <v>35</v>
      </c>
      <c r="H49" s="161"/>
      <c r="I49" s="161">
        <v>3000</v>
      </c>
      <c r="J49" s="162">
        <f t="shared" si="3"/>
        <v>2852295</v>
      </c>
      <c r="K49" s="162"/>
    </row>
    <row r="50" spans="1:12" s="142" customFormat="1" ht="18" customHeight="1">
      <c r="A50" s="142">
        <f t="shared" si="2"/>
        <v>5</v>
      </c>
      <c r="B50" s="380">
        <v>41400</v>
      </c>
      <c r="C50" s="381" t="s">
        <v>145</v>
      </c>
      <c r="D50" s="380">
        <v>41400</v>
      </c>
      <c r="E50" s="381" t="s">
        <v>712</v>
      </c>
      <c r="F50" s="381"/>
      <c r="G50" s="382" t="s">
        <v>192</v>
      </c>
      <c r="H50" s="161"/>
      <c r="I50" s="161">
        <v>30000</v>
      </c>
      <c r="J50" s="162">
        <f t="shared" si="3"/>
        <v>2822295</v>
      </c>
      <c r="K50" s="162"/>
    </row>
    <row r="51" spans="1:12" s="142" customFormat="1" ht="18" customHeight="1">
      <c r="A51" s="142">
        <f t="shared" si="2"/>
        <v>5</v>
      </c>
      <c r="B51" s="380">
        <v>41400</v>
      </c>
      <c r="C51" s="381" t="s">
        <v>145</v>
      </c>
      <c r="D51" s="380">
        <v>41400</v>
      </c>
      <c r="E51" s="381" t="s">
        <v>712</v>
      </c>
      <c r="F51" s="381"/>
      <c r="G51" s="382" t="s">
        <v>192</v>
      </c>
      <c r="H51" s="161"/>
      <c r="I51" s="161">
        <v>30000</v>
      </c>
      <c r="J51" s="162">
        <f t="shared" si="3"/>
        <v>2792295</v>
      </c>
      <c r="K51" s="162"/>
    </row>
    <row r="52" spans="1:12" s="142" customFormat="1" ht="18" customHeight="1">
      <c r="A52" s="142">
        <f t="shared" si="2"/>
        <v>5</v>
      </c>
      <c r="B52" s="380">
        <v>41404</v>
      </c>
      <c r="C52" s="381" t="s">
        <v>145</v>
      </c>
      <c r="D52" s="380">
        <v>41404</v>
      </c>
      <c r="E52" s="381" t="s">
        <v>483</v>
      </c>
      <c r="F52" s="381"/>
      <c r="G52" s="383" t="s">
        <v>56</v>
      </c>
      <c r="H52" s="161"/>
      <c r="I52" s="161">
        <v>1000000</v>
      </c>
      <c r="J52" s="162">
        <f t="shared" si="3"/>
        <v>1792295</v>
      </c>
      <c r="K52" s="162"/>
    </row>
    <row r="53" spans="1:12" s="142" customFormat="1" ht="18" customHeight="1">
      <c r="A53" s="142">
        <f t="shared" si="2"/>
        <v>5</v>
      </c>
      <c r="B53" s="380">
        <v>41404</v>
      </c>
      <c r="C53" s="381" t="s">
        <v>145</v>
      </c>
      <c r="D53" s="380">
        <v>41404</v>
      </c>
      <c r="E53" s="381" t="s">
        <v>794</v>
      </c>
      <c r="F53" s="381"/>
      <c r="G53" s="382" t="s">
        <v>56</v>
      </c>
      <c r="H53" s="161"/>
      <c r="I53" s="161">
        <v>1000000</v>
      </c>
      <c r="J53" s="162">
        <f t="shared" si="3"/>
        <v>792295</v>
      </c>
      <c r="K53" s="162"/>
    </row>
    <row r="54" spans="1:12" s="142" customFormat="1" ht="18" customHeight="1">
      <c r="A54" s="142">
        <f t="shared" si="2"/>
        <v>7</v>
      </c>
      <c r="B54" s="380">
        <v>41456</v>
      </c>
      <c r="C54" s="381" t="s">
        <v>145</v>
      </c>
      <c r="D54" s="380">
        <v>41456</v>
      </c>
      <c r="E54" s="381" t="s">
        <v>793</v>
      </c>
      <c r="F54" s="381"/>
      <c r="G54" s="382" t="s">
        <v>192</v>
      </c>
      <c r="H54" s="161"/>
      <c r="I54" s="161">
        <v>110000</v>
      </c>
      <c r="J54" s="162">
        <f t="shared" si="3"/>
        <v>682295</v>
      </c>
      <c r="K54" s="162"/>
      <c r="L54" s="155"/>
    </row>
    <row r="55" spans="1:12" s="142" customFormat="1" ht="18" customHeight="1">
      <c r="A55" s="142">
        <f t="shared" si="2"/>
        <v>9</v>
      </c>
      <c r="B55" s="380">
        <v>41547</v>
      </c>
      <c r="C55" s="381" t="s">
        <v>145</v>
      </c>
      <c r="D55" s="380">
        <v>41547</v>
      </c>
      <c r="E55" s="381" t="s">
        <v>248</v>
      </c>
      <c r="F55" s="381"/>
      <c r="G55" s="382" t="s">
        <v>147</v>
      </c>
      <c r="H55" s="161">
        <v>253200000</v>
      </c>
      <c r="I55" s="161"/>
      <c r="J55" s="162">
        <f t="shared" si="3"/>
        <v>253882295</v>
      </c>
      <c r="K55" s="162"/>
    </row>
    <row r="56" spans="1:12" s="142" customFormat="1" ht="18" customHeight="1">
      <c r="A56" s="142">
        <f t="shared" si="2"/>
        <v>9</v>
      </c>
      <c r="B56" s="380">
        <v>41547</v>
      </c>
      <c r="C56" s="381" t="s">
        <v>145</v>
      </c>
      <c r="D56" s="380">
        <v>41547</v>
      </c>
      <c r="E56" s="381" t="s">
        <v>714</v>
      </c>
      <c r="F56" s="381"/>
      <c r="G56" s="382" t="s">
        <v>34</v>
      </c>
      <c r="H56" s="161"/>
      <c r="I56" s="161">
        <v>28085310</v>
      </c>
      <c r="J56" s="162">
        <f t="shared" si="3"/>
        <v>225796985</v>
      </c>
      <c r="K56" s="162"/>
    </row>
    <row r="57" spans="1:12" s="142" customFormat="1" ht="18" customHeight="1">
      <c r="A57" s="142">
        <f t="shared" si="2"/>
        <v>10</v>
      </c>
      <c r="B57" s="380">
        <v>41548</v>
      </c>
      <c r="C57" s="381" t="s">
        <v>484</v>
      </c>
      <c r="D57" s="380">
        <v>41548</v>
      </c>
      <c r="E57" s="381" t="s">
        <v>269</v>
      </c>
      <c r="F57" s="381"/>
      <c r="G57" s="382" t="s">
        <v>707</v>
      </c>
      <c r="H57" s="161"/>
      <c r="I57" s="161">
        <v>220000000</v>
      </c>
      <c r="J57" s="162">
        <f t="shared" si="3"/>
        <v>5796985</v>
      </c>
      <c r="K57" s="162"/>
    </row>
    <row r="58" spans="1:12" s="142" customFormat="1" ht="18" customHeight="1">
      <c r="A58" s="142">
        <f t="shared" si="2"/>
        <v>10</v>
      </c>
      <c r="B58" s="380">
        <v>41570</v>
      </c>
      <c r="C58" s="381" t="s">
        <v>145</v>
      </c>
      <c r="D58" s="380">
        <v>41570</v>
      </c>
      <c r="E58" s="381" t="s">
        <v>248</v>
      </c>
      <c r="F58" s="381"/>
      <c r="G58" s="382" t="s">
        <v>147</v>
      </c>
      <c r="H58" s="161">
        <v>806593000</v>
      </c>
      <c r="I58" s="161"/>
      <c r="J58" s="162">
        <f t="shared" si="3"/>
        <v>812389985</v>
      </c>
      <c r="K58" s="162"/>
    </row>
    <row r="59" spans="1:12" s="142" customFormat="1" ht="18" customHeight="1">
      <c r="A59" s="142">
        <f t="shared" si="2"/>
        <v>10</v>
      </c>
      <c r="B59" s="380">
        <v>41570</v>
      </c>
      <c r="C59" s="381" t="s">
        <v>145</v>
      </c>
      <c r="D59" s="380">
        <v>41570</v>
      </c>
      <c r="E59" s="381" t="s">
        <v>483</v>
      </c>
      <c r="F59" s="381"/>
      <c r="G59" s="382" t="s">
        <v>56</v>
      </c>
      <c r="H59" s="161"/>
      <c r="I59" s="161">
        <v>807000000</v>
      </c>
      <c r="J59" s="162">
        <f t="shared" si="3"/>
        <v>5389985</v>
      </c>
      <c r="K59" s="162"/>
    </row>
    <row r="60" spans="1:12" s="142" customFormat="1" ht="18" customHeight="1">
      <c r="A60" s="142">
        <f t="shared" si="2"/>
        <v>10</v>
      </c>
      <c r="B60" s="380">
        <v>41571</v>
      </c>
      <c r="C60" s="381" t="s">
        <v>148</v>
      </c>
      <c r="D60" s="380">
        <v>41571</v>
      </c>
      <c r="E60" s="381" t="s">
        <v>157</v>
      </c>
      <c r="F60" s="381"/>
      <c r="G60" s="382" t="s">
        <v>158</v>
      </c>
      <c r="H60" s="161">
        <v>5024</v>
      </c>
      <c r="I60" s="161"/>
      <c r="J60" s="162">
        <f t="shared" si="3"/>
        <v>5395009</v>
      </c>
      <c r="K60" s="162"/>
    </row>
    <row r="61" spans="1:12" s="142" customFormat="1" ht="18" customHeight="1">
      <c r="A61" s="142">
        <f t="shared" si="2"/>
        <v>11</v>
      </c>
      <c r="B61" s="380">
        <v>41579</v>
      </c>
      <c r="C61" s="381" t="s">
        <v>145</v>
      </c>
      <c r="D61" s="380">
        <v>41579</v>
      </c>
      <c r="E61" s="381" t="s">
        <v>188</v>
      </c>
      <c r="F61" s="381"/>
      <c r="G61" s="382" t="s">
        <v>35</v>
      </c>
      <c r="H61" s="161"/>
      <c r="I61" s="161">
        <v>2000</v>
      </c>
      <c r="J61" s="162">
        <f t="shared" si="3"/>
        <v>5393009</v>
      </c>
      <c r="K61" s="162"/>
    </row>
    <row r="62" spans="1:12" s="142" customFormat="1" ht="18" customHeight="1">
      <c r="A62" s="142">
        <f t="shared" si="2"/>
        <v>11</v>
      </c>
      <c r="B62" s="380">
        <v>41579</v>
      </c>
      <c r="C62" s="381" t="s">
        <v>145</v>
      </c>
      <c r="D62" s="380">
        <v>41579</v>
      </c>
      <c r="E62" s="381" t="s">
        <v>187</v>
      </c>
      <c r="F62" s="381"/>
      <c r="G62" s="382" t="s">
        <v>192</v>
      </c>
      <c r="H62" s="161"/>
      <c r="I62" s="161">
        <v>20000</v>
      </c>
      <c r="J62" s="162">
        <f t="shared" si="3"/>
        <v>5373009</v>
      </c>
      <c r="K62" s="162"/>
    </row>
    <row r="63" spans="1:12" s="142" customFormat="1" ht="18" customHeight="1">
      <c r="A63" s="142">
        <f t="shared" si="2"/>
        <v>11</v>
      </c>
      <c r="B63" s="380">
        <v>41584</v>
      </c>
      <c r="C63" s="381" t="s">
        <v>145</v>
      </c>
      <c r="D63" s="380">
        <v>41584</v>
      </c>
      <c r="E63" s="381" t="s">
        <v>715</v>
      </c>
      <c r="F63" s="381"/>
      <c r="G63" s="383" t="s">
        <v>35</v>
      </c>
      <c r="H63" s="161"/>
      <c r="I63" s="161">
        <v>3000</v>
      </c>
      <c r="J63" s="162">
        <f t="shared" si="3"/>
        <v>5370009</v>
      </c>
      <c r="K63" s="162"/>
    </row>
    <row r="64" spans="1:12" s="142" customFormat="1" ht="18" customHeight="1">
      <c r="A64" s="142">
        <f t="shared" si="2"/>
        <v>11</v>
      </c>
      <c r="B64" s="380">
        <v>41584</v>
      </c>
      <c r="C64" s="381" t="s">
        <v>145</v>
      </c>
      <c r="D64" s="380">
        <v>41584</v>
      </c>
      <c r="E64" s="381" t="s">
        <v>716</v>
      </c>
      <c r="F64" s="381"/>
      <c r="G64" s="382" t="s">
        <v>35</v>
      </c>
      <c r="H64" s="161"/>
      <c r="I64" s="161">
        <v>3000</v>
      </c>
      <c r="J64" s="162">
        <f t="shared" si="3"/>
        <v>5367009</v>
      </c>
      <c r="K64" s="162"/>
    </row>
    <row r="65" spans="1:14" s="142" customFormat="1" ht="18" customHeight="1">
      <c r="A65" s="142">
        <f t="shared" si="2"/>
        <v>11</v>
      </c>
      <c r="B65" s="380">
        <v>41584</v>
      </c>
      <c r="C65" s="381" t="s">
        <v>145</v>
      </c>
      <c r="D65" s="380">
        <v>41584</v>
      </c>
      <c r="E65" s="381" t="s">
        <v>717</v>
      </c>
      <c r="F65" s="381"/>
      <c r="G65" s="382" t="s">
        <v>192</v>
      </c>
      <c r="H65" s="161"/>
      <c r="I65" s="161">
        <v>30000</v>
      </c>
      <c r="J65" s="162">
        <f t="shared" si="3"/>
        <v>5337009</v>
      </c>
      <c r="K65" s="162"/>
    </row>
    <row r="66" spans="1:14" s="142" customFormat="1" ht="18" customHeight="1">
      <c r="A66" s="142">
        <f t="shared" si="2"/>
        <v>11</v>
      </c>
      <c r="B66" s="380">
        <v>41584</v>
      </c>
      <c r="C66" s="381" t="s">
        <v>145</v>
      </c>
      <c r="D66" s="380">
        <v>41584</v>
      </c>
      <c r="E66" s="381" t="s">
        <v>718</v>
      </c>
      <c r="F66" s="381"/>
      <c r="G66" s="382" t="s">
        <v>192</v>
      </c>
      <c r="H66" s="161"/>
      <c r="I66" s="161">
        <v>30000</v>
      </c>
      <c r="J66" s="162">
        <f t="shared" si="3"/>
        <v>5307009</v>
      </c>
      <c r="K66" s="162"/>
    </row>
    <row r="67" spans="1:14" s="142" customFormat="1" ht="18" customHeight="1">
      <c r="A67" s="142">
        <f t="shared" si="2"/>
        <v>11</v>
      </c>
      <c r="B67" s="380">
        <v>41586</v>
      </c>
      <c r="C67" s="381" t="s">
        <v>148</v>
      </c>
      <c r="D67" s="380">
        <v>41586</v>
      </c>
      <c r="E67" s="381" t="s">
        <v>185</v>
      </c>
      <c r="F67" s="381"/>
      <c r="G67" s="382" t="s">
        <v>36</v>
      </c>
      <c r="H67" s="161"/>
      <c r="I67" s="161">
        <v>5100000</v>
      </c>
      <c r="J67" s="162">
        <f t="shared" si="3"/>
        <v>207009</v>
      </c>
      <c r="K67" s="162"/>
    </row>
    <row r="68" spans="1:14" s="142" customFormat="1" ht="18" customHeight="1">
      <c r="A68" s="142">
        <f t="shared" si="2"/>
        <v>11</v>
      </c>
      <c r="B68" s="380">
        <v>41596</v>
      </c>
      <c r="C68" s="381" t="s">
        <v>145</v>
      </c>
      <c r="D68" s="380">
        <v>41596</v>
      </c>
      <c r="E68" s="381" t="s">
        <v>248</v>
      </c>
      <c r="F68" s="381"/>
      <c r="G68" s="382" t="s">
        <v>192</v>
      </c>
      <c r="H68" s="161">
        <v>980917500</v>
      </c>
      <c r="I68" s="161"/>
      <c r="J68" s="162">
        <f t="shared" si="3"/>
        <v>981124509</v>
      </c>
      <c r="K68" s="162"/>
    </row>
    <row r="69" spans="1:14" s="142" customFormat="1" ht="18" customHeight="1">
      <c r="A69" s="142">
        <f t="shared" si="2"/>
        <v>11</v>
      </c>
      <c r="B69" s="380">
        <v>41596</v>
      </c>
      <c r="C69" s="381" t="s">
        <v>145</v>
      </c>
      <c r="D69" s="380">
        <v>41596</v>
      </c>
      <c r="E69" s="381" t="s">
        <v>617</v>
      </c>
      <c r="F69" s="381"/>
      <c r="G69" s="383" t="s">
        <v>34</v>
      </c>
      <c r="H69" s="161"/>
      <c r="I69" s="161">
        <v>73000000</v>
      </c>
      <c r="J69" s="162">
        <f t="shared" si="3"/>
        <v>908124509</v>
      </c>
      <c r="K69" s="162"/>
    </row>
    <row r="70" spans="1:14" s="142" customFormat="1" ht="18" customHeight="1">
      <c r="A70" s="142">
        <f t="shared" si="2"/>
        <v>11</v>
      </c>
      <c r="B70" s="380">
        <v>41596</v>
      </c>
      <c r="C70" s="381" t="s">
        <v>148</v>
      </c>
      <c r="D70" s="380">
        <v>41596</v>
      </c>
      <c r="E70" s="381" t="s">
        <v>185</v>
      </c>
      <c r="F70" s="381"/>
      <c r="G70" s="382" t="s">
        <v>36</v>
      </c>
      <c r="H70" s="161"/>
      <c r="I70" s="161">
        <v>907948000</v>
      </c>
      <c r="J70" s="162">
        <f t="shared" si="3"/>
        <v>176509</v>
      </c>
      <c r="K70" s="162"/>
    </row>
    <row r="71" spans="1:14" s="142" customFormat="1" ht="18" customHeight="1">
      <c r="A71" s="142">
        <f t="shared" si="2"/>
        <v>12</v>
      </c>
      <c r="B71" s="387">
        <v>41609</v>
      </c>
      <c r="C71" s="388" t="s">
        <v>145</v>
      </c>
      <c r="D71" s="387">
        <v>41609</v>
      </c>
      <c r="E71" s="388" t="s">
        <v>719</v>
      </c>
      <c r="F71" s="388"/>
      <c r="G71" s="397" t="s">
        <v>35</v>
      </c>
      <c r="H71" s="389"/>
      <c r="I71" s="389">
        <v>3000</v>
      </c>
      <c r="J71" s="384">
        <f t="shared" si="3"/>
        <v>173509</v>
      </c>
      <c r="K71" s="384"/>
    </row>
    <row r="72" spans="1:14" s="142" customFormat="1" ht="18" customHeight="1">
      <c r="A72" s="142">
        <f t="shared" si="2"/>
        <v>12</v>
      </c>
      <c r="B72" s="380">
        <v>41609</v>
      </c>
      <c r="C72" s="381" t="s">
        <v>145</v>
      </c>
      <c r="D72" s="380">
        <v>41609</v>
      </c>
      <c r="E72" s="381" t="s">
        <v>719</v>
      </c>
      <c r="F72" s="381"/>
      <c r="G72" s="382" t="s">
        <v>35</v>
      </c>
      <c r="H72" s="161"/>
      <c r="I72" s="161">
        <v>3000</v>
      </c>
      <c r="J72" s="162">
        <f t="shared" si="3"/>
        <v>170509</v>
      </c>
      <c r="K72" s="162"/>
    </row>
    <row r="73" spans="1:14" s="142" customFormat="1" ht="18" customHeight="1">
      <c r="A73" s="142">
        <f t="shared" si="2"/>
        <v>12</v>
      </c>
      <c r="B73" s="380">
        <v>41609</v>
      </c>
      <c r="C73" s="381" t="s">
        <v>145</v>
      </c>
      <c r="D73" s="380">
        <v>41609</v>
      </c>
      <c r="E73" s="381" t="s">
        <v>720</v>
      </c>
      <c r="F73" s="381"/>
      <c r="G73" s="382" t="s">
        <v>192</v>
      </c>
      <c r="H73" s="161"/>
      <c r="I73" s="161">
        <v>30000</v>
      </c>
      <c r="J73" s="162">
        <f t="shared" si="3"/>
        <v>140509</v>
      </c>
      <c r="K73" s="162"/>
    </row>
    <row r="74" spans="1:14" s="142" customFormat="1" ht="18" customHeight="1">
      <c r="A74" s="142">
        <f t="shared" si="2"/>
        <v>12</v>
      </c>
      <c r="B74" s="380">
        <v>41609</v>
      </c>
      <c r="C74" s="381" t="s">
        <v>145</v>
      </c>
      <c r="D74" s="380">
        <v>41609</v>
      </c>
      <c r="E74" s="381" t="s">
        <v>720</v>
      </c>
      <c r="F74" s="381"/>
      <c r="G74" s="382" t="s">
        <v>192</v>
      </c>
      <c r="H74" s="161"/>
      <c r="I74" s="161">
        <v>30000</v>
      </c>
      <c r="J74" s="162">
        <f t="shared" si="3"/>
        <v>110509</v>
      </c>
      <c r="K74" s="162"/>
    </row>
    <row r="75" spans="1:14" s="186" customFormat="1" ht="18" customHeight="1">
      <c r="A75" s="142" t="str">
        <f t="shared" ref="A75" si="4">IF(B75&lt;&gt;"",MONTH(B75),"")</f>
        <v/>
      </c>
      <c r="B75" s="210"/>
      <c r="C75" s="209"/>
      <c r="D75" s="210"/>
      <c r="E75" s="211"/>
      <c r="F75" s="211"/>
      <c r="G75" s="209"/>
      <c r="H75" s="266"/>
      <c r="I75" s="266"/>
      <c r="J75" s="395"/>
      <c r="K75" s="267"/>
    </row>
    <row r="76" spans="1:14" s="194" customFormat="1" ht="18" customHeight="1">
      <c r="B76" s="390"/>
      <c r="C76" s="391"/>
      <c r="D76" s="390"/>
      <c r="E76" s="392" t="s">
        <v>29</v>
      </c>
      <c r="F76" s="392"/>
      <c r="G76" s="393"/>
      <c r="H76" s="394">
        <f>SUM(H12:H75)</f>
        <v>3309482944</v>
      </c>
      <c r="I76" s="394">
        <f>SUM(I12:I75)</f>
        <v>3311529165</v>
      </c>
      <c r="J76" s="394">
        <f>J11+H76-I76</f>
        <v>110509</v>
      </c>
      <c r="K76" s="393"/>
      <c r="M76" s="385">
        <v>109992</v>
      </c>
      <c r="N76" s="386" t="s">
        <v>143</v>
      </c>
    </row>
    <row r="77" spans="1:14" s="194" customFormat="1" ht="18" customHeight="1">
      <c r="B77" s="215"/>
      <c r="C77" s="216"/>
      <c r="D77" s="215"/>
      <c r="E77" s="200" t="s">
        <v>161</v>
      </c>
      <c r="F77" s="200"/>
      <c r="G77" s="217"/>
      <c r="H77" s="200"/>
      <c r="I77" s="200"/>
      <c r="J77" s="244">
        <f>J76</f>
        <v>110509</v>
      </c>
      <c r="K77" s="217"/>
      <c r="M77" s="396">
        <f>J76-M76</f>
        <v>517</v>
      </c>
      <c r="N77" s="386" t="s">
        <v>795</v>
      </c>
    </row>
    <row r="78" spans="1:14" s="194" customFormat="1" ht="22.5" customHeight="1">
      <c r="B78" s="245" t="s">
        <v>162</v>
      </c>
      <c r="C78" s="246"/>
      <c r="H78" s="247"/>
      <c r="K78" s="248"/>
    </row>
    <row r="79" spans="1:14" s="194" customFormat="1" ht="12.75">
      <c r="B79" s="249" t="s">
        <v>721</v>
      </c>
      <c r="C79" s="250"/>
      <c r="H79" s="247"/>
      <c r="K79" s="248"/>
    </row>
    <row r="80" spans="1:14" s="194" customFormat="1" ht="12.75">
      <c r="B80" s="251"/>
      <c r="C80" s="252"/>
      <c r="D80" s="253"/>
      <c r="H80" s="247"/>
      <c r="I80" s="441" t="s">
        <v>722</v>
      </c>
      <c r="J80" s="441"/>
      <c r="K80" s="441"/>
    </row>
    <row r="81" spans="2:13" s="194" customFormat="1" ht="17.25" customHeight="1">
      <c r="B81" s="444" t="s">
        <v>33</v>
      </c>
      <c r="C81" s="444"/>
      <c r="D81" s="252"/>
      <c r="G81" s="254" t="s">
        <v>13</v>
      </c>
      <c r="H81" s="255"/>
      <c r="I81" s="445" t="s">
        <v>14</v>
      </c>
      <c r="J81" s="445"/>
      <c r="K81" s="445"/>
      <c r="L81" s="256"/>
      <c r="M81" s="251"/>
    </row>
    <row r="82" spans="2:13" s="194" customFormat="1" ht="12.75">
      <c r="B82" s="440" t="s">
        <v>15</v>
      </c>
      <c r="C82" s="440"/>
      <c r="D82" s="258"/>
      <c r="G82" s="257" t="s">
        <v>15</v>
      </c>
      <c r="H82" s="259"/>
      <c r="I82" s="441" t="s">
        <v>16</v>
      </c>
      <c r="J82" s="441"/>
      <c r="K82" s="441"/>
      <c r="M82" s="260"/>
    </row>
  </sheetData>
  <autoFilter ref="A10:M79">
    <filterColumn colId="0"/>
    <filterColumn colId="6"/>
  </autoFilter>
  <sortState ref="A12:N74">
    <sortCondition ref="B12:B74"/>
  </sortState>
  <mergeCells count="19">
    <mergeCell ref="A8:A9"/>
    <mergeCell ref="I80:K80"/>
    <mergeCell ref="B2:E3"/>
    <mergeCell ref="I1:K1"/>
    <mergeCell ref="I2:K2"/>
    <mergeCell ref="I3:K3"/>
    <mergeCell ref="G8:G9"/>
    <mergeCell ref="C8:D8"/>
    <mergeCell ref="E8:E9"/>
    <mergeCell ref="H8:J8"/>
    <mergeCell ref="B82:C82"/>
    <mergeCell ref="I82:K82"/>
    <mergeCell ref="B4:K4"/>
    <mergeCell ref="B5:K5"/>
    <mergeCell ref="B6:K6"/>
    <mergeCell ref="B8:B9"/>
    <mergeCell ref="B81:C81"/>
    <mergeCell ref="I81:K81"/>
    <mergeCell ref="K8:K9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N44"/>
  <sheetViews>
    <sheetView tabSelected="1" topLeftCell="A8" workbookViewId="0">
      <pane ySplit="4" topLeftCell="A12" activePane="bottomLeft" state="frozen"/>
      <selection activeCell="E186" sqref="E186"/>
      <selection pane="bottomLeft" activeCell="E22" sqref="E22"/>
    </sheetView>
  </sheetViews>
  <sheetFormatPr defaultRowHeight="15.75"/>
  <cols>
    <col min="1" max="1" width="4.28515625" style="235" customWidth="1"/>
    <col min="2" max="2" width="9.5703125" style="235" customWidth="1"/>
    <col min="3" max="3" width="5.42578125" style="236" customWidth="1"/>
    <col min="4" max="4" width="9.28515625" style="235" customWidth="1"/>
    <col min="5" max="5" width="35" style="235" customWidth="1"/>
    <col min="6" max="6" width="14.140625" style="235" customWidth="1"/>
    <col min="7" max="7" width="6.42578125" style="235" customWidth="1"/>
    <col min="8" max="8" width="6.7109375" style="237" customWidth="1"/>
    <col min="9" max="10" width="14.5703125" style="235" customWidth="1"/>
    <col min="11" max="11" width="14.5703125" style="238" customWidth="1"/>
    <col min="12" max="12" width="7.42578125" style="235" customWidth="1"/>
    <col min="13" max="16384" width="9.140625" style="235"/>
  </cols>
  <sheetData>
    <row r="1" spans="1:14" s="186" customFormat="1" ht="16.5" customHeight="1">
      <c r="B1" s="187" t="s">
        <v>127</v>
      </c>
      <c r="C1" s="135"/>
      <c r="H1" s="188"/>
      <c r="J1" s="424" t="s">
        <v>128</v>
      </c>
      <c r="K1" s="424"/>
      <c r="L1" s="424"/>
      <c r="M1" s="138"/>
      <c r="N1" s="138"/>
    </row>
    <row r="2" spans="1:14" s="186" customFormat="1" ht="16.5" customHeight="1">
      <c r="B2" s="425" t="s">
        <v>129</v>
      </c>
      <c r="C2" s="425"/>
      <c r="D2" s="425"/>
      <c r="E2" s="425"/>
      <c r="F2" s="139"/>
      <c r="H2" s="188"/>
      <c r="J2" s="427" t="s">
        <v>130</v>
      </c>
      <c r="K2" s="427"/>
      <c r="L2" s="427"/>
      <c r="M2" s="136"/>
      <c r="N2" s="136"/>
    </row>
    <row r="3" spans="1:14" s="186" customFormat="1" ht="16.5" customHeight="1">
      <c r="B3" s="425"/>
      <c r="C3" s="425"/>
      <c r="D3" s="425"/>
      <c r="E3" s="425"/>
      <c r="F3" s="139"/>
      <c r="H3" s="188"/>
      <c r="J3" s="427" t="s">
        <v>131</v>
      </c>
      <c r="K3" s="427"/>
      <c r="L3" s="427"/>
    </row>
    <row r="4" spans="1:14" s="186" customFormat="1" ht="19.5" customHeight="1">
      <c r="B4" s="428" t="s">
        <v>132</v>
      </c>
      <c r="C4" s="428"/>
      <c r="D4" s="428"/>
      <c r="E4" s="428"/>
      <c r="F4" s="428"/>
      <c r="G4" s="428"/>
      <c r="H4" s="428"/>
      <c r="I4" s="428"/>
      <c r="J4" s="428"/>
      <c r="K4" s="428"/>
      <c r="L4" s="428"/>
    </row>
    <row r="5" spans="1:14" s="186" customFormat="1" ht="15">
      <c r="B5" s="429" t="s">
        <v>168</v>
      </c>
      <c r="C5" s="429"/>
      <c r="D5" s="429"/>
      <c r="E5" s="429"/>
      <c r="F5" s="429"/>
      <c r="G5" s="429"/>
      <c r="H5" s="429"/>
      <c r="I5" s="429"/>
      <c r="J5" s="429"/>
      <c r="K5" s="429"/>
      <c r="L5" s="429"/>
    </row>
    <row r="6" spans="1:14" s="186" customFormat="1" ht="15">
      <c r="B6" s="429" t="s">
        <v>170</v>
      </c>
      <c r="C6" s="429"/>
      <c r="D6" s="429"/>
      <c r="E6" s="429"/>
      <c r="F6" s="429"/>
      <c r="G6" s="429"/>
      <c r="H6" s="429"/>
      <c r="I6" s="429"/>
      <c r="J6" s="429"/>
      <c r="K6" s="429"/>
      <c r="L6" s="429"/>
    </row>
    <row r="7" spans="1:14" s="186" customFormat="1" ht="6.75" customHeight="1">
      <c r="B7" s="137"/>
      <c r="C7" s="137"/>
      <c r="D7" s="137"/>
      <c r="E7" s="137"/>
      <c r="F7" s="137"/>
      <c r="G7" s="137"/>
      <c r="H7" s="190"/>
      <c r="I7" s="137"/>
      <c r="J7" s="137"/>
      <c r="K7" s="191"/>
      <c r="L7" s="137"/>
    </row>
    <row r="8" spans="1:14" s="194" customFormat="1" ht="20.25" customHeight="1">
      <c r="A8" s="417" t="s">
        <v>114</v>
      </c>
      <c r="B8" s="446" t="s">
        <v>135</v>
      </c>
      <c r="C8" s="446" t="s">
        <v>136</v>
      </c>
      <c r="D8" s="446"/>
      <c r="E8" s="446" t="s">
        <v>3</v>
      </c>
      <c r="F8" s="216"/>
      <c r="G8" s="446" t="s">
        <v>22</v>
      </c>
      <c r="H8" s="447" t="s">
        <v>165</v>
      </c>
      <c r="I8" s="446" t="s">
        <v>66</v>
      </c>
      <c r="J8" s="446"/>
      <c r="K8" s="446"/>
      <c r="L8" s="446" t="s">
        <v>4</v>
      </c>
    </row>
    <row r="9" spans="1:14" s="194" customFormat="1" ht="22.5" customHeight="1">
      <c r="A9" s="418"/>
      <c r="B9" s="446"/>
      <c r="C9" s="216" t="s">
        <v>137</v>
      </c>
      <c r="D9" s="216" t="s">
        <v>138</v>
      </c>
      <c r="E9" s="446"/>
      <c r="F9" s="216"/>
      <c r="G9" s="446"/>
      <c r="H9" s="447"/>
      <c r="I9" s="216" t="s">
        <v>139</v>
      </c>
      <c r="J9" s="216" t="s">
        <v>140</v>
      </c>
      <c r="K9" s="262" t="s">
        <v>141</v>
      </c>
      <c r="L9" s="446"/>
    </row>
    <row r="10" spans="1:14" s="199" customFormat="1" ht="12">
      <c r="A10" s="145"/>
      <c r="B10" s="263" t="s">
        <v>7</v>
      </c>
      <c r="C10" s="263" t="s">
        <v>8</v>
      </c>
      <c r="D10" s="263" t="s">
        <v>9</v>
      </c>
      <c r="E10" s="263" t="s">
        <v>10</v>
      </c>
      <c r="F10" s="263"/>
      <c r="G10" s="263" t="s">
        <v>11</v>
      </c>
      <c r="H10" s="264"/>
      <c r="I10" s="263">
        <v>1</v>
      </c>
      <c r="J10" s="263">
        <v>2</v>
      </c>
      <c r="K10" s="263">
        <v>3</v>
      </c>
      <c r="L10" s="263" t="s">
        <v>27</v>
      </c>
    </row>
    <row r="11" spans="1:14" s="194" customFormat="1" ht="18.75" customHeight="1">
      <c r="A11" s="149"/>
      <c r="B11" s="200"/>
      <c r="C11" s="201"/>
      <c r="D11" s="200"/>
      <c r="E11" s="200" t="s">
        <v>142</v>
      </c>
      <c r="F11" s="200"/>
      <c r="G11" s="200"/>
      <c r="H11" s="202"/>
      <c r="I11" s="202"/>
      <c r="J11" s="200"/>
      <c r="K11" s="203">
        <v>87.33</v>
      </c>
      <c r="L11" s="200"/>
    </row>
    <row r="12" spans="1:14" s="142" customFormat="1" ht="18.75" customHeight="1">
      <c r="A12" s="142">
        <f t="shared" ref="A12:A36" si="0">IF(B12&lt;&gt;"",MONTH(B12),"")</f>
        <v>1</v>
      </c>
      <c r="B12" s="157">
        <v>41284</v>
      </c>
      <c r="C12" s="158" t="s">
        <v>148</v>
      </c>
      <c r="D12" s="157">
        <v>41284</v>
      </c>
      <c r="E12" s="159" t="s">
        <v>777</v>
      </c>
      <c r="F12" s="162">
        <f t="shared" ref="F12:F36" si="1">ROUND((I12+J12)*H12,0)</f>
        <v>1114731600</v>
      </c>
      <c r="G12" s="158" t="s">
        <v>166</v>
      </c>
      <c r="H12" s="205">
        <v>20840</v>
      </c>
      <c r="I12" s="207">
        <v>53490</v>
      </c>
      <c r="J12" s="207"/>
      <c r="K12" s="208">
        <f>IF(B12&lt;&gt;"",K11+I12-J12,0)</f>
        <v>53577.33</v>
      </c>
      <c r="L12" s="162"/>
    </row>
    <row r="13" spans="1:14" s="142" customFormat="1" ht="18.75" customHeight="1">
      <c r="A13" s="142">
        <f t="shared" si="0"/>
        <v>1</v>
      </c>
      <c r="B13" s="157">
        <v>41284</v>
      </c>
      <c r="C13" s="158" t="s">
        <v>145</v>
      </c>
      <c r="D13" s="157">
        <v>41284</v>
      </c>
      <c r="E13" s="159" t="s">
        <v>248</v>
      </c>
      <c r="F13" s="162">
        <f t="shared" si="1"/>
        <v>1114940000</v>
      </c>
      <c r="G13" s="158" t="s">
        <v>36</v>
      </c>
      <c r="H13" s="205">
        <v>20840</v>
      </c>
      <c r="I13" s="207"/>
      <c r="J13" s="207">
        <v>53500</v>
      </c>
      <c r="K13" s="208">
        <f t="shared" ref="K13:K36" si="2">IF(B13&lt;&gt;"",K12+I13-J13,0)</f>
        <v>77.330000000001746</v>
      </c>
      <c r="L13" s="162"/>
    </row>
    <row r="14" spans="1:14" s="142" customFormat="1" ht="18.75" customHeight="1">
      <c r="A14" s="142">
        <f t="shared" si="0"/>
        <v>1</v>
      </c>
      <c r="B14" s="157">
        <v>41293</v>
      </c>
      <c r="C14" s="158" t="s">
        <v>148</v>
      </c>
      <c r="D14" s="157">
        <v>41293</v>
      </c>
      <c r="E14" s="159" t="s">
        <v>724</v>
      </c>
      <c r="F14" s="162">
        <f t="shared" si="1"/>
        <v>58011550</v>
      </c>
      <c r="G14" s="158" t="s">
        <v>166</v>
      </c>
      <c r="H14" s="205">
        <v>20830</v>
      </c>
      <c r="I14" s="207">
        <v>2785</v>
      </c>
      <c r="J14" s="207"/>
      <c r="K14" s="208">
        <f t="shared" si="2"/>
        <v>2862.3300000000017</v>
      </c>
      <c r="L14" s="162"/>
    </row>
    <row r="15" spans="1:14" s="142" customFormat="1" ht="18.75" customHeight="1">
      <c r="A15" s="142">
        <f t="shared" si="0"/>
        <v>1</v>
      </c>
      <c r="B15" s="157">
        <v>41293</v>
      </c>
      <c r="C15" s="158" t="s">
        <v>148</v>
      </c>
      <c r="D15" s="157">
        <v>41293</v>
      </c>
      <c r="E15" s="159" t="s">
        <v>790</v>
      </c>
      <c r="F15" s="162">
        <f t="shared" si="1"/>
        <v>1671399</v>
      </c>
      <c r="G15" s="158" t="s">
        <v>150</v>
      </c>
      <c r="H15" s="205">
        <v>20830</v>
      </c>
      <c r="I15" s="207"/>
      <c r="J15" s="207">
        <v>80.239999999999995</v>
      </c>
      <c r="K15" s="208">
        <f t="shared" si="2"/>
        <v>2782.090000000002</v>
      </c>
      <c r="L15" s="162"/>
    </row>
    <row r="16" spans="1:14" s="142" customFormat="1" ht="18.75" customHeight="1">
      <c r="A16" s="142">
        <f t="shared" si="0"/>
        <v>1</v>
      </c>
      <c r="B16" s="157">
        <v>41293</v>
      </c>
      <c r="C16" s="158" t="s">
        <v>148</v>
      </c>
      <c r="D16" s="157">
        <v>41293</v>
      </c>
      <c r="E16" s="159" t="s">
        <v>256</v>
      </c>
      <c r="F16" s="162">
        <f t="shared" si="1"/>
        <v>104150</v>
      </c>
      <c r="G16" s="158" t="s">
        <v>192</v>
      </c>
      <c r="H16" s="205">
        <v>20830</v>
      </c>
      <c r="I16" s="207"/>
      <c r="J16" s="207">
        <v>5</v>
      </c>
      <c r="K16" s="208">
        <f t="shared" si="2"/>
        <v>2777.090000000002</v>
      </c>
      <c r="L16" s="162"/>
    </row>
    <row r="17" spans="1:13" s="142" customFormat="1" ht="18.75" customHeight="1">
      <c r="A17" s="142">
        <f t="shared" si="0"/>
        <v>1</v>
      </c>
      <c r="B17" s="157">
        <v>41293</v>
      </c>
      <c r="C17" s="158" t="s">
        <v>148</v>
      </c>
      <c r="D17" s="157">
        <v>41293</v>
      </c>
      <c r="E17" s="159" t="s">
        <v>257</v>
      </c>
      <c r="F17" s="162">
        <f t="shared" si="1"/>
        <v>10420</v>
      </c>
      <c r="G17" s="158" t="s">
        <v>35</v>
      </c>
      <c r="H17" s="205">
        <v>20840</v>
      </c>
      <c r="I17" s="207"/>
      <c r="J17" s="207">
        <v>0.5</v>
      </c>
      <c r="K17" s="208">
        <f t="shared" si="2"/>
        <v>2776.590000000002</v>
      </c>
      <c r="L17" s="162"/>
    </row>
    <row r="18" spans="1:13" s="142" customFormat="1" ht="18.75" customHeight="1">
      <c r="A18" s="142">
        <f t="shared" si="0"/>
        <v>1</v>
      </c>
      <c r="B18" s="157">
        <v>41293</v>
      </c>
      <c r="C18" s="158" t="s">
        <v>148</v>
      </c>
      <c r="D18" s="157">
        <v>41293</v>
      </c>
      <c r="E18" s="159" t="s">
        <v>791</v>
      </c>
      <c r="F18" s="162">
        <f t="shared" si="1"/>
        <v>1583497</v>
      </c>
      <c r="G18" s="158" t="s">
        <v>192</v>
      </c>
      <c r="H18" s="205">
        <v>20830</v>
      </c>
      <c r="I18" s="207"/>
      <c r="J18" s="207">
        <v>76.02</v>
      </c>
      <c r="K18" s="208">
        <f t="shared" si="2"/>
        <v>2700.570000000002</v>
      </c>
      <c r="L18" s="162"/>
    </row>
    <row r="19" spans="1:13" s="142" customFormat="1" ht="18.75" customHeight="1">
      <c r="A19" s="142">
        <f t="shared" si="0"/>
        <v>1</v>
      </c>
      <c r="B19" s="157">
        <v>41293</v>
      </c>
      <c r="C19" s="158" t="s">
        <v>148</v>
      </c>
      <c r="D19" s="157">
        <v>41293</v>
      </c>
      <c r="E19" s="159" t="s">
        <v>792</v>
      </c>
      <c r="F19" s="162">
        <f t="shared" si="1"/>
        <v>158384</v>
      </c>
      <c r="G19" s="160" t="s">
        <v>35</v>
      </c>
      <c r="H19" s="205">
        <v>20840</v>
      </c>
      <c r="I19" s="207"/>
      <c r="J19" s="207">
        <v>7.6</v>
      </c>
      <c r="K19" s="208">
        <f t="shared" si="2"/>
        <v>2692.9700000000021</v>
      </c>
      <c r="L19" s="162"/>
    </row>
    <row r="20" spans="1:13" s="142" customFormat="1" ht="18.75" customHeight="1">
      <c r="A20" s="142">
        <f t="shared" si="0"/>
        <v>1</v>
      </c>
      <c r="B20" s="157">
        <v>41293</v>
      </c>
      <c r="C20" s="158" t="s">
        <v>148</v>
      </c>
      <c r="D20" s="157">
        <v>41293</v>
      </c>
      <c r="E20" s="159" t="s">
        <v>239</v>
      </c>
      <c r="F20" s="162">
        <f t="shared" si="1"/>
        <v>1082743</v>
      </c>
      <c r="G20" s="158" t="s">
        <v>192</v>
      </c>
      <c r="H20" s="205">
        <v>20830</v>
      </c>
      <c r="I20" s="207"/>
      <c r="J20" s="207">
        <v>51.98</v>
      </c>
      <c r="K20" s="208">
        <f t="shared" si="2"/>
        <v>2640.9900000000021</v>
      </c>
      <c r="L20" s="162"/>
    </row>
    <row r="21" spans="1:13" s="142" customFormat="1" ht="18.75" customHeight="1">
      <c r="A21" s="142">
        <f t="shared" si="0"/>
        <v>1</v>
      </c>
      <c r="B21" s="157">
        <v>41293</v>
      </c>
      <c r="C21" s="158" t="s">
        <v>148</v>
      </c>
      <c r="D21" s="157">
        <v>41293</v>
      </c>
      <c r="E21" s="159" t="s">
        <v>240</v>
      </c>
      <c r="F21" s="162">
        <f t="shared" si="1"/>
        <v>108368</v>
      </c>
      <c r="G21" s="158" t="s">
        <v>35</v>
      </c>
      <c r="H21" s="205">
        <v>20840</v>
      </c>
      <c r="I21" s="207"/>
      <c r="J21" s="207">
        <v>5.2</v>
      </c>
      <c r="K21" s="208">
        <f t="shared" si="2"/>
        <v>2635.7900000000022</v>
      </c>
      <c r="L21" s="162"/>
    </row>
    <row r="22" spans="1:13" s="142" customFormat="1" ht="18.75" customHeight="1">
      <c r="A22" s="142">
        <f t="shared" si="0"/>
        <v>1</v>
      </c>
      <c r="B22" s="157">
        <v>41295</v>
      </c>
      <c r="C22" s="158" t="s">
        <v>148</v>
      </c>
      <c r="D22" s="157">
        <v>41295</v>
      </c>
      <c r="E22" s="159" t="s">
        <v>252</v>
      </c>
      <c r="F22" s="162">
        <f t="shared" si="1"/>
        <v>8332000</v>
      </c>
      <c r="G22" s="158" t="s">
        <v>147</v>
      </c>
      <c r="H22" s="205">
        <v>20830</v>
      </c>
      <c r="I22" s="207"/>
      <c r="J22" s="207">
        <v>400</v>
      </c>
      <c r="K22" s="208">
        <f t="shared" si="2"/>
        <v>2235.7900000000022</v>
      </c>
      <c r="L22" s="162"/>
    </row>
    <row r="23" spans="1:13" s="142" customFormat="1" ht="18.75" customHeight="1">
      <c r="A23" s="142">
        <f t="shared" si="0"/>
        <v>1</v>
      </c>
      <c r="B23" s="157">
        <v>41298</v>
      </c>
      <c r="C23" s="158" t="s">
        <v>145</v>
      </c>
      <c r="D23" s="157">
        <v>41298</v>
      </c>
      <c r="E23" s="159" t="s">
        <v>248</v>
      </c>
      <c r="F23" s="162">
        <f t="shared" si="1"/>
        <v>45815000</v>
      </c>
      <c r="G23" s="158" t="s">
        <v>36</v>
      </c>
      <c r="H23" s="205">
        <v>20825</v>
      </c>
      <c r="I23" s="207"/>
      <c r="J23" s="207">
        <v>2200</v>
      </c>
      <c r="K23" s="208">
        <f t="shared" si="2"/>
        <v>35.790000000002237</v>
      </c>
      <c r="L23" s="162"/>
    </row>
    <row r="24" spans="1:13" s="142" customFormat="1" ht="18.75" customHeight="1">
      <c r="A24" s="142">
        <f t="shared" si="0"/>
        <v>8</v>
      </c>
      <c r="B24" s="157">
        <v>41488</v>
      </c>
      <c r="C24" s="158" t="s">
        <v>145</v>
      </c>
      <c r="D24" s="157">
        <v>41488</v>
      </c>
      <c r="E24" s="159" t="s">
        <v>154</v>
      </c>
      <c r="F24" s="162">
        <f t="shared" si="1"/>
        <v>42220</v>
      </c>
      <c r="G24" s="158" t="s">
        <v>192</v>
      </c>
      <c r="H24" s="205">
        <v>21110</v>
      </c>
      <c r="I24" s="207"/>
      <c r="J24" s="207">
        <v>2</v>
      </c>
      <c r="K24" s="208">
        <f t="shared" si="2"/>
        <v>33.790000000002237</v>
      </c>
      <c r="L24" s="162"/>
    </row>
    <row r="25" spans="1:13" s="142" customFormat="1" ht="18.75" customHeight="1">
      <c r="A25" s="142">
        <f t="shared" si="0"/>
        <v>8</v>
      </c>
      <c r="B25" s="157">
        <v>41488</v>
      </c>
      <c r="C25" s="158" t="s">
        <v>145</v>
      </c>
      <c r="D25" s="157">
        <v>41488</v>
      </c>
      <c r="E25" s="159" t="s">
        <v>155</v>
      </c>
      <c r="F25" s="162">
        <f t="shared" si="1"/>
        <v>4222</v>
      </c>
      <c r="G25" s="158" t="s">
        <v>35</v>
      </c>
      <c r="H25" s="205">
        <v>21110</v>
      </c>
      <c r="I25" s="207"/>
      <c r="J25" s="207">
        <v>0.2</v>
      </c>
      <c r="K25" s="208">
        <f t="shared" si="2"/>
        <v>33.590000000002235</v>
      </c>
      <c r="L25" s="162"/>
      <c r="M25" s="265"/>
    </row>
    <row r="26" spans="1:13" s="142" customFormat="1" ht="18.75" customHeight="1">
      <c r="A26" s="142">
        <f t="shared" si="0"/>
        <v>9</v>
      </c>
      <c r="B26" s="157">
        <v>41547</v>
      </c>
      <c r="C26" s="158" t="s">
        <v>148</v>
      </c>
      <c r="D26" s="157">
        <v>41547</v>
      </c>
      <c r="E26" s="159" t="s">
        <v>491</v>
      </c>
      <c r="F26" s="162">
        <f t="shared" si="1"/>
        <v>252666636</v>
      </c>
      <c r="G26" s="158" t="s">
        <v>166</v>
      </c>
      <c r="H26" s="205">
        <v>21090</v>
      </c>
      <c r="I26" s="207">
        <v>11980.4</v>
      </c>
      <c r="J26" s="207"/>
      <c r="K26" s="208">
        <f t="shared" si="2"/>
        <v>12013.990000000002</v>
      </c>
      <c r="L26" s="162"/>
    </row>
    <row r="27" spans="1:13" s="142" customFormat="1" ht="18.75" customHeight="1">
      <c r="A27" s="142">
        <f t="shared" si="0"/>
        <v>9</v>
      </c>
      <c r="B27" s="157">
        <v>41547</v>
      </c>
      <c r="C27" s="158" t="s">
        <v>145</v>
      </c>
      <c r="D27" s="157">
        <v>41547</v>
      </c>
      <c r="E27" s="159" t="s">
        <v>248</v>
      </c>
      <c r="F27" s="162">
        <f t="shared" si="1"/>
        <v>253200000</v>
      </c>
      <c r="G27" s="158" t="s">
        <v>36</v>
      </c>
      <c r="H27" s="205">
        <v>21100</v>
      </c>
      <c r="I27" s="207"/>
      <c r="J27" s="207">
        <v>12000</v>
      </c>
      <c r="K27" s="208">
        <f t="shared" si="2"/>
        <v>13.990000000001601</v>
      </c>
      <c r="L27" s="162"/>
    </row>
    <row r="28" spans="1:13" s="142" customFormat="1" ht="18.75" customHeight="1">
      <c r="A28" s="142">
        <f t="shared" si="0"/>
        <v>10</v>
      </c>
      <c r="B28" s="157">
        <v>41568</v>
      </c>
      <c r="C28" s="158" t="s">
        <v>148</v>
      </c>
      <c r="D28" s="157">
        <v>41568</v>
      </c>
      <c r="E28" s="159" t="s">
        <v>491</v>
      </c>
      <c r="F28" s="162">
        <f t="shared" si="1"/>
        <v>948303146</v>
      </c>
      <c r="G28" s="160" t="s">
        <v>166</v>
      </c>
      <c r="H28" s="205">
        <v>21085</v>
      </c>
      <c r="I28" s="207">
        <v>44975.25</v>
      </c>
      <c r="J28" s="207"/>
      <c r="K28" s="208">
        <f t="shared" si="2"/>
        <v>44989.240000000005</v>
      </c>
      <c r="L28" s="162"/>
    </row>
    <row r="29" spans="1:13" s="142" customFormat="1" ht="18.75" customHeight="1">
      <c r="A29" s="142">
        <f t="shared" si="0"/>
        <v>10</v>
      </c>
      <c r="B29" s="157">
        <v>41569</v>
      </c>
      <c r="C29" s="158" t="s">
        <v>148</v>
      </c>
      <c r="D29" s="157">
        <v>41569</v>
      </c>
      <c r="E29" s="159" t="s">
        <v>252</v>
      </c>
      <c r="F29" s="162">
        <f t="shared" si="1"/>
        <v>143103895</v>
      </c>
      <c r="G29" s="158" t="s">
        <v>147</v>
      </c>
      <c r="H29" s="205">
        <v>21085</v>
      </c>
      <c r="I29" s="207"/>
      <c r="J29" s="207">
        <v>6787</v>
      </c>
      <c r="K29" s="208">
        <f t="shared" si="2"/>
        <v>38202.240000000005</v>
      </c>
      <c r="L29" s="162"/>
      <c r="M29" s="265"/>
    </row>
    <row r="30" spans="1:13" s="142" customFormat="1" ht="18.75" customHeight="1">
      <c r="A30" s="142">
        <f t="shared" si="0"/>
        <v>10</v>
      </c>
      <c r="B30" s="157">
        <v>41570</v>
      </c>
      <c r="C30" s="158" t="s">
        <v>145</v>
      </c>
      <c r="D30" s="157">
        <v>41570</v>
      </c>
      <c r="E30" s="159" t="s">
        <v>248</v>
      </c>
      <c r="F30" s="162">
        <f t="shared" si="1"/>
        <v>806593000</v>
      </c>
      <c r="G30" s="160" t="s">
        <v>36</v>
      </c>
      <c r="H30" s="205">
        <v>21115</v>
      </c>
      <c r="I30" s="207"/>
      <c r="J30" s="207">
        <v>38200</v>
      </c>
      <c r="K30" s="208">
        <f t="shared" si="2"/>
        <v>2.2400000000052387</v>
      </c>
      <c r="L30" s="162"/>
    </row>
    <row r="31" spans="1:13" s="142" customFormat="1" ht="18.75" customHeight="1">
      <c r="A31" s="142">
        <f t="shared" si="0"/>
        <v>10</v>
      </c>
      <c r="B31" s="157">
        <v>41571</v>
      </c>
      <c r="C31" s="158" t="s">
        <v>148</v>
      </c>
      <c r="D31" s="157">
        <v>41571</v>
      </c>
      <c r="E31" s="159" t="s">
        <v>157</v>
      </c>
      <c r="F31" s="162">
        <f t="shared" si="1"/>
        <v>4856</v>
      </c>
      <c r="G31" s="160" t="s">
        <v>158</v>
      </c>
      <c r="H31" s="205">
        <v>21113</v>
      </c>
      <c r="I31" s="207">
        <v>0.23</v>
      </c>
      <c r="J31" s="207"/>
      <c r="K31" s="208">
        <f t="shared" si="2"/>
        <v>2.4700000000052387</v>
      </c>
      <c r="L31" s="162"/>
    </row>
    <row r="32" spans="1:13" s="142" customFormat="1" ht="18.75" customHeight="1">
      <c r="A32" s="142">
        <f t="shared" si="0"/>
        <v>11</v>
      </c>
      <c r="B32" s="157">
        <v>41579</v>
      </c>
      <c r="C32" s="158" t="s">
        <v>145</v>
      </c>
      <c r="D32" s="157">
        <v>41579</v>
      </c>
      <c r="E32" s="159" t="s">
        <v>187</v>
      </c>
      <c r="F32" s="162">
        <f t="shared" si="1"/>
        <v>42240</v>
      </c>
      <c r="G32" s="160" t="s">
        <v>192</v>
      </c>
      <c r="H32" s="205">
        <v>21120</v>
      </c>
      <c r="I32" s="207"/>
      <c r="J32" s="207">
        <v>2</v>
      </c>
      <c r="K32" s="208">
        <f t="shared" si="2"/>
        <v>0.47000000000523867</v>
      </c>
      <c r="L32" s="162"/>
    </row>
    <row r="33" spans="1:13" s="142" customFormat="1" ht="18.75" customHeight="1">
      <c r="A33" s="142">
        <f t="shared" si="0"/>
        <v>11</v>
      </c>
      <c r="B33" s="157">
        <v>41579</v>
      </c>
      <c r="C33" s="158" t="s">
        <v>145</v>
      </c>
      <c r="D33" s="157">
        <v>41579</v>
      </c>
      <c r="E33" s="159" t="s">
        <v>188</v>
      </c>
      <c r="F33" s="162">
        <f t="shared" si="1"/>
        <v>4224</v>
      </c>
      <c r="G33" s="160" t="s">
        <v>35</v>
      </c>
      <c r="H33" s="205">
        <v>21120</v>
      </c>
      <c r="I33" s="207"/>
      <c r="J33" s="207">
        <v>0.2</v>
      </c>
      <c r="K33" s="208">
        <f t="shared" si="2"/>
        <v>0.27000000000523866</v>
      </c>
      <c r="L33" s="162"/>
    </row>
    <row r="34" spans="1:13" s="142" customFormat="1" ht="18.75" customHeight="1">
      <c r="A34" s="142">
        <f t="shared" si="0"/>
        <v>11</v>
      </c>
      <c r="B34" s="157">
        <v>41592</v>
      </c>
      <c r="C34" s="158" t="s">
        <v>148</v>
      </c>
      <c r="D34" s="157">
        <v>41592</v>
      </c>
      <c r="E34" s="159" t="s">
        <v>491</v>
      </c>
      <c r="F34" s="162">
        <f t="shared" si="1"/>
        <v>980798294</v>
      </c>
      <c r="G34" s="160" t="s">
        <v>166</v>
      </c>
      <c r="H34" s="205">
        <v>21085</v>
      </c>
      <c r="I34" s="207">
        <v>46516.4</v>
      </c>
      <c r="J34" s="207"/>
      <c r="K34" s="208">
        <f t="shared" si="2"/>
        <v>46516.670000000006</v>
      </c>
      <c r="L34" s="162"/>
    </row>
    <row r="35" spans="1:13" s="142" customFormat="1" ht="18.75" customHeight="1">
      <c r="A35" s="142">
        <f t="shared" si="0"/>
        <v>11</v>
      </c>
      <c r="B35" s="157">
        <v>41596</v>
      </c>
      <c r="C35" s="158" t="s">
        <v>145</v>
      </c>
      <c r="D35" s="157">
        <v>41596</v>
      </c>
      <c r="E35" s="159" t="s">
        <v>248</v>
      </c>
      <c r="F35" s="162">
        <f t="shared" si="1"/>
        <v>980917500</v>
      </c>
      <c r="G35" s="158" t="s">
        <v>36</v>
      </c>
      <c r="H35" s="205">
        <v>21095</v>
      </c>
      <c r="I35" s="207"/>
      <c r="J35" s="207">
        <v>46500</v>
      </c>
      <c r="K35" s="208">
        <f t="shared" si="2"/>
        <v>16.67000000000553</v>
      </c>
      <c r="L35" s="162"/>
    </row>
    <row r="36" spans="1:13" s="142" customFormat="1" ht="18.75" customHeight="1">
      <c r="A36" s="142">
        <f t="shared" si="0"/>
        <v>11</v>
      </c>
      <c r="B36" s="157">
        <v>41601</v>
      </c>
      <c r="C36" s="158" t="s">
        <v>148</v>
      </c>
      <c r="D36" s="157">
        <v>41601</v>
      </c>
      <c r="E36" s="159" t="s">
        <v>157</v>
      </c>
      <c r="F36" s="162">
        <f t="shared" si="1"/>
        <v>10969</v>
      </c>
      <c r="G36" s="160" t="s">
        <v>158</v>
      </c>
      <c r="H36" s="205">
        <v>21094</v>
      </c>
      <c r="I36" s="207">
        <v>0.52</v>
      </c>
      <c r="J36" s="207"/>
      <c r="K36" s="208">
        <f t="shared" si="2"/>
        <v>17.190000000005529</v>
      </c>
      <c r="L36" s="162"/>
    </row>
    <row r="37" spans="1:13" s="186" customFormat="1" ht="18.75" customHeight="1">
      <c r="A37" s="142" t="str">
        <f t="shared" ref="A37" si="3">IF(B37&lt;&gt;"",MONTH(B37),"")</f>
        <v/>
      </c>
      <c r="B37" s="210"/>
      <c r="C37" s="209"/>
      <c r="D37" s="210"/>
      <c r="E37" s="211"/>
      <c r="F37" s="211"/>
      <c r="G37" s="209"/>
      <c r="H37" s="212"/>
      <c r="I37" s="266"/>
      <c r="J37" s="266"/>
      <c r="K37" s="214"/>
      <c r="L37" s="267"/>
    </row>
    <row r="38" spans="1:13" s="194" customFormat="1" ht="18.75" customHeight="1">
      <c r="B38" s="215"/>
      <c r="C38" s="216"/>
      <c r="D38" s="217"/>
      <c r="E38" s="200" t="s">
        <v>29</v>
      </c>
      <c r="F38" s="200"/>
      <c r="G38" s="217"/>
      <c r="H38" s="218"/>
      <c r="I38" s="244">
        <f>SUM(I12:I37)</f>
        <v>159747.79999999999</v>
      </c>
      <c r="J38" s="244">
        <f>SUM(J12:J37)</f>
        <v>159817.94</v>
      </c>
      <c r="K38" s="203">
        <f>K11+I38-J38</f>
        <v>17.189999999973224</v>
      </c>
      <c r="L38" s="217"/>
    </row>
    <row r="39" spans="1:13" s="194" customFormat="1" ht="18.75" customHeight="1">
      <c r="B39" s="215"/>
      <c r="C39" s="216"/>
      <c r="D39" s="217"/>
      <c r="E39" s="200" t="s">
        <v>161</v>
      </c>
      <c r="F39" s="200"/>
      <c r="G39" s="217"/>
      <c r="H39" s="218"/>
      <c r="I39" s="200"/>
      <c r="J39" s="200"/>
      <c r="K39" s="203">
        <f>K38</f>
        <v>17.189999999973224</v>
      </c>
      <c r="L39" s="217"/>
    </row>
    <row r="40" spans="1:13" s="194" customFormat="1" ht="22.5" customHeight="1">
      <c r="B40" s="245" t="s">
        <v>162</v>
      </c>
      <c r="C40" s="246"/>
      <c r="H40" s="247"/>
      <c r="K40" s="248"/>
    </row>
    <row r="41" spans="1:13" s="194" customFormat="1" ht="12.75">
      <c r="B41" s="249" t="s">
        <v>171</v>
      </c>
      <c r="C41" s="250"/>
      <c r="H41" s="247"/>
      <c r="K41" s="248"/>
    </row>
    <row r="42" spans="1:13" s="194" customFormat="1" ht="12.75">
      <c r="B42" s="251"/>
      <c r="C42" s="252"/>
      <c r="D42" s="253"/>
      <c r="H42" s="247"/>
      <c r="J42" s="441" t="s">
        <v>172</v>
      </c>
      <c r="K42" s="441"/>
      <c r="L42" s="441"/>
    </row>
    <row r="43" spans="1:13" s="194" customFormat="1" ht="17.25" customHeight="1">
      <c r="B43" s="444" t="s">
        <v>33</v>
      </c>
      <c r="C43" s="444"/>
      <c r="D43" s="252"/>
      <c r="G43" s="254" t="s">
        <v>13</v>
      </c>
      <c r="H43" s="255"/>
      <c r="I43" s="254"/>
      <c r="J43" s="252"/>
      <c r="K43" s="268" t="s">
        <v>14</v>
      </c>
      <c r="L43" s="256"/>
      <c r="M43" s="251"/>
    </row>
    <row r="44" spans="1:13" s="194" customFormat="1" ht="12.75">
      <c r="B44" s="440" t="s">
        <v>15</v>
      </c>
      <c r="C44" s="440"/>
      <c r="D44" s="258"/>
      <c r="G44" s="257" t="s">
        <v>15</v>
      </c>
      <c r="H44" s="259"/>
      <c r="I44" s="257"/>
      <c r="J44" s="441" t="s">
        <v>16</v>
      </c>
      <c r="K44" s="441"/>
      <c r="L44" s="441"/>
      <c r="M44" s="260"/>
    </row>
  </sheetData>
  <autoFilter ref="B10:N36"/>
  <mergeCells count="19">
    <mergeCell ref="B43:C43"/>
    <mergeCell ref="B44:C44"/>
    <mergeCell ref="J44:L44"/>
    <mergeCell ref="G8:G9"/>
    <mergeCell ref="J1:L1"/>
    <mergeCell ref="B2:E3"/>
    <mergeCell ref="J2:L2"/>
    <mergeCell ref="J3:L3"/>
    <mergeCell ref="J42:L42"/>
    <mergeCell ref="A8:A9"/>
    <mergeCell ref="B4:L4"/>
    <mergeCell ref="B5:L5"/>
    <mergeCell ref="B6:L6"/>
    <mergeCell ref="B8:B9"/>
    <mergeCell ref="C8:D8"/>
    <mergeCell ref="E8:E9"/>
    <mergeCell ref="I8:K8"/>
    <mergeCell ref="L8:L9"/>
    <mergeCell ref="H8:H9"/>
  </mergeCells>
  <phoneticPr fontId="55" type="noConversion"/>
  <printOptions horizontalCentered="1"/>
  <pageMargins left="0.5" right="0.5" top="1" bottom="1" header="0.5" footer="0.5"/>
  <pageSetup scale="85" orientation="portrait" r:id="rId1"/>
  <headerFooter alignWithMargins="0">
    <oddFooter>&amp;R&amp;P/&amp;N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33" enableFormatConditionsCalculation="0">
    <tabColor indexed="47"/>
  </sheetPr>
  <dimension ref="A1:O136"/>
  <sheetViews>
    <sheetView topLeftCell="A4" workbookViewId="0">
      <pane ySplit="8" topLeftCell="A111" activePane="bottomLeft" state="frozen"/>
      <selection activeCell="A4" sqref="A4"/>
      <selection pane="bottomLeft" activeCell="M119" sqref="M119:O119"/>
    </sheetView>
  </sheetViews>
  <sheetFormatPr defaultRowHeight="15.75"/>
  <cols>
    <col min="1" max="1" width="8.5703125" style="321" customWidth="1"/>
    <col min="2" max="2" width="6" style="322" customWidth="1"/>
    <col min="3" max="3" width="8.85546875" style="321" customWidth="1"/>
    <col min="4" max="4" width="47.85546875" style="323" customWidth="1"/>
    <col min="5" max="5" width="6.42578125" style="324" customWidth="1"/>
    <col min="6" max="6" width="14.5703125" style="325" customWidth="1"/>
    <col min="7" max="7" width="14.28515625" style="325" customWidth="1"/>
    <col min="8" max="8" width="13.42578125" style="325" customWidth="1"/>
    <col min="9" max="9" width="6.42578125" style="325" customWidth="1"/>
    <col min="10" max="10" width="1.42578125" style="325" customWidth="1"/>
    <col min="11" max="11" width="5.7109375" style="325" customWidth="1"/>
    <col min="12" max="12" width="2.85546875" style="325" customWidth="1"/>
    <col min="13" max="13" width="10.5703125" style="325" customWidth="1"/>
    <col min="14" max="14" width="3.140625" style="325" customWidth="1"/>
    <col min="15" max="16384" width="9.140625" style="325"/>
  </cols>
  <sheetData>
    <row r="1" spans="1:13" s="275" customFormat="1" ht="16.5" customHeight="1">
      <c r="A1" s="269" t="s">
        <v>127</v>
      </c>
      <c r="B1" s="270"/>
      <c r="C1" s="271"/>
      <c r="D1" s="272"/>
      <c r="E1" s="273"/>
      <c r="F1" s="462" t="s">
        <v>173</v>
      </c>
      <c r="G1" s="462"/>
      <c r="H1" s="462"/>
      <c r="I1" s="462"/>
      <c r="J1" s="274"/>
    </row>
    <row r="2" spans="1:13" s="275" customFormat="1" ht="16.5" customHeight="1">
      <c r="A2" s="461" t="s">
        <v>129</v>
      </c>
      <c r="B2" s="461"/>
      <c r="C2" s="461"/>
      <c r="D2" s="461"/>
      <c r="E2" s="273"/>
      <c r="F2" s="448" t="s">
        <v>174</v>
      </c>
      <c r="G2" s="448"/>
      <c r="H2" s="448"/>
      <c r="I2" s="448"/>
      <c r="J2" s="276"/>
    </row>
    <row r="3" spans="1:13" s="275" customFormat="1" ht="16.5" customHeight="1">
      <c r="A3" s="461"/>
      <c r="B3" s="461"/>
      <c r="C3" s="461"/>
      <c r="D3" s="461"/>
      <c r="E3" s="273"/>
      <c r="F3" s="448" t="s">
        <v>113</v>
      </c>
      <c r="G3" s="448"/>
      <c r="H3" s="448"/>
      <c r="I3" s="448"/>
      <c r="J3" s="276"/>
    </row>
    <row r="4" spans="1:13" s="275" customFormat="1" ht="19.5" customHeight="1">
      <c r="A4" s="449" t="s">
        <v>132</v>
      </c>
      <c r="B4" s="449"/>
      <c r="C4" s="449"/>
      <c r="D4" s="449"/>
      <c r="E4" s="449"/>
      <c r="F4" s="449"/>
      <c r="G4" s="449"/>
      <c r="H4" s="449"/>
      <c r="I4" s="449"/>
      <c r="J4" s="297"/>
    </row>
    <row r="5" spans="1:13" s="275" customFormat="1" ht="15">
      <c r="A5" s="448" t="s">
        <v>133</v>
      </c>
      <c r="B5" s="448"/>
      <c r="C5" s="448"/>
      <c r="D5" s="448"/>
      <c r="E5" s="448"/>
      <c r="F5" s="448"/>
      <c r="G5" s="448"/>
      <c r="H5" s="448"/>
      <c r="I5" s="448"/>
      <c r="J5" s="276"/>
      <c r="K5" s="274" t="s">
        <v>114</v>
      </c>
    </row>
    <row r="6" spans="1:13" s="275" customFormat="1" ht="15">
      <c r="A6" s="460" t="s">
        <v>175</v>
      </c>
      <c r="B6" s="460"/>
      <c r="C6" s="460"/>
      <c r="D6" s="460"/>
      <c r="E6" s="448" t="str">
        <f>IF($M$6="Q11","1015 148 5100 9180",IF($M$6="Q4","1402 148 5100 9465",""))</f>
        <v/>
      </c>
      <c r="F6" s="448"/>
      <c r="G6" s="277" t="s">
        <v>117</v>
      </c>
      <c r="I6" s="278"/>
      <c r="J6" s="278"/>
      <c r="K6" s="279">
        <v>7</v>
      </c>
      <c r="L6" s="280"/>
      <c r="M6" s="281" t="s">
        <v>186</v>
      </c>
    </row>
    <row r="7" spans="1:13" s="275" customFormat="1" ht="5.25" customHeight="1">
      <c r="A7" s="282"/>
      <c r="B7" s="276"/>
      <c r="C7" s="282"/>
      <c r="D7" s="283"/>
      <c r="E7" s="284"/>
      <c r="F7" s="276"/>
      <c r="G7" s="276"/>
      <c r="H7" s="276"/>
      <c r="I7" s="276"/>
      <c r="J7" s="276"/>
    </row>
    <row r="8" spans="1:13" s="287" customFormat="1" ht="17.25" customHeight="1">
      <c r="A8" s="450" t="s">
        <v>135</v>
      </c>
      <c r="B8" s="452" t="s">
        <v>136</v>
      </c>
      <c r="C8" s="453"/>
      <c r="D8" s="456" t="s">
        <v>3</v>
      </c>
      <c r="E8" s="458" t="s">
        <v>22</v>
      </c>
      <c r="F8" s="455" t="s">
        <v>66</v>
      </c>
      <c r="G8" s="452"/>
      <c r="H8" s="453"/>
      <c r="I8" s="456" t="s">
        <v>4</v>
      </c>
      <c r="J8" s="332"/>
    </row>
    <row r="9" spans="1:13" s="287" customFormat="1" ht="21.75" customHeight="1">
      <c r="A9" s="451"/>
      <c r="B9" s="285" t="s">
        <v>137</v>
      </c>
      <c r="C9" s="288" t="s">
        <v>138</v>
      </c>
      <c r="D9" s="457"/>
      <c r="E9" s="459"/>
      <c r="F9" s="286" t="s">
        <v>139</v>
      </c>
      <c r="G9" s="286" t="s">
        <v>140</v>
      </c>
      <c r="H9" s="286" t="s">
        <v>141</v>
      </c>
      <c r="I9" s="457"/>
      <c r="J9" s="332"/>
    </row>
    <row r="10" spans="1:13" s="292" customFormat="1" ht="12">
      <c r="A10" s="338" t="s">
        <v>7</v>
      </c>
      <c r="B10" s="339" t="s">
        <v>8</v>
      </c>
      <c r="C10" s="338" t="s">
        <v>9</v>
      </c>
      <c r="D10" s="339" t="s">
        <v>10</v>
      </c>
      <c r="E10" s="340" t="s">
        <v>11</v>
      </c>
      <c r="F10" s="339">
        <v>1</v>
      </c>
      <c r="G10" s="339">
        <v>2</v>
      </c>
      <c r="H10" s="339">
        <v>3</v>
      </c>
      <c r="I10" s="339" t="s">
        <v>27</v>
      </c>
      <c r="J10" s="333"/>
    </row>
    <row r="11" spans="1:13" s="287" customFormat="1" ht="21" customHeight="1">
      <c r="A11" s="293"/>
      <c r="B11" s="294"/>
      <c r="C11" s="293"/>
      <c r="D11" s="299" t="s">
        <v>142</v>
      </c>
      <c r="E11" s="296"/>
      <c r="F11" s="298"/>
      <c r="G11" s="299"/>
      <c r="H11" s="298">
        <f ca="1">IF($M$6="Q11",funtion3,IF($M$6="Q4",funtion4,(funtion3+funtion4)))</f>
        <v>2629062</v>
      </c>
      <c r="I11" s="299"/>
      <c r="J11" s="334"/>
    </row>
    <row r="12" spans="1:13" s="287" customFormat="1" ht="21" customHeight="1">
      <c r="A12" s="300">
        <f ca="1">IF($M$6="Q4",IF(ROWS($1:1)&gt;COUNT(Dong2),"",OFFSET('Q4-VND'!B$1,SMALL(Dong2,ROWS($1:1)),)),IF($M$6="Q11",IF(ROWS($1:1)&gt;COUNT(Dong),"",OFFSET('Q11-VND'!B$1,SMALL(Dong,ROWS($1:1)),)),IF(ROWS($1:1)&gt;COUNT(Dong),IF(ROWS($1:1)&gt;COUNT(Dong,Dong2),"",OFFSET('Q4-VND'!B$1,SMALL(Dong2,ROWS($1:1)-COUNT(Dong)),)),OFFSET('Q11-VND'!B$1,SMALL(Dong,ROWS($1:1)),))))</f>
        <v>41457</v>
      </c>
      <c r="B12" s="300" t="str">
        <f ca="1">IF($M$6="Q4",IF(ROWS($1:1)&gt;COUNT(Dong2),"",OFFSET('Q4-VND'!C$1,SMALL(Dong2,ROWS($1:1)),)),IF($M$6="Q11",IF(ROWS($1:1)&gt;COUNT(Dong),"",OFFSET('Q11-VND'!C$1,SMALL(Dong,ROWS($1:1)),)),IF(ROWS($1:1)&gt;COUNT(Dong),IF(ROWS($1:1)&gt;COUNT(Dong,Dong2),"",OFFSET('Q4-VND'!C$1,SMALL(Dong2,ROWS($1:1)-COUNT(Dong)),)),OFFSET('Q11-VND'!C$1,SMALL(Dong,ROWS($1:1)),))))</f>
        <v>GBC</v>
      </c>
      <c r="C12" s="300">
        <f ca="1">IF($M$6="Q4",IF(ROWS($1:1)&gt;COUNT(Dong2),"",OFFSET('Q4-VND'!D$1,SMALL(Dong2,ROWS($1:1)),)),IF($M$6="Q11",IF(ROWS($1:1)&gt;COUNT(Dong),"",OFFSET('Q11-VND'!D$1,SMALL(Dong,ROWS($1:1)),)),IF(ROWS($1:1)&gt;COUNT(Dong),IF(ROWS($1:1)&gt;COUNT(Dong,Dong2),"",OFFSET('Q4-VND'!D$1,SMALL(Dong2,ROWS($1:1)-COUNT(Dong)),)),OFFSET('Q11-VND'!D$1,SMALL(Dong,ROWS($1:1)),))))</f>
        <v>41457</v>
      </c>
      <c r="D12" s="301" t="str">
        <f ca="1">IF($M$6="Q4",IF(ROWS($1:1)&gt;COUNT(Dong2),"",OFFSET('Q4-VND'!E$1,SMALL(Dong2,ROWS($1:1)),)),IF($M$6="Q11",IF(ROWS($1:1)&gt;COUNT(Dong),"",OFFSET('Q11-VND'!E$1,SMALL(Dong,ROWS($1:1)),)),IF(ROWS($1:1)&gt;COUNT(Dong),IF(ROWS($1:1)&gt;COUNT(Dong,Dong2),"","Q4 - "&amp;OFFSET('Q4-VND'!E$1,SMALL(Dong2,ROWS($1:1)-COUNT(Dong)),)),"Q11 - "&amp;OFFSET('Q11-VND'!E$1,SMALL(Dong,ROWS($1:1)),))))</f>
        <v>Q11 - Thu tiền hàng</v>
      </c>
      <c r="E12" s="302" t="str">
        <f ca="1">IF($M$6="Q4",IF(ROWS($1:1)&gt;COUNT(Dong2),"",OFFSET('Q4-VND'!G$1,SMALL(Dong2,ROWS($1:1)),)),IF($M$6="Q11",IF(ROWS($1:1)&gt;COUNT(Dong),"",OFFSET('Q11-VND'!G$1,SMALL(Dong,ROWS($1:1)),)),IF(ROWS($1:1)&gt;COUNT(Dong),IF(ROWS($1:1)&gt;COUNT(Dong,Dong2),"",OFFSET('Q4-VND'!G$1,SMALL(Dong2,ROWS($1:1)-COUNT(Dong)),)),OFFSET('Q11-VND'!G$1,SMALL(Dong,ROWS($1:1)),))))</f>
        <v>131</v>
      </c>
      <c r="F12" s="303">
        <f ca="1">IF($M$6="Q4",IF(ROWS($1:1)&gt;COUNT(Dong2),0,OFFSET('Q4-VND'!H$1,SMALL(Dong2,ROWS($1:1)),)),IF($M$6="Q11",IF(ROWS($1:1)&gt;COUNT(Dong),0,OFFSET('Q11-VND'!H$1,SMALL(Dong,ROWS($1:1)),)),IF(ROWS($1:1)&gt;COUNT(Dong),IF(ROWS($1:1)&gt;COUNT(Dong,Dong2),0,OFFSET('Q4-VND'!H$1,SMALL(Dong2,ROWS($1:1)-COUNT(Dong)),)),OFFSET('Q11-VND'!H$1,SMALL(Dong,ROWS($1:1)),))))</f>
        <v>530000000</v>
      </c>
      <c r="G12" s="303">
        <f ca="1">IF($M$6="Q4",IF(ROWS($1:1)&gt;COUNT(Dong2),0,OFFSET('Q4-VND'!I$1,SMALL(Dong2,ROWS($1:1)),)),IF($M$6="Q11",IF(ROWS($1:1)&gt;COUNT(Dong),0,OFFSET('Q11-VND'!I$1,SMALL(Dong,ROWS($1:1)),)),IF(ROWS($1:1)&gt;COUNT(Dong),IF(ROWS($1:1)&gt;COUNT(Dong,Dong2),0,OFFSET('Q4-VND'!I$1,SMALL(Dong2,ROWS($1:1)-COUNT(Dong)),)),OFFSET('Q11-VND'!I$1,SMALL(Dong,ROWS($1:1)),))))</f>
        <v>0</v>
      </c>
      <c r="H12" s="304">
        <f t="shared" ref="H12:H43" ca="1" si="0">IF(A12&lt;&gt;"",ROUND(H11+F12-G12,0),"")</f>
        <v>532629062</v>
      </c>
      <c r="I12" s="304"/>
      <c r="J12" s="335"/>
    </row>
    <row r="13" spans="1:13" s="287" customFormat="1" ht="21" customHeight="1">
      <c r="A13" s="300">
        <f ca="1">IF($M$6="Q4",IF(ROWS($1:2)&gt;COUNT(Dong2),"",OFFSET('Q4-VND'!B$1,SMALL(Dong2,ROWS($1:2)),)),IF($M$6="Q11",IF(ROWS($1:2)&gt;COUNT(Dong),"",OFFSET('Q11-VND'!B$1,SMALL(Dong,ROWS($1:2)),)),IF(ROWS($1:2)&gt;COUNT(Dong),IF(ROWS($1:2)&gt;COUNT(Dong,Dong2),"",OFFSET('Q4-VND'!B$1,SMALL(Dong2,ROWS($1:2)-COUNT(Dong)),)),OFFSET('Q11-VND'!B$1,SMALL(Dong,ROWS($1:2)),))))</f>
        <v>41457</v>
      </c>
      <c r="B13" s="300" t="str">
        <f ca="1">IF($M$6="Q4",IF(ROWS($1:2)&gt;COUNT(Dong2),"",OFFSET('Q4-VND'!C$1,SMALL(Dong2,ROWS($1:2)),)),IF($M$6="Q11",IF(ROWS($1:2)&gt;COUNT(Dong),"",OFFSET('Q11-VND'!C$1,SMALL(Dong,ROWS($1:2)),)),IF(ROWS($1:2)&gt;COUNT(Dong),IF(ROWS($1:2)&gt;COUNT(Dong,Dong2),"",OFFSET('Q4-VND'!C$1,SMALL(Dong2,ROWS($1:2)-COUNT(Dong)),)),OFFSET('Q11-VND'!C$1,SMALL(Dong,ROWS($1:2)),))))</f>
        <v>GBN</v>
      </c>
      <c r="C13" s="300">
        <f ca="1">IF($M$6="Q4",IF(ROWS($1:2)&gt;COUNT(Dong2),"",OFFSET('Q4-VND'!D$1,SMALL(Dong2,ROWS($1:2)),)),IF($M$6="Q11",IF(ROWS($1:2)&gt;COUNT(Dong),"",OFFSET('Q11-VND'!D$1,SMALL(Dong,ROWS($1:2)),)),IF(ROWS($1:2)&gt;COUNT(Dong),IF(ROWS($1:2)&gt;COUNT(Dong,Dong2),"",OFFSET('Q4-VND'!D$1,SMALL(Dong2,ROWS($1:2)-COUNT(Dong)),)),OFFSET('Q11-VND'!D$1,SMALL(Dong,ROWS($1:2)),))))</f>
        <v>41457</v>
      </c>
      <c r="D13" s="301" t="str">
        <f ca="1">IF($M$6="Q4",IF(ROWS($1:2)&gt;COUNT(Dong2),"",OFFSET('Q4-VND'!E$1,SMALL(Dong2,ROWS($1:2)),)),IF($M$6="Q11",IF(ROWS($1:2)&gt;COUNT(Dong),"",OFFSET('Q11-VND'!E$1,SMALL(Dong,ROWS($1:2)),)),IF(ROWS($1:2)&gt;COUNT(Dong),IF(ROWS($1:2)&gt;COUNT(Dong,Dong2),"","Q4 - "&amp;OFFSET('Q4-VND'!E$1,SMALL(Dong2,ROWS($1:2)-COUNT(Dong)),)),"Q11 - "&amp;OFFSET('Q11-VND'!E$1,SMALL(Dong,ROWS($1:2)),))))</f>
        <v>Q11 - Điện kỳ 2 T06/2013</v>
      </c>
      <c r="E13" s="302" t="str">
        <f ca="1">IF($M$6="Q4",IF(ROWS($1:2)&gt;COUNT(Dong2),"",OFFSET('Q4-VND'!G$1,SMALL(Dong2,ROWS($1:2)),)),IF($M$6="Q11",IF(ROWS($1:2)&gt;COUNT(Dong),"",OFFSET('Q11-VND'!G$1,SMALL(Dong,ROWS($1:2)),)),IF(ROWS($1:2)&gt;COUNT(Dong),IF(ROWS($1:2)&gt;COUNT(Dong,Dong2),"",OFFSET('Q4-VND'!G$1,SMALL(Dong2,ROWS($1:2)-COUNT(Dong)),)),OFFSET('Q11-VND'!G$1,SMALL(Dong,ROWS($1:2)),))))</f>
        <v>331</v>
      </c>
      <c r="F13" s="303">
        <f ca="1">IF($M$6="Q4",IF(ROWS($1:2)&gt;COUNT(Dong2),0,OFFSET('Q4-VND'!H$1,SMALL(Dong2,ROWS($1:2)),)),IF($M$6="Q11",IF(ROWS($1:2)&gt;COUNT(Dong),0,OFFSET('Q11-VND'!H$1,SMALL(Dong,ROWS($1:2)),)),IF(ROWS($1:2)&gt;COUNT(Dong),IF(ROWS($1:2)&gt;COUNT(Dong,Dong2),0,OFFSET('Q4-VND'!H$1,SMALL(Dong2,ROWS($1:2)-COUNT(Dong)),)),OFFSET('Q11-VND'!H$1,SMALL(Dong,ROWS($1:2)),))))</f>
        <v>0</v>
      </c>
      <c r="G13" s="303">
        <f ca="1">IF($M$6="Q4",IF(ROWS($1:2)&gt;COUNT(Dong2),0,OFFSET('Q4-VND'!I$1,SMALL(Dong2,ROWS($1:2)),)),IF($M$6="Q11",IF(ROWS($1:2)&gt;COUNT(Dong),0,OFFSET('Q11-VND'!I$1,SMALL(Dong,ROWS($1:2)),)),IF(ROWS($1:2)&gt;COUNT(Dong),IF(ROWS($1:2)&gt;COUNT(Dong,Dong2),0,OFFSET('Q4-VND'!I$1,SMALL(Dong2,ROWS($1:2)-COUNT(Dong)),)),OFFSET('Q11-VND'!I$1,SMALL(Dong,ROWS($1:2)),))))</f>
        <v>24084940</v>
      </c>
      <c r="H13" s="304">
        <f t="shared" ca="1" si="0"/>
        <v>508544122</v>
      </c>
      <c r="I13" s="304"/>
      <c r="J13" s="335"/>
    </row>
    <row r="14" spans="1:13" s="287" customFormat="1" ht="21" customHeight="1">
      <c r="A14" s="300">
        <f ca="1">IF($M$6="Q4",IF(ROWS($1:3)&gt;COUNT(Dong2),"",OFFSET('Q4-VND'!B$1,SMALL(Dong2,ROWS($1:3)),)),IF($M$6="Q11",IF(ROWS($1:3)&gt;COUNT(Dong),"",OFFSET('Q11-VND'!B$1,SMALL(Dong,ROWS($1:3)),)),IF(ROWS($1:3)&gt;COUNT(Dong),IF(ROWS($1:3)&gt;COUNT(Dong,Dong2),"",OFFSET('Q4-VND'!B$1,SMALL(Dong2,ROWS($1:3)-COUNT(Dong)),)),OFFSET('Q11-VND'!B$1,SMALL(Dong,ROWS($1:3)),))))</f>
        <v>41457</v>
      </c>
      <c r="B14" s="300" t="str">
        <f ca="1">IF($M$6="Q4",IF(ROWS($1:3)&gt;COUNT(Dong2),"",OFFSET('Q4-VND'!C$1,SMALL(Dong2,ROWS($1:3)),)),IF($M$6="Q11",IF(ROWS($1:3)&gt;COUNT(Dong),"",OFFSET('Q11-VND'!C$1,SMALL(Dong,ROWS($1:3)),)),IF(ROWS($1:3)&gt;COUNT(Dong),IF(ROWS($1:3)&gt;COUNT(Dong,Dong2),"",OFFSET('Q4-VND'!C$1,SMALL(Dong2,ROWS($1:3)-COUNT(Dong)),)),OFFSET('Q11-VND'!C$1,SMALL(Dong,ROWS($1:3)),))))</f>
        <v>GBN</v>
      </c>
      <c r="C14" s="300">
        <f ca="1">IF($M$6="Q4",IF(ROWS($1:3)&gt;COUNT(Dong2),"",OFFSET('Q4-VND'!D$1,SMALL(Dong2,ROWS($1:3)),)),IF($M$6="Q11",IF(ROWS($1:3)&gt;COUNT(Dong),"",OFFSET('Q11-VND'!D$1,SMALL(Dong,ROWS($1:3)),)),IF(ROWS($1:3)&gt;COUNT(Dong),IF(ROWS($1:3)&gt;COUNT(Dong,Dong2),"",OFFSET('Q4-VND'!D$1,SMALL(Dong2,ROWS($1:3)-COUNT(Dong)),)),OFFSET('Q11-VND'!D$1,SMALL(Dong,ROWS($1:3)),))))</f>
        <v>41457</v>
      </c>
      <c r="D14" s="301" t="str">
        <f ca="1">IF($M$6="Q4",IF(ROWS($1:3)&gt;COUNT(Dong2),"",OFFSET('Q4-VND'!E$1,SMALL(Dong2,ROWS($1:3)),)),IF($M$6="Q11",IF(ROWS($1:3)&gt;COUNT(Dong),"",OFFSET('Q11-VND'!E$1,SMALL(Dong,ROWS($1:3)),)),IF(ROWS($1:3)&gt;COUNT(Dong),IF(ROWS($1:3)&gt;COUNT(Dong,Dong2),"","Q4 - "&amp;OFFSET('Q4-VND'!E$1,SMALL(Dong2,ROWS($1:3)-COUNT(Dong)),)),"Q11 - "&amp;OFFSET('Q11-VND'!E$1,SMALL(Dong,ROWS($1:3)),))))</f>
        <v>Q11 - Phí thanh toán</v>
      </c>
      <c r="E14" s="302" t="str">
        <f ca="1">IF($M$6="Q4",IF(ROWS($1:3)&gt;COUNT(Dong2),"",OFFSET('Q4-VND'!G$1,SMALL(Dong2,ROWS($1:3)),)),IF($M$6="Q11",IF(ROWS($1:3)&gt;COUNT(Dong),"",OFFSET('Q11-VND'!G$1,SMALL(Dong,ROWS($1:3)),)),IF(ROWS($1:3)&gt;COUNT(Dong),IF(ROWS($1:3)&gt;COUNT(Dong,Dong2),"",OFFSET('Q4-VND'!G$1,SMALL(Dong2,ROWS($1:3)-COUNT(Dong)),)),OFFSET('Q11-VND'!G$1,SMALL(Dong,ROWS($1:3)),))))</f>
        <v>6422</v>
      </c>
      <c r="F14" s="303">
        <f ca="1">IF($M$6="Q4",IF(ROWS($1:3)&gt;COUNT(Dong2),0,OFFSET('Q4-VND'!H$1,SMALL(Dong2,ROWS($1:3)),)),IF($M$6="Q11",IF(ROWS($1:3)&gt;COUNT(Dong),0,OFFSET('Q11-VND'!H$1,SMALL(Dong,ROWS($1:3)),)),IF(ROWS($1:3)&gt;COUNT(Dong),IF(ROWS($1:3)&gt;COUNT(Dong,Dong2),0,OFFSET('Q4-VND'!H$1,SMALL(Dong2,ROWS($1:3)-COUNT(Dong)),)),OFFSET('Q11-VND'!H$1,SMALL(Dong,ROWS($1:3)),))))</f>
        <v>0</v>
      </c>
      <c r="G14" s="303">
        <f ca="1">IF($M$6="Q4",IF(ROWS($1:3)&gt;COUNT(Dong2),0,OFFSET('Q4-VND'!I$1,SMALL(Dong2,ROWS($1:3)),)),IF($M$6="Q11",IF(ROWS($1:3)&gt;COUNT(Dong),0,OFFSET('Q11-VND'!I$1,SMALL(Dong,ROWS($1:3)),)),IF(ROWS($1:3)&gt;COUNT(Dong),IF(ROWS($1:3)&gt;COUNT(Dong,Dong2),0,OFFSET('Q4-VND'!I$1,SMALL(Dong2,ROWS($1:3)-COUNT(Dong)),)),OFFSET('Q11-VND'!I$1,SMALL(Dong,ROWS($1:3)),))))</f>
        <v>20000</v>
      </c>
      <c r="H14" s="304">
        <f t="shared" ca="1" si="0"/>
        <v>508524122</v>
      </c>
      <c r="I14" s="304"/>
      <c r="J14" s="335"/>
    </row>
    <row r="15" spans="1:13" s="287" customFormat="1" ht="21" customHeight="1">
      <c r="A15" s="300">
        <f ca="1">IF($M$6="Q4",IF(ROWS($1:4)&gt;COUNT(Dong2),"",OFFSET('Q4-VND'!B$1,SMALL(Dong2,ROWS($1:4)),)),IF($M$6="Q11",IF(ROWS($1:4)&gt;COUNT(Dong),"",OFFSET('Q11-VND'!B$1,SMALL(Dong,ROWS($1:4)),)),IF(ROWS($1:4)&gt;COUNT(Dong),IF(ROWS($1:4)&gt;COUNT(Dong,Dong2),"",OFFSET('Q4-VND'!B$1,SMALL(Dong2,ROWS($1:4)-COUNT(Dong)),)),OFFSET('Q11-VND'!B$1,SMALL(Dong,ROWS($1:4)),))))</f>
        <v>41457</v>
      </c>
      <c r="B15" s="300" t="str">
        <f ca="1">IF($M$6="Q4",IF(ROWS($1:4)&gt;COUNT(Dong2),"",OFFSET('Q4-VND'!C$1,SMALL(Dong2,ROWS($1:4)),)),IF($M$6="Q11",IF(ROWS($1:4)&gt;COUNT(Dong),"",OFFSET('Q11-VND'!C$1,SMALL(Dong,ROWS($1:4)),)),IF(ROWS($1:4)&gt;COUNT(Dong),IF(ROWS($1:4)&gt;COUNT(Dong,Dong2),"",OFFSET('Q4-VND'!C$1,SMALL(Dong2,ROWS($1:4)-COUNT(Dong)),)),OFFSET('Q11-VND'!C$1,SMALL(Dong,ROWS($1:4)),))))</f>
        <v>GBN</v>
      </c>
      <c r="C15" s="300">
        <f ca="1">IF($M$6="Q4",IF(ROWS($1:4)&gt;COUNT(Dong2),"",OFFSET('Q4-VND'!D$1,SMALL(Dong2,ROWS($1:4)),)),IF($M$6="Q11",IF(ROWS($1:4)&gt;COUNT(Dong),"",OFFSET('Q11-VND'!D$1,SMALL(Dong,ROWS($1:4)),)),IF(ROWS($1:4)&gt;COUNT(Dong),IF(ROWS($1:4)&gt;COUNT(Dong,Dong2),"",OFFSET('Q4-VND'!D$1,SMALL(Dong2,ROWS($1:4)-COUNT(Dong)),)),OFFSET('Q11-VND'!D$1,SMALL(Dong,ROWS($1:4)),))))</f>
        <v>41457</v>
      </c>
      <c r="D15" s="301" t="str">
        <f ca="1">IF($M$6="Q4",IF(ROWS($1:4)&gt;COUNT(Dong2),"",OFFSET('Q4-VND'!E$1,SMALL(Dong2,ROWS($1:4)),)),IF($M$6="Q11",IF(ROWS($1:4)&gt;COUNT(Dong),"",OFFSET('Q11-VND'!E$1,SMALL(Dong,ROWS($1:4)),)),IF(ROWS($1:4)&gt;COUNT(Dong),IF(ROWS($1:4)&gt;COUNT(Dong,Dong2),"","Q4 - "&amp;OFFSET('Q4-VND'!E$1,SMALL(Dong2,ROWS($1:4)-COUNT(Dong)),)),"Q11 - "&amp;OFFSET('Q11-VND'!E$1,SMALL(Dong,ROWS($1:4)),))))</f>
        <v>Q11 - VAT Phí thanh toán</v>
      </c>
      <c r="E15" s="302" t="str">
        <f ca="1">IF($M$6="Q4",IF(ROWS($1:4)&gt;COUNT(Dong2),"",OFFSET('Q4-VND'!G$1,SMALL(Dong2,ROWS($1:4)),)),IF($M$6="Q11",IF(ROWS($1:4)&gt;COUNT(Dong),"",OFFSET('Q11-VND'!G$1,SMALL(Dong,ROWS($1:4)),)),IF(ROWS($1:4)&gt;COUNT(Dong),IF(ROWS($1:4)&gt;COUNT(Dong,Dong2),"",OFFSET('Q4-VND'!G$1,SMALL(Dong2,ROWS($1:4)-COUNT(Dong)),)),OFFSET('Q11-VND'!G$1,SMALL(Dong,ROWS($1:4)),))))</f>
        <v>1331</v>
      </c>
      <c r="F15" s="303">
        <f ca="1">IF($M$6="Q4",IF(ROWS($1:4)&gt;COUNT(Dong2),0,OFFSET('Q4-VND'!H$1,SMALL(Dong2,ROWS($1:4)),)),IF($M$6="Q11",IF(ROWS($1:4)&gt;COUNT(Dong),0,OFFSET('Q11-VND'!H$1,SMALL(Dong,ROWS($1:4)),)),IF(ROWS($1:4)&gt;COUNT(Dong),IF(ROWS($1:4)&gt;COUNT(Dong,Dong2),0,OFFSET('Q4-VND'!H$1,SMALL(Dong2,ROWS($1:4)-COUNT(Dong)),)),OFFSET('Q11-VND'!H$1,SMALL(Dong,ROWS($1:4)),))))</f>
        <v>0</v>
      </c>
      <c r="G15" s="303">
        <f ca="1">IF($M$6="Q4",IF(ROWS($1:4)&gt;COUNT(Dong2),0,OFFSET('Q4-VND'!I$1,SMALL(Dong2,ROWS($1:4)),)),IF($M$6="Q11",IF(ROWS($1:4)&gt;COUNT(Dong),0,OFFSET('Q11-VND'!I$1,SMALL(Dong,ROWS($1:4)),)),IF(ROWS($1:4)&gt;COUNT(Dong),IF(ROWS($1:4)&gt;COUNT(Dong,Dong2),0,OFFSET('Q4-VND'!I$1,SMALL(Dong2,ROWS($1:4)-COUNT(Dong)),)),OFFSET('Q11-VND'!I$1,SMALL(Dong,ROWS($1:4)),))))</f>
        <v>2000</v>
      </c>
      <c r="H15" s="304">
        <f t="shared" ca="1" si="0"/>
        <v>508522122</v>
      </c>
      <c r="I15" s="304"/>
      <c r="J15" s="335"/>
    </row>
    <row r="16" spans="1:13" s="287" customFormat="1" ht="21" customHeight="1">
      <c r="A16" s="300">
        <f ca="1">IF($M$6="Q4",IF(ROWS($1:5)&gt;COUNT(Dong2),"",OFFSET('Q4-VND'!B$1,SMALL(Dong2,ROWS($1:5)),)),IF($M$6="Q11",IF(ROWS($1:5)&gt;COUNT(Dong),"",OFFSET('Q11-VND'!B$1,SMALL(Dong,ROWS($1:5)),)),IF(ROWS($1:5)&gt;COUNT(Dong),IF(ROWS($1:5)&gt;COUNT(Dong,Dong2),"",OFFSET('Q4-VND'!B$1,SMALL(Dong2,ROWS($1:5)-COUNT(Dong)),)),OFFSET('Q11-VND'!B$1,SMALL(Dong,ROWS($1:5)),))))</f>
        <v>41457</v>
      </c>
      <c r="B16" s="300" t="str">
        <f ca="1">IF($M$6="Q4",IF(ROWS($1:5)&gt;COUNT(Dong2),"",OFFSET('Q4-VND'!C$1,SMALL(Dong2,ROWS($1:5)),)),IF($M$6="Q11",IF(ROWS($1:5)&gt;COUNT(Dong),"",OFFSET('Q11-VND'!C$1,SMALL(Dong,ROWS($1:5)),)),IF(ROWS($1:5)&gt;COUNT(Dong),IF(ROWS($1:5)&gt;COUNT(Dong,Dong2),"",OFFSET('Q4-VND'!C$1,SMALL(Dong2,ROWS($1:5)-COUNT(Dong)),)),OFFSET('Q11-VND'!C$1,SMALL(Dong,ROWS($1:5)),))))</f>
        <v>GBN</v>
      </c>
      <c r="C16" s="300">
        <f ca="1">IF($M$6="Q4",IF(ROWS($1:5)&gt;COUNT(Dong2),"",OFFSET('Q4-VND'!D$1,SMALL(Dong2,ROWS($1:5)),)),IF($M$6="Q11",IF(ROWS($1:5)&gt;COUNT(Dong),"",OFFSET('Q11-VND'!D$1,SMALL(Dong,ROWS($1:5)),)),IF(ROWS($1:5)&gt;COUNT(Dong),IF(ROWS($1:5)&gt;COUNT(Dong,Dong2),"",OFFSET('Q4-VND'!D$1,SMALL(Dong2,ROWS($1:5)-COUNT(Dong)),)),OFFSET('Q11-VND'!D$1,SMALL(Dong,ROWS($1:5)),))))</f>
        <v>41457</v>
      </c>
      <c r="D16" s="301" t="str">
        <f ca="1">IF($M$6="Q4",IF(ROWS($1:5)&gt;COUNT(Dong2),"",OFFSET('Q4-VND'!E$1,SMALL(Dong2,ROWS($1:5)),)),IF($M$6="Q11",IF(ROWS($1:5)&gt;COUNT(Dong),"",OFFSET('Q11-VND'!E$1,SMALL(Dong,ROWS($1:5)),)),IF(ROWS($1:5)&gt;COUNT(Dong),IF(ROWS($1:5)&gt;COUNT(Dong,Dong2),"","Q4 - "&amp;OFFSET('Q4-VND'!E$1,SMALL(Dong2,ROWS($1:5)-COUNT(Dong)),)),"Q11 - "&amp;OFFSET('Q11-VND'!E$1,SMALL(Dong,ROWS($1:5)),))))</f>
        <v>Q11 - Nộp thuế TNDN kỳ thuế 2012 + kỳ 1/2013</v>
      </c>
      <c r="E16" s="302" t="str">
        <f ca="1">IF($M$6="Q4",IF(ROWS($1:5)&gt;COUNT(Dong2),"",OFFSET('Q4-VND'!G$1,SMALL(Dong2,ROWS($1:5)),)),IF($M$6="Q11",IF(ROWS($1:5)&gt;COUNT(Dong),"",OFFSET('Q11-VND'!G$1,SMALL(Dong,ROWS($1:5)),)),IF(ROWS($1:5)&gt;COUNT(Dong),IF(ROWS($1:5)&gt;COUNT(Dong,Dong2),"",OFFSET('Q4-VND'!G$1,SMALL(Dong2,ROWS($1:5)-COUNT(Dong)),)),OFFSET('Q11-VND'!G$1,SMALL(Dong,ROWS($1:5)),))))</f>
        <v>3334</v>
      </c>
      <c r="F16" s="303">
        <f ca="1">IF($M$6="Q4",IF(ROWS($1:5)&gt;COUNT(Dong2),0,OFFSET('Q4-VND'!H$1,SMALL(Dong2,ROWS($1:5)),)),IF($M$6="Q11",IF(ROWS($1:5)&gt;COUNT(Dong),0,OFFSET('Q11-VND'!H$1,SMALL(Dong,ROWS($1:5)),)),IF(ROWS($1:5)&gt;COUNT(Dong),IF(ROWS($1:5)&gt;COUNT(Dong,Dong2),0,OFFSET('Q4-VND'!H$1,SMALL(Dong2,ROWS($1:5)-COUNT(Dong)),)),OFFSET('Q11-VND'!H$1,SMALL(Dong,ROWS($1:5)),))))</f>
        <v>0</v>
      </c>
      <c r="G16" s="303">
        <f ca="1">IF($M$6="Q4",IF(ROWS($1:5)&gt;COUNT(Dong2),0,OFFSET('Q4-VND'!I$1,SMALL(Dong2,ROWS($1:5)),)),IF($M$6="Q11",IF(ROWS($1:5)&gt;COUNT(Dong),0,OFFSET('Q11-VND'!I$1,SMALL(Dong,ROWS($1:5)),)),IF(ROWS($1:5)&gt;COUNT(Dong),IF(ROWS($1:5)&gt;COUNT(Dong,Dong2),0,OFFSET('Q4-VND'!I$1,SMALL(Dong2,ROWS($1:5)-COUNT(Dong)),)),OFFSET('Q11-VND'!I$1,SMALL(Dong,ROWS($1:5)),))))</f>
        <v>9561398</v>
      </c>
      <c r="H16" s="304">
        <f t="shared" ca="1" si="0"/>
        <v>498960724</v>
      </c>
      <c r="I16" s="304"/>
      <c r="J16" s="335"/>
    </row>
    <row r="17" spans="1:10" s="287" customFormat="1" ht="21" customHeight="1">
      <c r="A17" s="300">
        <f ca="1">IF($M$6="Q4",IF(ROWS($1:6)&gt;COUNT(Dong2),"",OFFSET('Q4-VND'!B$1,SMALL(Dong2,ROWS($1:6)),)),IF($M$6="Q11",IF(ROWS($1:6)&gt;COUNT(Dong),"",OFFSET('Q11-VND'!B$1,SMALL(Dong,ROWS($1:6)),)),IF(ROWS($1:6)&gt;COUNT(Dong),IF(ROWS($1:6)&gt;COUNT(Dong,Dong2),"",OFFSET('Q4-VND'!B$1,SMALL(Dong2,ROWS($1:6)-COUNT(Dong)),)),OFFSET('Q11-VND'!B$1,SMALL(Dong,ROWS($1:6)),))))</f>
        <v>41457</v>
      </c>
      <c r="B17" s="300" t="str">
        <f ca="1">IF($M$6="Q4",IF(ROWS($1:6)&gt;COUNT(Dong2),"",OFFSET('Q4-VND'!C$1,SMALL(Dong2,ROWS($1:6)),)),IF($M$6="Q11",IF(ROWS($1:6)&gt;COUNT(Dong),"",OFFSET('Q11-VND'!C$1,SMALL(Dong,ROWS($1:6)),)),IF(ROWS($1:6)&gt;COUNT(Dong),IF(ROWS($1:6)&gt;COUNT(Dong,Dong2),"",OFFSET('Q4-VND'!C$1,SMALL(Dong2,ROWS($1:6)-COUNT(Dong)),)),OFFSET('Q11-VND'!C$1,SMALL(Dong,ROWS($1:6)),))))</f>
        <v>GBN</v>
      </c>
      <c r="C17" s="300">
        <f ca="1">IF($M$6="Q4",IF(ROWS($1:6)&gt;COUNT(Dong2),"",OFFSET('Q4-VND'!D$1,SMALL(Dong2,ROWS($1:6)),)),IF($M$6="Q11",IF(ROWS($1:6)&gt;COUNT(Dong),"",OFFSET('Q11-VND'!D$1,SMALL(Dong,ROWS($1:6)),)),IF(ROWS($1:6)&gt;COUNT(Dong),IF(ROWS($1:6)&gt;COUNT(Dong,Dong2),"",OFFSET('Q4-VND'!D$1,SMALL(Dong2,ROWS($1:6)-COUNT(Dong)),)),OFFSET('Q11-VND'!D$1,SMALL(Dong,ROWS($1:6)),))))</f>
        <v>41457</v>
      </c>
      <c r="D17" s="301" t="str">
        <f ca="1">IF($M$6="Q4",IF(ROWS($1:6)&gt;COUNT(Dong2),"",OFFSET('Q4-VND'!E$1,SMALL(Dong2,ROWS($1:6)),)),IF($M$6="Q11",IF(ROWS($1:6)&gt;COUNT(Dong),"",OFFSET('Q11-VND'!E$1,SMALL(Dong,ROWS($1:6)),)),IF(ROWS($1:6)&gt;COUNT(Dong),IF(ROWS($1:6)&gt;COUNT(Dong,Dong2),"","Q4 - "&amp;OFFSET('Q4-VND'!E$1,SMALL(Dong2,ROWS($1:6)-COUNT(Dong)),)),"Q11 - "&amp;OFFSET('Q11-VND'!E$1,SMALL(Dong,ROWS($1:6)),))))</f>
        <v>Q11 - Phí thanh toán</v>
      </c>
      <c r="E17" s="302" t="str">
        <f ca="1">IF($M$6="Q4",IF(ROWS($1:6)&gt;COUNT(Dong2),"",OFFSET('Q4-VND'!G$1,SMALL(Dong2,ROWS($1:6)),)),IF($M$6="Q11",IF(ROWS($1:6)&gt;COUNT(Dong),"",OFFSET('Q11-VND'!G$1,SMALL(Dong,ROWS($1:6)),)),IF(ROWS($1:6)&gt;COUNT(Dong),IF(ROWS($1:6)&gt;COUNT(Dong,Dong2),"",OFFSET('Q4-VND'!G$1,SMALL(Dong2,ROWS($1:6)-COUNT(Dong)),)),OFFSET('Q11-VND'!G$1,SMALL(Dong,ROWS($1:6)),))))</f>
        <v>6422</v>
      </c>
      <c r="F17" s="303">
        <f ca="1">IF($M$6="Q4",IF(ROWS($1:6)&gt;COUNT(Dong2),0,OFFSET('Q4-VND'!H$1,SMALL(Dong2,ROWS($1:6)),)),IF($M$6="Q11",IF(ROWS($1:6)&gt;COUNT(Dong),0,OFFSET('Q11-VND'!H$1,SMALL(Dong,ROWS($1:6)),)),IF(ROWS($1:6)&gt;COUNT(Dong),IF(ROWS($1:6)&gt;COUNT(Dong,Dong2),0,OFFSET('Q4-VND'!H$1,SMALL(Dong2,ROWS($1:6)-COUNT(Dong)),)),OFFSET('Q11-VND'!H$1,SMALL(Dong,ROWS($1:6)),))))</f>
        <v>0</v>
      </c>
      <c r="G17" s="303">
        <f ca="1">IF($M$6="Q4",IF(ROWS($1:6)&gt;COUNT(Dong2),0,OFFSET('Q4-VND'!I$1,SMALL(Dong2,ROWS($1:6)),)),IF($M$6="Q11",IF(ROWS($1:6)&gt;COUNT(Dong),0,OFFSET('Q11-VND'!I$1,SMALL(Dong,ROWS($1:6)),)),IF(ROWS($1:6)&gt;COUNT(Dong),IF(ROWS($1:6)&gt;COUNT(Dong,Dong2),0,OFFSET('Q4-VND'!I$1,SMALL(Dong2,ROWS($1:6)-COUNT(Dong)),)),OFFSET('Q11-VND'!I$1,SMALL(Dong,ROWS($1:6)),))))</f>
        <v>20000</v>
      </c>
      <c r="H17" s="304">
        <f t="shared" ca="1" si="0"/>
        <v>498940724</v>
      </c>
      <c r="I17" s="304"/>
      <c r="J17" s="335"/>
    </row>
    <row r="18" spans="1:10" s="287" customFormat="1" ht="21" customHeight="1">
      <c r="A18" s="300">
        <f ca="1">IF($M$6="Q4",IF(ROWS($1:7)&gt;COUNT(Dong2),"",OFFSET('Q4-VND'!B$1,SMALL(Dong2,ROWS($1:7)),)),IF($M$6="Q11",IF(ROWS($1:7)&gt;COUNT(Dong),"",OFFSET('Q11-VND'!B$1,SMALL(Dong,ROWS($1:7)),)),IF(ROWS($1:7)&gt;COUNT(Dong),IF(ROWS($1:7)&gt;COUNT(Dong,Dong2),"",OFFSET('Q4-VND'!B$1,SMALL(Dong2,ROWS($1:7)-COUNT(Dong)),)),OFFSET('Q11-VND'!B$1,SMALL(Dong,ROWS($1:7)),))))</f>
        <v>41457</v>
      </c>
      <c r="B18" s="300" t="str">
        <f ca="1">IF($M$6="Q4",IF(ROWS($1:7)&gt;COUNT(Dong2),"",OFFSET('Q4-VND'!C$1,SMALL(Dong2,ROWS($1:7)),)),IF($M$6="Q11",IF(ROWS($1:7)&gt;COUNT(Dong),"",OFFSET('Q11-VND'!C$1,SMALL(Dong,ROWS($1:7)),)),IF(ROWS($1:7)&gt;COUNT(Dong),IF(ROWS($1:7)&gt;COUNT(Dong,Dong2),"",OFFSET('Q4-VND'!C$1,SMALL(Dong2,ROWS($1:7)-COUNT(Dong)),)),OFFSET('Q11-VND'!C$1,SMALL(Dong,ROWS($1:7)),))))</f>
        <v>GBN</v>
      </c>
      <c r="C18" s="300">
        <f ca="1">IF($M$6="Q4",IF(ROWS($1:7)&gt;COUNT(Dong2),"",OFFSET('Q4-VND'!D$1,SMALL(Dong2,ROWS($1:7)),)),IF($M$6="Q11",IF(ROWS($1:7)&gt;COUNT(Dong),"",OFFSET('Q11-VND'!D$1,SMALL(Dong,ROWS($1:7)),)),IF(ROWS($1:7)&gt;COUNT(Dong),IF(ROWS($1:7)&gt;COUNT(Dong,Dong2),"",OFFSET('Q4-VND'!D$1,SMALL(Dong2,ROWS($1:7)-COUNT(Dong)),)),OFFSET('Q11-VND'!D$1,SMALL(Dong,ROWS($1:7)),))))</f>
        <v>41457</v>
      </c>
      <c r="D18" s="301" t="str">
        <f ca="1">IF($M$6="Q4",IF(ROWS($1:7)&gt;COUNT(Dong2),"",OFFSET('Q4-VND'!E$1,SMALL(Dong2,ROWS($1:7)),)),IF($M$6="Q11",IF(ROWS($1:7)&gt;COUNT(Dong),"",OFFSET('Q11-VND'!E$1,SMALL(Dong,ROWS($1:7)),)),IF(ROWS($1:7)&gt;COUNT(Dong),IF(ROWS($1:7)&gt;COUNT(Dong,Dong2),"","Q4 - "&amp;OFFSET('Q4-VND'!E$1,SMALL(Dong2,ROWS($1:7)-COUNT(Dong)),)),"Q11 - "&amp;OFFSET('Q11-VND'!E$1,SMALL(Dong,ROWS($1:7)),))))</f>
        <v>Q11 - VAT Phí thanh toán</v>
      </c>
      <c r="E18" s="302" t="str">
        <f ca="1">IF($M$6="Q4",IF(ROWS($1:7)&gt;COUNT(Dong2),"",OFFSET('Q4-VND'!G$1,SMALL(Dong2,ROWS($1:7)),)),IF($M$6="Q11",IF(ROWS($1:7)&gt;COUNT(Dong),"",OFFSET('Q11-VND'!G$1,SMALL(Dong,ROWS($1:7)),)),IF(ROWS($1:7)&gt;COUNT(Dong),IF(ROWS($1:7)&gt;COUNT(Dong,Dong2),"",OFFSET('Q4-VND'!G$1,SMALL(Dong2,ROWS($1:7)-COUNT(Dong)),)),OFFSET('Q11-VND'!G$1,SMALL(Dong,ROWS($1:7)),))))</f>
        <v>1331</v>
      </c>
      <c r="F18" s="303">
        <f ca="1">IF($M$6="Q4",IF(ROWS($1:7)&gt;COUNT(Dong2),0,OFFSET('Q4-VND'!H$1,SMALL(Dong2,ROWS($1:7)),)),IF($M$6="Q11",IF(ROWS($1:7)&gt;COUNT(Dong),0,OFFSET('Q11-VND'!H$1,SMALL(Dong,ROWS($1:7)),)),IF(ROWS($1:7)&gt;COUNT(Dong),IF(ROWS($1:7)&gt;COUNT(Dong,Dong2),0,OFFSET('Q4-VND'!H$1,SMALL(Dong2,ROWS($1:7)-COUNT(Dong)),)),OFFSET('Q11-VND'!H$1,SMALL(Dong,ROWS($1:7)),))))</f>
        <v>0</v>
      </c>
      <c r="G18" s="303">
        <f ca="1">IF($M$6="Q4",IF(ROWS($1:7)&gt;COUNT(Dong2),0,OFFSET('Q4-VND'!I$1,SMALL(Dong2,ROWS($1:7)),)),IF($M$6="Q11",IF(ROWS($1:7)&gt;COUNT(Dong),0,OFFSET('Q11-VND'!I$1,SMALL(Dong,ROWS($1:7)),)),IF(ROWS($1:7)&gt;COUNT(Dong),IF(ROWS($1:7)&gt;COUNT(Dong,Dong2),0,OFFSET('Q4-VND'!I$1,SMALL(Dong2,ROWS($1:7)-COUNT(Dong)),)),OFFSET('Q11-VND'!I$1,SMALL(Dong,ROWS($1:7)),))))</f>
        <v>2000</v>
      </c>
      <c r="H18" s="304">
        <f t="shared" ca="1" si="0"/>
        <v>498938724</v>
      </c>
      <c r="I18" s="304"/>
      <c r="J18" s="335"/>
    </row>
    <row r="19" spans="1:10" s="287" customFormat="1" ht="21" customHeight="1">
      <c r="A19" s="300">
        <f ca="1">IF($M$6="Q4",IF(ROWS($1:8)&gt;COUNT(Dong2),"",OFFSET('Q4-VND'!B$1,SMALL(Dong2,ROWS($1:8)),)),IF($M$6="Q11",IF(ROWS($1:8)&gt;COUNT(Dong),"",OFFSET('Q11-VND'!B$1,SMALL(Dong,ROWS($1:8)),)),IF(ROWS($1:8)&gt;COUNT(Dong),IF(ROWS($1:8)&gt;COUNT(Dong,Dong2),"",OFFSET('Q4-VND'!B$1,SMALL(Dong2,ROWS($1:8)-COUNT(Dong)),)),OFFSET('Q11-VND'!B$1,SMALL(Dong,ROWS($1:8)),))))</f>
        <v>41457</v>
      </c>
      <c r="B19" s="300" t="str">
        <f ca="1">IF($M$6="Q4",IF(ROWS($1:8)&gt;COUNT(Dong2),"",OFFSET('Q4-VND'!C$1,SMALL(Dong2,ROWS($1:8)),)),IF($M$6="Q11",IF(ROWS($1:8)&gt;COUNT(Dong),"",OFFSET('Q11-VND'!C$1,SMALL(Dong,ROWS($1:8)),)),IF(ROWS($1:8)&gt;COUNT(Dong),IF(ROWS($1:8)&gt;COUNT(Dong,Dong2),"",OFFSET('Q4-VND'!C$1,SMALL(Dong2,ROWS($1:8)-COUNT(Dong)),)),OFFSET('Q11-VND'!C$1,SMALL(Dong,ROWS($1:8)),))))</f>
        <v>GBN</v>
      </c>
      <c r="C19" s="300">
        <f ca="1">IF($M$6="Q4",IF(ROWS($1:8)&gt;COUNT(Dong2),"",OFFSET('Q4-VND'!D$1,SMALL(Dong2,ROWS($1:8)),)),IF($M$6="Q11",IF(ROWS($1:8)&gt;COUNT(Dong),"",OFFSET('Q11-VND'!D$1,SMALL(Dong,ROWS($1:8)),)),IF(ROWS($1:8)&gt;COUNT(Dong),IF(ROWS($1:8)&gt;COUNT(Dong,Dong2),"",OFFSET('Q4-VND'!D$1,SMALL(Dong2,ROWS($1:8)-COUNT(Dong)),)),OFFSET('Q11-VND'!D$1,SMALL(Dong,ROWS($1:8)),))))</f>
        <v>41457</v>
      </c>
      <c r="D19" s="301" t="str">
        <f ca="1">IF($M$6="Q4",IF(ROWS($1:8)&gt;COUNT(Dong2),"",OFFSET('Q4-VND'!E$1,SMALL(Dong2,ROWS($1:8)),)),IF($M$6="Q11",IF(ROWS($1:8)&gt;COUNT(Dong),"",OFFSET('Q11-VND'!E$1,SMALL(Dong,ROWS($1:8)),)),IF(ROWS($1:8)&gt;COUNT(Dong),IF(ROWS($1:8)&gt;COUNT(Dong,Dong2),"","Q4 - "&amp;OFFSET('Q4-VND'!E$1,SMALL(Dong2,ROWS($1:8)-COUNT(Dong)),)),"Q11 - "&amp;OFFSET('Q11-VND'!E$1,SMALL(Dong,ROWS($1:8)),))))</f>
        <v>Q11 - Phạt chậm nộp và phạt VPHC, kỳ thuế 2013</v>
      </c>
      <c r="E19" s="302" t="str">
        <f ca="1">IF($M$6="Q4",IF(ROWS($1:8)&gt;COUNT(Dong2),"",OFFSET('Q4-VND'!G$1,SMALL(Dong2,ROWS($1:8)),)),IF($M$6="Q11",IF(ROWS($1:8)&gt;COUNT(Dong),"",OFFSET('Q11-VND'!G$1,SMALL(Dong,ROWS($1:8)),)),IF(ROWS($1:8)&gt;COUNT(Dong),IF(ROWS($1:8)&gt;COUNT(Dong,Dong2),"",OFFSET('Q4-VND'!G$1,SMALL(Dong2,ROWS($1:8)-COUNT(Dong)),)),OFFSET('Q11-VND'!G$1,SMALL(Dong,ROWS($1:8)),))))</f>
        <v>811</v>
      </c>
      <c r="F19" s="303">
        <f ca="1">IF($M$6="Q4",IF(ROWS($1:8)&gt;COUNT(Dong2),0,OFFSET('Q4-VND'!H$1,SMALL(Dong2,ROWS($1:8)),)),IF($M$6="Q11",IF(ROWS($1:8)&gt;COUNT(Dong),0,OFFSET('Q11-VND'!H$1,SMALL(Dong,ROWS($1:8)),)),IF(ROWS($1:8)&gt;COUNT(Dong),IF(ROWS($1:8)&gt;COUNT(Dong,Dong2),0,OFFSET('Q4-VND'!H$1,SMALL(Dong2,ROWS($1:8)-COUNT(Dong)),)),OFFSET('Q11-VND'!H$1,SMALL(Dong,ROWS($1:8)),))))</f>
        <v>0</v>
      </c>
      <c r="G19" s="303">
        <f ca="1">IF($M$6="Q4",IF(ROWS($1:8)&gt;COUNT(Dong2),0,OFFSET('Q4-VND'!I$1,SMALL(Dong2,ROWS($1:8)),)),IF($M$6="Q11",IF(ROWS($1:8)&gt;COUNT(Dong),0,OFFSET('Q11-VND'!I$1,SMALL(Dong,ROWS($1:8)),)),IF(ROWS($1:8)&gt;COUNT(Dong),IF(ROWS($1:8)&gt;COUNT(Dong,Dong2),0,OFFSET('Q4-VND'!I$1,SMALL(Dong2,ROWS($1:8)-COUNT(Dong)),)),OFFSET('Q11-VND'!I$1,SMALL(Dong,ROWS($1:8)),))))</f>
        <v>246640</v>
      </c>
      <c r="H19" s="304">
        <f t="shared" ca="1" si="0"/>
        <v>498692084</v>
      </c>
      <c r="I19" s="304"/>
      <c r="J19" s="335"/>
    </row>
    <row r="20" spans="1:10" s="287" customFormat="1" ht="21" customHeight="1">
      <c r="A20" s="300">
        <f ca="1">IF($M$6="Q4",IF(ROWS($1:9)&gt;COUNT(Dong2),"",OFFSET('Q4-VND'!B$1,SMALL(Dong2,ROWS($1:9)),)),IF($M$6="Q11",IF(ROWS($1:9)&gt;COUNT(Dong),"",OFFSET('Q11-VND'!B$1,SMALL(Dong,ROWS($1:9)),)),IF(ROWS($1:9)&gt;COUNT(Dong),IF(ROWS($1:9)&gt;COUNT(Dong,Dong2),"",OFFSET('Q4-VND'!B$1,SMALL(Dong2,ROWS($1:9)-COUNT(Dong)),)),OFFSET('Q11-VND'!B$1,SMALL(Dong,ROWS($1:9)),))))</f>
        <v>41457</v>
      </c>
      <c r="B20" s="300" t="str">
        <f ca="1">IF($M$6="Q4",IF(ROWS($1:9)&gt;COUNT(Dong2),"",OFFSET('Q4-VND'!C$1,SMALL(Dong2,ROWS($1:9)),)),IF($M$6="Q11",IF(ROWS($1:9)&gt;COUNT(Dong),"",OFFSET('Q11-VND'!C$1,SMALL(Dong,ROWS($1:9)),)),IF(ROWS($1:9)&gt;COUNT(Dong),IF(ROWS($1:9)&gt;COUNT(Dong,Dong2),"",OFFSET('Q4-VND'!C$1,SMALL(Dong2,ROWS($1:9)-COUNT(Dong)),)),OFFSET('Q11-VND'!C$1,SMALL(Dong,ROWS($1:9)),))))</f>
        <v>GBN</v>
      </c>
      <c r="C20" s="300">
        <f ca="1">IF($M$6="Q4",IF(ROWS($1:9)&gt;COUNT(Dong2),"",OFFSET('Q4-VND'!D$1,SMALL(Dong2,ROWS($1:9)),)),IF($M$6="Q11",IF(ROWS($1:9)&gt;COUNT(Dong),"",OFFSET('Q11-VND'!D$1,SMALL(Dong,ROWS($1:9)),)),IF(ROWS($1:9)&gt;COUNT(Dong),IF(ROWS($1:9)&gt;COUNT(Dong,Dong2),"",OFFSET('Q4-VND'!D$1,SMALL(Dong2,ROWS($1:9)-COUNT(Dong)),)),OFFSET('Q11-VND'!D$1,SMALL(Dong,ROWS($1:9)),))))</f>
        <v>41457</v>
      </c>
      <c r="D20" s="301" t="str">
        <f ca="1">IF($M$6="Q4",IF(ROWS($1:9)&gt;COUNT(Dong2),"",OFFSET('Q4-VND'!E$1,SMALL(Dong2,ROWS($1:9)),)),IF($M$6="Q11",IF(ROWS($1:9)&gt;COUNT(Dong),"",OFFSET('Q11-VND'!E$1,SMALL(Dong,ROWS($1:9)),)),IF(ROWS($1:9)&gt;COUNT(Dong),IF(ROWS($1:9)&gt;COUNT(Dong,Dong2),"","Q4 - "&amp;OFFSET('Q4-VND'!E$1,SMALL(Dong2,ROWS($1:9)-COUNT(Dong)),)),"Q11 - "&amp;OFFSET('Q11-VND'!E$1,SMALL(Dong,ROWS($1:9)),))))</f>
        <v>Q11 - Phí thanh toán</v>
      </c>
      <c r="E20" s="302" t="str">
        <f ca="1">IF($M$6="Q4",IF(ROWS($1:9)&gt;COUNT(Dong2),"",OFFSET('Q4-VND'!G$1,SMALL(Dong2,ROWS($1:9)),)),IF($M$6="Q11",IF(ROWS($1:9)&gt;COUNT(Dong),"",OFFSET('Q11-VND'!G$1,SMALL(Dong,ROWS($1:9)),)),IF(ROWS($1:9)&gt;COUNT(Dong),IF(ROWS($1:9)&gt;COUNT(Dong,Dong2),"",OFFSET('Q4-VND'!G$1,SMALL(Dong2,ROWS($1:9)-COUNT(Dong)),)),OFFSET('Q11-VND'!G$1,SMALL(Dong,ROWS($1:9)),))))</f>
        <v>6422</v>
      </c>
      <c r="F20" s="303">
        <f ca="1">IF($M$6="Q4",IF(ROWS($1:9)&gt;COUNT(Dong2),0,OFFSET('Q4-VND'!H$1,SMALL(Dong2,ROWS($1:9)),)),IF($M$6="Q11",IF(ROWS($1:9)&gt;COUNT(Dong),0,OFFSET('Q11-VND'!H$1,SMALL(Dong,ROWS($1:9)),)),IF(ROWS($1:9)&gt;COUNT(Dong),IF(ROWS($1:9)&gt;COUNT(Dong,Dong2),0,OFFSET('Q4-VND'!H$1,SMALL(Dong2,ROWS($1:9)-COUNT(Dong)),)),OFFSET('Q11-VND'!H$1,SMALL(Dong,ROWS($1:9)),))))</f>
        <v>0</v>
      </c>
      <c r="G20" s="303">
        <f ca="1">IF($M$6="Q4",IF(ROWS($1:9)&gt;COUNT(Dong2),0,OFFSET('Q4-VND'!I$1,SMALL(Dong2,ROWS($1:9)),)),IF($M$6="Q11",IF(ROWS($1:9)&gt;COUNT(Dong),0,OFFSET('Q11-VND'!I$1,SMALL(Dong,ROWS($1:9)),)),IF(ROWS($1:9)&gt;COUNT(Dong),IF(ROWS($1:9)&gt;COUNT(Dong,Dong2),0,OFFSET('Q4-VND'!I$1,SMALL(Dong2,ROWS($1:9)-COUNT(Dong)),)),OFFSET('Q11-VND'!I$1,SMALL(Dong,ROWS($1:9)),))))</f>
        <v>20000</v>
      </c>
      <c r="H20" s="304">
        <f t="shared" ca="1" si="0"/>
        <v>498672084</v>
      </c>
      <c r="I20" s="304"/>
      <c r="J20" s="335"/>
    </row>
    <row r="21" spans="1:10" s="287" customFormat="1" ht="21" customHeight="1">
      <c r="A21" s="300">
        <f ca="1">IF($M$6="Q4",IF(ROWS($1:10)&gt;COUNT(Dong2),"",OFFSET('Q4-VND'!B$1,SMALL(Dong2,ROWS($1:10)),)),IF($M$6="Q11",IF(ROWS($1:10)&gt;COUNT(Dong),"",OFFSET('Q11-VND'!B$1,SMALL(Dong,ROWS($1:10)),)),IF(ROWS($1:10)&gt;COUNT(Dong),IF(ROWS($1:10)&gt;COUNT(Dong,Dong2),"",OFFSET('Q4-VND'!B$1,SMALL(Dong2,ROWS($1:10)-COUNT(Dong)),)),OFFSET('Q11-VND'!B$1,SMALL(Dong,ROWS($1:10)),))))</f>
        <v>41457</v>
      </c>
      <c r="B21" s="300" t="str">
        <f ca="1">IF($M$6="Q4",IF(ROWS($1:10)&gt;COUNT(Dong2),"",OFFSET('Q4-VND'!C$1,SMALL(Dong2,ROWS($1:10)),)),IF($M$6="Q11",IF(ROWS($1:10)&gt;COUNT(Dong),"",OFFSET('Q11-VND'!C$1,SMALL(Dong,ROWS($1:10)),)),IF(ROWS($1:10)&gt;COUNT(Dong),IF(ROWS($1:10)&gt;COUNT(Dong,Dong2),"",OFFSET('Q4-VND'!C$1,SMALL(Dong2,ROWS($1:10)-COUNT(Dong)),)),OFFSET('Q11-VND'!C$1,SMALL(Dong,ROWS($1:10)),))))</f>
        <v>GBN</v>
      </c>
      <c r="C21" s="300">
        <f ca="1">IF($M$6="Q4",IF(ROWS($1:10)&gt;COUNT(Dong2),"",OFFSET('Q4-VND'!D$1,SMALL(Dong2,ROWS($1:10)),)),IF($M$6="Q11",IF(ROWS($1:10)&gt;COUNT(Dong),"",OFFSET('Q11-VND'!D$1,SMALL(Dong,ROWS($1:10)),)),IF(ROWS($1:10)&gt;COUNT(Dong),IF(ROWS($1:10)&gt;COUNT(Dong,Dong2),"",OFFSET('Q4-VND'!D$1,SMALL(Dong2,ROWS($1:10)-COUNT(Dong)),)),OFFSET('Q11-VND'!D$1,SMALL(Dong,ROWS($1:10)),))))</f>
        <v>41457</v>
      </c>
      <c r="D21" s="301" t="str">
        <f ca="1">IF($M$6="Q4",IF(ROWS($1:10)&gt;COUNT(Dong2),"",OFFSET('Q4-VND'!E$1,SMALL(Dong2,ROWS($1:10)),)),IF($M$6="Q11",IF(ROWS($1:10)&gt;COUNT(Dong),"",OFFSET('Q11-VND'!E$1,SMALL(Dong,ROWS($1:10)),)),IF(ROWS($1:10)&gt;COUNT(Dong),IF(ROWS($1:10)&gt;COUNT(Dong,Dong2),"","Q4 - "&amp;OFFSET('Q4-VND'!E$1,SMALL(Dong2,ROWS($1:10)-COUNT(Dong)),)),"Q11 - "&amp;OFFSET('Q11-VND'!E$1,SMALL(Dong,ROWS($1:10)),))))</f>
        <v>Q11 - VAT Phí thanh toán</v>
      </c>
      <c r="E21" s="302" t="str">
        <f ca="1">IF($M$6="Q4",IF(ROWS($1:10)&gt;COUNT(Dong2),"",OFFSET('Q4-VND'!G$1,SMALL(Dong2,ROWS($1:10)),)),IF($M$6="Q11",IF(ROWS($1:10)&gt;COUNT(Dong),"",OFFSET('Q11-VND'!G$1,SMALL(Dong,ROWS($1:10)),)),IF(ROWS($1:10)&gt;COUNT(Dong),IF(ROWS($1:10)&gt;COUNT(Dong,Dong2),"",OFFSET('Q4-VND'!G$1,SMALL(Dong2,ROWS($1:10)-COUNT(Dong)),)),OFFSET('Q11-VND'!G$1,SMALL(Dong,ROWS($1:10)),))))</f>
        <v>1331</v>
      </c>
      <c r="F21" s="303">
        <f ca="1">IF($M$6="Q4",IF(ROWS($1:10)&gt;COUNT(Dong2),0,OFFSET('Q4-VND'!H$1,SMALL(Dong2,ROWS($1:10)),)),IF($M$6="Q11",IF(ROWS($1:10)&gt;COUNT(Dong),0,OFFSET('Q11-VND'!H$1,SMALL(Dong,ROWS($1:10)),)),IF(ROWS($1:10)&gt;COUNT(Dong),IF(ROWS($1:10)&gt;COUNT(Dong,Dong2),0,OFFSET('Q4-VND'!H$1,SMALL(Dong2,ROWS($1:10)-COUNT(Dong)),)),OFFSET('Q11-VND'!H$1,SMALL(Dong,ROWS($1:10)),))))</f>
        <v>0</v>
      </c>
      <c r="G21" s="303">
        <f ca="1">IF($M$6="Q4",IF(ROWS($1:10)&gt;COUNT(Dong2),0,OFFSET('Q4-VND'!I$1,SMALL(Dong2,ROWS($1:10)),)),IF($M$6="Q11",IF(ROWS($1:10)&gt;COUNT(Dong),0,OFFSET('Q11-VND'!I$1,SMALL(Dong,ROWS($1:10)),)),IF(ROWS($1:10)&gt;COUNT(Dong),IF(ROWS($1:10)&gt;COUNT(Dong,Dong2),0,OFFSET('Q4-VND'!I$1,SMALL(Dong2,ROWS($1:10)-COUNT(Dong)),)),OFFSET('Q11-VND'!I$1,SMALL(Dong,ROWS($1:10)),))))</f>
        <v>2000</v>
      </c>
      <c r="H21" s="304">
        <f t="shared" ca="1" si="0"/>
        <v>498670084</v>
      </c>
      <c r="I21" s="304"/>
      <c r="J21" s="335"/>
    </row>
    <row r="22" spans="1:10" s="287" customFormat="1" ht="21" customHeight="1">
      <c r="A22" s="300">
        <f ca="1">IF($M$6="Q4",IF(ROWS($1:11)&gt;COUNT(Dong2),"",OFFSET('Q4-VND'!B$1,SMALL(Dong2,ROWS($1:11)),)),IF($M$6="Q11",IF(ROWS($1:11)&gt;COUNT(Dong),"",OFFSET('Q11-VND'!B$1,SMALL(Dong,ROWS($1:11)),)),IF(ROWS($1:11)&gt;COUNT(Dong),IF(ROWS($1:11)&gt;COUNT(Dong,Dong2),"",OFFSET('Q4-VND'!B$1,SMALL(Dong2,ROWS($1:11)-COUNT(Dong)),)),OFFSET('Q11-VND'!B$1,SMALL(Dong,ROWS($1:11)),))))</f>
        <v>41458</v>
      </c>
      <c r="B22" s="300" t="str">
        <f ca="1">IF($M$6="Q4",IF(ROWS($1:11)&gt;COUNT(Dong2),"",OFFSET('Q4-VND'!C$1,SMALL(Dong2,ROWS($1:11)),)),IF($M$6="Q11",IF(ROWS($1:11)&gt;COUNT(Dong),"",OFFSET('Q11-VND'!C$1,SMALL(Dong,ROWS($1:11)),)),IF(ROWS($1:11)&gt;COUNT(Dong),IF(ROWS($1:11)&gt;COUNT(Dong,Dong2),"",OFFSET('Q4-VND'!C$1,SMALL(Dong2,ROWS($1:11)-COUNT(Dong)),)),OFFSET('Q11-VND'!C$1,SMALL(Dong,ROWS($1:11)),))))</f>
        <v>THU</v>
      </c>
      <c r="C22" s="300">
        <f ca="1">IF($M$6="Q4",IF(ROWS($1:11)&gt;COUNT(Dong2),"",OFFSET('Q4-VND'!D$1,SMALL(Dong2,ROWS($1:11)),)),IF($M$6="Q11",IF(ROWS($1:11)&gt;COUNT(Dong),"",OFFSET('Q11-VND'!D$1,SMALL(Dong,ROWS($1:11)),)),IF(ROWS($1:11)&gt;COUNT(Dong),IF(ROWS($1:11)&gt;COUNT(Dong,Dong2),"",OFFSET('Q4-VND'!D$1,SMALL(Dong2,ROWS($1:11)-COUNT(Dong)),)),OFFSET('Q11-VND'!D$1,SMALL(Dong,ROWS($1:11)),))))</f>
        <v>41458</v>
      </c>
      <c r="D22" s="301" t="str">
        <f ca="1">IF($M$6="Q4",IF(ROWS($1:11)&gt;COUNT(Dong2),"",OFFSET('Q4-VND'!E$1,SMALL(Dong2,ROWS($1:11)),)),IF($M$6="Q11",IF(ROWS($1:11)&gt;COUNT(Dong),"",OFFSET('Q11-VND'!E$1,SMALL(Dong,ROWS($1:11)),)),IF(ROWS($1:11)&gt;COUNT(Dong),IF(ROWS($1:11)&gt;COUNT(Dong,Dong2),"","Q4 - "&amp;OFFSET('Q4-VND'!E$1,SMALL(Dong2,ROWS($1:11)-COUNT(Dong)),)),"Q11 - "&amp;OFFSET('Q11-VND'!E$1,SMALL(Dong,ROWS($1:11)),))))</f>
        <v>Q11 - Rút tiền nhập quỹ</v>
      </c>
      <c r="E22" s="302" t="str">
        <f ca="1">IF($M$6="Q4",IF(ROWS($1:11)&gt;COUNT(Dong2),"",OFFSET('Q4-VND'!G$1,SMALL(Dong2,ROWS($1:11)),)),IF($M$6="Q11",IF(ROWS($1:11)&gt;COUNT(Dong),"",OFFSET('Q11-VND'!G$1,SMALL(Dong,ROWS($1:11)),)),IF(ROWS($1:11)&gt;COUNT(Dong),IF(ROWS($1:11)&gt;COUNT(Dong,Dong2),"",OFFSET('Q4-VND'!G$1,SMALL(Dong2,ROWS($1:11)-COUNT(Dong)),)),OFFSET('Q11-VND'!G$1,SMALL(Dong,ROWS($1:11)),))))</f>
        <v>1111</v>
      </c>
      <c r="F22" s="303">
        <f ca="1">IF($M$6="Q4",IF(ROWS($1:11)&gt;COUNT(Dong2),0,OFFSET('Q4-VND'!H$1,SMALL(Dong2,ROWS($1:11)),)),IF($M$6="Q11",IF(ROWS($1:11)&gt;COUNT(Dong),0,OFFSET('Q11-VND'!H$1,SMALL(Dong,ROWS($1:11)),)),IF(ROWS($1:11)&gt;COUNT(Dong),IF(ROWS($1:11)&gt;COUNT(Dong,Dong2),0,OFFSET('Q4-VND'!H$1,SMALL(Dong2,ROWS($1:11)-COUNT(Dong)),)),OFFSET('Q11-VND'!H$1,SMALL(Dong,ROWS($1:11)),))))</f>
        <v>0</v>
      </c>
      <c r="G22" s="303">
        <f ca="1">IF($M$6="Q4",IF(ROWS($1:11)&gt;COUNT(Dong2),0,OFFSET('Q4-VND'!I$1,SMALL(Dong2,ROWS($1:11)),)),IF($M$6="Q11",IF(ROWS($1:11)&gt;COUNT(Dong),0,OFFSET('Q11-VND'!I$1,SMALL(Dong,ROWS($1:11)),)),IF(ROWS($1:11)&gt;COUNT(Dong),IF(ROWS($1:11)&gt;COUNT(Dong,Dong2),0,OFFSET('Q4-VND'!I$1,SMALL(Dong2,ROWS($1:11)-COUNT(Dong)),)),OFFSET('Q11-VND'!I$1,SMALL(Dong,ROWS($1:11)),))))</f>
        <v>497000000</v>
      </c>
      <c r="H22" s="304">
        <f t="shared" ca="1" si="0"/>
        <v>1670084</v>
      </c>
      <c r="I22" s="304"/>
      <c r="J22" s="335"/>
    </row>
    <row r="23" spans="1:10" s="287" customFormat="1" ht="21" customHeight="1">
      <c r="A23" s="300">
        <f ca="1">IF($M$6="Q4",IF(ROWS($1:12)&gt;COUNT(Dong2),"",OFFSET('Q4-VND'!B$1,SMALL(Dong2,ROWS($1:12)),)),IF($M$6="Q11",IF(ROWS($1:12)&gt;COUNT(Dong),"",OFFSET('Q11-VND'!B$1,SMALL(Dong,ROWS($1:12)),)),IF(ROWS($1:12)&gt;COUNT(Dong),IF(ROWS($1:12)&gt;COUNT(Dong,Dong2),"",OFFSET('Q4-VND'!B$1,SMALL(Dong2,ROWS($1:12)-COUNT(Dong)),)),OFFSET('Q11-VND'!B$1,SMALL(Dong,ROWS($1:12)),))))</f>
        <v>41460</v>
      </c>
      <c r="B23" s="300" t="str">
        <f ca="1">IF($M$6="Q4",IF(ROWS($1:12)&gt;COUNT(Dong2),"",OFFSET('Q4-VND'!C$1,SMALL(Dong2,ROWS($1:12)),)),IF($M$6="Q11",IF(ROWS($1:12)&gt;COUNT(Dong),"",OFFSET('Q11-VND'!C$1,SMALL(Dong,ROWS($1:12)),)),IF(ROWS($1:12)&gt;COUNT(Dong),IF(ROWS($1:12)&gt;COUNT(Dong,Dong2),"",OFFSET('Q4-VND'!C$1,SMALL(Dong2,ROWS($1:12)-COUNT(Dong)),)),OFFSET('Q11-VND'!C$1,SMALL(Dong,ROWS($1:12)),))))</f>
        <v>GBC</v>
      </c>
      <c r="C23" s="300">
        <f ca="1">IF($M$6="Q4",IF(ROWS($1:12)&gt;COUNT(Dong2),"",OFFSET('Q4-VND'!D$1,SMALL(Dong2,ROWS($1:12)),)),IF($M$6="Q11",IF(ROWS($1:12)&gt;COUNT(Dong),"",OFFSET('Q11-VND'!D$1,SMALL(Dong,ROWS($1:12)),)),IF(ROWS($1:12)&gt;COUNT(Dong),IF(ROWS($1:12)&gt;COUNT(Dong,Dong2),"",OFFSET('Q4-VND'!D$1,SMALL(Dong2,ROWS($1:12)-COUNT(Dong)),)),OFFSET('Q11-VND'!D$1,SMALL(Dong,ROWS($1:12)),))))</f>
        <v>41460</v>
      </c>
      <c r="D23" s="301" t="str">
        <f ca="1">IF($M$6="Q4",IF(ROWS($1:12)&gt;COUNT(Dong2),"",OFFSET('Q4-VND'!E$1,SMALL(Dong2,ROWS($1:12)),)),IF($M$6="Q11",IF(ROWS($1:12)&gt;COUNT(Dong),"",OFFSET('Q11-VND'!E$1,SMALL(Dong,ROWS($1:12)),)),IF(ROWS($1:12)&gt;COUNT(Dong),IF(ROWS($1:12)&gt;COUNT(Dong,Dong2),"","Q4 - "&amp;OFFSET('Q4-VND'!E$1,SMALL(Dong2,ROWS($1:12)-COUNT(Dong)),)),"Q11 - "&amp;OFFSET('Q11-VND'!E$1,SMALL(Dong,ROWS($1:12)),))))</f>
        <v>Q11 - Thu tiền hàng</v>
      </c>
      <c r="E23" s="302" t="str">
        <f ca="1">IF($M$6="Q4",IF(ROWS($1:12)&gt;COUNT(Dong2),"",OFFSET('Q4-VND'!G$1,SMALL(Dong2,ROWS($1:12)),)),IF($M$6="Q11",IF(ROWS($1:12)&gt;COUNT(Dong),"",OFFSET('Q11-VND'!G$1,SMALL(Dong,ROWS($1:12)),)),IF(ROWS($1:12)&gt;COUNT(Dong),IF(ROWS($1:12)&gt;COUNT(Dong,Dong2),"",OFFSET('Q4-VND'!G$1,SMALL(Dong2,ROWS($1:12)-COUNT(Dong)),)),OFFSET('Q11-VND'!G$1,SMALL(Dong,ROWS($1:12)),))))</f>
        <v>131</v>
      </c>
      <c r="F23" s="303">
        <f ca="1">IF($M$6="Q4",IF(ROWS($1:12)&gt;COUNT(Dong2),0,OFFSET('Q4-VND'!H$1,SMALL(Dong2,ROWS($1:12)),)),IF($M$6="Q11",IF(ROWS($1:12)&gt;COUNT(Dong),0,OFFSET('Q11-VND'!H$1,SMALL(Dong,ROWS($1:12)),)),IF(ROWS($1:12)&gt;COUNT(Dong),IF(ROWS($1:12)&gt;COUNT(Dong,Dong2),0,OFFSET('Q4-VND'!H$1,SMALL(Dong2,ROWS($1:12)-COUNT(Dong)),)),OFFSET('Q11-VND'!H$1,SMALL(Dong,ROWS($1:12)),))))</f>
        <v>615000000</v>
      </c>
      <c r="G23" s="303">
        <f ca="1">IF($M$6="Q4",IF(ROWS($1:12)&gt;COUNT(Dong2),0,OFFSET('Q4-VND'!I$1,SMALL(Dong2,ROWS($1:12)),)),IF($M$6="Q11",IF(ROWS($1:12)&gt;COUNT(Dong),0,OFFSET('Q11-VND'!I$1,SMALL(Dong,ROWS($1:12)),)),IF(ROWS($1:12)&gt;COUNT(Dong),IF(ROWS($1:12)&gt;COUNT(Dong,Dong2),0,OFFSET('Q4-VND'!I$1,SMALL(Dong2,ROWS($1:12)-COUNT(Dong)),)),OFFSET('Q11-VND'!I$1,SMALL(Dong,ROWS($1:12)),))))</f>
        <v>0</v>
      </c>
      <c r="H23" s="304">
        <f t="shared" ca="1" si="0"/>
        <v>616670084</v>
      </c>
      <c r="I23" s="304"/>
      <c r="J23" s="335"/>
    </row>
    <row r="24" spans="1:10" s="287" customFormat="1" ht="21" customHeight="1">
      <c r="A24" s="300">
        <f ca="1">IF($M$6="Q4",IF(ROWS($1:13)&gt;COUNT(Dong2),"",OFFSET('Q4-VND'!B$1,SMALL(Dong2,ROWS($1:13)),)),IF($M$6="Q11",IF(ROWS($1:13)&gt;COUNT(Dong),"",OFFSET('Q11-VND'!B$1,SMALL(Dong,ROWS($1:13)),)),IF(ROWS($1:13)&gt;COUNT(Dong),IF(ROWS($1:13)&gt;COUNT(Dong,Dong2),"",OFFSET('Q4-VND'!B$1,SMALL(Dong2,ROWS($1:13)-COUNT(Dong)),)),OFFSET('Q11-VND'!B$1,SMALL(Dong,ROWS($1:13)),))))</f>
        <v>41460</v>
      </c>
      <c r="B24" s="300" t="str">
        <f ca="1">IF($M$6="Q4",IF(ROWS($1:13)&gt;COUNT(Dong2),"",OFFSET('Q4-VND'!C$1,SMALL(Dong2,ROWS($1:13)),)),IF($M$6="Q11",IF(ROWS($1:13)&gt;COUNT(Dong),"",OFFSET('Q11-VND'!C$1,SMALL(Dong,ROWS($1:13)),)),IF(ROWS($1:13)&gt;COUNT(Dong),IF(ROWS($1:13)&gt;COUNT(Dong,Dong2),"",OFFSET('Q4-VND'!C$1,SMALL(Dong2,ROWS($1:13)-COUNT(Dong)),)),OFFSET('Q11-VND'!C$1,SMALL(Dong,ROWS($1:13)),))))</f>
        <v>GBN</v>
      </c>
      <c r="C24" s="300">
        <f ca="1">IF($M$6="Q4",IF(ROWS($1:13)&gt;COUNT(Dong2),"",OFFSET('Q4-VND'!D$1,SMALL(Dong2,ROWS($1:13)),)),IF($M$6="Q11",IF(ROWS($1:13)&gt;COUNT(Dong),"",OFFSET('Q11-VND'!D$1,SMALL(Dong,ROWS($1:13)),)),IF(ROWS($1:13)&gt;COUNT(Dong),IF(ROWS($1:13)&gt;COUNT(Dong,Dong2),"",OFFSET('Q4-VND'!D$1,SMALL(Dong2,ROWS($1:13)-COUNT(Dong)),)),OFFSET('Q11-VND'!D$1,SMALL(Dong,ROWS($1:13)),))))</f>
        <v>41460</v>
      </c>
      <c r="D24" s="301" t="str">
        <f ca="1">IF($M$6="Q4",IF(ROWS($1:13)&gt;COUNT(Dong2),"",OFFSET('Q4-VND'!E$1,SMALL(Dong2,ROWS($1:13)),)),IF($M$6="Q11",IF(ROWS($1:13)&gt;COUNT(Dong),"",OFFSET('Q11-VND'!E$1,SMALL(Dong,ROWS($1:13)),)),IF(ROWS($1:13)&gt;COUNT(Dong),IF(ROWS($1:13)&gt;COUNT(Dong,Dong2),"","Q4 - "&amp;OFFSET('Q4-VND'!E$1,SMALL(Dong2,ROWS($1:13)-COUNT(Dong)),)),"Q11 - "&amp;OFFSET('Q11-VND'!E$1,SMALL(Dong,ROWS($1:13)),))))</f>
        <v>Q11 - Thanh toán tiền phí kiểm nghiệm T02/2013</v>
      </c>
      <c r="E24" s="302" t="str">
        <f ca="1">IF($M$6="Q4",IF(ROWS($1:13)&gt;COUNT(Dong2),"",OFFSET('Q4-VND'!G$1,SMALL(Dong2,ROWS($1:13)),)),IF($M$6="Q11",IF(ROWS($1:13)&gt;COUNT(Dong),"",OFFSET('Q11-VND'!G$1,SMALL(Dong,ROWS($1:13)),)),IF(ROWS($1:13)&gt;COUNT(Dong),IF(ROWS($1:13)&gt;COUNT(Dong,Dong2),"",OFFSET('Q4-VND'!G$1,SMALL(Dong2,ROWS($1:13)-COUNT(Dong)),)),OFFSET('Q11-VND'!G$1,SMALL(Dong,ROWS($1:13)),))))</f>
        <v>331</v>
      </c>
      <c r="F24" s="303">
        <f ca="1">IF($M$6="Q4",IF(ROWS($1:13)&gt;COUNT(Dong2),0,OFFSET('Q4-VND'!H$1,SMALL(Dong2,ROWS($1:13)),)),IF($M$6="Q11",IF(ROWS($1:13)&gt;COUNT(Dong),0,OFFSET('Q11-VND'!H$1,SMALL(Dong,ROWS($1:13)),)),IF(ROWS($1:13)&gt;COUNT(Dong),IF(ROWS($1:13)&gt;COUNT(Dong,Dong2),0,OFFSET('Q4-VND'!H$1,SMALL(Dong2,ROWS($1:13)-COUNT(Dong)),)),OFFSET('Q11-VND'!H$1,SMALL(Dong,ROWS($1:13)),))))</f>
        <v>0</v>
      </c>
      <c r="G24" s="303">
        <f ca="1">IF($M$6="Q4",IF(ROWS($1:13)&gt;COUNT(Dong2),0,OFFSET('Q4-VND'!I$1,SMALL(Dong2,ROWS($1:13)),)),IF($M$6="Q11",IF(ROWS($1:13)&gt;COUNT(Dong),0,OFFSET('Q11-VND'!I$1,SMALL(Dong,ROWS($1:13)),)),IF(ROWS($1:13)&gt;COUNT(Dong),IF(ROWS($1:13)&gt;COUNT(Dong,Dong2),0,OFFSET('Q4-VND'!I$1,SMALL(Dong2,ROWS($1:13)-COUNT(Dong)),)),OFFSET('Q11-VND'!I$1,SMALL(Dong,ROWS($1:13)),))))</f>
        <v>8660000</v>
      </c>
      <c r="H24" s="304">
        <f t="shared" ca="1" si="0"/>
        <v>608010084</v>
      </c>
      <c r="I24" s="304"/>
      <c r="J24" s="335"/>
    </row>
    <row r="25" spans="1:10" s="287" customFormat="1" ht="21" customHeight="1">
      <c r="A25" s="300">
        <f ca="1">IF($M$6="Q4",IF(ROWS($1:14)&gt;COUNT(Dong2),"",OFFSET('Q4-VND'!B$1,SMALL(Dong2,ROWS($1:14)),)),IF($M$6="Q11",IF(ROWS($1:14)&gt;COUNT(Dong),"",OFFSET('Q11-VND'!B$1,SMALL(Dong,ROWS($1:14)),)),IF(ROWS($1:14)&gt;COUNT(Dong),IF(ROWS($1:14)&gt;COUNT(Dong,Dong2),"",OFFSET('Q4-VND'!B$1,SMALL(Dong2,ROWS($1:14)-COUNT(Dong)),)),OFFSET('Q11-VND'!B$1,SMALL(Dong,ROWS($1:14)),))))</f>
        <v>41460</v>
      </c>
      <c r="B25" s="300" t="str">
        <f ca="1">IF($M$6="Q4",IF(ROWS($1:14)&gt;COUNT(Dong2),"",OFFSET('Q4-VND'!C$1,SMALL(Dong2,ROWS($1:14)),)),IF($M$6="Q11",IF(ROWS($1:14)&gt;COUNT(Dong),"",OFFSET('Q11-VND'!C$1,SMALL(Dong,ROWS($1:14)),)),IF(ROWS($1:14)&gt;COUNT(Dong),IF(ROWS($1:14)&gt;COUNT(Dong,Dong2),"",OFFSET('Q4-VND'!C$1,SMALL(Dong2,ROWS($1:14)-COUNT(Dong)),)),OFFSET('Q11-VND'!C$1,SMALL(Dong,ROWS($1:14)),))))</f>
        <v>GBN</v>
      </c>
      <c r="C25" s="300">
        <f ca="1">IF($M$6="Q4",IF(ROWS($1:14)&gt;COUNT(Dong2),"",OFFSET('Q4-VND'!D$1,SMALL(Dong2,ROWS($1:14)),)),IF($M$6="Q11",IF(ROWS($1:14)&gt;COUNT(Dong),"",OFFSET('Q11-VND'!D$1,SMALL(Dong,ROWS($1:14)),)),IF(ROWS($1:14)&gt;COUNT(Dong),IF(ROWS($1:14)&gt;COUNT(Dong,Dong2),"",OFFSET('Q4-VND'!D$1,SMALL(Dong2,ROWS($1:14)-COUNT(Dong)),)),OFFSET('Q11-VND'!D$1,SMALL(Dong,ROWS($1:14)),))))</f>
        <v>41460</v>
      </c>
      <c r="D25" s="301" t="str">
        <f ca="1">IF($M$6="Q4",IF(ROWS($1:14)&gt;COUNT(Dong2),"",OFFSET('Q4-VND'!E$1,SMALL(Dong2,ROWS($1:14)),)),IF($M$6="Q11",IF(ROWS($1:14)&gt;COUNT(Dong),"",OFFSET('Q11-VND'!E$1,SMALL(Dong,ROWS($1:14)),)),IF(ROWS($1:14)&gt;COUNT(Dong),IF(ROWS($1:14)&gt;COUNT(Dong,Dong2),"","Q4 - "&amp;OFFSET('Q4-VND'!E$1,SMALL(Dong2,ROWS($1:14)-COUNT(Dong)),)),"Q11 - "&amp;OFFSET('Q11-VND'!E$1,SMALL(Dong,ROWS($1:14)),))))</f>
        <v>Q11 - Phí thanh toán</v>
      </c>
      <c r="E25" s="302" t="str">
        <f ca="1">IF($M$6="Q4",IF(ROWS($1:14)&gt;COUNT(Dong2),"",OFFSET('Q4-VND'!G$1,SMALL(Dong2,ROWS($1:14)),)),IF($M$6="Q11",IF(ROWS($1:14)&gt;COUNT(Dong),"",OFFSET('Q11-VND'!G$1,SMALL(Dong,ROWS($1:14)),)),IF(ROWS($1:14)&gt;COUNT(Dong),IF(ROWS($1:14)&gt;COUNT(Dong,Dong2),"",OFFSET('Q4-VND'!G$1,SMALL(Dong2,ROWS($1:14)-COUNT(Dong)),)),OFFSET('Q11-VND'!G$1,SMALL(Dong,ROWS($1:14)),))))</f>
        <v>6422</v>
      </c>
      <c r="F25" s="303">
        <f ca="1">IF($M$6="Q4",IF(ROWS($1:14)&gt;COUNT(Dong2),0,OFFSET('Q4-VND'!H$1,SMALL(Dong2,ROWS($1:14)),)),IF($M$6="Q11",IF(ROWS($1:14)&gt;COUNT(Dong),0,OFFSET('Q11-VND'!H$1,SMALL(Dong,ROWS($1:14)),)),IF(ROWS($1:14)&gt;COUNT(Dong),IF(ROWS($1:14)&gt;COUNT(Dong,Dong2),0,OFFSET('Q4-VND'!H$1,SMALL(Dong2,ROWS($1:14)-COUNT(Dong)),)),OFFSET('Q11-VND'!H$1,SMALL(Dong,ROWS($1:14)),))))</f>
        <v>0</v>
      </c>
      <c r="G25" s="303">
        <f ca="1">IF($M$6="Q4",IF(ROWS($1:14)&gt;COUNT(Dong2),0,OFFSET('Q4-VND'!I$1,SMALL(Dong2,ROWS($1:14)),)),IF($M$6="Q11",IF(ROWS($1:14)&gt;COUNT(Dong),0,OFFSET('Q11-VND'!I$1,SMALL(Dong,ROWS($1:14)),)),IF(ROWS($1:14)&gt;COUNT(Dong),IF(ROWS($1:14)&gt;COUNT(Dong,Dong2),0,OFFSET('Q4-VND'!I$1,SMALL(Dong2,ROWS($1:14)-COUNT(Dong)),)),OFFSET('Q11-VND'!I$1,SMALL(Dong,ROWS($1:14)),))))</f>
        <v>10000</v>
      </c>
      <c r="H25" s="304">
        <f t="shared" ca="1" si="0"/>
        <v>608000084</v>
      </c>
      <c r="I25" s="304"/>
      <c r="J25" s="335"/>
    </row>
    <row r="26" spans="1:10" s="287" customFormat="1" ht="21" customHeight="1">
      <c r="A26" s="300">
        <f ca="1">IF($M$6="Q4",IF(ROWS($1:15)&gt;COUNT(Dong2),"",OFFSET('Q4-VND'!B$1,SMALL(Dong2,ROWS($1:15)),)),IF($M$6="Q11",IF(ROWS($1:15)&gt;COUNT(Dong),"",OFFSET('Q11-VND'!B$1,SMALL(Dong,ROWS($1:15)),)),IF(ROWS($1:15)&gt;COUNT(Dong),IF(ROWS($1:15)&gt;COUNT(Dong,Dong2),"",OFFSET('Q4-VND'!B$1,SMALL(Dong2,ROWS($1:15)-COUNT(Dong)),)),OFFSET('Q11-VND'!B$1,SMALL(Dong,ROWS($1:15)),))))</f>
        <v>41460</v>
      </c>
      <c r="B26" s="300" t="str">
        <f ca="1">IF($M$6="Q4",IF(ROWS($1:15)&gt;COUNT(Dong2),"",OFFSET('Q4-VND'!C$1,SMALL(Dong2,ROWS($1:15)),)),IF($M$6="Q11",IF(ROWS($1:15)&gt;COUNT(Dong),"",OFFSET('Q11-VND'!C$1,SMALL(Dong,ROWS($1:15)),)),IF(ROWS($1:15)&gt;COUNT(Dong),IF(ROWS($1:15)&gt;COUNT(Dong,Dong2),"",OFFSET('Q4-VND'!C$1,SMALL(Dong2,ROWS($1:15)-COUNT(Dong)),)),OFFSET('Q11-VND'!C$1,SMALL(Dong,ROWS($1:15)),))))</f>
        <v>GBN</v>
      </c>
      <c r="C26" s="300">
        <f ca="1">IF($M$6="Q4",IF(ROWS($1:15)&gt;COUNT(Dong2),"",OFFSET('Q4-VND'!D$1,SMALL(Dong2,ROWS($1:15)),)),IF($M$6="Q11",IF(ROWS($1:15)&gt;COUNT(Dong),"",OFFSET('Q11-VND'!D$1,SMALL(Dong,ROWS($1:15)),)),IF(ROWS($1:15)&gt;COUNT(Dong),IF(ROWS($1:15)&gt;COUNT(Dong,Dong2),"",OFFSET('Q4-VND'!D$1,SMALL(Dong2,ROWS($1:15)-COUNT(Dong)),)),OFFSET('Q11-VND'!D$1,SMALL(Dong,ROWS($1:15)),))))</f>
        <v>41460</v>
      </c>
      <c r="D26" s="301" t="str">
        <f ca="1">IF($M$6="Q4",IF(ROWS($1:15)&gt;COUNT(Dong2),"",OFFSET('Q4-VND'!E$1,SMALL(Dong2,ROWS($1:15)),)),IF($M$6="Q11",IF(ROWS($1:15)&gt;COUNT(Dong),"",OFFSET('Q11-VND'!E$1,SMALL(Dong,ROWS($1:15)),)),IF(ROWS($1:15)&gt;COUNT(Dong),IF(ROWS($1:15)&gt;COUNT(Dong,Dong2),"","Q4 - "&amp;OFFSET('Q4-VND'!E$1,SMALL(Dong2,ROWS($1:15)-COUNT(Dong)),)),"Q11 - "&amp;OFFSET('Q11-VND'!E$1,SMALL(Dong,ROWS($1:15)),))))</f>
        <v>Q11 - VAT Phí thanh toán</v>
      </c>
      <c r="E26" s="302" t="str">
        <f ca="1">IF($M$6="Q4",IF(ROWS($1:15)&gt;COUNT(Dong2),"",OFFSET('Q4-VND'!G$1,SMALL(Dong2,ROWS($1:15)),)),IF($M$6="Q11",IF(ROWS($1:15)&gt;COUNT(Dong),"",OFFSET('Q11-VND'!G$1,SMALL(Dong,ROWS($1:15)),)),IF(ROWS($1:15)&gt;COUNT(Dong),IF(ROWS($1:15)&gt;COUNT(Dong,Dong2),"",OFFSET('Q4-VND'!G$1,SMALL(Dong2,ROWS($1:15)-COUNT(Dong)),)),OFFSET('Q11-VND'!G$1,SMALL(Dong,ROWS($1:15)),))))</f>
        <v>1331</v>
      </c>
      <c r="F26" s="303">
        <f ca="1">IF($M$6="Q4",IF(ROWS($1:15)&gt;COUNT(Dong2),0,OFFSET('Q4-VND'!H$1,SMALL(Dong2,ROWS($1:15)),)),IF($M$6="Q11",IF(ROWS($1:15)&gt;COUNT(Dong),0,OFFSET('Q11-VND'!H$1,SMALL(Dong,ROWS($1:15)),)),IF(ROWS($1:15)&gt;COUNT(Dong),IF(ROWS($1:15)&gt;COUNT(Dong,Dong2),0,OFFSET('Q4-VND'!H$1,SMALL(Dong2,ROWS($1:15)-COUNT(Dong)),)),OFFSET('Q11-VND'!H$1,SMALL(Dong,ROWS($1:15)),))))</f>
        <v>0</v>
      </c>
      <c r="G26" s="303">
        <f ca="1">IF($M$6="Q4",IF(ROWS($1:15)&gt;COUNT(Dong2),0,OFFSET('Q4-VND'!I$1,SMALL(Dong2,ROWS($1:15)),)),IF($M$6="Q11",IF(ROWS($1:15)&gt;COUNT(Dong),0,OFFSET('Q11-VND'!I$1,SMALL(Dong,ROWS($1:15)),)),IF(ROWS($1:15)&gt;COUNT(Dong),IF(ROWS($1:15)&gt;COUNT(Dong,Dong2),0,OFFSET('Q4-VND'!I$1,SMALL(Dong2,ROWS($1:15)-COUNT(Dong)),)),OFFSET('Q11-VND'!I$1,SMALL(Dong,ROWS($1:15)),))))</f>
        <v>1000</v>
      </c>
      <c r="H26" s="304">
        <f t="shared" ca="1" si="0"/>
        <v>607999084</v>
      </c>
      <c r="I26" s="304"/>
      <c r="J26" s="335"/>
    </row>
    <row r="27" spans="1:10" s="287" customFormat="1" ht="21" customHeight="1">
      <c r="A27" s="300">
        <f ca="1">IF($M$6="Q4",IF(ROWS($1:16)&gt;COUNT(Dong2),"",OFFSET('Q4-VND'!B$1,SMALL(Dong2,ROWS($1:16)),)),IF($M$6="Q11",IF(ROWS($1:16)&gt;COUNT(Dong),"",OFFSET('Q11-VND'!B$1,SMALL(Dong,ROWS($1:16)),)),IF(ROWS($1:16)&gt;COUNT(Dong),IF(ROWS($1:16)&gt;COUNT(Dong,Dong2),"",OFFSET('Q4-VND'!B$1,SMALL(Dong2,ROWS($1:16)-COUNT(Dong)),)),OFFSET('Q11-VND'!B$1,SMALL(Dong,ROWS($1:16)),))))</f>
        <v>41460</v>
      </c>
      <c r="B27" s="300" t="str">
        <f ca="1">IF($M$6="Q4",IF(ROWS($1:16)&gt;COUNT(Dong2),"",OFFSET('Q4-VND'!C$1,SMALL(Dong2,ROWS($1:16)),)),IF($M$6="Q11",IF(ROWS($1:16)&gt;COUNT(Dong),"",OFFSET('Q11-VND'!C$1,SMALL(Dong,ROWS($1:16)),)),IF(ROWS($1:16)&gt;COUNT(Dong),IF(ROWS($1:16)&gt;COUNT(Dong,Dong2),"",OFFSET('Q4-VND'!C$1,SMALL(Dong2,ROWS($1:16)-COUNT(Dong)),)),OFFSET('Q11-VND'!C$1,SMALL(Dong,ROWS($1:16)),))))</f>
        <v>GBN</v>
      </c>
      <c r="C27" s="300">
        <f ca="1">IF($M$6="Q4",IF(ROWS($1:16)&gt;COUNT(Dong2),"",OFFSET('Q4-VND'!D$1,SMALL(Dong2,ROWS($1:16)),)),IF($M$6="Q11",IF(ROWS($1:16)&gt;COUNT(Dong),"",OFFSET('Q11-VND'!D$1,SMALL(Dong,ROWS($1:16)),)),IF(ROWS($1:16)&gt;COUNT(Dong),IF(ROWS($1:16)&gt;COUNT(Dong,Dong2),"",OFFSET('Q4-VND'!D$1,SMALL(Dong2,ROWS($1:16)-COUNT(Dong)),)),OFFSET('Q11-VND'!D$1,SMALL(Dong,ROWS($1:16)),))))</f>
        <v>41460</v>
      </c>
      <c r="D27" s="301" t="str">
        <f ca="1">IF($M$6="Q4",IF(ROWS($1:16)&gt;COUNT(Dong2),"",OFFSET('Q4-VND'!E$1,SMALL(Dong2,ROWS($1:16)),)),IF($M$6="Q11",IF(ROWS($1:16)&gt;COUNT(Dong),"",OFFSET('Q11-VND'!E$1,SMALL(Dong,ROWS($1:16)),)),IF(ROWS($1:16)&gt;COUNT(Dong),IF(ROWS($1:16)&gt;COUNT(Dong,Dong2),"","Q4 - "&amp;OFFSET('Q4-VND'!E$1,SMALL(Dong2,ROWS($1:16)-COUNT(Dong)),)),"Q11 - "&amp;OFFSET('Q11-VND'!E$1,SMALL(Dong,ROWS($1:16)),))))</f>
        <v>Q11 - Thanh toán tiền bảo hiểm MCE/00590039</v>
      </c>
      <c r="E27" s="302" t="str">
        <f ca="1">IF($M$6="Q4",IF(ROWS($1:16)&gt;COUNT(Dong2),"",OFFSET('Q4-VND'!G$1,SMALL(Dong2,ROWS($1:16)),)),IF($M$6="Q11",IF(ROWS($1:16)&gt;COUNT(Dong),"",OFFSET('Q11-VND'!G$1,SMALL(Dong,ROWS($1:16)),)),IF(ROWS($1:16)&gt;COUNT(Dong),IF(ROWS($1:16)&gt;COUNT(Dong,Dong2),"",OFFSET('Q4-VND'!G$1,SMALL(Dong2,ROWS($1:16)-COUNT(Dong)),)),OFFSET('Q11-VND'!G$1,SMALL(Dong,ROWS($1:16)),))))</f>
        <v>331</v>
      </c>
      <c r="F27" s="303">
        <f ca="1">IF($M$6="Q4",IF(ROWS($1:16)&gt;COUNT(Dong2),0,OFFSET('Q4-VND'!H$1,SMALL(Dong2,ROWS($1:16)),)),IF($M$6="Q11",IF(ROWS($1:16)&gt;COUNT(Dong),0,OFFSET('Q11-VND'!H$1,SMALL(Dong,ROWS($1:16)),)),IF(ROWS($1:16)&gt;COUNT(Dong),IF(ROWS($1:16)&gt;COUNT(Dong,Dong2),0,OFFSET('Q4-VND'!H$1,SMALL(Dong2,ROWS($1:16)-COUNT(Dong)),)),OFFSET('Q11-VND'!H$1,SMALL(Dong,ROWS($1:16)),))))</f>
        <v>0</v>
      </c>
      <c r="G27" s="303">
        <f ca="1">IF($M$6="Q4",IF(ROWS($1:16)&gt;COUNT(Dong2),0,OFFSET('Q4-VND'!I$1,SMALL(Dong2,ROWS($1:16)),)),IF($M$6="Q11",IF(ROWS($1:16)&gt;COUNT(Dong),0,OFFSET('Q11-VND'!I$1,SMALL(Dong,ROWS($1:16)),)),IF(ROWS($1:16)&gt;COUNT(Dong),IF(ROWS($1:16)&gt;COUNT(Dong,Dong2),0,OFFSET('Q4-VND'!I$1,SMALL(Dong2,ROWS($1:16)-COUNT(Dong)),)),OFFSET('Q11-VND'!I$1,SMALL(Dong,ROWS($1:16)),))))</f>
        <v>5584006</v>
      </c>
      <c r="H27" s="304">
        <f t="shared" ca="1" si="0"/>
        <v>602415078</v>
      </c>
      <c r="I27" s="304"/>
      <c r="J27" s="335"/>
    </row>
    <row r="28" spans="1:10" s="287" customFormat="1" ht="21" customHeight="1">
      <c r="A28" s="300">
        <f ca="1">IF($M$6="Q4",IF(ROWS($1:17)&gt;COUNT(Dong2),"",OFFSET('Q4-VND'!B$1,SMALL(Dong2,ROWS($1:17)),)),IF($M$6="Q11",IF(ROWS($1:17)&gt;COUNT(Dong),"",OFFSET('Q11-VND'!B$1,SMALL(Dong,ROWS($1:17)),)),IF(ROWS($1:17)&gt;COUNT(Dong),IF(ROWS($1:17)&gt;COUNT(Dong,Dong2),"",OFFSET('Q4-VND'!B$1,SMALL(Dong2,ROWS($1:17)-COUNT(Dong)),)),OFFSET('Q11-VND'!B$1,SMALL(Dong,ROWS($1:17)),))))</f>
        <v>41460</v>
      </c>
      <c r="B28" s="300" t="str">
        <f ca="1">IF($M$6="Q4",IF(ROWS($1:17)&gt;COUNT(Dong2),"",OFFSET('Q4-VND'!C$1,SMALL(Dong2,ROWS($1:17)),)),IF($M$6="Q11",IF(ROWS($1:17)&gt;COUNT(Dong),"",OFFSET('Q11-VND'!C$1,SMALL(Dong,ROWS($1:17)),)),IF(ROWS($1:17)&gt;COUNT(Dong),IF(ROWS($1:17)&gt;COUNT(Dong,Dong2),"",OFFSET('Q4-VND'!C$1,SMALL(Dong2,ROWS($1:17)-COUNT(Dong)),)),OFFSET('Q11-VND'!C$1,SMALL(Dong,ROWS($1:17)),))))</f>
        <v>GBN</v>
      </c>
      <c r="C28" s="300">
        <f ca="1">IF($M$6="Q4",IF(ROWS($1:17)&gt;COUNT(Dong2),"",OFFSET('Q4-VND'!D$1,SMALL(Dong2,ROWS($1:17)),)),IF($M$6="Q11",IF(ROWS($1:17)&gt;COUNT(Dong),"",OFFSET('Q11-VND'!D$1,SMALL(Dong,ROWS($1:17)),)),IF(ROWS($1:17)&gt;COUNT(Dong),IF(ROWS($1:17)&gt;COUNT(Dong,Dong2),"",OFFSET('Q4-VND'!D$1,SMALL(Dong2,ROWS($1:17)-COUNT(Dong)),)),OFFSET('Q11-VND'!D$1,SMALL(Dong,ROWS($1:17)),))))</f>
        <v>41460</v>
      </c>
      <c r="D28" s="301" t="str">
        <f ca="1">IF($M$6="Q4",IF(ROWS($1:17)&gt;COUNT(Dong2),"",OFFSET('Q4-VND'!E$1,SMALL(Dong2,ROWS($1:17)),)),IF($M$6="Q11",IF(ROWS($1:17)&gt;COUNT(Dong),"",OFFSET('Q11-VND'!E$1,SMALL(Dong,ROWS($1:17)),)),IF(ROWS($1:17)&gt;COUNT(Dong),IF(ROWS($1:17)&gt;COUNT(Dong,Dong2),"","Q4 - "&amp;OFFSET('Q4-VND'!E$1,SMALL(Dong2,ROWS($1:17)-COUNT(Dong)),)),"Q11 - "&amp;OFFSET('Q11-VND'!E$1,SMALL(Dong,ROWS($1:17)),))))</f>
        <v>Q11 - Phí thanh toán</v>
      </c>
      <c r="E28" s="302" t="str">
        <f ca="1">IF($M$6="Q4",IF(ROWS($1:17)&gt;COUNT(Dong2),"",OFFSET('Q4-VND'!G$1,SMALL(Dong2,ROWS($1:17)),)),IF($M$6="Q11",IF(ROWS($1:17)&gt;COUNT(Dong),"",OFFSET('Q11-VND'!G$1,SMALL(Dong,ROWS($1:17)),)),IF(ROWS($1:17)&gt;COUNT(Dong),IF(ROWS($1:17)&gt;COUNT(Dong,Dong2),"",OFFSET('Q4-VND'!G$1,SMALL(Dong2,ROWS($1:17)-COUNT(Dong)),)),OFFSET('Q11-VND'!G$1,SMALL(Dong,ROWS($1:17)),))))</f>
        <v>6422</v>
      </c>
      <c r="F28" s="303">
        <f ca="1">IF($M$6="Q4",IF(ROWS($1:17)&gt;COUNT(Dong2),0,OFFSET('Q4-VND'!H$1,SMALL(Dong2,ROWS($1:17)),)),IF($M$6="Q11",IF(ROWS($1:17)&gt;COUNT(Dong),0,OFFSET('Q11-VND'!H$1,SMALL(Dong,ROWS($1:17)),)),IF(ROWS($1:17)&gt;COUNT(Dong),IF(ROWS($1:17)&gt;COUNT(Dong,Dong2),0,OFFSET('Q4-VND'!H$1,SMALL(Dong2,ROWS($1:17)-COUNT(Dong)),)),OFFSET('Q11-VND'!H$1,SMALL(Dong,ROWS($1:17)),))))</f>
        <v>0</v>
      </c>
      <c r="G28" s="303">
        <f ca="1">IF($M$6="Q4",IF(ROWS($1:17)&gt;COUNT(Dong2),0,OFFSET('Q4-VND'!I$1,SMALL(Dong2,ROWS($1:17)),)),IF($M$6="Q11",IF(ROWS($1:17)&gt;COUNT(Dong),0,OFFSET('Q11-VND'!I$1,SMALL(Dong,ROWS($1:17)),)),IF(ROWS($1:17)&gt;COUNT(Dong),IF(ROWS($1:17)&gt;COUNT(Dong,Dong2),0,OFFSET('Q4-VND'!I$1,SMALL(Dong2,ROWS($1:17)-COUNT(Dong)),)),OFFSET('Q11-VND'!I$1,SMALL(Dong,ROWS($1:17)),))))</f>
        <v>20000</v>
      </c>
      <c r="H28" s="304">
        <f t="shared" ca="1" si="0"/>
        <v>602395078</v>
      </c>
      <c r="I28" s="304"/>
      <c r="J28" s="335"/>
    </row>
    <row r="29" spans="1:10" s="287" customFormat="1" ht="21" customHeight="1">
      <c r="A29" s="300">
        <f ca="1">IF($M$6="Q4",IF(ROWS($1:18)&gt;COUNT(Dong2),"",OFFSET('Q4-VND'!B$1,SMALL(Dong2,ROWS($1:18)),)),IF($M$6="Q11",IF(ROWS($1:18)&gt;COUNT(Dong),"",OFFSET('Q11-VND'!B$1,SMALL(Dong,ROWS($1:18)),)),IF(ROWS($1:18)&gt;COUNT(Dong),IF(ROWS($1:18)&gt;COUNT(Dong,Dong2),"",OFFSET('Q4-VND'!B$1,SMALL(Dong2,ROWS($1:18)-COUNT(Dong)),)),OFFSET('Q11-VND'!B$1,SMALL(Dong,ROWS($1:18)),))))</f>
        <v>41460</v>
      </c>
      <c r="B29" s="300" t="str">
        <f ca="1">IF($M$6="Q4",IF(ROWS($1:18)&gt;COUNT(Dong2),"",OFFSET('Q4-VND'!C$1,SMALL(Dong2,ROWS($1:18)),)),IF($M$6="Q11",IF(ROWS($1:18)&gt;COUNT(Dong),"",OFFSET('Q11-VND'!C$1,SMALL(Dong,ROWS($1:18)),)),IF(ROWS($1:18)&gt;COUNT(Dong),IF(ROWS($1:18)&gt;COUNT(Dong,Dong2),"",OFFSET('Q4-VND'!C$1,SMALL(Dong2,ROWS($1:18)-COUNT(Dong)),)),OFFSET('Q11-VND'!C$1,SMALL(Dong,ROWS($1:18)),))))</f>
        <v>GBN</v>
      </c>
      <c r="C29" s="300">
        <f ca="1">IF($M$6="Q4",IF(ROWS($1:18)&gt;COUNT(Dong2),"",OFFSET('Q4-VND'!D$1,SMALL(Dong2,ROWS($1:18)),)),IF($M$6="Q11",IF(ROWS($1:18)&gt;COUNT(Dong),"",OFFSET('Q11-VND'!D$1,SMALL(Dong,ROWS($1:18)),)),IF(ROWS($1:18)&gt;COUNT(Dong),IF(ROWS($1:18)&gt;COUNT(Dong,Dong2),"",OFFSET('Q4-VND'!D$1,SMALL(Dong2,ROWS($1:18)-COUNT(Dong)),)),OFFSET('Q11-VND'!D$1,SMALL(Dong,ROWS($1:18)),))))</f>
        <v>41460</v>
      </c>
      <c r="D29" s="301" t="str">
        <f ca="1">IF($M$6="Q4",IF(ROWS($1:18)&gt;COUNT(Dong2),"",OFFSET('Q4-VND'!E$1,SMALL(Dong2,ROWS($1:18)),)),IF($M$6="Q11",IF(ROWS($1:18)&gt;COUNT(Dong),"",OFFSET('Q11-VND'!E$1,SMALL(Dong,ROWS($1:18)),)),IF(ROWS($1:18)&gt;COUNT(Dong),IF(ROWS($1:18)&gt;COUNT(Dong,Dong2),"","Q4 - "&amp;OFFSET('Q4-VND'!E$1,SMALL(Dong2,ROWS($1:18)-COUNT(Dong)),)),"Q11 - "&amp;OFFSET('Q11-VND'!E$1,SMALL(Dong,ROWS($1:18)),))))</f>
        <v>Q11 - VAT Phí thanh toán</v>
      </c>
      <c r="E29" s="302" t="str">
        <f ca="1">IF($M$6="Q4",IF(ROWS($1:18)&gt;COUNT(Dong2),"",OFFSET('Q4-VND'!G$1,SMALL(Dong2,ROWS($1:18)),)),IF($M$6="Q11",IF(ROWS($1:18)&gt;COUNT(Dong),"",OFFSET('Q11-VND'!G$1,SMALL(Dong,ROWS($1:18)),)),IF(ROWS($1:18)&gt;COUNT(Dong),IF(ROWS($1:18)&gt;COUNT(Dong,Dong2),"",OFFSET('Q4-VND'!G$1,SMALL(Dong2,ROWS($1:18)-COUNT(Dong)),)),OFFSET('Q11-VND'!G$1,SMALL(Dong,ROWS($1:18)),))))</f>
        <v>1331</v>
      </c>
      <c r="F29" s="303">
        <f ca="1">IF($M$6="Q4",IF(ROWS($1:18)&gt;COUNT(Dong2),0,OFFSET('Q4-VND'!H$1,SMALL(Dong2,ROWS($1:18)),)),IF($M$6="Q11",IF(ROWS($1:18)&gt;COUNT(Dong),0,OFFSET('Q11-VND'!H$1,SMALL(Dong,ROWS($1:18)),)),IF(ROWS($1:18)&gt;COUNT(Dong),IF(ROWS($1:18)&gt;COUNT(Dong,Dong2),0,OFFSET('Q4-VND'!H$1,SMALL(Dong2,ROWS($1:18)-COUNT(Dong)),)),OFFSET('Q11-VND'!H$1,SMALL(Dong,ROWS($1:18)),))))</f>
        <v>0</v>
      </c>
      <c r="G29" s="303">
        <f ca="1">IF($M$6="Q4",IF(ROWS($1:18)&gt;COUNT(Dong2),0,OFFSET('Q4-VND'!I$1,SMALL(Dong2,ROWS($1:18)),)),IF($M$6="Q11",IF(ROWS($1:18)&gt;COUNT(Dong),0,OFFSET('Q11-VND'!I$1,SMALL(Dong,ROWS($1:18)),)),IF(ROWS($1:18)&gt;COUNT(Dong),IF(ROWS($1:18)&gt;COUNT(Dong,Dong2),0,OFFSET('Q4-VND'!I$1,SMALL(Dong2,ROWS($1:18)-COUNT(Dong)),)),OFFSET('Q11-VND'!I$1,SMALL(Dong,ROWS($1:18)),))))</f>
        <v>2000</v>
      </c>
      <c r="H29" s="304">
        <f t="shared" ca="1" si="0"/>
        <v>602393078</v>
      </c>
      <c r="I29" s="304"/>
      <c r="J29" s="335"/>
    </row>
    <row r="30" spans="1:10" s="287" customFormat="1" ht="21" customHeight="1">
      <c r="A30" s="300">
        <f ca="1">IF($M$6="Q4",IF(ROWS($1:19)&gt;COUNT(Dong2),"",OFFSET('Q4-VND'!B$1,SMALL(Dong2,ROWS($1:19)),)),IF($M$6="Q11",IF(ROWS($1:19)&gt;COUNT(Dong),"",OFFSET('Q11-VND'!B$1,SMALL(Dong,ROWS($1:19)),)),IF(ROWS($1:19)&gt;COUNT(Dong),IF(ROWS($1:19)&gt;COUNT(Dong,Dong2),"",OFFSET('Q4-VND'!B$1,SMALL(Dong2,ROWS($1:19)-COUNT(Dong)),)),OFFSET('Q11-VND'!B$1,SMALL(Dong,ROWS($1:19)),))))</f>
        <v>41460</v>
      </c>
      <c r="B30" s="300" t="str">
        <f ca="1">IF($M$6="Q4",IF(ROWS($1:19)&gt;COUNT(Dong2),"",OFFSET('Q4-VND'!C$1,SMALL(Dong2,ROWS($1:19)),)),IF($M$6="Q11",IF(ROWS($1:19)&gt;COUNT(Dong),"",OFFSET('Q11-VND'!C$1,SMALL(Dong,ROWS($1:19)),)),IF(ROWS($1:19)&gt;COUNT(Dong),IF(ROWS($1:19)&gt;COUNT(Dong,Dong2),"",OFFSET('Q4-VND'!C$1,SMALL(Dong2,ROWS($1:19)-COUNT(Dong)),)),OFFSET('Q11-VND'!C$1,SMALL(Dong,ROWS($1:19)),))))</f>
        <v>GBN</v>
      </c>
      <c r="C30" s="300">
        <f ca="1">IF($M$6="Q4",IF(ROWS($1:19)&gt;COUNT(Dong2),"",OFFSET('Q4-VND'!D$1,SMALL(Dong2,ROWS($1:19)),)),IF($M$6="Q11",IF(ROWS($1:19)&gt;COUNT(Dong),"",OFFSET('Q11-VND'!D$1,SMALL(Dong,ROWS($1:19)),)),IF(ROWS($1:19)&gt;COUNT(Dong),IF(ROWS($1:19)&gt;COUNT(Dong,Dong2),"",OFFSET('Q4-VND'!D$1,SMALL(Dong2,ROWS($1:19)-COUNT(Dong)),)),OFFSET('Q11-VND'!D$1,SMALL(Dong,ROWS($1:19)),))))</f>
        <v>41460</v>
      </c>
      <c r="D30" s="301" t="str">
        <f ca="1">IF($M$6="Q4",IF(ROWS($1:19)&gt;COUNT(Dong2),"",OFFSET('Q4-VND'!E$1,SMALL(Dong2,ROWS($1:19)),)),IF($M$6="Q11",IF(ROWS($1:19)&gt;COUNT(Dong),"",OFFSET('Q11-VND'!E$1,SMALL(Dong,ROWS($1:19)),)),IF(ROWS($1:19)&gt;COUNT(Dong),IF(ROWS($1:19)&gt;COUNT(Dong,Dong2),"","Q4 - "&amp;OFFSET('Q4-VND'!E$1,SMALL(Dong2,ROWS($1:19)-COUNT(Dong)),)),"Q11 - "&amp;OFFSET('Q11-VND'!E$1,SMALL(Dong,ROWS($1:19)),))))</f>
        <v>Q11 - Thanh toán tiền thuốc diệt chuột</v>
      </c>
      <c r="E30" s="302" t="str">
        <f ca="1">IF($M$6="Q4",IF(ROWS($1:19)&gt;COUNT(Dong2),"",OFFSET('Q4-VND'!G$1,SMALL(Dong2,ROWS($1:19)),)),IF($M$6="Q11",IF(ROWS($1:19)&gt;COUNT(Dong),"",OFFSET('Q11-VND'!G$1,SMALL(Dong,ROWS($1:19)),)),IF(ROWS($1:19)&gt;COUNT(Dong),IF(ROWS($1:19)&gt;COUNT(Dong,Dong2),"",OFFSET('Q4-VND'!G$1,SMALL(Dong2,ROWS($1:19)-COUNT(Dong)),)),OFFSET('Q11-VND'!G$1,SMALL(Dong,ROWS($1:19)),))))</f>
        <v>331</v>
      </c>
      <c r="F30" s="303">
        <f ca="1">IF($M$6="Q4",IF(ROWS($1:19)&gt;COUNT(Dong2),0,OFFSET('Q4-VND'!H$1,SMALL(Dong2,ROWS($1:19)),)),IF($M$6="Q11",IF(ROWS($1:19)&gt;COUNT(Dong),0,OFFSET('Q11-VND'!H$1,SMALL(Dong,ROWS($1:19)),)),IF(ROWS($1:19)&gt;COUNT(Dong),IF(ROWS($1:19)&gt;COUNT(Dong,Dong2),0,OFFSET('Q4-VND'!H$1,SMALL(Dong2,ROWS($1:19)-COUNT(Dong)),)),OFFSET('Q11-VND'!H$1,SMALL(Dong,ROWS($1:19)),))))</f>
        <v>0</v>
      </c>
      <c r="G30" s="303">
        <f ca="1">IF($M$6="Q4",IF(ROWS($1:19)&gt;COUNT(Dong2),0,OFFSET('Q4-VND'!I$1,SMALL(Dong2,ROWS($1:19)),)),IF($M$6="Q11",IF(ROWS($1:19)&gt;COUNT(Dong),0,OFFSET('Q11-VND'!I$1,SMALL(Dong,ROWS($1:19)),)),IF(ROWS($1:19)&gt;COUNT(Dong),IF(ROWS($1:19)&gt;COUNT(Dong,Dong2),0,OFFSET('Q4-VND'!I$1,SMALL(Dong2,ROWS($1:19)-COUNT(Dong)),)),OFFSET('Q11-VND'!I$1,SMALL(Dong,ROWS($1:19)),))))</f>
        <v>4000000</v>
      </c>
      <c r="H30" s="304">
        <f t="shared" ca="1" si="0"/>
        <v>598393078</v>
      </c>
      <c r="I30" s="304"/>
      <c r="J30" s="335"/>
    </row>
    <row r="31" spans="1:10" s="287" customFormat="1" ht="21" customHeight="1">
      <c r="A31" s="300">
        <f ca="1">IF($M$6="Q4",IF(ROWS($1:20)&gt;COUNT(Dong2),"",OFFSET('Q4-VND'!B$1,SMALL(Dong2,ROWS($1:20)),)),IF($M$6="Q11",IF(ROWS($1:20)&gt;COUNT(Dong),"",OFFSET('Q11-VND'!B$1,SMALL(Dong,ROWS($1:20)),)),IF(ROWS($1:20)&gt;COUNT(Dong),IF(ROWS($1:20)&gt;COUNT(Dong,Dong2),"",OFFSET('Q4-VND'!B$1,SMALL(Dong2,ROWS($1:20)-COUNT(Dong)),)),OFFSET('Q11-VND'!B$1,SMALL(Dong,ROWS($1:20)),))))</f>
        <v>41460</v>
      </c>
      <c r="B31" s="300" t="str">
        <f ca="1">IF($M$6="Q4",IF(ROWS($1:20)&gt;COUNT(Dong2),"",OFFSET('Q4-VND'!C$1,SMALL(Dong2,ROWS($1:20)),)),IF($M$6="Q11",IF(ROWS($1:20)&gt;COUNT(Dong),"",OFFSET('Q11-VND'!C$1,SMALL(Dong,ROWS($1:20)),)),IF(ROWS($1:20)&gt;COUNT(Dong),IF(ROWS($1:20)&gt;COUNT(Dong,Dong2),"",OFFSET('Q4-VND'!C$1,SMALL(Dong2,ROWS($1:20)-COUNT(Dong)),)),OFFSET('Q11-VND'!C$1,SMALL(Dong,ROWS($1:20)),))))</f>
        <v>GBN</v>
      </c>
      <c r="C31" s="300">
        <f ca="1">IF($M$6="Q4",IF(ROWS($1:20)&gt;COUNT(Dong2),"",OFFSET('Q4-VND'!D$1,SMALL(Dong2,ROWS($1:20)),)),IF($M$6="Q11",IF(ROWS($1:20)&gt;COUNT(Dong),"",OFFSET('Q11-VND'!D$1,SMALL(Dong,ROWS($1:20)),)),IF(ROWS($1:20)&gt;COUNT(Dong),IF(ROWS($1:20)&gt;COUNT(Dong,Dong2),"",OFFSET('Q4-VND'!D$1,SMALL(Dong2,ROWS($1:20)-COUNT(Dong)),)),OFFSET('Q11-VND'!D$1,SMALL(Dong,ROWS($1:20)),))))</f>
        <v>41460</v>
      </c>
      <c r="D31" s="301" t="str">
        <f ca="1">IF($M$6="Q4",IF(ROWS($1:20)&gt;COUNT(Dong2),"",OFFSET('Q4-VND'!E$1,SMALL(Dong2,ROWS($1:20)),)),IF($M$6="Q11",IF(ROWS($1:20)&gt;COUNT(Dong),"",OFFSET('Q11-VND'!E$1,SMALL(Dong,ROWS($1:20)),)),IF(ROWS($1:20)&gt;COUNT(Dong),IF(ROWS($1:20)&gt;COUNT(Dong,Dong2),"","Q4 - "&amp;OFFSET('Q4-VND'!E$1,SMALL(Dong2,ROWS($1:20)-COUNT(Dong)),)),"Q11 - "&amp;OFFSET('Q11-VND'!E$1,SMALL(Dong,ROWS($1:20)),))))</f>
        <v>Q11 - Phí thanh toán</v>
      </c>
      <c r="E31" s="302" t="str">
        <f ca="1">IF($M$6="Q4",IF(ROWS($1:20)&gt;COUNT(Dong2),"",OFFSET('Q4-VND'!G$1,SMALL(Dong2,ROWS($1:20)),)),IF($M$6="Q11",IF(ROWS($1:20)&gt;COUNT(Dong),"",OFFSET('Q11-VND'!G$1,SMALL(Dong,ROWS($1:20)),)),IF(ROWS($1:20)&gt;COUNT(Dong),IF(ROWS($1:20)&gt;COUNT(Dong,Dong2),"",OFFSET('Q4-VND'!G$1,SMALL(Dong2,ROWS($1:20)-COUNT(Dong)),)),OFFSET('Q11-VND'!G$1,SMALL(Dong,ROWS($1:20)),))))</f>
        <v>6422</v>
      </c>
      <c r="F31" s="303">
        <f ca="1">IF($M$6="Q4",IF(ROWS($1:20)&gt;COUNT(Dong2),0,OFFSET('Q4-VND'!H$1,SMALL(Dong2,ROWS($1:20)),)),IF($M$6="Q11",IF(ROWS($1:20)&gt;COUNT(Dong),0,OFFSET('Q11-VND'!H$1,SMALL(Dong,ROWS($1:20)),)),IF(ROWS($1:20)&gt;COUNT(Dong),IF(ROWS($1:20)&gt;COUNT(Dong,Dong2),0,OFFSET('Q4-VND'!H$1,SMALL(Dong2,ROWS($1:20)-COUNT(Dong)),)),OFFSET('Q11-VND'!H$1,SMALL(Dong,ROWS($1:20)),))))</f>
        <v>0</v>
      </c>
      <c r="G31" s="303">
        <f ca="1">IF($M$6="Q4",IF(ROWS($1:20)&gt;COUNT(Dong2),0,OFFSET('Q4-VND'!I$1,SMALL(Dong2,ROWS($1:20)),)),IF($M$6="Q11",IF(ROWS($1:20)&gt;COUNT(Dong),0,OFFSET('Q11-VND'!I$1,SMALL(Dong,ROWS($1:20)),)),IF(ROWS($1:20)&gt;COUNT(Dong),IF(ROWS($1:20)&gt;COUNT(Dong,Dong2),0,OFFSET('Q4-VND'!I$1,SMALL(Dong2,ROWS($1:20)-COUNT(Dong)),)),OFFSET('Q11-VND'!I$1,SMALL(Dong,ROWS($1:20)),))))</f>
        <v>10000</v>
      </c>
      <c r="H31" s="304">
        <f t="shared" ca="1" si="0"/>
        <v>598383078</v>
      </c>
      <c r="I31" s="304"/>
      <c r="J31" s="335"/>
    </row>
    <row r="32" spans="1:10" s="287" customFormat="1" ht="21" customHeight="1">
      <c r="A32" s="300">
        <f ca="1">IF($M$6="Q4",IF(ROWS($1:21)&gt;COUNT(Dong2),"",OFFSET('Q4-VND'!B$1,SMALL(Dong2,ROWS($1:21)),)),IF($M$6="Q11",IF(ROWS($1:21)&gt;COUNT(Dong),"",OFFSET('Q11-VND'!B$1,SMALL(Dong,ROWS($1:21)),)),IF(ROWS($1:21)&gt;COUNT(Dong),IF(ROWS($1:21)&gt;COUNT(Dong,Dong2),"",OFFSET('Q4-VND'!B$1,SMALL(Dong2,ROWS($1:21)-COUNT(Dong)),)),OFFSET('Q11-VND'!B$1,SMALL(Dong,ROWS($1:21)),))))</f>
        <v>41460</v>
      </c>
      <c r="B32" s="300" t="str">
        <f ca="1">IF($M$6="Q4",IF(ROWS($1:21)&gt;COUNT(Dong2),"",OFFSET('Q4-VND'!C$1,SMALL(Dong2,ROWS($1:21)),)),IF($M$6="Q11",IF(ROWS($1:21)&gt;COUNT(Dong),"",OFFSET('Q11-VND'!C$1,SMALL(Dong,ROWS($1:21)),)),IF(ROWS($1:21)&gt;COUNT(Dong),IF(ROWS($1:21)&gt;COUNT(Dong,Dong2),"",OFFSET('Q4-VND'!C$1,SMALL(Dong2,ROWS($1:21)-COUNT(Dong)),)),OFFSET('Q11-VND'!C$1,SMALL(Dong,ROWS($1:21)),))))</f>
        <v>GBN</v>
      </c>
      <c r="C32" s="300">
        <f ca="1">IF($M$6="Q4",IF(ROWS($1:21)&gt;COUNT(Dong2),"",OFFSET('Q4-VND'!D$1,SMALL(Dong2,ROWS($1:21)),)),IF($M$6="Q11",IF(ROWS($1:21)&gt;COUNT(Dong),"",OFFSET('Q11-VND'!D$1,SMALL(Dong,ROWS($1:21)),)),IF(ROWS($1:21)&gt;COUNT(Dong),IF(ROWS($1:21)&gt;COUNT(Dong,Dong2),"",OFFSET('Q4-VND'!D$1,SMALL(Dong2,ROWS($1:21)-COUNT(Dong)),)),OFFSET('Q11-VND'!D$1,SMALL(Dong,ROWS($1:21)),))))</f>
        <v>41460</v>
      </c>
      <c r="D32" s="301" t="str">
        <f ca="1">IF($M$6="Q4",IF(ROWS($1:21)&gt;COUNT(Dong2),"",OFFSET('Q4-VND'!E$1,SMALL(Dong2,ROWS($1:21)),)),IF($M$6="Q11",IF(ROWS($1:21)&gt;COUNT(Dong),"",OFFSET('Q11-VND'!E$1,SMALL(Dong,ROWS($1:21)),)),IF(ROWS($1:21)&gt;COUNT(Dong),IF(ROWS($1:21)&gt;COUNT(Dong,Dong2),"","Q4 - "&amp;OFFSET('Q4-VND'!E$1,SMALL(Dong2,ROWS($1:21)-COUNT(Dong)),)),"Q11 - "&amp;OFFSET('Q11-VND'!E$1,SMALL(Dong,ROWS($1:21)),))))</f>
        <v>Q11 - VAT Phí thanh toán</v>
      </c>
      <c r="E32" s="302" t="str">
        <f ca="1">IF($M$6="Q4",IF(ROWS($1:21)&gt;COUNT(Dong2),"",OFFSET('Q4-VND'!G$1,SMALL(Dong2,ROWS($1:21)),)),IF($M$6="Q11",IF(ROWS($1:21)&gt;COUNT(Dong),"",OFFSET('Q11-VND'!G$1,SMALL(Dong,ROWS($1:21)),)),IF(ROWS($1:21)&gt;COUNT(Dong),IF(ROWS($1:21)&gt;COUNT(Dong,Dong2),"",OFFSET('Q4-VND'!G$1,SMALL(Dong2,ROWS($1:21)-COUNT(Dong)),)),OFFSET('Q11-VND'!G$1,SMALL(Dong,ROWS($1:21)),))))</f>
        <v>1331</v>
      </c>
      <c r="F32" s="303">
        <f ca="1">IF($M$6="Q4",IF(ROWS($1:21)&gt;COUNT(Dong2),0,OFFSET('Q4-VND'!H$1,SMALL(Dong2,ROWS($1:21)),)),IF($M$6="Q11",IF(ROWS($1:21)&gt;COUNT(Dong),0,OFFSET('Q11-VND'!H$1,SMALL(Dong,ROWS($1:21)),)),IF(ROWS($1:21)&gt;COUNT(Dong),IF(ROWS($1:21)&gt;COUNT(Dong,Dong2),0,OFFSET('Q4-VND'!H$1,SMALL(Dong2,ROWS($1:21)-COUNT(Dong)),)),OFFSET('Q11-VND'!H$1,SMALL(Dong,ROWS($1:21)),))))</f>
        <v>0</v>
      </c>
      <c r="G32" s="303">
        <f ca="1">IF($M$6="Q4",IF(ROWS($1:21)&gt;COUNT(Dong2),0,OFFSET('Q4-VND'!I$1,SMALL(Dong2,ROWS($1:21)),)),IF($M$6="Q11",IF(ROWS($1:21)&gt;COUNT(Dong),0,OFFSET('Q11-VND'!I$1,SMALL(Dong,ROWS($1:21)),)),IF(ROWS($1:21)&gt;COUNT(Dong),IF(ROWS($1:21)&gt;COUNT(Dong,Dong2),0,OFFSET('Q4-VND'!I$1,SMALL(Dong2,ROWS($1:21)-COUNT(Dong)),)),OFFSET('Q11-VND'!I$1,SMALL(Dong,ROWS($1:21)),))))</f>
        <v>1000</v>
      </c>
      <c r="H32" s="304">
        <f t="shared" ca="1" si="0"/>
        <v>598382078</v>
      </c>
      <c r="I32" s="304"/>
      <c r="J32" s="335"/>
    </row>
    <row r="33" spans="1:10" s="287" customFormat="1" ht="21" customHeight="1">
      <c r="A33" s="300">
        <f ca="1">IF($M$6="Q4",IF(ROWS($1:22)&gt;COUNT(Dong2),"",OFFSET('Q4-VND'!B$1,SMALL(Dong2,ROWS($1:22)),)),IF($M$6="Q11",IF(ROWS($1:22)&gt;COUNT(Dong),"",OFFSET('Q11-VND'!B$1,SMALL(Dong,ROWS($1:22)),)),IF(ROWS($1:22)&gt;COUNT(Dong),IF(ROWS($1:22)&gt;COUNT(Dong,Dong2),"",OFFSET('Q4-VND'!B$1,SMALL(Dong2,ROWS($1:22)-COUNT(Dong)),)),OFFSET('Q11-VND'!B$1,SMALL(Dong,ROWS($1:22)),))))</f>
        <v>41460</v>
      </c>
      <c r="B33" s="300" t="str">
        <f ca="1">IF($M$6="Q4",IF(ROWS($1:22)&gt;COUNT(Dong2),"",OFFSET('Q4-VND'!C$1,SMALL(Dong2,ROWS($1:22)),)),IF($M$6="Q11",IF(ROWS($1:22)&gt;COUNT(Dong),"",OFFSET('Q11-VND'!C$1,SMALL(Dong,ROWS($1:22)),)),IF(ROWS($1:22)&gt;COUNT(Dong),IF(ROWS($1:22)&gt;COUNT(Dong,Dong2),"",OFFSET('Q4-VND'!C$1,SMALL(Dong2,ROWS($1:22)-COUNT(Dong)),)),OFFSET('Q11-VND'!C$1,SMALL(Dong,ROWS($1:22)),))))</f>
        <v>GBN</v>
      </c>
      <c r="C33" s="300">
        <f ca="1">IF($M$6="Q4",IF(ROWS($1:22)&gt;COUNT(Dong2),"",OFFSET('Q4-VND'!D$1,SMALL(Dong2,ROWS($1:22)),)),IF($M$6="Q11",IF(ROWS($1:22)&gt;COUNT(Dong),"",OFFSET('Q11-VND'!D$1,SMALL(Dong,ROWS($1:22)),)),IF(ROWS($1:22)&gt;COUNT(Dong),IF(ROWS($1:22)&gt;COUNT(Dong,Dong2),"",OFFSET('Q4-VND'!D$1,SMALL(Dong2,ROWS($1:22)-COUNT(Dong)),)),OFFSET('Q11-VND'!D$1,SMALL(Dong,ROWS($1:22)),))))</f>
        <v>41460</v>
      </c>
      <c r="D33" s="301" t="str">
        <f ca="1">IF($M$6="Q4",IF(ROWS($1:22)&gt;COUNT(Dong2),"",OFFSET('Q4-VND'!E$1,SMALL(Dong2,ROWS($1:22)),)),IF($M$6="Q11",IF(ROWS($1:22)&gt;COUNT(Dong),"",OFFSET('Q11-VND'!E$1,SMALL(Dong,ROWS($1:22)),)),IF(ROWS($1:22)&gt;COUNT(Dong),IF(ROWS($1:22)&gt;COUNT(Dong,Dong2),"","Q4 - "&amp;OFFSET('Q4-VND'!E$1,SMALL(Dong2,ROWS($1:22)-COUNT(Dong)),)),"Q11 - "&amp;OFFSET('Q11-VND'!E$1,SMALL(Dong,ROWS($1:22)),))))</f>
        <v>Q11 - Thanh toán phí kiểm nghiệm T 05/2013</v>
      </c>
      <c r="E33" s="302" t="str">
        <f ca="1">IF($M$6="Q4",IF(ROWS($1:22)&gt;COUNT(Dong2),"",OFFSET('Q4-VND'!G$1,SMALL(Dong2,ROWS($1:22)),)),IF($M$6="Q11",IF(ROWS($1:22)&gt;COUNT(Dong),"",OFFSET('Q11-VND'!G$1,SMALL(Dong,ROWS($1:22)),)),IF(ROWS($1:22)&gt;COUNT(Dong),IF(ROWS($1:22)&gt;COUNT(Dong,Dong2),"",OFFSET('Q4-VND'!G$1,SMALL(Dong2,ROWS($1:22)-COUNT(Dong)),)),OFFSET('Q11-VND'!G$1,SMALL(Dong,ROWS($1:22)),))))</f>
        <v>331</v>
      </c>
      <c r="F33" s="303">
        <f ca="1">IF($M$6="Q4",IF(ROWS($1:22)&gt;COUNT(Dong2),0,OFFSET('Q4-VND'!H$1,SMALL(Dong2,ROWS($1:22)),)),IF($M$6="Q11",IF(ROWS($1:22)&gt;COUNT(Dong),0,OFFSET('Q11-VND'!H$1,SMALL(Dong,ROWS($1:22)),)),IF(ROWS($1:22)&gt;COUNT(Dong),IF(ROWS($1:22)&gt;COUNT(Dong,Dong2),0,OFFSET('Q4-VND'!H$1,SMALL(Dong2,ROWS($1:22)-COUNT(Dong)),)),OFFSET('Q11-VND'!H$1,SMALL(Dong,ROWS($1:22)),))))</f>
        <v>0</v>
      </c>
      <c r="G33" s="303">
        <f ca="1">IF($M$6="Q4",IF(ROWS($1:22)&gt;COUNT(Dong2),0,OFFSET('Q4-VND'!I$1,SMALL(Dong2,ROWS($1:22)),)),IF($M$6="Q11",IF(ROWS($1:22)&gt;COUNT(Dong),0,OFFSET('Q11-VND'!I$1,SMALL(Dong,ROWS($1:22)),)),IF(ROWS($1:22)&gt;COUNT(Dong),IF(ROWS($1:22)&gt;COUNT(Dong,Dong2),0,OFFSET('Q4-VND'!I$1,SMALL(Dong2,ROWS($1:22)-COUNT(Dong)),)),OFFSET('Q11-VND'!I$1,SMALL(Dong,ROWS($1:22)),))))</f>
        <v>960000</v>
      </c>
      <c r="H33" s="304">
        <f t="shared" ca="1" si="0"/>
        <v>597422078</v>
      </c>
      <c r="I33" s="304"/>
      <c r="J33" s="335"/>
    </row>
    <row r="34" spans="1:10" s="287" customFormat="1" ht="21" customHeight="1">
      <c r="A34" s="300">
        <f ca="1">IF($M$6="Q4",IF(ROWS($1:23)&gt;COUNT(Dong2),"",OFFSET('Q4-VND'!B$1,SMALL(Dong2,ROWS($1:23)),)),IF($M$6="Q11",IF(ROWS($1:23)&gt;COUNT(Dong),"",OFFSET('Q11-VND'!B$1,SMALL(Dong,ROWS($1:23)),)),IF(ROWS($1:23)&gt;COUNT(Dong),IF(ROWS($1:23)&gt;COUNT(Dong,Dong2),"",OFFSET('Q4-VND'!B$1,SMALL(Dong2,ROWS($1:23)-COUNT(Dong)),)),OFFSET('Q11-VND'!B$1,SMALL(Dong,ROWS($1:23)),))))</f>
        <v>41460</v>
      </c>
      <c r="B34" s="300" t="str">
        <f ca="1">IF($M$6="Q4",IF(ROWS($1:23)&gt;COUNT(Dong2),"",OFFSET('Q4-VND'!C$1,SMALL(Dong2,ROWS($1:23)),)),IF($M$6="Q11",IF(ROWS($1:23)&gt;COUNT(Dong),"",OFFSET('Q11-VND'!C$1,SMALL(Dong,ROWS($1:23)),)),IF(ROWS($1:23)&gt;COUNT(Dong),IF(ROWS($1:23)&gt;COUNT(Dong,Dong2),"",OFFSET('Q4-VND'!C$1,SMALL(Dong2,ROWS($1:23)-COUNT(Dong)),)),OFFSET('Q11-VND'!C$1,SMALL(Dong,ROWS($1:23)),))))</f>
        <v>GBN</v>
      </c>
      <c r="C34" s="300">
        <f ca="1">IF($M$6="Q4",IF(ROWS($1:23)&gt;COUNT(Dong2),"",OFFSET('Q4-VND'!D$1,SMALL(Dong2,ROWS($1:23)),)),IF($M$6="Q11",IF(ROWS($1:23)&gt;COUNT(Dong),"",OFFSET('Q11-VND'!D$1,SMALL(Dong,ROWS($1:23)),)),IF(ROWS($1:23)&gt;COUNT(Dong),IF(ROWS($1:23)&gt;COUNT(Dong,Dong2),"",OFFSET('Q4-VND'!D$1,SMALL(Dong2,ROWS($1:23)-COUNT(Dong)),)),OFFSET('Q11-VND'!D$1,SMALL(Dong,ROWS($1:23)),))))</f>
        <v>41460</v>
      </c>
      <c r="D34" s="301" t="str">
        <f ca="1">IF($M$6="Q4",IF(ROWS($1:23)&gt;COUNT(Dong2),"",OFFSET('Q4-VND'!E$1,SMALL(Dong2,ROWS($1:23)),)),IF($M$6="Q11",IF(ROWS($1:23)&gt;COUNT(Dong),"",OFFSET('Q11-VND'!E$1,SMALL(Dong,ROWS($1:23)),)),IF(ROWS($1:23)&gt;COUNT(Dong),IF(ROWS($1:23)&gt;COUNT(Dong,Dong2),"","Q4 - "&amp;OFFSET('Q4-VND'!E$1,SMALL(Dong2,ROWS($1:23)-COUNT(Dong)),)),"Q11 - "&amp;OFFSET('Q11-VND'!E$1,SMALL(Dong,ROWS($1:23)),))))</f>
        <v>Q11 - Phí thanh toán</v>
      </c>
      <c r="E34" s="302" t="str">
        <f ca="1">IF($M$6="Q4",IF(ROWS($1:23)&gt;COUNT(Dong2),"",OFFSET('Q4-VND'!G$1,SMALL(Dong2,ROWS($1:23)),)),IF($M$6="Q11",IF(ROWS($1:23)&gt;COUNT(Dong),"",OFFSET('Q11-VND'!G$1,SMALL(Dong,ROWS($1:23)),)),IF(ROWS($1:23)&gt;COUNT(Dong),IF(ROWS($1:23)&gt;COUNT(Dong,Dong2),"",OFFSET('Q4-VND'!G$1,SMALL(Dong2,ROWS($1:23)-COUNT(Dong)),)),OFFSET('Q11-VND'!G$1,SMALL(Dong,ROWS($1:23)),))))</f>
        <v>6422</v>
      </c>
      <c r="F34" s="303">
        <f ca="1">IF($M$6="Q4",IF(ROWS($1:23)&gt;COUNT(Dong2),0,OFFSET('Q4-VND'!H$1,SMALL(Dong2,ROWS($1:23)),)),IF($M$6="Q11",IF(ROWS($1:23)&gt;COUNT(Dong),0,OFFSET('Q11-VND'!H$1,SMALL(Dong,ROWS($1:23)),)),IF(ROWS($1:23)&gt;COUNT(Dong),IF(ROWS($1:23)&gt;COUNT(Dong,Dong2),0,OFFSET('Q4-VND'!H$1,SMALL(Dong2,ROWS($1:23)-COUNT(Dong)),)),OFFSET('Q11-VND'!H$1,SMALL(Dong,ROWS($1:23)),))))</f>
        <v>0</v>
      </c>
      <c r="G34" s="303">
        <f ca="1">IF($M$6="Q4",IF(ROWS($1:23)&gt;COUNT(Dong2),0,OFFSET('Q4-VND'!I$1,SMALL(Dong2,ROWS($1:23)),)),IF($M$6="Q11",IF(ROWS($1:23)&gt;COUNT(Dong),0,OFFSET('Q11-VND'!I$1,SMALL(Dong,ROWS($1:23)),)),IF(ROWS($1:23)&gt;COUNT(Dong),IF(ROWS($1:23)&gt;COUNT(Dong,Dong2),0,OFFSET('Q4-VND'!I$1,SMALL(Dong2,ROWS($1:23)-COUNT(Dong)),)),OFFSET('Q11-VND'!I$1,SMALL(Dong,ROWS($1:23)),))))</f>
        <v>10000</v>
      </c>
      <c r="H34" s="304">
        <f t="shared" ca="1" si="0"/>
        <v>597412078</v>
      </c>
      <c r="I34" s="304"/>
      <c r="J34" s="335"/>
    </row>
    <row r="35" spans="1:10" s="287" customFormat="1" ht="21" customHeight="1">
      <c r="A35" s="300">
        <f ca="1">IF($M$6="Q4",IF(ROWS($1:24)&gt;COUNT(Dong2),"",OFFSET('Q4-VND'!B$1,SMALL(Dong2,ROWS($1:24)),)),IF($M$6="Q11",IF(ROWS($1:24)&gt;COUNT(Dong),"",OFFSET('Q11-VND'!B$1,SMALL(Dong,ROWS($1:24)),)),IF(ROWS($1:24)&gt;COUNT(Dong),IF(ROWS($1:24)&gt;COUNT(Dong,Dong2),"",OFFSET('Q4-VND'!B$1,SMALL(Dong2,ROWS($1:24)-COUNT(Dong)),)),OFFSET('Q11-VND'!B$1,SMALL(Dong,ROWS($1:24)),))))</f>
        <v>41460</v>
      </c>
      <c r="B35" s="300" t="str">
        <f ca="1">IF($M$6="Q4",IF(ROWS($1:24)&gt;COUNT(Dong2),"",OFFSET('Q4-VND'!C$1,SMALL(Dong2,ROWS($1:24)),)),IF($M$6="Q11",IF(ROWS($1:24)&gt;COUNT(Dong),"",OFFSET('Q11-VND'!C$1,SMALL(Dong,ROWS($1:24)),)),IF(ROWS($1:24)&gt;COUNT(Dong),IF(ROWS($1:24)&gt;COUNT(Dong,Dong2),"",OFFSET('Q4-VND'!C$1,SMALL(Dong2,ROWS($1:24)-COUNT(Dong)),)),OFFSET('Q11-VND'!C$1,SMALL(Dong,ROWS($1:24)),))))</f>
        <v>GBN</v>
      </c>
      <c r="C35" s="300">
        <f ca="1">IF($M$6="Q4",IF(ROWS($1:24)&gt;COUNT(Dong2),"",OFFSET('Q4-VND'!D$1,SMALL(Dong2,ROWS($1:24)),)),IF($M$6="Q11",IF(ROWS($1:24)&gt;COUNT(Dong),"",OFFSET('Q11-VND'!D$1,SMALL(Dong,ROWS($1:24)),)),IF(ROWS($1:24)&gt;COUNT(Dong),IF(ROWS($1:24)&gt;COUNT(Dong,Dong2),"",OFFSET('Q4-VND'!D$1,SMALL(Dong2,ROWS($1:24)-COUNT(Dong)),)),OFFSET('Q11-VND'!D$1,SMALL(Dong,ROWS($1:24)),))))</f>
        <v>41460</v>
      </c>
      <c r="D35" s="301" t="str">
        <f ca="1">IF($M$6="Q4",IF(ROWS($1:24)&gt;COUNT(Dong2),"",OFFSET('Q4-VND'!E$1,SMALL(Dong2,ROWS($1:24)),)),IF($M$6="Q11",IF(ROWS($1:24)&gt;COUNT(Dong),"",OFFSET('Q11-VND'!E$1,SMALL(Dong,ROWS($1:24)),)),IF(ROWS($1:24)&gt;COUNT(Dong),IF(ROWS($1:24)&gt;COUNT(Dong,Dong2),"","Q4 - "&amp;OFFSET('Q4-VND'!E$1,SMALL(Dong2,ROWS($1:24)-COUNT(Dong)),)),"Q11 - "&amp;OFFSET('Q11-VND'!E$1,SMALL(Dong,ROWS($1:24)),))))</f>
        <v>Q11 - VAT Phí thanh toán</v>
      </c>
      <c r="E35" s="302" t="str">
        <f ca="1">IF($M$6="Q4",IF(ROWS($1:24)&gt;COUNT(Dong2),"",OFFSET('Q4-VND'!G$1,SMALL(Dong2,ROWS($1:24)),)),IF($M$6="Q11",IF(ROWS($1:24)&gt;COUNT(Dong),"",OFFSET('Q11-VND'!G$1,SMALL(Dong,ROWS($1:24)),)),IF(ROWS($1:24)&gt;COUNT(Dong),IF(ROWS($1:24)&gt;COUNT(Dong,Dong2),"",OFFSET('Q4-VND'!G$1,SMALL(Dong2,ROWS($1:24)-COUNT(Dong)),)),OFFSET('Q11-VND'!G$1,SMALL(Dong,ROWS($1:24)),))))</f>
        <v>1331</v>
      </c>
      <c r="F35" s="303">
        <f ca="1">IF($M$6="Q4",IF(ROWS($1:24)&gt;COUNT(Dong2),0,OFFSET('Q4-VND'!H$1,SMALL(Dong2,ROWS($1:24)),)),IF($M$6="Q11",IF(ROWS($1:24)&gt;COUNT(Dong),0,OFFSET('Q11-VND'!H$1,SMALL(Dong,ROWS($1:24)),)),IF(ROWS($1:24)&gt;COUNT(Dong),IF(ROWS($1:24)&gt;COUNT(Dong,Dong2),0,OFFSET('Q4-VND'!H$1,SMALL(Dong2,ROWS($1:24)-COUNT(Dong)),)),OFFSET('Q11-VND'!H$1,SMALL(Dong,ROWS($1:24)),))))</f>
        <v>0</v>
      </c>
      <c r="G35" s="303">
        <f ca="1">IF($M$6="Q4",IF(ROWS($1:24)&gt;COUNT(Dong2),0,OFFSET('Q4-VND'!I$1,SMALL(Dong2,ROWS($1:24)),)),IF($M$6="Q11",IF(ROWS($1:24)&gt;COUNT(Dong),0,OFFSET('Q11-VND'!I$1,SMALL(Dong,ROWS($1:24)),)),IF(ROWS($1:24)&gt;COUNT(Dong),IF(ROWS($1:24)&gt;COUNT(Dong,Dong2),0,OFFSET('Q4-VND'!I$1,SMALL(Dong2,ROWS($1:24)-COUNT(Dong)),)),OFFSET('Q11-VND'!I$1,SMALL(Dong,ROWS($1:24)),))))</f>
        <v>1000</v>
      </c>
      <c r="H35" s="304">
        <f t="shared" ca="1" si="0"/>
        <v>597411078</v>
      </c>
      <c r="I35" s="304"/>
      <c r="J35" s="335"/>
    </row>
    <row r="36" spans="1:10" s="287" customFormat="1" ht="21" customHeight="1">
      <c r="A36" s="300">
        <f ca="1">IF($M$6="Q4",IF(ROWS($1:25)&gt;COUNT(Dong2),"",OFFSET('Q4-VND'!B$1,SMALL(Dong2,ROWS($1:25)),)),IF($M$6="Q11",IF(ROWS($1:25)&gt;COUNT(Dong),"",OFFSET('Q11-VND'!B$1,SMALL(Dong,ROWS($1:25)),)),IF(ROWS($1:25)&gt;COUNT(Dong),IF(ROWS($1:25)&gt;COUNT(Dong,Dong2),"",OFFSET('Q4-VND'!B$1,SMALL(Dong2,ROWS($1:25)-COUNT(Dong)),)),OFFSET('Q11-VND'!B$1,SMALL(Dong,ROWS($1:25)),))))</f>
        <v>41461</v>
      </c>
      <c r="B36" s="300" t="str">
        <f ca="1">IF($M$6="Q4",IF(ROWS($1:25)&gt;COUNT(Dong2),"",OFFSET('Q4-VND'!C$1,SMALL(Dong2,ROWS($1:25)),)),IF($M$6="Q11",IF(ROWS($1:25)&gt;COUNT(Dong),"",OFFSET('Q11-VND'!C$1,SMALL(Dong,ROWS($1:25)),)),IF(ROWS($1:25)&gt;COUNT(Dong),IF(ROWS($1:25)&gt;COUNT(Dong,Dong2),"",OFFSET('Q4-VND'!C$1,SMALL(Dong2,ROWS($1:25)-COUNT(Dong)),)),OFFSET('Q11-VND'!C$1,SMALL(Dong,ROWS($1:25)),))))</f>
        <v>THU</v>
      </c>
      <c r="C36" s="300">
        <f ca="1">IF($M$6="Q4",IF(ROWS($1:25)&gt;COUNT(Dong2),"",OFFSET('Q4-VND'!D$1,SMALL(Dong2,ROWS($1:25)),)),IF($M$6="Q11",IF(ROWS($1:25)&gt;COUNT(Dong),"",OFFSET('Q11-VND'!D$1,SMALL(Dong,ROWS($1:25)),)),IF(ROWS($1:25)&gt;COUNT(Dong),IF(ROWS($1:25)&gt;COUNT(Dong,Dong2),"",OFFSET('Q4-VND'!D$1,SMALL(Dong2,ROWS($1:25)-COUNT(Dong)),)),OFFSET('Q11-VND'!D$1,SMALL(Dong,ROWS($1:25)),))))</f>
        <v>41461</v>
      </c>
      <c r="D36" s="301" t="str">
        <f ca="1">IF($M$6="Q4",IF(ROWS($1:25)&gt;COUNT(Dong2),"",OFFSET('Q4-VND'!E$1,SMALL(Dong2,ROWS($1:25)),)),IF($M$6="Q11",IF(ROWS($1:25)&gt;COUNT(Dong),"",OFFSET('Q11-VND'!E$1,SMALL(Dong,ROWS($1:25)),)),IF(ROWS($1:25)&gt;COUNT(Dong),IF(ROWS($1:25)&gt;COUNT(Dong,Dong2),"","Q4 - "&amp;OFFSET('Q4-VND'!E$1,SMALL(Dong2,ROWS($1:25)-COUNT(Dong)),)),"Q11 - "&amp;OFFSET('Q11-VND'!E$1,SMALL(Dong,ROWS($1:25)),))))</f>
        <v>Q11 - Rút tiền nhập quỹ</v>
      </c>
      <c r="E36" s="302" t="str">
        <f ca="1">IF($M$6="Q4",IF(ROWS($1:25)&gt;COUNT(Dong2),"",OFFSET('Q4-VND'!G$1,SMALL(Dong2,ROWS($1:25)),)),IF($M$6="Q11",IF(ROWS($1:25)&gt;COUNT(Dong),"",OFFSET('Q11-VND'!G$1,SMALL(Dong,ROWS($1:25)),)),IF(ROWS($1:25)&gt;COUNT(Dong),IF(ROWS($1:25)&gt;COUNT(Dong,Dong2),"",OFFSET('Q4-VND'!G$1,SMALL(Dong2,ROWS($1:25)-COUNT(Dong)),)),OFFSET('Q11-VND'!G$1,SMALL(Dong,ROWS($1:25)),))))</f>
        <v>1111</v>
      </c>
      <c r="F36" s="303">
        <f ca="1">IF($M$6="Q4",IF(ROWS($1:25)&gt;COUNT(Dong2),0,OFFSET('Q4-VND'!H$1,SMALL(Dong2,ROWS($1:25)),)),IF($M$6="Q11",IF(ROWS($1:25)&gt;COUNT(Dong),0,OFFSET('Q11-VND'!H$1,SMALL(Dong,ROWS($1:25)),)),IF(ROWS($1:25)&gt;COUNT(Dong),IF(ROWS($1:25)&gt;COUNT(Dong,Dong2),0,OFFSET('Q4-VND'!H$1,SMALL(Dong2,ROWS($1:25)-COUNT(Dong)),)),OFFSET('Q11-VND'!H$1,SMALL(Dong,ROWS($1:25)),))))</f>
        <v>0</v>
      </c>
      <c r="G36" s="303">
        <f ca="1">IF($M$6="Q4",IF(ROWS($1:25)&gt;COUNT(Dong2),0,OFFSET('Q4-VND'!I$1,SMALL(Dong2,ROWS($1:25)),)),IF($M$6="Q11",IF(ROWS($1:25)&gt;COUNT(Dong),0,OFFSET('Q11-VND'!I$1,SMALL(Dong,ROWS($1:25)),)),IF(ROWS($1:25)&gt;COUNT(Dong),IF(ROWS($1:25)&gt;COUNT(Dong,Dong2),0,OFFSET('Q4-VND'!I$1,SMALL(Dong2,ROWS($1:25)-COUNT(Dong)),)),OFFSET('Q11-VND'!I$1,SMALL(Dong,ROWS($1:25)),))))</f>
        <v>595000000</v>
      </c>
      <c r="H36" s="304">
        <f t="shared" ca="1" si="0"/>
        <v>2411078</v>
      </c>
      <c r="I36" s="304"/>
      <c r="J36" s="335"/>
    </row>
    <row r="37" spans="1:10" s="287" customFormat="1" ht="21" customHeight="1">
      <c r="A37" s="300">
        <f ca="1">IF($M$6="Q4",IF(ROWS($1:26)&gt;COUNT(Dong2),"",OFFSET('Q4-VND'!B$1,SMALL(Dong2,ROWS($1:26)),)),IF($M$6="Q11",IF(ROWS($1:26)&gt;COUNT(Dong),"",OFFSET('Q11-VND'!B$1,SMALL(Dong,ROWS($1:26)),)),IF(ROWS($1:26)&gt;COUNT(Dong),IF(ROWS($1:26)&gt;COUNT(Dong,Dong2),"",OFFSET('Q4-VND'!B$1,SMALL(Dong2,ROWS($1:26)-COUNT(Dong)),)),OFFSET('Q11-VND'!B$1,SMALL(Dong,ROWS($1:26)),))))</f>
        <v>41463</v>
      </c>
      <c r="B37" s="300" t="str">
        <f ca="1">IF($M$6="Q4",IF(ROWS($1:26)&gt;COUNT(Dong2),"",OFFSET('Q4-VND'!C$1,SMALL(Dong2,ROWS($1:26)),)),IF($M$6="Q11",IF(ROWS($1:26)&gt;COUNT(Dong),"",OFFSET('Q11-VND'!C$1,SMALL(Dong,ROWS($1:26)),)),IF(ROWS($1:26)&gt;COUNT(Dong),IF(ROWS($1:26)&gt;COUNT(Dong,Dong2),"",OFFSET('Q4-VND'!C$1,SMALL(Dong2,ROWS($1:26)-COUNT(Dong)),)),OFFSET('Q11-VND'!C$1,SMALL(Dong,ROWS($1:26)),))))</f>
        <v>CHI</v>
      </c>
      <c r="C37" s="300">
        <f ca="1">IF($M$6="Q4",IF(ROWS($1:26)&gt;COUNT(Dong2),"",OFFSET('Q4-VND'!D$1,SMALL(Dong2,ROWS($1:26)),)),IF($M$6="Q11",IF(ROWS($1:26)&gt;COUNT(Dong),"",OFFSET('Q11-VND'!D$1,SMALL(Dong,ROWS($1:26)),)),IF(ROWS($1:26)&gt;COUNT(Dong),IF(ROWS($1:26)&gt;COUNT(Dong,Dong2),"",OFFSET('Q4-VND'!D$1,SMALL(Dong2,ROWS($1:26)-COUNT(Dong)),)),OFFSET('Q11-VND'!D$1,SMALL(Dong,ROWS($1:26)),))))</f>
        <v>41463</v>
      </c>
      <c r="D37" s="301" t="str">
        <f ca="1">IF($M$6="Q4",IF(ROWS($1:26)&gt;COUNT(Dong2),"",OFFSET('Q4-VND'!E$1,SMALL(Dong2,ROWS($1:26)),)),IF($M$6="Q11",IF(ROWS($1:26)&gt;COUNT(Dong),"",OFFSET('Q11-VND'!E$1,SMALL(Dong,ROWS($1:26)),)),IF(ROWS($1:26)&gt;COUNT(Dong),IF(ROWS($1:26)&gt;COUNT(Dong,Dong2),"","Q4 - "&amp;OFFSET('Q4-VND'!E$1,SMALL(Dong2,ROWS($1:26)-COUNT(Dong)),)),"Q11 - "&amp;OFFSET('Q11-VND'!E$1,SMALL(Dong,ROWS($1:26)),))))</f>
        <v>Q11 - Nộp tiền vào TK</v>
      </c>
      <c r="E37" s="302" t="str">
        <f ca="1">IF($M$6="Q4",IF(ROWS($1:26)&gt;COUNT(Dong2),"",OFFSET('Q4-VND'!G$1,SMALL(Dong2,ROWS($1:26)),)),IF($M$6="Q11",IF(ROWS($1:26)&gt;COUNT(Dong),"",OFFSET('Q11-VND'!G$1,SMALL(Dong,ROWS($1:26)),)),IF(ROWS($1:26)&gt;COUNT(Dong),IF(ROWS($1:26)&gt;COUNT(Dong,Dong2),"",OFFSET('Q4-VND'!G$1,SMALL(Dong2,ROWS($1:26)-COUNT(Dong)),)),OFFSET('Q11-VND'!G$1,SMALL(Dong,ROWS($1:26)),))))</f>
        <v>1111</v>
      </c>
      <c r="F37" s="303">
        <f ca="1">IF($M$6="Q4",IF(ROWS($1:26)&gt;COUNT(Dong2),0,OFFSET('Q4-VND'!H$1,SMALL(Dong2,ROWS($1:26)),)),IF($M$6="Q11",IF(ROWS($1:26)&gt;COUNT(Dong),0,OFFSET('Q11-VND'!H$1,SMALL(Dong,ROWS($1:26)),)),IF(ROWS($1:26)&gt;COUNT(Dong),IF(ROWS($1:26)&gt;COUNT(Dong,Dong2),0,OFFSET('Q4-VND'!H$1,SMALL(Dong2,ROWS($1:26)-COUNT(Dong)),)),OFFSET('Q11-VND'!H$1,SMALL(Dong,ROWS($1:26)),))))</f>
        <v>130000000</v>
      </c>
      <c r="G37" s="303">
        <f ca="1">IF($M$6="Q4",IF(ROWS($1:26)&gt;COUNT(Dong2),0,OFFSET('Q4-VND'!I$1,SMALL(Dong2,ROWS($1:26)),)),IF($M$6="Q11",IF(ROWS($1:26)&gt;COUNT(Dong),0,OFFSET('Q11-VND'!I$1,SMALL(Dong,ROWS($1:26)),)),IF(ROWS($1:26)&gt;COUNT(Dong),IF(ROWS($1:26)&gt;COUNT(Dong,Dong2),0,OFFSET('Q4-VND'!I$1,SMALL(Dong2,ROWS($1:26)-COUNT(Dong)),)),OFFSET('Q11-VND'!I$1,SMALL(Dong,ROWS($1:26)),))))</f>
        <v>0</v>
      </c>
      <c r="H37" s="304">
        <f t="shared" ca="1" si="0"/>
        <v>132411078</v>
      </c>
      <c r="I37" s="304"/>
      <c r="J37" s="335"/>
    </row>
    <row r="38" spans="1:10" s="287" customFormat="1" ht="21" customHeight="1">
      <c r="A38" s="300">
        <f ca="1">IF($M$6="Q4",IF(ROWS($1:27)&gt;COUNT(Dong2),"",OFFSET('Q4-VND'!B$1,SMALL(Dong2,ROWS($1:27)),)),IF($M$6="Q11",IF(ROWS($1:27)&gt;COUNT(Dong),"",OFFSET('Q11-VND'!B$1,SMALL(Dong,ROWS($1:27)),)),IF(ROWS($1:27)&gt;COUNT(Dong),IF(ROWS($1:27)&gt;COUNT(Dong,Dong2),"",OFFSET('Q4-VND'!B$1,SMALL(Dong2,ROWS($1:27)-COUNT(Dong)),)),OFFSET('Q11-VND'!B$1,SMALL(Dong,ROWS($1:27)),))))</f>
        <v>41463</v>
      </c>
      <c r="B38" s="300" t="str">
        <f ca="1">IF($M$6="Q4",IF(ROWS($1:27)&gt;COUNT(Dong2),"",OFFSET('Q4-VND'!C$1,SMALL(Dong2,ROWS($1:27)),)),IF($M$6="Q11",IF(ROWS($1:27)&gt;COUNT(Dong),"",OFFSET('Q11-VND'!C$1,SMALL(Dong,ROWS($1:27)),)),IF(ROWS($1:27)&gt;COUNT(Dong),IF(ROWS($1:27)&gt;COUNT(Dong,Dong2),"",OFFSET('Q4-VND'!C$1,SMALL(Dong2,ROWS($1:27)-COUNT(Dong)),)),OFFSET('Q11-VND'!C$1,SMALL(Dong,ROWS($1:27)),))))</f>
        <v>GBC</v>
      </c>
      <c r="C38" s="300">
        <f ca="1">IF($M$6="Q4",IF(ROWS($1:27)&gt;COUNT(Dong2),"",OFFSET('Q4-VND'!D$1,SMALL(Dong2,ROWS($1:27)),)),IF($M$6="Q11",IF(ROWS($1:27)&gt;COUNT(Dong),"",OFFSET('Q11-VND'!D$1,SMALL(Dong,ROWS($1:27)),)),IF(ROWS($1:27)&gt;COUNT(Dong),IF(ROWS($1:27)&gt;COUNT(Dong,Dong2),"",OFFSET('Q4-VND'!D$1,SMALL(Dong2,ROWS($1:27)-COUNT(Dong)),)),OFFSET('Q11-VND'!D$1,SMALL(Dong,ROWS($1:27)),))))</f>
        <v>41463</v>
      </c>
      <c r="D38" s="301" t="str">
        <f ca="1">IF($M$6="Q4",IF(ROWS($1:27)&gt;COUNT(Dong2),"",OFFSET('Q4-VND'!E$1,SMALL(Dong2,ROWS($1:27)),)),IF($M$6="Q11",IF(ROWS($1:27)&gt;COUNT(Dong),"",OFFSET('Q11-VND'!E$1,SMALL(Dong,ROWS($1:27)),)),IF(ROWS($1:27)&gt;COUNT(Dong),IF(ROWS($1:27)&gt;COUNT(Dong,Dong2),"","Q4 - "&amp;OFFSET('Q4-VND'!E$1,SMALL(Dong2,ROWS($1:27)-COUNT(Dong)),)),"Q11 - "&amp;OFFSET('Q11-VND'!E$1,SMALL(Dong,ROWS($1:27)),))))</f>
        <v>Q11 - Thu tiền hàng</v>
      </c>
      <c r="E38" s="302" t="str">
        <f ca="1">IF($M$6="Q4",IF(ROWS($1:27)&gt;COUNT(Dong2),"",OFFSET('Q4-VND'!G$1,SMALL(Dong2,ROWS($1:27)),)),IF($M$6="Q11",IF(ROWS($1:27)&gt;COUNT(Dong),"",OFFSET('Q11-VND'!G$1,SMALL(Dong,ROWS($1:27)),)),IF(ROWS($1:27)&gt;COUNT(Dong),IF(ROWS($1:27)&gt;COUNT(Dong,Dong2),"",OFFSET('Q4-VND'!G$1,SMALL(Dong2,ROWS($1:27)-COUNT(Dong)),)),OFFSET('Q11-VND'!G$1,SMALL(Dong,ROWS($1:27)),))))</f>
        <v>131</v>
      </c>
      <c r="F38" s="303">
        <f ca="1">IF($M$6="Q4",IF(ROWS($1:27)&gt;COUNT(Dong2),0,OFFSET('Q4-VND'!H$1,SMALL(Dong2,ROWS($1:27)),)),IF($M$6="Q11",IF(ROWS($1:27)&gt;COUNT(Dong),0,OFFSET('Q11-VND'!H$1,SMALL(Dong,ROWS($1:27)),)),IF(ROWS($1:27)&gt;COUNT(Dong),IF(ROWS($1:27)&gt;COUNT(Dong,Dong2),0,OFFSET('Q4-VND'!H$1,SMALL(Dong2,ROWS($1:27)-COUNT(Dong)),)),OFFSET('Q11-VND'!H$1,SMALL(Dong,ROWS($1:27)),))))</f>
        <v>2011000000</v>
      </c>
      <c r="G38" s="303">
        <f ca="1">IF($M$6="Q4",IF(ROWS($1:27)&gt;COUNT(Dong2),0,OFFSET('Q4-VND'!I$1,SMALL(Dong2,ROWS($1:27)),)),IF($M$6="Q11",IF(ROWS($1:27)&gt;COUNT(Dong),0,OFFSET('Q11-VND'!I$1,SMALL(Dong,ROWS($1:27)),)),IF(ROWS($1:27)&gt;COUNT(Dong),IF(ROWS($1:27)&gt;COUNT(Dong,Dong2),0,OFFSET('Q4-VND'!I$1,SMALL(Dong2,ROWS($1:27)-COUNT(Dong)),)),OFFSET('Q11-VND'!I$1,SMALL(Dong,ROWS($1:27)),))))</f>
        <v>0</v>
      </c>
      <c r="H38" s="304">
        <f t="shared" ca="1" si="0"/>
        <v>2143411078</v>
      </c>
      <c r="I38" s="304"/>
      <c r="J38" s="335"/>
    </row>
    <row r="39" spans="1:10" s="287" customFormat="1" ht="21" customHeight="1">
      <c r="A39" s="300">
        <f ca="1">IF($M$6="Q4",IF(ROWS($1:28)&gt;COUNT(Dong2),"",OFFSET('Q4-VND'!B$1,SMALL(Dong2,ROWS($1:28)),)),IF($M$6="Q11",IF(ROWS($1:28)&gt;COUNT(Dong),"",OFFSET('Q11-VND'!B$1,SMALL(Dong,ROWS($1:28)),)),IF(ROWS($1:28)&gt;COUNT(Dong),IF(ROWS($1:28)&gt;COUNT(Dong,Dong2),"",OFFSET('Q4-VND'!B$1,SMALL(Dong2,ROWS($1:28)-COUNT(Dong)),)),OFFSET('Q11-VND'!B$1,SMALL(Dong,ROWS($1:28)),))))</f>
        <v>41463</v>
      </c>
      <c r="B39" s="300" t="str">
        <f ca="1">IF($M$6="Q4",IF(ROWS($1:28)&gt;COUNT(Dong2),"",OFFSET('Q4-VND'!C$1,SMALL(Dong2,ROWS($1:28)),)),IF($M$6="Q11",IF(ROWS($1:28)&gt;COUNT(Dong),"",OFFSET('Q11-VND'!C$1,SMALL(Dong,ROWS($1:28)),)),IF(ROWS($1:28)&gt;COUNT(Dong),IF(ROWS($1:28)&gt;COUNT(Dong,Dong2),"",OFFSET('Q4-VND'!C$1,SMALL(Dong2,ROWS($1:28)-COUNT(Dong)),)),OFFSET('Q11-VND'!C$1,SMALL(Dong,ROWS($1:28)),))))</f>
        <v>GBC</v>
      </c>
      <c r="C39" s="300">
        <f ca="1">IF($M$6="Q4",IF(ROWS($1:28)&gt;COUNT(Dong2),"",OFFSET('Q4-VND'!D$1,SMALL(Dong2,ROWS($1:28)),)),IF($M$6="Q11",IF(ROWS($1:28)&gt;COUNT(Dong),"",OFFSET('Q11-VND'!D$1,SMALL(Dong,ROWS($1:28)),)),IF(ROWS($1:28)&gt;COUNT(Dong),IF(ROWS($1:28)&gt;COUNT(Dong,Dong2),"",OFFSET('Q4-VND'!D$1,SMALL(Dong2,ROWS($1:28)-COUNT(Dong)),)),OFFSET('Q11-VND'!D$1,SMALL(Dong,ROWS($1:28)),))))</f>
        <v>41463</v>
      </c>
      <c r="D39" s="301" t="str">
        <f ca="1">IF($M$6="Q4",IF(ROWS($1:28)&gt;COUNT(Dong2),"",OFFSET('Q4-VND'!E$1,SMALL(Dong2,ROWS($1:28)),)),IF($M$6="Q11",IF(ROWS($1:28)&gt;COUNT(Dong),"",OFFSET('Q11-VND'!E$1,SMALL(Dong,ROWS($1:28)),)),IF(ROWS($1:28)&gt;COUNT(Dong),IF(ROWS($1:28)&gt;COUNT(Dong,Dong2),"","Q4 - "&amp;OFFSET('Q4-VND'!E$1,SMALL(Dong2,ROWS($1:28)-COUNT(Dong)),)),"Q11 - "&amp;OFFSET('Q11-VND'!E$1,SMALL(Dong,ROWS($1:28)),))))</f>
        <v>Q11 - Mua NT trả nợ vay</v>
      </c>
      <c r="E39" s="302" t="str">
        <f ca="1">IF($M$6="Q4",IF(ROWS($1:28)&gt;COUNT(Dong2),"",OFFSET('Q4-VND'!G$1,SMALL(Dong2,ROWS($1:28)),)),IF($M$6="Q11",IF(ROWS($1:28)&gt;COUNT(Dong),"",OFFSET('Q11-VND'!G$1,SMALL(Dong,ROWS($1:28)),)),IF(ROWS($1:28)&gt;COUNT(Dong),IF(ROWS($1:28)&gt;COUNT(Dong,Dong2),"",OFFSET('Q4-VND'!G$1,SMALL(Dong2,ROWS($1:28)-COUNT(Dong)),)),OFFSET('Q11-VND'!G$1,SMALL(Dong,ROWS($1:28)),))))</f>
        <v>1122</v>
      </c>
      <c r="F39" s="303">
        <f ca="1">IF($M$6="Q4",IF(ROWS($1:28)&gt;COUNT(Dong2),0,OFFSET('Q4-VND'!H$1,SMALL(Dong2,ROWS($1:28)),)),IF($M$6="Q11",IF(ROWS($1:28)&gt;COUNT(Dong),0,OFFSET('Q11-VND'!H$1,SMALL(Dong,ROWS($1:28)),)),IF(ROWS($1:28)&gt;COUNT(Dong),IF(ROWS($1:28)&gt;COUNT(Dong,Dong2),0,OFFSET('Q4-VND'!H$1,SMALL(Dong2,ROWS($1:28)-COUNT(Dong)),)),OFFSET('Q11-VND'!H$1,SMALL(Dong,ROWS($1:28)),))))</f>
        <v>0</v>
      </c>
      <c r="G39" s="303">
        <f ca="1">IF($M$6="Q4",IF(ROWS($1:28)&gt;COUNT(Dong2),0,OFFSET('Q4-VND'!I$1,SMALL(Dong2,ROWS($1:28)),)),IF($M$6="Q11",IF(ROWS($1:28)&gt;COUNT(Dong),0,OFFSET('Q11-VND'!I$1,SMALL(Dong,ROWS($1:28)),)),IF(ROWS($1:28)&gt;COUNT(Dong),IF(ROWS($1:28)&gt;COUNT(Dong,Dong2),0,OFFSET('Q4-VND'!I$1,SMALL(Dong2,ROWS($1:28)-COUNT(Dong)),)),OFFSET('Q11-VND'!I$1,SMALL(Dong,ROWS($1:28)),))))</f>
        <v>2134266930</v>
      </c>
      <c r="H39" s="304">
        <f t="shared" ca="1" si="0"/>
        <v>9144148</v>
      </c>
      <c r="I39" s="304"/>
      <c r="J39" s="335"/>
    </row>
    <row r="40" spans="1:10" s="287" customFormat="1" ht="21" customHeight="1">
      <c r="A40" s="300">
        <f ca="1">IF($M$6="Q4",IF(ROWS($1:29)&gt;COUNT(Dong2),"",OFFSET('Q4-VND'!B$1,SMALL(Dong2,ROWS($1:29)),)),IF($M$6="Q11",IF(ROWS($1:29)&gt;COUNT(Dong),"",OFFSET('Q11-VND'!B$1,SMALL(Dong,ROWS($1:29)),)),IF(ROWS($1:29)&gt;COUNT(Dong),IF(ROWS($1:29)&gt;COUNT(Dong,Dong2),"",OFFSET('Q4-VND'!B$1,SMALL(Dong2,ROWS($1:29)-COUNT(Dong)),)),OFFSET('Q11-VND'!B$1,SMALL(Dong,ROWS($1:29)),))))</f>
        <v>41463</v>
      </c>
      <c r="B40" s="300" t="str">
        <f ca="1">IF($M$6="Q4",IF(ROWS($1:29)&gt;COUNT(Dong2),"",OFFSET('Q4-VND'!C$1,SMALL(Dong2,ROWS($1:29)),)),IF($M$6="Q11",IF(ROWS($1:29)&gt;COUNT(Dong),"",OFFSET('Q11-VND'!C$1,SMALL(Dong,ROWS($1:29)),)),IF(ROWS($1:29)&gt;COUNT(Dong),IF(ROWS($1:29)&gt;COUNT(Dong,Dong2),"",OFFSET('Q4-VND'!C$1,SMALL(Dong2,ROWS($1:29)-COUNT(Dong)),)),OFFSET('Q11-VND'!C$1,SMALL(Dong,ROWS($1:29)),))))</f>
        <v>GBN</v>
      </c>
      <c r="C40" s="300">
        <f ca="1">IF($M$6="Q4",IF(ROWS($1:29)&gt;COUNT(Dong2),"",OFFSET('Q4-VND'!D$1,SMALL(Dong2,ROWS($1:29)),)),IF($M$6="Q11",IF(ROWS($1:29)&gt;COUNT(Dong),"",OFFSET('Q11-VND'!D$1,SMALL(Dong,ROWS($1:29)),)),IF(ROWS($1:29)&gt;COUNT(Dong),IF(ROWS($1:29)&gt;COUNT(Dong,Dong2),"",OFFSET('Q4-VND'!D$1,SMALL(Dong2,ROWS($1:29)-COUNT(Dong)),)),OFFSET('Q11-VND'!D$1,SMALL(Dong,ROWS($1:29)),))))</f>
        <v>41463</v>
      </c>
      <c r="D40" s="301" t="str">
        <f ca="1">IF($M$6="Q4",IF(ROWS($1:29)&gt;COUNT(Dong2),"",OFFSET('Q4-VND'!E$1,SMALL(Dong2,ROWS($1:29)),)),IF($M$6="Q11",IF(ROWS($1:29)&gt;COUNT(Dong),"",OFFSET('Q11-VND'!E$1,SMALL(Dong,ROWS($1:29)),)),IF(ROWS($1:29)&gt;COUNT(Dong),IF(ROWS($1:29)&gt;COUNT(Dong,Dong2),"","Q4 - "&amp;OFFSET('Q4-VND'!E$1,SMALL(Dong2,ROWS($1:29)-COUNT(Dong)),)),"Q11 - "&amp;OFFSET('Q11-VND'!E$1,SMALL(Dong,ROWS($1:29)),))))</f>
        <v>Q11 - Lãi tất toán KU 1015LDS201300014</v>
      </c>
      <c r="E40" s="302" t="str">
        <f ca="1">IF($M$6="Q4",IF(ROWS($1:29)&gt;COUNT(Dong2),"",OFFSET('Q4-VND'!G$1,SMALL(Dong2,ROWS($1:29)),)),IF($M$6="Q11",IF(ROWS($1:29)&gt;COUNT(Dong),"",OFFSET('Q11-VND'!G$1,SMALL(Dong,ROWS($1:29)),)),IF(ROWS($1:29)&gt;COUNT(Dong),IF(ROWS($1:29)&gt;COUNT(Dong,Dong2),"",OFFSET('Q4-VND'!G$1,SMALL(Dong2,ROWS($1:29)-COUNT(Dong)),)),OFFSET('Q11-VND'!G$1,SMALL(Dong,ROWS($1:29)),))))</f>
        <v>635</v>
      </c>
      <c r="F40" s="303">
        <f ca="1">IF($M$6="Q4",IF(ROWS($1:29)&gt;COUNT(Dong2),0,OFFSET('Q4-VND'!H$1,SMALL(Dong2,ROWS($1:29)),)),IF($M$6="Q11",IF(ROWS($1:29)&gt;COUNT(Dong),0,OFFSET('Q11-VND'!H$1,SMALL(Dong,ROWS($1:29)),)),IF(ROWS($1:29)&gt;COUNT(Dong),IF(ROWS($1:29)&gt;COUNT(Dong,Dong2),0,OFFSET('Q4-VND'!H$1,SMALL(Dong2,ROWS($1:29)-COUNT(Dong)),)),OFFSET('Q11-VND'!H$1,SMALL(Dong,ROWS($1:29)),))))</f>
        <v>0</v>
      </c>
      <c r="G40" s="303">
        <f ca="1">IF($M$6="Q4",IF(ROWS($1:29)&gt;COUNT(Dong2),0,OFFSET('Q4-VND'!I$1,SMALL(Dong2,ROWS($1:29)),)),IF($M$6="Q11",IF(ROWS($1:29)&gt;COUNT(Dong),0,OFFSET('Q11-VND'!I$1,SMALL(Dong,ROWS($1:29)),)),IF(ROWS($1:29)&gt;COUNT(Dong),IF(ROWS($1:29)&gt;COUNT(Dong,Dong2),0,OFFSET('Q4-VND'!I$1,SMALL(Dong2,ROWS($1:29)-COUNT(Dong)),)),OFFSET('Q11-VND'!I$1,SMALL(Dong,ROWS($1:29)),))))</f>
        <v>8285090</v>
      </c>
      <c r="H40" s="304">
        <f t="shared" ca="1" si="0"/>
        <v>859058</v>
      </c>
      <c r="I40" s="304"/>
      <c r="J40" s="335"/>
    </row>
    <row r="41" spans="1:10" s="287" customFormat="1" ht="21" customHeight="1">
      <c r="A41" s="300">
        <f ca="1">IF($M$6="Q4",IF(ROWS($1:30)&gt;COUNT(Dong2),"",OFFSET('Q4-VND'!B$1,SMALL(Dong2,ROWS($1:30)),)),IF($M$6="Q11",IF(ROWS($1:30)&gt;COUNT(Dong),"",OFFSET('Q11-VND'!B$1,SMALL(Dong,ROWS($1:30)),)),IF(ROWS($1:30)&gt;COUNT(Dong),IF(ROWS($1:30)&gt;COUNT(Dong,Dong2),"",OFFSET('Q4-VND'!B$1,SMALL(Dong2,ROWS($1:30)-COUNT(Dong)),)),OFFSET('Q11-VND'!B$1,SMALL(Dong,ROWS($1:30)),))))</f>
        <v>41464</v>
      </c>
      <c r="B41" s="300" t="str">
        <f ca="1">IF($M$6="Q4",IF(ROWS($1:30)&gt;COUNT(Dong2),"",OFFSET('Q4-VND'!C$1,SMALL(Dong2,ROWS($1:30)),)),IF($M$6="Q11",IF(ROWS($1:30)&gt;COUNT(Dong),"",OFFSET('Q11-VND'!C$1,SMALL(Dong,ROWS($1:30)),)),IF(ROWS($1:30)&gt;COUNT(Dong),IF(ROWS($1:30)&gt;COUNT(Dong,Dong2),"",OFFSET('Q4-VND'!C$1,SMALL(Dong2,ROWS($1:30)-COUNT(Dong)),)),OFFSET('Q11-VND'!C$1,SMALL(Dong,ROWS($1:30)),))))</f>
        <v>GBC</v>
      </c>
      <c r="C41" s="300">
        <f ca="1">IF($M$6="Q4",IF(ROWS($1:30)&gt;COUNT(Dong2),"",OFFSET('Q4-VND'!D$1,SMALL(Dong2,ROWS($1:30)),)),IF($M$6="Q11",IF(ROWS($1:30)&gt;COUNT(Dong),"",OFFSET('Q11-VND'!D$1,SMALL(Dong,ROWS($1:30)),)),IF(ROWS($1:30)&gt;COUNT(Dong),IF(ROWS($1:30)&gt;COUNT(Dong,Dong2),"",OFFSET('Q4-VND'!D$1,SMALL(Dong2,ROWS($1:30)-COUNT(Dong)),)),OFFSET('Q11-VND'!D$1,SMALL(Dong,ROWS($1:30)),))))</f>
        <v>41464</v>
      </c>
      <c r="D41" s="301" t="str">
        <f ca="1">IF($M$6="Q4",IF(ROWS($1:30)&gt;COUNT(Dong2),"",OFFSET('Q4-VND'!E$1,SMALL(Dong2,ROWS($1:30)),)),IF($M$6="Q11",IF(ROWS($1:30)&gt;COUNT(Dong),"",OFFSET('Q11-VND'!E$1,SMALL(Dong,ROWS($1:30)),)),IF(ROWS($1:30)&gt;COUNT(Dong),IF(ROWS($1:30)&gt;COUNT(Dong,Dong2),"","Q4 - "&amp;OFFSET('Q4-VND'!E$1,SMALL(Dong2,ROWS($1:30)-COUNT(Dong)),)),"Q11 - "&amp;OFFSET('Q11-VND'!E$1,SMALL(Dong,ROWS($1:30)),))))</f>
        <v>Q11 - Bán NT</v>
      </c>
      <c r="E41" s="302" t="str">
        <f ca="1">IF($M$6="Q4",IF(ROWS($1:30)&gt;COUNT(Dong2),"",OFFSET('Q4-VND'!G$1,SMALL(Dong2,ROWS($1:30)),)),IF($M$6="Q11",IF(ROWS($1:30)&gt;COUNT(Dong),"",OFFSET('Q11-VND'!G$1,SMALL(Dong,ROWS($1:30)),)),IF(ROWS($1:30)&gt;COUNT(Dong),IF(ROWS($1:30)&gt;COUNT(Dong,Dong2),"",OFFSET('Q4-VND'!G$1,SMALL(Dong2,ROWS($1:30)-COUNT(Dong)),)),OFFSET('Q11-VND'!G$1,SMALL(Dong,ROWS($1:30)),))))</f>
        <v>1122</v>
      </c>
      <c r="F41" s="303">
        <f ca="1">IF($M$6="Q4",IF(ROWS($1:30)&gt;COUNT(Dong2),0,OFFSET('Q4-VND'!H$1,SMALL(Dong2,ROWS($1:30)),)),IF($M$6="Q11",IF(ROWS($1:30)&gt;COUNT(Dong),0,OFFSET('Q11-VND'!H$1,SMALL(Dong,ROWS($1:30)),)),IF(ROWS($1:30)&gt;COUNT(Dong),IF(ROWS($1:30)&gt;COUNT(Dong,Dong2),0,OFFSET('Q4-VND'!H$1,SMALL(Dong2,ROWS($1:30)-COUNT(Dong)),)),OFFSET('Q11-VND'!H$1,SMALL(Dong,ROWS($1:30)),))))</f>
        <v>1965255000</v>
      </c>
      <c r="G41" s="303">
        <f ca="1">IF($M$6="Q4",IF(ROWS($1:30)&gt;COUNT(Dong2),0,OFFSET('Q4-VND'!I$1,SMALL(Dong2,ROWS($1:30)),)),IF($M$6="Q11",IF(ROWS($1:30)&gt;COUNT(Dong),0,OFFSET('Q11-VND'!I$1,SMALL(Dong,ROWS($1:30)),)),IF(ROWS($1:30)&gt;COUNT(Dong),IF(ROWS($1:30)&gt;COUNT(Dong,Dong2),0,OFFSET('Q4-VND'!I$1,SMALL(Dong2,ROWS($1:30)-COUNT(Dong)),)),OFFSET('Q11-VND'!I$1,SMALL(Dong,ROWS($1:30)),))))</f>
        <v>0</v>
      </c>
      <c r="H41" s="304">
        <f t="shared" ca="1" si="0"/>
        <v>1966114058</v>
      </c>
      <c r="I41" s="304"/>
      <c r="J41" s="335"/>
    </row>
    <row r="42" spans="1:10" s="287" customFormat="1" ht="21" customHeight="1">
      <c r="A42" s="300">
        <f ca="1">IF($M$6="Q4",IF(ROWS($1:31)&gt;COUNT(Dong2),"",OFFSET('Q4-VND'!B$1,SMALL(Dong2,ROWS($1:31)),)),IF($M$6="Q11",IF(ROWS($1:31)&gt;COUNT(Dong),"",OFFSET('Q11-VND'!B$1,SMALL(Dong,ROWS($1:31)),)),IF(ROWS($1:31)&gt;COUNT(Dong),IF(ROWS($1:31)&gt;COUNT(Dong,Dong2),"",OFFSET('Q4-VND'!B$1,SMALL(Dong2,ROWS($1:31)-COUNT(Dong)),)),OFFSET('Q11-VND'!B$1,SMALL(Dong,ROWS($1:31)),))))</f>
        <v>41464</v>
      </c>
      <c r="B42" s="300" t="str">
        <f ca="1">IF($M$6="Q4",IF(ROWS($1:31)&gt;COUNT(Dong2),"",OFFSET('Q4-VND'!C$1,SMALL(Dong2,ROWS($1:31)),)),IF($M$6="Q11",IF(ROWS($1:31)&gt;COUNT(Dong),"",OFFSET('Q11-VND'!C$1,SMALL(Dong,ROWS($1:31)),)),IF(ROWS($1:31)&gt;COUNT(Dong),IF(ROWS($1:31)&gt;COUNT(Dong,Dong2),"",OFFSET('Q4-VND'!C$1,SMALL(Dong2,ROWS($1:31)-COUNT(Dong)),)),OFFSET('Q11-VND'!C$1,SMALL(Dong,ROWS($1:31)),))))</f>
        <v>THU</v>
      </c>
      <c r="C42" s="300">
        <f ca="1">IF($M$6="Q4",IF(ROWS($1:31)&gt;COUNT(Dong2),"",OFFSET('Q4-VND'!D$1,SMALL(Dong2,ROWS($1:31)),)),IF($M$6="Q11",IF(ROWS($1:31)&gt;COUNT(Dong),"",OFFSET('Q11-VND'!D$1,SMALL(Dong,ROWS($1:31)),)),IF(ROWS($1:31)&gt;COUNT(Dong),IF(ROWS($1:31)&gt;COUNT(Dong,Dong2),"",OFFSET('Q4-VND'!D$1,SMALL(Dong2,ROWS($1:31)-COUNT(Dong)),)),OFFSET('Q11-VND'!D$1,SMALL(Dong,ROWS($1:31)),))))</f>
        <v>41464</v>
      </c>
      <c r="D42" s="301" t="str">
        <f ca="1">IF($M$6="Q4",IF(ROWS($1:31)&gt;COUNT(Dong2),"",OFFSET('Q4-VND'!E$1,SMALL(Dong2,ROWS($1:31)),)),IF($M$6="Q11",IF(ROWS($1:31)&gt;COUNT(Dong),"",OFFSET('Q11-VND'!E$1,SMALL(Dong,ROWS($1:31)),)),IF(ROWS($1:31)&gt;COUNT(Dong),IF(ROWS($1:31)&gt;COUNT(Dong,Dong2),"","Q4 - "&amp;OFFSET('Q4-VND'!E$1,SMALL(Dong2,ROWS($1:31)-COUNT(Dong)),)),"Q11 - "&amp;OFFSET('Q11-VND'!E$1,SMALL(Dong,ROWS($1:31)),))))</f>
        <v>Q11 - Rút tiền nhập quỹ</v>
      </c>
      <c r="E42" s="302" t="str">
        <f ca="1">IF($M$6="Q4",IF(ROWS($1:31)&gt;COUNT(Dong2),"",OFFSET('Q4-VND'!G$1,SMALL(Dong2,ROWS($1:31)),)),IF($M$6="Q11",IF(ROWS($1:31)&gt;COUNT(Dong),"",OFFSET('Q11-VND'!G$1,SMALL(Dong,ROWS($1:31)),)),IF(ROWS($1:31)&gt;COUNT(Dong),IF(ROWS($1:31)&gt;COUNT(Dong,Dong2),"",OFFSET('Q4-VND'!G$1,SMALL(Dong2,ROWS($1:31)-COUNT(Dong)),)),OFFSET('Q11-VND'!G$1,SMALL(Dong,ROWS($1:31)),))))</f>
        <v>1111</v>
      </c>
      <c r="F42" s="303">
        <f ca="1">IF($M$6="Q4",IF(ROWS($1:31)&gt;COUNT(Dong2),0,OFFSET('Q4-VND'!H$1,SMALL(Dong2,ROWS($1:31)),)),IF($M$6="Q11",IF(ROWS($1:31)&gt;COUNT(Dong),0,OFFSET('Q11-VND'!H$1,SMALL(Dong,ROWS($1:31)),)),IF(ROWS($1:31)&gt;COUNT(Dong),IF(ROWS($1:31)&gt;COUNT(Dong,Dong2),0,OFFSET('Q4-VND'!H$1,SMALL(Dong2,ROWS($1:31)-COUNT(Dong)),)),OFFSET('Q11-VND'!H$1,SMALL(Dong,ROWS($1:31)),))))</f>
        <v>0</v>
      </c>
      <c r="G42" s="303">
        <f ca="1">IF($M$6="Q4",IF(ROWS($1:31)&gt;COUNT(Dong2),0,OFFSET('Q4-VND'!I$1,SMALL(Dong2,ROWS($1:31)),)),IF($M$6="Q11",IF(ROWS($1:31)&gt;COUNT(Dong),0,OFFSET('Q11-VND'!I$1,SMALL(Dong,ROWS($1:31)),)),IF(ROWS($1:31)&gt;COUNT(Dong),IF(ROWS($1:31)&gt;COUNT(Dong,Dong2),0,OFFSET('Q4-VND'!I$1,SMALL(Dong2,ROWS($1:31)-COUNT(Dong)),)),OFFSET('Q11-VND'!I$1,SMALL(Dong,ROWS($1:31)),))))</f>
        <v>1600000000</v>
      </c>
      <c r="H42" s="304">
        <f t="shared" ca="1" si="0"/>
        <v>366114058</v>
      </c>
      <c r="I42" s="304"/>
      <c r="J42" s="335"/>
    </row>
    <row r="43" spans="1:10" s="287" customFormat="1" ht="21" customHeight="1">
      <c r="A43" s="300">
        <f ca="1">IF($M$6="Q4",IF(ROWS($1:32)&gt;COUNT(Dong2),"",OFFSET('Q4-VND'!B$1,SMALL(Dong2,ROWS($1:32)),)),IF($M$6="Q11",IF(ROWS($1:32)&gt;COUNT(Dong),"",OFFSET('Q11-VND'!B$1,SMALL(Dong,ROWS($1:32)),)),IF(ROWS($1:32)&gt;COUNT(Dong),IF(ROWS($1:32)&gt;COUNT(Dong,Dong2),"",OFFSET('Q4-VND'!B$1,SMALL(Dong2,ROWS($1:32)-COUNT(Dong)),)),OFFSET('Q11-VND'!B$1,SMALL(Dong,ROWS($1:32)),))))</f>
        <v>41465</v>
      </c>
      <c r="B43" s="300" t="str">
        <f ca="1">IF($M$6="Q4",IF(ROWS($1:32)&gt;COUNT(Dong2),"",OFFSET('Q4-VND'!C$1,SMALL(Dong2,ROWS($1:32)),)),IF($M$6="Q11",IF(ROWS($1:32)&gt;COUNT(Dong),"",OFFSET('Q11-VND'!C$1,SMALL(Dong,ROWS($1:32)),)),IF(ROWS($1:32)&gt;COUNT(Dong),IF(ROWS($1:32)&gt;COUNT(Dong,Dong2),"",OFFSET('Q4-VND'!C$1,SMALL(Dong2,ROWS($1:32)-COUNT(Dong)),)),OFFSET('Q11-VND'!C$1,SMALL(Dong,ROWS($1:32)),))))</f>
        <v>GBN</v>
      </c>
      <c r="C43" s="300">
        <f ca="1">IF($M$6="Q4",IF(ROWS($1:32)&gt;COUNT(Dong2),"",OFFSET('Q4-VND'!D$1,SMALL(Dong2,ROWS($1:32)),)),IF($M$6="Q11",IF(ROWS($1:32)&gt;COUNT(Dong),"",OFFSET('Q11-VND'!D$1,SMALL(Dong,ROWS($1:32)),)),IF(ROWS($1:32)&gt;COUNT(Dong),IF(ROWS($1:32)&gt;COUNT(Dong,Dong2),"",OFFSET('Q4-VND'!D$1,SMALL(Dong2,ROWS($1:32)-COUNT(Dong)),)),OFFSET('Q11-VND'!D$1,SMALL(Dong,ROWS($1:32)),))))</f>
        <v>41465</v>
      </c>
      <c r="D43" s="301" t="str">
        <f ca="1">IF($M$6="Q4",IF(ROWS($1:32)&gt;COUNT(Dong2),"",OFFSET('Q4-VND'!E$1,SMALL(Dong2,ROWS($1:32)),)),IF($M$6="Q11",IF(ROWS($1:32)&gt;COUNT(Dong),"",OFFSET('Q11-VND'!E$1,SMALL(Dong,ROWS($1:32)),)),IF(ROWS($1:32)&gt;COUNT(Dong),IF(ROWS($1:32)&gt;COUNT(Dong,Dong2),"","Q4 - "&amp;OFFSET('Q4-VND'!E$1,SMALL(Dong2,ROWS($1:32)-COUNT(Dong)),)),"Q11 - "&amp;OFFSET('Q11-VND'!E$1,SMALL(Dong,ROWS($1:32)),))))</f>
        <v>Q11 - Thanh toán tiền xử lý cá khô</v>
      </c>
      <c r="E43" s="302" t="str">
        <f ca="1">IF($M$6="Q4",IF(ROWS($1:32)&gt;COUNT(Dong2),"",OFFSET('Q4-VND'!G$1,SMALL(Dong2,ROWS($1:32)),)),IF($M$6="Q11",IF(ROWS($1:32)&gt;COUNT(Dong),"",OFFSET('Q11-VND'!G$1,SMALL(Dong,ROWS($1:32)),)),IF(ROWS($1:32)&gt;COUNT(Dong),IF(ROWS($1:32)&gt;COUNT(Dong,Dong2),"",OFFSET('Q4-VND'!G$1,SMALL(Dong2,ROWS($1:32)-COUNT(Dong)),)),OFFSET('Q11-VND'!G$1,SMALL(Dong,ROWS($1:32)),))))</f>
        <v>331</v>
      </c>
      <c r="F43" s="303">
        <f ca="1">IF($M$6="Q4",IF(ROWS($1:32)&gt;COUNT(Dong2),0,OFFSET('Q4-VND'!H$1,SMALL(Dong2,ROWS($1:32)),)),IF($M$6="Q11",IF(ROWS($1:32)&gt;COUNT(Dong),0,OFFSET('Q11-VND'!H$1,SMALL(Dong,ROWS($1:32)),)),IF(ROWS($1:32)&gt;COUNT(Dong),IF(ROWS($1:32)&gt;COUNT(Dong,Dong2),0,OFFSET('Q4-VND'!H$1,SMALL(Dong2,ROWS($1:32)-COUNT(Dong)),)),OFFSET('Q11-VND'!H$1,SMALL(Dong,ROWS($1:32)),))))</f>
        <v>0</v>
      </c>
      <c r="G43" s="303">
        <f ca="1">IF($M$6="Q4",IF(ROWS($1:32)&gt;COUNT(Dong2),0,OFFSET('Q4-VND'!I$1,SMALL(Dong2,ROWS($1:32)),)),IF($M$6="Q11",IF(ROWS($1:32)&gt;COUNT(Dong),0,OFFSET('Q11-VND'!I$1,SMALL(Dong,ROWS($1:32)),)),IF(ROWS($1:32)&gt;COUNT(Dong),IF(ROWS($1:32)&gt;COUNT(Dong,Dong2),0,OFFSET('Q4-VND'!I$1,SMALL(Dong2,ROWS($1:32)-COUNT(Dong)),)),OFFSET('Q11-VND'!I$1,SMALL(Dong,ROWS($1:32)),))))</f>
        <v>50000000</v>
      </c>
      <c r="H43" s="304">
        <f t="shared" ca="1" si="0"/>
        <v>316114058</v>
      </c>
      <c r="I43" s="304"/>
      <c r="J43" s="335"/>
    </row>
    <row r="44" spans="1:10" s="287" customFormat="1" ht="21" customHeight="1">
      <c r="A44" s="300">
        <f ca="1">IF($M$6="Q4",IF(ROWS($1:33)&gt;COUNT(Dong2),"",OFFSET('Q4-VND'!B$1,SMALL(Dong2,ROWS($1:33)),)),IF($M$6="Q11",IF(ROWS($1:33)&gt;COUNT(Dong),"",OFFSET('Q11-VND'!B$1,SMALL(Dong,ROWS($1:33)),)),IF(ROWS($1:33)&gt;COUNT(Dong),IF(ROWS($1:33)&gt;COUNT(Dong,Dong2),"",OFFSET('Q4-VND'!B$1,SMALL(Dong2,ROWS($1:33)-COUNT(Dong)),)),OFFSET('Q11-VND'!B$1,SMALL(Dong,ROWS($1:33)),))))</f>
        <v>41465</v>
      </c>
      <c r="B44" s="300" t="str">
        <f ca="1">IF($M$6="Q4",IF(ROWS($1:33)&gt;COUNT(Dong2),"",OFFSET('Q4-VND'!C$1,SMALL(Dong2,ROWS($1:33)),)),IF($M$6="Q11",IF(ROWS($1:33)&gt;COUNT(Dong),"",OFFSET('Q11-VND'!C$1,SMALL(Dong,ROWS($1:33)),)),IF(ROWS($1:33)&gt;COUNT(Dong),IF(ROWS($1:33)&gt;COUNT(Dong,Dong2),"",OFFSET('Q4-VND'!C$1,SMALL(Dong2,ROWS($1:33)-COUNT(Dong)),)),OFFSET('Q11-VND'!C$1,SMALL(Dong,ROWS($1:33)),))))</f>
        <v>GBN</v>
      </c>
      <c r="C44" s="300">
        <f ca="1">IF($M$6="Q4",IF(ROWS($1:33)&gt;COUNT(Dong2),"",OFFSET('Q4-VND'!D$1,SMALL(Dong2,ROWS($1:33)),)),IF($M$6="Q11",IF(ROWS($1:33)&gt;COUNT(Dong),"",OFFSET('Q11-VND'!D$1,SMALL(Dong,ROWS($1:33)),)),IF(ROWS($1:33)&gt;COUNT(Dong),IF(ROWS($1:33)&gt;COUNT(Dong,Dong2),"",OFFSET('Q4-VND'!D$1,SMALL(Dong2,ROWS($1:33)-COUNT(Dong)),)),OFFSET('Q11-VND'!D$1,SMALL(Dong,ROWS($1:33)),))))</f>
        <v>41465</v>
      </c>
      <c r="D44" s="301" t="str">
        <f ca="1">IF($M$6="Q4",IF(ROWS($1:33)&gt;COUNT(Dong2),"",OFFSET('Q4-VND'!E$1,SMALL(Dong2,ROWS($1:33)),)),IF($M$6="Q11",IF(ROWS($1:33)&gt;COUNT(Dong),"",OFFSET('Q11-VND'!E$1,SMALL(Dong,ROWS($1:33)),)),IF(ROWS($1:33)&gt;COUNT(Dong),IF(ROWS($1:33)&gt;COUNT(Dong,Dong2),"","Q4 - "&amp;OFFSET('Q4-VND'!E$1,SMALL(Dong2,ROWS($1:33)-COUNT(Dong)),)),"Q11 - "&amp;OFFSET('Q11-VND'!E$1,SMALL(Dong,ROWS($1:33)),))))</f>
        <v>Q11 - Phí thanh toán</v>
      </c>
      <c r="E44" s="302" t="str">
        <f ca="1">IF($M$6="Q4",IF(ROWS($1:33)&gt;COUNT(Dong2),"",OFFSET('Q4-VND'!G$1,SMALL(Dong2,ROWS($1:33)),)),IF($M$6="Q11",IF(ROWS($1:33)&gt;COUNT(Dong),"",OFFSET('Q11-VND'!G$1,SMALL(Dong,ROWS($1:33)),)),IF(ROWS($1:33)&gt;COUNT(Dong),IF(ROWS($1:33)&gt;COUNT(Dong,Dong2),"",OFFSET('Q4-VND'!G$1,SMALL(Dong2,ROWS($1:33)-COUNT(Dong)),)),OFFSET('Q11-VND'!G$1,SMALL(Dong,ROWS($1:33)),))))</f>
        <v>6422</v>
      </c>
      <c r="F44" s="303">
        <f ca="1">IF($M$6="Q4",IF(ROWS($1:33)&gt;COUNT(Dong2),0,OFFSET('Q4-VND'!H$1,SMALL(Dong2,ROWS($1:33)),)),IF($M$6="Q11",IF(ROWS($1:33)&gt;COUNT(Dong),0,OFFSET('Q11-VND'!H$1,SMALL(Dong,ROWS($1:33)),)),IF(ROWS($1:33)&gt;COUNT(Dong),IF(ROWS($1:33)&gt;COUNT(Dong,Dong2),0,OFFSET('Q4-VND'!H$1,SMALL(Dong2,ROWS($1:33)-COUNT(Dong)),)),OFFSET('Q11-VND'!H$1,SMALL(Dong,ROWS($1:33)),))))</f>
        <v>0</v>
      </c>
      <c r="G44" s="303">
        <f ca="1">IF($M$6="Q4",IF(ROWS($1:33)&gt;COUNT(Dong2),0,OFFSET('Q4-VND'!I$1,SMALL(Dong2,ROWS($1:33)),)),IF($M$6="Q11",IF(ROWS($1:33)&gt;COUNT(Dong),0,OFFSET('Q11-VND'!I$1,SMALL(Dong,ROWS($1:33)),)),IF(ROWS($1:33)&gt;COUNT(Dong),IF(ROWS($1:33)&gt;COUNT(Dong,Dong2),0,OFFSET('Q4-VND'!I$1,SMALL(Dong2,ROWS($1:33)-COUNT(Dong)),)),OFFSET('Q11-VND'!I$1,SMALL(Dong,ROWS($1:33)),))))</f>
        <v>25000</v>
      </c>
      <c r="H44" s="304">
        <f t="shared" ref="H44:H75" ca="1" si="1">IF(A44&lt;&gt;"",ROUND(H43+F44-G44,0),"")</f>
        <v>316089058</v>
      </c>
      <c r="I44" s="304"/>
      <c r="J44" s="335"/>
    </row>
    <row r="45" spans="1:10" s="287" customFormat="1" ht="21" customHeight="1">
      <c r="A45" s="300">
        <f ca="1">IF($M$6="Q4",IF(ROWS($1:34)&gt;COUNT(Dong2),"",OFFSET('Q4-VND'!B$1,SMALL(Dong2,ROWS($1:34)),)),IF($M$6="Q11",IF(ROWS($1:34)&gt;COUNT(Dong),"",OFFSET('Q11-VND'!B$1,SMALL(Dong,ROWS($1:34)),)),IF(ROWS($1:34)&gt;COUNT(Dong),IF(ROWS($1:34)&gt;COUNT(Dong,Dong2),"",OFFSET('Q4-VND'!B$1,SMALL(Dong2,ROWS($1:34)-COUNT(Dong)),)),OFFSET('Q11-VND'!B$1,SMALL(Dong,ROWS($1:34)),))))</f>
        <v>41465</v>
      </c>
      <c r="B45" s="300" t="str">
        <f ca="1">IF($M$6="Q4",IF(ROWS($1:34)&gt;COUNT(Dong2),"",OFFSET('Q4-VND'!C$1,SMALL(Dong2,ROWS($1:34)),)),IF($M$6="Q11",IF(ROWS($1:34)&gt;COUNT(Dong),"",OFFSET('Q11-VND'!C$1,SMALL(Dong,ROWS($1:34)),)),IF(ROWS($1:34)&gt;COUNT(Dong),IF(ROWS($1:34)&gt;COUNT(Dong,Dong2),"",OFFSET('Q4-VND'!C$1,SMALL(Dong2,ROWS($1:34)-COUNT(Dong)),)),OFFSET('Q11-VND'!C$1,SMALL(Dong,ROWS($1:34)),))))</f>
        <v>GBN</v>
      </c>
      <c r="C45" s="300">
        <f ca="1">IF($M$6="Q4",IF(ROWS($1:34)&gt;COUNT(Dong2),"",OFFSET('Q4-VND'!D$1,SMALL(Dong2,ROWS($1:34)),)),IF($M$6="Q11",IF(ROWS($1:34)&gt;COUNT(Dong),"",OFFSET('Q11-VND'!D$1,SMALL(Dong,ROWS($1:34)),)),IF(ROWS($1:34)&gt;COUNT(Dong),IF(ROWS($1:34)&gt;COUNT(Dong,Dong2),"",OFFSET('Q4-VND'!D$1,SMALL(Dong2,ROWS($1:34)-COUNT(Dong)),)),OFFSET('Q11-VND'!D$1,SMALL(Dong,ROWS($1:34)),))))</f>
        <v>41465</v>
      </c>
      <c r="D45" s="301" t="str">
        <f ca="1">IF($M$6="Q4",IF(ROWS($1:34)&gt;COUNT(Dong2),"",OFFSET('Q4-VND'!E$1,SMALL(Dong2,ROWS($1:34)),)),IF($M$6="Q11",IF(ROWS($1:34)&gt;COUNT(Dong),"",OFFSET('Q11-VND'!E$1,SMALL(Dong,ROWS($1:34)),)),IF(ROWS($1:34)&gt;COUNT(Dong),IF(ROWS($1:34)&gt;COUNT(Dong,Dong2),"","Q4 - "&amp;OFFSET('Q4-VND'!E$1,SMALL(Dong2,ROWS($1:34)-COUNT(Dong)),)),"Q11 - "&amp;OFFSET('Q11-VND'!E$1,SMALL(Dong,ROWS($1:34)),))))</f>
        <v>Q11 - VAT Phí thanh toán</v>
      </c>
      <c r="E45" s="302" t="str">
        <f ca="1">IF($M$6="Q4",IF(ROWS($1:34)&gt;COUNT(Dong2),"",OFFSET('Q4-VND'!G$1,SMALL(Dong2,ROWS($1:34)),)),IF($M$6="Q11",IF(ROWS($1:34)&gt;COUNT(Dong),"",OFFSET('Q11-VND'!G$1,SMALL(Dong,ROWS($1:34)),)),IF(ROWS($1:34)&gt;COUNT(Dong),IF(ROWS($1:34)&gt;COUNT(Dong,Dong2),"",OFFSET('Q4-VND'!G$1,SMALL(Dong2,ROWS($1:34)-COUNT(Dong)),)),OFFSET('Q11-VND'!G$1,SMALL(Dong,ROWS($1:34)),))))</f>
        <v>1331</v>
      </c>
      <c r="F45" s="303">
        <f ca="1">IF($M$6="Q4",IF(ROWS($1:34)&gt;COUNT(Dong2),0,OFFSET('Q4-VND'!H$1,SMALL(Dong2,ROWS($1:34)),)),IF($M$6="Q11",IF(ROWS($1:34)&gt;COUNT(Dong),0,OFFSET('Q11-VND'!H$1,SMALL(Dong,ROWS($1:34)),)),IF(ROWS($1:34)&gt;COUNT(Dong),IF(ROWS($1:34)&gt;COUNT(Dong,Dong2),0,OFFSET('Q4-VND'!H$1,SMALL(Dong2,ROWS($1:34)-COUNT(Dong)),)),OFFSET('Q11-VND'!H$1,SMALL(Dong,ROWS($1:34)),))))</f>
        <v>0</v>
      </c>
      <c r="G45" s="303">
        <f ca="1">IF($M$6="Q4",IF(ROWS($1:34)&gt;COUNT(Dong2),0,OFFSET('Q4-VND'!I$1,SMALL(Dong2,ROWS($1:34)),)),IF($M$6="Q11",IF(ROWS($1:34)&gt;COUNT(Dong),0,OFFSET('Q11-VND'!I$1,SMALL(Dong,ROWS($1:34)),)),IF(ROWS($1:34)&gt;COUNT(Dong),IF(ROWS($1:34)&gt;COUNT(Dong,Dong2),0,OFFSET('Q4-VND'!I$1,SMALL(Dong2,ROWS($1:34)-COUNT(Dong)),)),OFFSET('Q11-VND'!I$1,SMALL(Dong,ROWS($1:34)),))))</f>
        <v>2500</v>
      </c>
      <c r="H45" s="304">
        <f t="shared" ca="1" si="1"/>
        <v>316086558</v>
      </c>
      <c r="I45" s="304"/>
      <c r="J45" s="335"/>
    </row>
    <row r="46" spans="1:10" s="287" customFormat="1" ht="21" customHeight="1">
      <c r="A46" s="300">
        <f ca="1">IF($M$6="Q4",IF(ROWS($1:35)&gt;COUNT(Dong2),"",OFFSET('Q4-VND'!B$1,SMALL(Dong2,ROWS($1:35)),)),IF($M$6="Q11",IF(ROWS($1:35)&gt;COUNT(Dong),"",OFFSET('Q11-VND'!B$1,SMALL(Dong,ROWS($1:35)),)),IF(ROWS($1:35)&gt;COUNT(Dong),IF(ROWS($1:35)&gt;COUNT(Dong,Dong2),"",OFFSET('Q4-VND'!B$1,SMALL(Dong2,ROWS($1:35)-COUNT(Dong)),)),OFFSET('Q11-VND'!B$1,SMALL(Dong,ROWS($1:35)),))))</f>
        <v>41465</v>
      </c>
      <c r="B46" s="300" t="str">
        <f ca="1">IF($M$6="Q4",IF(ROWS($1:35)&gt;COUNT(Dong2),"",OFFSET('Q4-VND'!C$1,SMALL(Dong2,ROWS($1:35)),)),IF($M$6="Q11",IF(ROWS($1:35)&gt;COUNT(Dong),"",OFFSET('Q11-VND'!C$1,SMALL(Dong,ROWS($1:35)),)),IF(ROWS($1:35)&gt;COUNT(Dong),IF(ROWS($1:35)&gt;COUNT(Dong,Dong2),"",OFFSET('Q4-VND'!C$1,SMALL(Dong2,ROWS($1:35)-COUNT(Dong)),)),OFFSET('Q11-VND'!C$1,SMALL(Dong,ROWS($1:35)),))))</f>
        <v>GBN</v>
      </c>
      <c r="C46" s="300">
        <f ca="1">IF($M$6="Q4",IF(ROWS($1:35)&gt;COUNT(Dong2),"",OFFSET('Q4-VND'!D$1,SMALL(Dong2,ROWS($1:35)),)),IF($M$6="Q11",IF(ROWS($1:35)&gt;COUNT(Dong),"",OFFSET('Q11-VND'!D$1,SMALL(Dong,ROWS($1:35)),)),IF(ROWS($1:35)&gt;COUNT(Dong),IF(ROWS($1:35)&gt;COUNT(Dong,Dong2),"",OFFSET('Q4-VND'!D$1,SMALL(Dong2,ROWS($1:35)-COUNT(Dong)),)),OFFSET('Q11-VND'!D$1,SMALL(Dong,ROWS($1:35)),))))</f>
        <v>41465</v>
      </c>
      <c r="D46" s="301" t="str">
        <f ca="1">IF($M$6="Q4",IF(ROWS($1:35)&gt;COUNT(Dong2),"",OFFSET('Q4-VND'!E$1,SMALL(Dong2,ROWS($1:35)),)),IF($M$6="Q11",IF(ROWS($1:35)&gt;COUNT(Dong),"",OFFSET('Q11-VND'!E$1,SMALL(Dong,ROWS($1:35)),)),IF(ROWS($1:35)&gt;COUNT(Dong),IF(ROWS($1:35)&gt;COUNT(Dong,Dong2),"","Q4 - "&amp;OFFSET('Q4-VND'!E$1,SMALL(Dong2,ROWS($1:35)-COUNT(Dong)),)),"Q11 - "&amp;OFFSET('Q11-VND'!E$1,SMALL(Dong,ROWS($1:35)),))))</f>
        <v>Q11 - Thanh toán tiền bao bì</v>
      </c>
      <c r="E46" s="302" t="str">
        <f ca="1">IF($M$6="Q4",IF(ROWS($1:35)&gt;COUNT(Dong2),"",OFFSET('Q4-VND'!G$1,SMALL(Dong2,ROWS($1:35)),)),IF($M$6="Q11",IF(ROWS($1:35)&gt;COUNT(Dong),"",OFFSET('Q11-VND'!G$1,SMALL(Dong,ROWS($1:35)),)),IF(ROWS($1:35)&gt;COUNT(Dong),IF(ROWS($1:35)&gt;COUNT(Dong,Dong2),"",OFFSET('Q4-VND'!G$1,SMALL(Dong2,ROWS($1:35)-COUNT(Dong)),)),OFFSET('Q11-VND'!G$1,SMALL(Dong,ROWS($1:35)),))))</f>
        <v>331</v>
      </c>
      <c r="F46" s="303">
        <f ca="1">IF($M$6="Q4",IF(ROWS($1:35)&gt;COUNT(Dong2),0,OFFSET('Q4-VND'!H$1,SMALL(Dong2,ROWS($1:35)),)),IF($M$6="Q11",IF(ROWS($1:35)&gt;COUNT(Dong),0,OFFSET('Q11-VND'!H$1,SMALL(Dong,ROWS($1:35)),)),IF(ROWS($1:35)&gt;COUNT(Dong),IF(ROWS($1:35)&gt;COUNT(Dong,Dong2),0,OFFSET('Q4-VND'!H$1,SMALL(Dong2,ROWS($1:35)-COUNT(Dong)),)),OFFSET('Q11-VND'!H$1,SMALL(Dong,ROWS($1:35)),))))</f>
        <v>0</v>
      </c>
      <c r="G46" s="303">
        <f ca="1">IF($M$6="Q4",IF(ROWS($1:35)&gt;COUNT(Dong2),0,OFFSET('Q4-VND'!I$1,SMALL(Dong2,ROWS($1:35)),)),IF($M$6="Q11",IF(ROWS($1:35)&gt;COUNT(Dong),0,OFFSET('Q11-VND'!I$1,SMALL(Dong,ROWS($1:35)),)),IF(ROWS($1:35)&gt;COUNT(Dong),IF(ROWS($1:35)&gt;COUNT(Dong,Dong2),0,OFFSET('Q4-VND'!I$1,SMALL(Dong2,ROWS($1:35)-COUNT(Dong)),)),OFFSET('Q11-VND'!I$1,SMALL(Dong,ROWS($1:35)),))))</f>
        <v>60000000</v>
      </c>
      <c r="H46" s="304">
        <f t="shared" ca="1" si="1"/>
        <v>256086558</v>
      </c>
      <c r="I46" s="304"/>
      <c r="J46" s="335"/>
    </row>
    <row r="47" spans="1:10" s="287" customFormat="1" ht="21" customHeight="1">
      <c r="A47" s="300">
        <f ca="1">IF($M$6="Q4",IF(ROWS($1:36)&gt;COUNT(Dong2),"",OFFSET('Q4-VND'!B$1,SMALL(Dong2,ROWS($1:36)),)),IF($M$6="Q11",IF(ROWS($1:36)&gt;COUNT(Dong),"",OFFSET('Q11-VND'!B$1,SMALL(Dong,ROWS($1:36)),)),IF(ROWS($1:36)&gt;COUNT(Dong),IF(ROWS($1:36)&gt;COUNT(Dong,Dong2),"",OFFSET('Q4-VND'!B$1,SMALL(Dong2,ROWS($1:36)-COUNT(Dong)),)),OFFSET('Q11-VND'!B$1,SMALL(Dong,ROWS($1:36)),))))</f>
        <v>41465</v>
      </c>
      <c r="B47" s="300" t="str">
        <f ca="1">IF($M$6="Q4",IF(ROWS($1:36)&gt;COUNT(Dong2),"",OFFSET('Q4-VND'!C$1,SMALL(Dong2,ROWS($1:36)),)),IF($M$6="Q11",IF(ROWS($1:36)&gt;COUNT(Dong),"",OFFSET('Q11-VND'!C$1,SMALL(Dong,ROWS($1:36)),)),IF(ROWS($1:36)&gt;COUNT(Dong),IF(ROWS($1:36)&gt;COUNT(Dong,Dong2),"",OFFSET('Q4-VND'!C$1,SMALL(Dong2,ROWS($1:36)-COUNT(Dong)),)),OFFSET('Q11-VND'!C$1,SMALL(Dong,ROWS($1:36)),))))</f>
        <v>GBN</v>
      </c>
      <c r="C47" s="300">
        <f ca="1">IF($M$6="Q4",IF(ROWS($1:36)&gt;COUNT(Dong2),"",OFFSET('Q4-VND'!D$1,SMALL(Dong2,ROWS($1:36)),)),IF($M$6="Q11",IF(ROWS($1:36)&gt;COUNT(Dong),"",OFFSET('Q11-VND'!D$1,SMALL(Dong,ROWS($1:36)),)),IF(ROWS($1:36)&gt;COUNT(Dong),IF(ROWS($1:36)&gt;COUNT(Dong,Dong2),"",OFFSET('Q4-VND'!D$1,SMALL(Dong2,ROWS($1:36)-COUNT(Dong)),)),OFFSET('Q11-VND'!D$1,SMALL(Dong,ROWS($1:36)),))))</f>
        <v>41465</v>
      </c>
      <c r="D47" s="301" t="str">
        <f ca="1">IF($M$6="Q4",IF(ROWS($1:36)&gt;COUNT(Dong2),"",OFFSET('Q4-VND'!E$1,SMALL(Dong2,ROWS($1:36)),)),IF($M$6="Q11",IF(ROWS($1:36)&gt;COUNT(Dong),"",OFFSET('Q11-VND'!E$1,SMALL(Dong,ROWS($1:36)),)),IF(ROWS($1:36)&gt;COUNT(Dong),IF(ROWS($1:36)&gt;COUNT(Dong,Dong2),"","Q4 - "&amp;OFFSET('Q4-VND'!E$1,SMALL(Dong2,ROWS($1:36)-COUNT(Dong)),)),"Q11 - "&amp;OFFSET('Q11-VND'!E$1,SMALL(Dong,ROWS($1:36)),))))</f>
        <v>Q11 - Phí thanh toán</v>
      </c>
      <c r="E47" s="302" t="str">
        <f ca="1">IF($M$6="Q4",IF(ROWS($1:36)&gt;COUNT(Dong2),"",OFFSET('Q4-VND'!G$1,SMALL(Dong2,ROWS($1:36)),)),IF($M$6="Q11",IF(ROWS($1:36)&gt;COUNT(Dong),"",OFFSET('Q11-VND'!G$1,SMALL(Dong,ROWS($1:36)),)),IF(ROWS($1:36)&gt;COUNT(Dong),IF(ROWS($1:36)&gt;COUNT(Dong,Dong2),"",OFFSET('Q4-VND'!G$1,SMALL(Dong2,ROWS($1:36)-COUNT(Dong)),)),OFFSET('Q11-VND'!G$1,SMALL(Dong,ROWS($1:36)),))))</f>
        <v>6422</v>
      </c>
      <c r="F47" s="303">
        <f ca="1">IF($M$6="Q4",IF(ROWS($1:36)&gt;COUNT(Dong2),0,OFFSET('Q4-VND'!H$1,SMALL(Dong2,ROWS($1:36)),)),IF($M$6="Q11",IF(ROWS($1:36)&gt;COUNT(Dong),0,OFFSET('Q11-VND'!H$1,SMALL(Dong,ROWS($1:36)),)),IF(ROWS($1:36)&gt;COUNT(Dong),IF(ROWS($1:36)&gt;COUNT(Dong,Dong2),0,OFFSET('Q4-VND'!H$1,SMALL(Dong2,ROWS($1:36)-COUNT(Dong)),)),OFFSET('Q11-VND'!H$1,SMALL(Dong,ROWS($1:36)),))))</f>
        <v>0</v>
      </c>
      <c r="G47" s="303">
        <f ca="1">IF($M$6="Q4",IF(ROWS($1:36)&gt;COUNT(Dong2),0,OFFSET('Q4-VND'!I$1,SMALL(Dong2,ROWS($1:36)),)),IF($M$6="Q11",IF(ROWS($1:36)&gt;COUNT(Dong),0,OFFSET('Q11-VND'!I$1,SMALL(Dong,ROWS($1:36)),)),IF(ROWS($1:36)&gt;COUNT(Dong),IF(ROWS($1:36)&gt;COUNT(Dong,Dong2),0,OFFSET('Q4-VND'!I$1,SMALL(Dong2,ROWS($1:36)-COUNT(Dong)),)),OFFSET('Q11-VND'!I$1,SMALL(Dong,ROWS($1:36)),))))</f>
        <v>30000</v>
      </c>
      <c r="H47" s="304">
        <f t="shared" ca="1" si="1"/>
        <v>256056558</v>
      </c>
      <c r="I47" s="304"/>
      <c r="J47" s="335"/>
    </row>
    <row r="48" spans="1:10" s="287" customFormat="1" ht="21" customHeight="1">
      <c r="A48" s="300">
        <f ca="1">IF($M$6="Q4",IF(ROWS($1:37)&gt;COUNT(Dong2),"",OFFSET('Q4-VND'!B$1,SMALL(Dong2,ROWS($1:37)),)),IF($M$6="Q11",IF(ROWS($1:37)&gt;COUNT(Dong),"",OFFSET('Q11-VND'!B$1,SMALL(Dong,ROWS($1:37)),)),IF(ROWS($1:37)&gt;COUNT(Dong),IF(ROWS($1:37)&gt;COUNT(Dong,Dong2),"",OFFSET('Q4-VND'!B$1,SMALL(Dong2,ROWS($1:37)-COUNT(Dong)),)),OFFSET('Q11-VND'!B$1,SMALL(Dong,ROWS($1:37)),))))</f>
        <v>41465</v>
      </c>
      <c r="B48" s="300" t="str">
        <f ca="1">IF($M$6="Q4",IF(ROWS($1:37)&gt;COUNT(Dong2),"",OFFSET('Q4-VND'!C$1,SMALL(Dong2,ROWS($1:37)),)),IF($M$6="Q11",IF(ROWS($1:37)&gt;COUNT(Dong),"",OFFSET('Q11-VND'!C$1,SMALL(Dong,ROWS($1:37)),)),IF(ROWS($1:37)&gt;COUNT(Dong),IF(ROWS($1:37)&gt;COUNT(Dong,Dong2),"",OFFSET('Q4-VND'!C$1,SMALL(Dong2,ROWS($1:37)-COUNT(Dong)),)),OFFSET('Q11-VND'!C$1,SMALL(Dong,ROWS($1:37)),))))</f>
        <v>GBN</v>
      </c>
      <c r="C48" s="300">
        <f ca="1">IF($M$6="Q4",IF(ROWS($1:37)&gt;COUNT(Dong2),"",OFFSET('Q4-VND'!D$1,SMALL(Dong2,ROWS($1:37)),)),IF($M$6="Q11",IF(ROWS($1:37)&gt;COUNT(Dong),"",OFFSET('Q11-VND'!D$1,SMALL(Dong,ROWS($1:37)),)),IF(ROWS($1:37)&gt;COUNT(Dong),IF(ROWS($1:37)&gt;COUNT(Dong,Dong2),"",OFFSET('Q4-VND'!D$1,SMALL(Dong2,ROWS($1:37)-COUNT(Dong)),)),OFFSET('Q11-VND'!D$1,SMALL(Dong,ROWS($1:37)),))))</f>
        <v>41465</v>
      </c>
      <c r="D48" s="301" t="str">
        <f ca="1">IF($M$6="Q4",IF(ROWS($1:37)&gt;COUNT(Dong2),"",OFFSET('Q4-VND'!E$1,SMALL(Dong2,ROWS($1:37)),)),IF($M$6="Q11",IF(ROWS($1:37)&gt;COUNT(Dong),"",OFFSET('Q11-VND'!E$1,SMALL(Dong,ROWS($1:37)),)),IF(ROWS($1:37)&gt;COUNT(Dong),IF(ROWS($1:37)&gt;COUNT(Dong,Dong2),"","Q4 - "&amp;OFFSET('Q4-VND'!E$1,SMALL(Dong2,ROWS($1:37)-COUNT(Dong)),)),"Q11 - "&amp;OFFSET('Q11-VND'!E$1,SMALL(Dong,ROWS($1:37)),))))</f>
        <v>Q11 - VAT Phí thanh toán</v>
      </c>
      <c r="E48" s="302" t="str">
        <f ca="1">IF($M$6="Q4",IF(ROWS($1:37)&gt;COUNT(Dong2),"",OFFSET('Q4-VND'!G$1,SMALL(Dong2,ROWS($1:37)),)),IF($M$6="Q11",IF(ROWS($1:37)&gt;COUNT(Dong),"",OFFSET('Q11-VND'!G$1,SMALL(Dong,ROWS($1:37)),)),IF(ROWS($1:37)&gt;COUNT(Dong),IF(ROWS($1:37)&gt;COUNT(Dong,Dong2),"",OFFSET('Q4-VND'!G$1,SMALL(Dong2,ROWS($1:37)-COUNT(Dong)),)),OFFSET('Q11-VND'!G$1,SMALL(Dong,ROWS($1:37)),))))</f>
        <v>1331</v>
      </c>
      <c r="F48" s="303">
        <f ca="1">IF($M$6="Q4",IF(ROWS($1:37)&gt;COUNT(Dong2),0,OFFSET('Q4-VND'!H$1,SMALL(Dong2,ROWS($1:37)),)),IF($M$6="Q11",IF(ROWS($1:37)&gt;COUNT(Dong),0,OFFSET('Q11-VND'!H$1,SMALL(Dong,ROWS($1:37)),)),IF(ROWS($1:37)&gt;COUNT(Dong),IF(ROWS($1:37)&gt;COUNT(Dong,Dong2),0,OFFSET('Q4-VND'!H$1,SMALL(Dong2,ROWS($1:37)-COUNT(Dong)),)),OFFSET('Q11-VND'!H$1,SMALL(Dong,ROWS($1:37)),))))</f>
        <v>0</v>
      </c>
      <c r="G48" s="303">
        <f ca="1">IF($M$6="Q4",IF(ROWS($1:37)&gt;COUNT(Dong2),0,OFFSET('Q4-VND'!I$1,SMALL(Dong2,ROWS($1:37)),)),IF($M$6="Q11",IF(ROWS($1:37)&gt;COUNT(Dong),0,OFFSET('Q11-VND'!I$1,SMALL(Dong,ROWS($1:37)),)),IF(ROWS($1:37)&gt;COUNT(Dong),IF(ROWS($1:37)&gt;COUNT(Dong,Dong2),0,OFFSET('Q4-VND'!I$1,SMALL(Dong2,ROWS($1:37)-COUNT(Dong)),)),OFFSET('Q11-VND'!I$1,SMALL(Dong,ROWS($1:37)),))))</f>
        <v>3000</v>
      </c>
      <c r="H48" s="304">
        <f t="shared" ca="1" si="1"/>
        <v>256053558</v>
      </c>
      <c r="I48" s="304"/>
      <c r="J48" s="335"/>
    </row>
    <row r="49" spans="1:10" s="287" customFormat="1" ht="21" customHeight="1">
      <c r="A49" s="300">
        <f ca="1">IF($M$6="Q4",IF(ROWS($1:38)&gt;COUNT(Dong2),"",OFFSET('Q4-VND'!B$1,SMALL(Dong2,ROWS($1:38)),)),IF($M$6="Q11",IF(ROWS($1:38)&gt;COUNT(Dong),"",OFFSET('Q11-VND'!B$1,SMALL(Dong,ROWS($1:38)),)),IF(ROWS($1:38)&gt;COUNT(Dong),IF(ROWS($1:38)&gt;COUNT(Dong,Dong2),"",OFFSET('Q4-VND'!B$1,SMALL(Dong2,ROWS($1:38)-COUNT(Dong)),)),OFFSET('Q11-VND'!B$1,SMALL(Dong,ROWS($1:38)),))))</f>
        <v>41465</v>
      </c>
      <c r="B49" s="300" t="str">
        <f ca="1">IF($M$6="Q4",IF(ROWS($1:38)&gt;COUNT(Dong2),"",OFFSET('Q4-VND'!C$1,SMALL(Dong2,ROWS($1:38)),)),IF($M$6="Q11",IF(ROWS($1:38)&gt;COUNT(Dong),"",OFFSET('Q11-VND'!C$1,SMALL(Dong,ROWS($1:38)),)),IF(ROWS($1:38)&gt;COUNT(Dong),IF(ROWS($1:38)&gt;COUNT(Dong,Dong2),"",OFFSET('Q4-VND'!C$1,SMALL(Dong2,ROWS($1:38)-COUNT(Dong)),)),OFFSET('Q11-VND'!C$1,SMALL(Dong,ROWS($1:38)),))))</f>
        <v>GBN</v>
      </c>
      <c r="C49" s="300">
        <f ca="1">IF($M$6="Q4",IF(ROWS($1:38)&gt;COUNT(Dong2),"",OFFSET('Q4-VND'!D$1,SMALL(Dong2,ROWS($1:38)),)),IF($M$6="Q11",IF(ROWS($1:38)&gt;COUNT(Dong),"",OFFSET('Q11-VND'!D$1,SMALL(Dong,ROWS($1:38)),)),IF(ROWS($1:38)&gt;COUNT(Dong),IF(ROWS($1:38)&gt;COUNT(Dong,Dong2),"",OFFSET('Q4-VND'!D$1,SMALL(Dong2,ROWS($1:38)-COUNT(Dong)),)),OFFSET('Q11-VND'!D$1,SMALL(Dong,ROWS($1:38)),))))</f>
        <v>41465</v>
      </c>
      <c r="D49" s="301" t="str">
        <f ca="1">IF($M$6="Q4",IF(ROWS($1:38)&gt;COUNT(Dong2),"",OFFSET('Q4-VND'!E$1,SMALL(Dong2,ROWS($1:38)),)),IF($M$6="Q11",IF(ROWS($1:38)&gt;COUNT(Dong),"",OFFSET('Q11-VND'!E$1,SMALL(Dong,ROWS($1:38)),)),IF(ROWS($1:38)&gt;COUNT(Dong),IF(ROWS($1:38)&gt;COUNT(Dong,Dong2),"","Q4 - "&amp;OFFSET('Q4-VND'!E$1,SMALL(Dong2,ROWS($1:38)-COUNT(Dong)),)),"Q11 - "&amp;OFFSET('Q11-VND'!E$1,SMALL(Dong,ROWS($1:38)),))))</f>
        <v>Q11 - Thanh toán tiền điện kỳ 2 T06/2013</v>
      </c>
      <c r="E49" s="302" t="str">
        <f ca="1">IF($M$6="Q4",IF(ROWS($1:38)&gt;COUNT(Dong2),"",OFFSET('Q4-VND'!G$1,SMALL(Dong2,ROWS($1:38)),)),IF($M$6="Q11",IF(ROWS($1:38)&gt;COUNT(Dong),"",OFFSET('Q11-VND'!G$1,SMALL(Dong,ROWS($1:38)),)),IF(ROWS($1:38)&gt;COUNT(Dong),IF(ROWS($1:38)&gt;COUNT(Dong,Dong2),"",OFFSET('Q4-VND'!G$1,SMALL(Dong2,ROWS($1:38)-COUNT(Dong)),)),OFFSET('Q11-VND'!G$1,SMALL(Dong,ROWS($1:38)),))))</f>
        <v>331</v>
      </c>
      <c r="F49" s="303">
        <f ca="1">IF($M$6="Q4",IF(ROWS($1:38)&gt;COUNT(Dong2),0,OFFSET('Q4-VND'!H$1,SMALL(Dong2,ROWS($1:38)),)),IF($M$6="Q11",IF(ROWS($1:38)&gt;COUNT(Dong),0,OFFSET('Q11-VND'!H$1,SMALL(Dong,ROWS($1:38)),)),IF(ROWS($1:38)&gt;COUNT(Dong),IF(ROWS($1:38)&gt;COUNT(Dong,Dong2),0,OFFSET('Q4-VND'!H$1,SMALL(Dong2,ROWS($1:38)-COUNT(Dong)),)),OFFSET('Q11-VND'!H$1,SMALL(Dong,ROWS($1:38)),))))</f>
        <v>0</v>
      </c>
      <c r="G49" s="303">
        <f ca="1">IF($M$6="Q4",IF(ROWS($1:38)&gt;COUNT(Dong2),0,OFFSET('Q4-VND'!I$1,SMALL(Dong2,ROWS($1:38)),)),IF($M$6="Q11",IF(ROWS($1:38)&gt;COUNT(Dong),0,OFFSET('Q11-VND'!I$1,SMALL(Dong,ROWS($1:38)),)),IF(ROWS($1:38)&gt;COUNT(Dong),IF(ROWS($1:38)&gt;COUNT(Dong,Dong2),0,OFFSET('Q4-VND'!I$1,SMALL(Dong2,ROWS($1:38)-COUNT(Dong)),)),OFFSET('Q11-VND'!I$1,SMALL(Dong,ROWS($1:38)),))))</f>
        <v>27361620</v>
      </c>
      <c r="H49" s="304">
        <f t="shared" ca="1" si="1"/>
        <v>228691938</v>
      </c>
      <c r="I49" s="304"/>
      <c r="J49" s="335"/>
    </row>
    <row r="50" spans="1:10" s="287" customFormat="1" ht="21" customHeight="1">
      <c r="A50" s="300">
        <f ca="1">IF($M$6="Q4",IF(ROWS($1:39)&gt;COUNT(Dong2),"",OFFSET('Q4-VND'!B$1,SMALL(Dong2,ROWS($1:39)),)),IF($M$6="Q11",IF(ROWS($1:39)&gt;COUNT(Dong),"",OFFSET('Q11-VND'!B$1,SMALL(Dong,ROWS($1:39)),)),IF(ROWS($1:39)&gt;COUNT(Dong),IF(ROWS($1:39)&gt;COUNT(Dong,Dong2),"",OFFSET('Q4-VND'!B$1,SMALL(Dong2,ROWS($1:39)-COUNT(Dong)),)),OFFSET('Q11-VND'!B$1,SMALL(Dong,ROWS($1:39)),))))</f>
        <v>41465</v>
      </c>
      <c r="B50" s="300" t="str">
        <f ca="1">IF($M$6="Q4",IF(ROWS($1:39)&gt;COUNT(Dong2),"",OFFSET('Q4-VND'!C$1,SMALL(Dong2,ROWS($1:39)),)),IF($M$6="Q11",IF(ROWS($1:39)&gt;COUNT(Dong),"",OFFSET('Q11-VND'!C$1,SMALL(Dong,ROWS($1:39)),)),IF(ROWS($1:39)&gt;COUNT(Dong),IF(ROWS($1:39)&gt;COUNT(Dong,Dong2),"",OFFSET('Q4-VND'!C$1,SMALL(Dong2,ROWS($1:39)-COUNT(Dong)),)),OFFSET('Q11-VND'!C$1,SMALL(Dong,ROWS($1:39)),))))</f>
        <v>GBN</v>
      </c>
      <c r="C50" s="300">
        <f ca="1">IF($M$6="Q4",IF(ROWS($1:39)&gt;COUNT(Dong2),"",OFFSET('Q4-VND'!D$1,SMALL(Dong2,ROWS($1:39)),)),IF($M$6="Q11",IF(ROWS($1:39)&gt;COUNT(Dong),"",OFFSET('Q11-VND'!D$1,SMALL(Dong,ROWS($1:39)),)),IF(ROWS($1:39)&gt;COUNT(Dong),IF(ROWS($1:39)&gt;COUNT(Dong,Dong2),"",OFFSET('Q4-VND'!D$1,SMALL(Dong2,ROWS($1:39)-COUNT(Dong)),)),OFFSET('Q11-VND'!D$1,SMALL(Dong,ROWS($1:39)),))))</f>
        <v>41465</v>
      </c>
      <c r="D50" s="301" t="str">
        <f ca="1">IF($M$6="Q4",IF(ROWS($1:39)&gt;COUNT(Dong2),"",OFFSET('Q4-VND'!E$1,SMALL(Dong2,ROWS($1:39)),)),IF($M$6="Q11",IF(ROWS($1:39)&gt;COUNT(Dong),"",OFFSET('Q11-VND'!E$1,SMALL(Dong,ROWS($1:39)),)),IF(ROWS($1:39)&gt;COUNT(Dong),IF(ROWS($1:39)&gt;COUNT(Dong,Dong2),"","Q4 - "&amp;OFFSET('Q4-VND'!E$1,SMALL(Dong2,ROWS($1:39)-COUNT(Dong)),)),"Q11 - "&amp;OFFSET('Q11-VND'!E$1,SMALL(Dong,ROWS($1:39)),))))</f>
        <v>Q11 - Phí thanh toán</v>
      </c>
      <c r="E50" s="302" t="str">
        <f ca="1">IF($M$6="Q4",IF(ROWS($1:39)&gt;COUNT(Dong2),"",OFFSET('Q4-VND'!G$1,SMALL(Dong2,ROWS($1:39)),)),IF($M$6="Q11",IF(ROWS($1:39)&gt;COUNT(Dong),"",OFFSET('Q11-VND'!G$1,SMALL(Dong,ROWS($1:39)),)),IF(ROWS($1:39)&gt;COUNT(Dong),IF(ROWS($1:39)&gt;COUNT(Dong,Dong2),"",OFFSET('Q4-VND'!G$1,SMALL(Dong2,ROWS($1:39)-COUNT(Dong)),)),OFFSET('Q11-VND'!G$1,SMALL(Dong,ROWS($1:39)),))))</f>
        <v>6422</v>
      </c>
      <c r="F50" s="303">
        <f ca="1">IF($M$6="Q4",IF(ROWS($1:39)&gt;COUNT(Dong2),0,OFFSET('Q4-VND'!H$1,SMALL(Dong2,ROWS($1:39)),)),IF($M$6="Q11",IF(ROWS($1:39)&gt;COUNT(Dong),0,OFFSET('Q11-VND'!H$1,SMALL(Dong,ROWS($1:39)),)),IF(ROWS($1:39)&gt;COUNT(Dong),IF(ROWS($1:39)&gt;COUNT(Dong,Dong2),0,OFFSET('Q4-VND'!H$1,SMALL(Dong2,ROWS($1:39)-COUNT(Dong)),)),OFFSET('Q11-VND'!H$1,SMALL(Dong,ROWS($1:39)),))))</f>
        <v>0</v>
      </c>
      <c r="G50" s="303">
        <f ca="1">IF($M$6="Q4",IF(ROWS($1:39)&gt;COUNT(Dong2),0,OFFSET('Q4-VND'!I$1,SMALL(Dong2,ROWS($1:39)),)),IF($M$6="Q11",IF(ROWS($1:39)&gt;COUNT(Dong),0,OFFSET('Q11-VND'!I$1,SMALL(Dong,ROWS($1:39)),)),IF(ROWS($1:39)&gt;COUNT(Dong),IF(ROWS($1:39)&gt;COUNT(Dong,Dong2),0,OFFSET('Q4-VND'!I$1,SMALL(Dong2,ROWS($1:39)-COUNT(Dong)),)),OFFSET('Q11-VND'!I$1,SMALL(Dong,ROWS($1:39)),))))</f>
        <v>20000</v>
      </c>
      <c r="H50" s="304">
        <f t="shared" ca="1" si="1"/>
        <v>228671938</v>
      </c>
      <c r="I50" s="304"/>
      <c r="J50" s="335"/>
    </row>
    <row r="51" spans="1:10" s="287" customFormat="1" ht="21" customHeight="1">
      <c r="A51" s="300">
        <f ca="1">IF($M$6="Q4",IF(ROWS($1:40)&gt;COUNT(Dong2),"",OFFSET('Q4-VND'!B$1,SMALL(Dong2,ROWS($1:40)),)),IF($M$6="Q11",IF(ROWS($1:40)&gt;COUNT(Dong),"",OFFSET('Q11-VND'!B$1,SMALL(Dong,ROWS($1:40)),)),IF(ROWS($1:40)&gt;COUNT(Dong),IF(ROWS($1:40)&gt;COUNT(Dong,Dong2),"",OFFSET('Q4-VND'!B$1,SMALL(Dong2,ROWS($1:40)-COUNT(Dong)),)),OFFSET('Q11-VND'!B$1,SMALL(Dong,ROWS($1:40)),))))</f>
        <v>41465</v>
      </c>
      <c r="B51" s="300" t="str">
        <f ca="1">IF($M$6="Q4",IF(ROWS($1:40)&gt;COUNT(Dong2),"",OFFSET('Q4-VND'!C$1,SMALL(Dong2,ROWS($1:40)),)),IF($M$6="Q11",IF(ROWS($1:40)&gt;COUNT(Dong),"",OFFSET('Q11-VND'!C$1,SMALL(Dong,ROWS($1:40)),)),IF(ROWS($1:40)&gt;COUNT(Dong),IF(ROWS($1:40)&gt;COUNT(Dong,Dong2),"",OFFSET('Q4-VND'!C$1,SMALL(Dong2,ROWS($1:40)-COUNT(Dong)),)),OFFSET('Q11-VND'!C$1,SMALL(Dong,ROWS($1:40)),))))</f>
        <v>GBN</v>
      </c>
      <c r="C51" s="300">
        <f ca="1">IF($M$6="Q4",IF(ROWS($1:40)&gt;COUNT(Dong2),"",OFFSET('Q4-VND'!D$1,SMALL(Dong2,ROWS($1:40)),)),IF($M$6="Q11",IF(ROWS($1:40)&gt;COUNT(Dong),"",OFFSET('Q11-VND'!D$1,SMALL(Dong,ROWS($1:40)),)),IF(ROWS($1:40)&gt;COUNT(Dong),IF(ROWS($1:40)&gt;COUNT(Dong,Dong2),"",OFFSET('Q4-VND'!D$1,SMALL(Dong2,ROWS($1:40)-COUNT(Dong)),)),OFFSET('Q11-VND'!D$1,SMALL(Dong,ROWS($1:40)),))))</f>
        <v>41465</v>
      </c>
      <c r="D51" s="301" t="str">
        <f ca="1">IF($M$6="Q4",IF(ROWS($1:40)&gt;COUNT(Dong2),"",OFFSET('Q4-VND'!E$1,SMALL(Dong2,ROWS($1:40)),)),IF($M$6="Q11",IF(ROWS($1:40)&gt;COUNT(Dong),"",OFFSET('Q11-VND'!E$1,SMALL(Dong,ROWS($1:40)),)),IF(ROWS($1:40)&gt;COUNT(Dong),IF(ROWS($1:40)&gt;COUNT(Dong,Dong2),"","Q4 - "&amp;OFFSET('Q4-VND'!E$1,SMALL(Dong2,ROWS($1:40)-COUNT(Dong)),)),"Q11 - "&amp;OFFSET('Q11-VND'!E$1,SMALL(Dong,ROWS($1:40)),))))</f>
        <v>Q11 - VAT Phí thanh toán</v>
      </c>
      <c r="E51" s="302" t="str">
        <f ca="1">IF($M$6="Q4",IF(ROWS($1:40)&gt;COUNT(Dong2),"",OFFSET('Q4-VND'!G$1,SMALL(Dong2,ROWS($1:40)),)),IF($M$6="Q11",IF(ROWS($1:40)&gt;COUNT(Dong),"",OFFSET('Q11-VND'!G$1,SMALL(Dong,ROWS($1:40)),)),IF(ROWS($1:40)&gt;COUNT(Dong),IF(ROWS($1:40)&gt;COUNT(Dong,Dong2),"",OFFSET('Q4-VND'!G$1,SMALL(Dong2,ROWS($1:40)-COUNT(Dong)),)),OFFSET('Q11-VND'!G$1,SMALL(Dong,ROWS($1:40)),))))</f>
        <v>1331</v>
      </c>
      <c r="F51" s="303">
        <f ca="1">IF($M$6="Q4",IF(ROWS($1:40)&gt;COUNT(Dong2),0,OFFSET('Q4-VND'!H$1,SMALL(Dong2,ROWS($1:40)),)),IF($M$6="Q11",IF(ROWS($1:40)&gt;COUNT(Dong),0,OFFSET('Q11-VND'!H$1,SMALL(Dong,ROWS($1:40)),)),IF(ROWS($1:40)&gt;COUNT(Dong),IF(ROWS($1:40)&gt;COUNT(Dong,Dong2),0,OFFSET('Q4-VND'!H$1,SMALL(Dong2,ROWS($1:40)-COUNT(Dong)),)),OFFSET('Q11-VND'!H$1,SMALL(Dong,ROWS($1:40)),))))</f>
        <v>0</v>
      </c>
      <c r="G51" s="303">
        <f ca="1">IF($M$6="Q4",IF(ROWS($1:40)&gt;COUNT(Dong2),0,OFFSET('Q4-VND'!I$1,SMALL(Dong2,ROWS($1:40)),)),IF($M$6="Q11",IF(ROWS($1:40)&gt;COUNT(Dong),0,OFFSET('Q11-VND'!I$1,SMALL(Dong,ROWS($1:40)),)),IF(ROWS($1:40)&gt;COUNT(Dong),IF(ROWS($1:40)&gt;COUNT(Dong,Dong2),0,OFFSET('Q4-VND'!I$1,SMALL(Dong2,ROWS($1:40)-COUNT(Dong)),)),OFFSET('Q11-VND'!I$1,SMALL(Dong,ROWS($1:40)),))))</f>
        <v>2000</v>
      </c>
      <c r="H51" s="304">
        <f t="shared" ca="1" si="1"/>
        <v>228669938</v>
      </c>
      <c r="I51" s="304"/>
      <c r="J51" s="335"/>
    </row>
    <row r="52" spans="1:10" s="287" customFormat="1" ht="21" customHeight="1">
      <c r="A52" s="300">
        <f ca="1">IF($M$6="Q4",IF(ROWS($1:41)&gt;COUNT(Dong2),"",OFFSET('Q4-VND'!B$1,SMALL(Dong2,ROWS($1:41)),)),IF($M$6="Q11",IF(ROWS($1:41)&gt;COUNT(Dong),"",OFFSET('Q11-VND'!B$1,SMALL(Dong,ROWS($1:41)),)),IF(ROWS($1:41)&gt;COUNT(Dong),IF(ROWS($1:41)&gt;COUNT(Dong,Dong2),"",OFFSET('Q4-VND'!B$1,SMALL(Dong2,ROWS($1:41)-COUNT(Dong)),)),OFFSET('Q11-VND'!B$1,SMALL(Dong,ROWS($1:41)),))))</f>
        <v>41465</v>
      </c>
      <c r="B52" s="300" t="str">
        <f ca="1">IF($M$6="Q4",IF(ROWS($1:41)&gt;COUNT(Dong2),"",OFFSET('Q4-VND'!C$1,SMALL(Dong2,ROWS($1:41)),)),IF($M$6="Q11",IF(ROWS($1:41)&gt;COUNT(Dong),"",OFFSET('Q11-VND'!C$1,SMALL(Dong,ROWS($1:41)),)),IF(ROWS($1:41)&gt;COUNT(Dong),IF(ROWS($1:41)&gt;COUNT(Dong,Dong2),"",OFFSET('Q4-VND'!C$1,SMALL(Dong2,ROWS($1:41)-COUNT(Dong)),)),OFFSET('Q11-VND'!C$1,SMALL(Dong,ROWS($1:41)),))))</f>
        <v>GBN</v>
      </c>
      <c r="C52" s="300">
        <f ca="1">IF($M$6="Q4",IF(ROWS($1:41)&gt;COUNT(Dong2),"",OFFSET('Q4-VND'!D$1,SMALL(Dong2,ROWS($1:41)),)),IF($M$6="Q11",IF(ROWS($1:41)&gt;COUNT(Dong),"",OFFSET('Q11-VND'!D$1,SMALL(Dong,ROWS($1:41)),)),IF(ROWS($1:41)&gt;COUNT(Dong),IF(ROWS($1:41)&gt;COUNT(Dong,Dong2),"",OFFSET('Q4-VND'!D$1,SMALL(Dong2,ROWS($1:41)-COUNT(Dong)),)),OFFSET('Q11-VND'!D$1,SMALL(Dong,ROWS($1:41)),))))</f>
        <v>41465</v>
      </c>
      <c r="D52" s="301" t="str">
        <f ca="1">IF($M$6="Q4",IF(ROWS($1:41)&gt;COUNT(Dong2),"",OFFSET('Q4-VND'!E$1,SMALL(Dong2,ROWS($1:41)),)),IF($M$6="Q11",IF(ROWS($1:41)&gt;COUNT(Dong),"",OFFSET('Q11-VND'!E$1,SMALL(Dong,ROWS($1:41)),)),IF(ROWS($1:41)&gt;COUNT(Dong),IF(ROWS($1:41)&gt;COUNT(Dong,Dong2),"","Q4 - "&amp;OFFSET('Q4-VND'!E$1,SMALL(Dong2,ROWS($1:41)-COUNT(Dong)),)),"Q11 - "&amp;OFFSET('Q11-VND'!E$1,SMALL(Dong,ROWS($1:41)),))))</f>
        <v>Q11 - Nộp tiền BHXH đến T6/2013</v>
      </c>
      <c r="E52" s="302" t="str">
        <f ca="1">IF($M$6="Q4",IF(ROWS($1:41)&gt;COUNT(Dong2),"",OFFSET('Q4-VND'!G$1,SMALL(Dong2,ROWS($1:41)),)),IF($M$6="Q11",IF(ROWS($1:41)&gt;COUNT(Dong),"",OFFSET('Q11-VND'!G$1,SMALL(Dong,ROWS($1:41)),)),IF(ROWS($1:41)&gt;COUNT(Dong),IF(ROWS($1:41)&gt;COUNT(Dong,Dong2),"",OFFSET('Q4-VND'!G$1,SMALL(Dong2,ROWS($1:41)-COUNT(Dong)),)),OFFSET('Q11-VND'!G$1,SMALL(Dong,ROWS($1:41)),))))</f>
        <v>3383</v>
      </c>
      <c r="F52" s="303">
        <f ca="1">IF($M$6="Q4",IF(ROWS($1:41)&gt;COUNT(Dong2),0,OFFSET('Q4-VND'!H$1,SMALL(Dong2,ROWS($1:41)),)),IF($M$6="Q11",IF(ROWS($1:41)&gt;COUNT(Dong),0,OFFSET('Q11-VND'!H$1,SMALL(Dong,ROWS($1:41)),)),IF(ROWS($1:41)&gt;COUNT(Dong),IF(ROWS($1:41)&gt;COUNT(Dong,Dong2),0,OFFSET('Q4-VND'!H$1,SMALL(Dong2,ROWS($1:41)-COUNT(Dong)),)),OFFSET('Q11-VND'!H$1,SMALL(Dong,ROWS($1:41)),))))</f>
        <v>0</v>
      </c>
      <c r="G52" s="303">
        <f ca="1">IF($M$6="Q4",IF(ROWS($1:41)&gt;COUNT(Dong2),0,OFFSET('Q4-VND'!I$1,SMALL(Dong2,ROWS($1:41)),)),IF($M$6="Q11",IF(ROWS($1:41)&gt;COUNT(Dong),0,OFFSET('Q11-VND'!I$1,SMALL(Dong,ROWS($1:41)),)),IF(ROWS($1:41)&gt;COUNT(Dong),IF(ROWS($1:41)&gt;COUNT(Dong,Dong2),0,OFFSET('Q4-VND'!I$1,SMALL(Dong2,ROWS($1:41)-COUNT(Dong)),)),OFFSET('Q11-VND'!I$1,SMALL(Dong,ROWS($1:41)),))))</f>
        <v>38124962</v>
      </c>
      <c r="H52" s="304">
        <f t="shared" ca="1" si="1"/>
        <v>190544976</v>
      </c>
      <c r="I52" s="304"/>
      <c r="J52" s="335"/>
    </row>
    <row r="53" spans="1:10" s="287" customFormat="1" ht="21" customHeight="1">
      <c r="A53" s="300">
        <f ca="1">IF($M$6="Q4",IF(ROWS($1:42)&gt;COUNT(Dong2),"",OFFSET('Q4-VND'!B$1,SMALL(Dong2,ROWS($1:42)),)),IF($M$6="Q11",IF(ROWS($1:42)&gt;COUNT(Dong),"",OFFSET('Q11-VND'!B$1,SMALL(Dong,ROWS($1:42)),)),IF(ROWS($1:42)&gt;COUNT(Dong),IF(ROWS($1:42)&gt;COUNT(Dong,Dong2),"",OFFSET('Q4-VND'!B$1,SMALL(Dong2,ROWS($1:42)-COUNT(Dong)),)),OFFSET('Q11-VND'!B$1,SMALL(Dong,ROWS($1:42)),))))</f>
        <v>41465</v>
      </c>
      <c r="B53" s="300" t="str">
        <f ca="1">IF($M$6="Q4",IF(ROWS($1:42)&gt;COUNT(Dong2),"",OFFSET('Q4-VND'!C$1,SMALL(Dong2,ROWS($1:42)),)),IF($M$6="Q11",IF(ROWS($1:42)&gt;COUNT(Dong),"",OFFSET('Q11-VND'!C$1,SMALL(Dong,ROWS($1:42)),)),IF(ROWS($1:42)&gt;COUNT(Dong),IF(ROWS($1:42)&gt;COUNT(Dong,Dong2),"",OFFSET('Q4-VND'!C$1,SMALL(Dong2,ROWS($1:42)-COUNT(Dong)),)),OFFSET('Q11-VND'!C$1,SMALL(Dong,ROWS($1:42)),))))</f>
        <v>GBN</v>
      </c>
      <c r="C53" s="300">
        <f ca="1">IF($M$6="Q4",IF(ROWS($1:42)&gt;COUNT(Dong2),"",OFFSET('Q4-VND'!D$1,SMALL(Dong2,ROWS($1:42)),)),IF($M$6="Q11",IF(ROWS($1:42)&gt;COUNT(Dong),"",OFFSET('Q11-VND'!D$1,SMALL(Dong,ROWS($1:42)),)),IF(ROWS($1:42)&gt;COUNT(Dong),IF(ROWS($1:42)&gt;COUNT(Dong,Dong2),"",OFFSET('Q4-VND'!D$1,SMALL(Dong2,ROWS($1:42)-COUNT(Dong)),)),OFFSET('Q11-VND'!D$1,SMALL(Dong,ROWS($1:42)),))))</f>
        <v>41465</v>
      </c>
      <c r="D53" s="301" t="str">
        <f ca="1">IF($M$6="Q4",IF(ROWS($1:42)&gt;COUNT(Dong2),"",OFFSET('Q4-VND'!E$1,SMALL(Dong2,ROWS($1:42)),)),IF($M$6="Q11",IF(ROWS($1:42)&gt;COUNT(Dong),"",OFFSET('Q11-VND'!E$1,SMALL(Dong,ROWS($1:42)),)),IF(ROWS($1:42)&gt;COUNT(Dong),IF(ROWS($1:42)&gt;COUNT(Dong,Dong2),"","Q4 - "&amp;OFFSET('Q4-VND'!E$1,SMALL(Dong2,ROWS($1:42)-COUNT(Dong)),)),"Q11 - "&amp;OFFSET('Q11-VND'!E$1,SMALL(Dong,ROWS($1:42)),))))</f>
        <v>Q11 - Nộp tiền BHYT đến T7/2013</v>
      </c>
      <c r="E53" s="302" t="str">
        <f ca="1">IF($M$6="Q4",IF(ROWS($1:42)&gt;COUNT(Dong2),"",OFFSET('Q4-VND'!G$1,SMALL(Dong2,ROWS($1:42)),)),IF($M$6="Q11",IF(ROWS($1:42)&gt;COUNT(Dong),"",OFFSET('Q11-VND'!G$1,SMALL(Dong,ROWS($1:42)),)),IF(ROWS($1:42)&gt;COUNT(Dong),IF(ROWS($1:42)&gt;COUNT(Dong,Dong2),"",OFFSET('Q4-VND'!G$1,SMALL(Dong2,ROWS($1:42)-COUNT(Dong)),)),OFFSET('Q11-VND'!G$1,SMALL(Dong,ROWS($1:42)),))))</f>
        <v>3384</v>
      </c>
      <c r="F53" s="303">
        <f ca="1">IF($M$6="Q4",IF(ROWS($1:42)&gt;COUNT(Dong2),0,OFFSET('Q4-VND'!H$1,SMALL(Dong2,ROWS($1:42)),)),IF($M$6="Q11",IF(ROWS($1:42)&gt;COUNT(Dong),0,OFFSET('Q11-VND'!H$1,SMALL(Dong,ROWS($1:42)),)),IF(ROWS($1:42)&gt;COUNT(Dong),IF(ROWS($1:42)&gt;COUNT(Dong,Dong2),0,OFFSET('Q4-VND'!H$1,SMALL(Dong2,ROWS($1:42)-COUNT(Dong)),)),OFFSET('Q11-VND'!H$1,SMALL(Dong,ROWS($1:42)),))))</f>
        <v>0</v>
      </c>
      <c r="G53" s="303">
        <f ca="1">IF($M$6="Q4",IF(ROWS($1:42)&gt;COUNT(Dong2),0,OFFSET('Q4-VND'!I$1,SMALL(Dong2,ROWS($1:42)),)),IF($M$6="Q11",IF(ROWS($1:42)&gt;COUNT(Dong),0,OFFSET('Q11-VND'!I$1,SMALL(Dong,ROWS($1:42)),)),IF(ROWS($1:42)&gt;COUNT(Dong),IF(ROWS($1:42)&gt;COUNT(Dong,Dong2),0,OFFSET('Q4-VND'!I$1,SMALL(Dong2,ROWS($1:42)-COUNT(Dong)),)),OFFSET('Q11-VND'!I$1,SMALL(Dong,ROWS($1:42)),))))</f>
        <v>9557511</v>
      </c>
      <c r="H53" s="304">
        <f t="shared" ca="1" si="1"/>
        <v>180987465</v>
      </c>
      <c r="I53" s="304"/>
      <c r="J53" s="335"/>
    </row>
    <row r="54" spans="1:10" s="287" customFormat="1" ht="21" customHeight="1">
      <c r="A54" s="300">
        <f ca="1">IF($M$6="Q4",IF(ROWS($1:43)&gt;COUNT(Dong2),"",OFFSET('Q4-VND'!B$1,SMALL(Dong2,ROWS($1:43)),)),IF($M$6="Q11",IF(ROWS($1:43)&gt;COUNT(Dong),"",OFFSET('Q11-VND'!B$1,SMALL(Dong,ROWS($1:43)),)),IF(ROWS($1:43)&gt;COUNT(Dong),IF(ROWS($1:43)&gt;COUNT(Dong,Dong2),"",OFFSET('Q4-VND'!B$1,SMALL(Dong2,ROWS($1:43)-COUNT(Dong)),)),OFFSET('Q11-VND'!B$1,SMALL(Dong,ROWS($1:43)),))))</f>
        <v>41465</v>
      </c>
      <c r="B54" s="300" t="str">
        <f ca="1">IF($M$6="Q4",IF(ROWS($1:43)&gt;COUNT(Dong2),"",OFFSET('Q4-VND'!C$1,SMALL(Dong2,ROWS($1:43)),)),IF($M$6="Q11",IF(ROWS($1:43)&gt;COUNT(Dong),"",OFFSET('Q11-VND'!C$1,SMALL(Dong,ROWS($1:43)),)),IF(ROWS($1:43)&gt;COUNT(Dong),IF(ROWS($1:43)&gt;COUNT(Dong,Dong2),"",OFFSET('Q4-VND'!C$1,SMALL(Dong2,ROWS($1:43)-COUNT(Dong)),)),OFFSET('Q11-VND'!C$1,SMALL(Dong,ROWS($1:43)),))))</f>
        <v>GBN</v>
      </c>
      <c r="C54" s="300">
        <f ca="1">IF($M$6="Q4",IF(ROWS($1:43)&gt;COUNT(Dong2),"",OFFSET('Q4-VND'!D$1,SMALL(Dong2,ROWS($1:43)),)),IF($M$6="Q11",IF(ROWS($1:43)&gt;COUNT(Dong),"",OFFSET('Q11-VND'!D$1,SMALL(Dong,ROWS($1:43)),)),IF(ROWS($1:43)&gt;COUNT(Dong),IF(ROWS($1:43)&gt;COUNT(Dong,Dong2),"",OFFSET('Q4-VND'!D$1,SMALL(Dong2,ROWS($1:43)-COUNT(Dong)),)),OFFSET('Q11-VND'!D$1,SMALL(Dong,ROWS($1:43)),))))</f>
        <v>41465</v>
      </c>
      <c r="D54" s="301" t="str">
        <f ca="1">IF($M$6="Q4",IF(ROWS($1:43)&gt;COUNT(Dong2),"",OFFSET('Q4-VND'!E$1,SMALL(Dong2,ROWS($1:43)),)),IF($M$6="Q11",IF(ROWS($1:43)&gt;COUNT(Dong),"",OFFSET('Q11-VND'!E$1,SMALL(Dong,ROWS($1:43)),)),IF(ROWS($1:43)&gt;COUNT(Dong),IF(ROWS($1:43)&gt;COUNT(Dong,Dong2),"","Q4 - "&amp;OFFSET('Q4-VND'!E$1,SMALL(Dong2,ROWS($1:43)-COUNT(Dong)),)),"Q11 - "&amp;OFFSET('Q11-VND'!E$1,SMALL(Dong,ROWS($1:43)),))))</f>
        <v>Q11 - Nộp tiền BHTN đến T7/2013</v>
      </c>
      <c r="E54" s="302" t="str">
        <f ca="1">IF($M$6="Q4",IF(ROWS($1:43)&gt;COUNT(Dong2),"",OFFSET('Q4-VND'!G$1,SMALL(Dong2,ROWS($1:43)),)),IF($M$6="Q11",IF(ROWS($1:43)&gt;COUNT(Dong),"",OFFSET('Q11-VND'!G$1,SMALL(Dong,ROWS($1:43)),)),IF(ROWS($1:43)&gt;COUNT(Dong),IF(ROWS($1:43)&gt;COUNT(Dong,Dong2),"",OFFSET('Q4-VND'!G$1,SMALL(Dong2,ROWS($1:43)-COUNT(Dong)),)),OFFSET('Q11-VND'!G$1,SMALL(Dong,ROWS($1:43)),))))</f>
        <v>3389</v>
      </c>
      <c r="F54" s="303">
        <f ca="1">IF($M$6="Q4",IF(ROWS($1:43)&gt;COUNT(Dong2),0,OFFSET('Q4-VND'!H$1,SMALL(Dong2,ROWS($1:43)),)),IF($M$6="Q11",IF(ROWS($1:43)&gt;COUNT(Dong),0,OFFSET('Q11-VND'!H$1,SMALL(Dong,ROWS($1:43)),)),IF(ROWS($1:43)&gt;COUNT(Dong),IF(ROWS($1:43)&gt;COUNT(Dong,Dong2),0,OFFSET('Q4-VND'!H$1,SMALL(Dong2,ROWS($1:43)-COUNT(Dong)),)),OFFSET('Q11-VND'!H$1,SMALL(Dong,ROWS($1:43)),))))</f>
        <v>0</v>
      </c>
      <c r="G54" s="303">
        <f ca="1">IF($M$6="Q4",IF(ROWS($1:43)&gt;COUNT(Dong2),0,OFFSET('Q4-VND'!I$1,SMALL(Dong2,ROWS($1:43)),)),IF($M$6="Q11",IF(ROWS($1:43)&gt;COUNT(Dong),0,OFFSET('Q11-VND'!I$1,SMALL(Dong,ROWS($1:43)),)),IF(ROWS($1:43)&gt;COUNT(Dong),IF(ROWS($1:43)&gt;COUNT(Dong,Dong2),0,OFFSET('Q4-VND'!I$1,SMALL(Dong2,ROWS($1:43)-COUNT(Dong)),)),OFFSET('Q11-VND'!I$1,SMALL(Dong,ROWS($1:43)),))))</f>
        <v>2317527</v>
      </c>
      <c r="H54" s="304">
        <f t="shared" ca="1" si="1"/>
        <v>178669938</v>
      </c>
      <c r="I54" s="304"/>
      <c r="J54" s="335"/>
    </row>
    <row r="55" spans="1:10" s="287" customFormat="1" ht="21" customHeight="1">
      <c r="A55" s="300">
        <f ca="1">IF($M$6="Q4",IF(ROWS($1:44)&gt;COUNT(Dong2),"",OFFSET('Q4-VND'!B$1,SMALL(Dong2,ROWS($1:44)),)),IF($M$6="Q11",IF(ROWS($1:44)&gt;COUNT(Dong),"",OFFSET('Q11-VND'!B$1,SMALL(Dong,ROWS($1:44)),)),IF(ROWS($1:44)&gt;COUNT(Dong),IF(ROWS($1:44)&gt;COUNT(Dong,Dong2),"",OFFSET('Q4-VND'!B$1,SMALL(Dong2,ROWS($1:44)-COUNT(Dong)),)),OFFSET('Q11-VND'!B$1,SMALL(Dong,ROWS($1:44)),))))</f>
        <v>41465</v>
      </c>
      <c r="B55" s="300" t="str">
        <f ca="1">IF($M$6="Q4",IF(ROWS($1:44)&gt;COUNT(Dong2),"",OFFSET('Q4-VND'!C$1,SMALL(Dong2,ROWS($1:44)),)),IF($M$6="Q11",IF(ROWS($1:44)&gt;COUNT(Dong),"",OFFSET('Q11-VND'!C$1,SMALL(Dong,ROWS($1:44)),)),IF(ROWS($1:44)&gt;COUNT(Dong),IF(ROWS($1:44)&gt;COUNT(Dong,Dong2),"",OFFSET('Q4-VND'!C$1,SMALL(Dong2,ROWS($1:44)-COUNT(Dong)),)),OFFSET('Q11-VND'!C$1,SMALL(Dong,ROWS($1:44)),))))</f>
        <v>GBN</v>
      </c>
      <c r="C55" s="300">
        <f ca="1">IF($M$6="Q4",IF(ROWS($1:44)&gt;COUNT(Dong2),"",OFFSET('Q4-VND'!D$1,SMALL(Dong2,ROWS($1:44)),)),IF($M$6="Q11",IF(ROWS($1:44)&gt;COUNT(Dong),"",OFFSET('Q11-VND'!D$1,SMALL(Dong,ROWS($1:44)),)),IF(ROWS($1:44)&gt;COUNT(Dong),IF(ROWS($1:44)&gt;COUNT(Dong,Dong2),"",OFFSET('Q4-VND'!D$1,SMALL(Dong2,ROWS($1:44)-COUNT(Dong)),)),OFFSET('Q11-VND'!D$1,SMALL(Dong,ROWS($1:44)),))))</f>
        <v>41465</v>
      </c>
      <c r="D55" s="301" t="str">
        <f ca="1">IF($M$6="Q4",IF(ROWS($1:44)&gt;COUNT(Dong2),"",OFFSET('Q4-VND'!E$1,SMALL(Dong2,ROWS($1:44)),)),IF($M$6="Q11",IF(ROWS($1:44)&gt;COUNT(Dong),"",OFFSET('Q11-VND'!E$1,SMALL(Dong,ROWS($1:44)),)),IF(ROWS($1:44)&gt;COUNT(Dong),IF(ROWS($1:44)&gt;COUNT(Dong,Dong2),"","Q4 - "&amp;OFFSET('Q4-VND'!E$1,SMALL(Dong2,ROWS($1:44)-COUNT(Dong)),)),"Q11 - "&amp;OFFSET('Q11-VND'!E$1,SMALL(Dong,ROWS($1:44)),))))</f>
        <v>Q11 - Phí thanh toán</v>
      </c>
      <c r="E55" s="302" t="str">
        <f ca="1">IF($M$6="Q4",IF(ROWS($1:44)&gt;COUNT(Dong2),"",OFFSET('Q4-VND'!G$1,SMALL(Dong2,ROWS($1:44)),)),IF($M$6="Q11",IF(ROWS($1:44)&gt;COUNT(Dong),"",OFFSET('Q11-VND'!G$1,SMALL(Dong,ROWS($1:44)),)),IF(ROWS($1:44)&gt;COUNT(Dong),IF(ROWS($1:44)&gt;COUNT(Dong,Dong2),"",OFFSET('Q4-VND'!G$1,SMALL(Dong2,ROWS($1:44)-COUNT(Dong)),)),OFFSET('Q11-VND'!G$1,SMALL(Dong,ROWS($1:44)),))))</f>
        <v>6422</v>
      </c>
      <c r="F55" s="303">
        <f ca="1">IF($M$6="Q4",IF(ROWS($1:44)&gt;COUNT(Dong2),0,OFFSET('Q4-VND'!H$1,SMALL(Dong2,ROWS($1:44)),)),IF($M$6="Q11",IF(ROWS($1:44)&gt;COUNT(Dong),0,OFFSET('Q11-VND'!H$1,SMALL(Dong,ROWS($1:44)),)),IF(ROWS($1:44)&gt;COUNT(Dong),IF(ROWS($1:44)&gt;COUNT(Dong,Dong2),0,OFFSET('Q4-VND'!H$1,SMALL(Dong2,ROWS($1:44)-COUNT(Dong)),)),OFFSET('Q11-VND'!H$1,SMALL(Dong,ROWS($1:44)),))))</f>
        <v>0</v>
      </c>
      <c r="G55" s="303">
        <f ca="1">IF($M$6="Q4",IF(ROWS($1:44)&gt;COUNT(Dong2),0,OFFSET('Q4-VND'!I$1,SMALL(Dong2,ROWS($1:44)),)),IF($M$6="Q11",IF(ROWS($1:44)&gt;COUNT(Dong),0,OFFSET('Q11-VND'!I$1,SMALL(Dong,ROWS($1:44)),)),IF(ROWS($1:44)&gt;COUNT(Dong),IF(ROWS($1:44)&gt;COUNT(Dong,Dong2),0,OFFSET('Q4-VND'!I$1,SMALL(Dong2,ROWS($1:44)-COUNT(Dong)),)),OFFSET('Q11-VND'!I$1,SMALL(Dong,ROWS($1:44)),))))</f>
        <v>25000</v>
      </c>
      <c r="H55" s="304">
        <f t="shared" ca="1" si="1"/>
        <v>178644938</v>
      </c>
      <c r="I55" s="304"/>
      <c r="J55" s="335"/>
    </row>
    <row r="56" spans="1:10" s="287" customFormat="1" ht="21" customHeight="1">
      <c r="A56" s="300">
        <f ca="1">IF($M$6="Q4",IF(ROWS($1:45)&gt;COUNT(Dong2),"",OFFSET('Q4-VND'!B$1,SMALL(Dong2,ROWS($1:45)),)),IF($M$6="Q11",IF(ROWS($1:45)&gt;COUNT(Dong),"",OFFSET('Q11-VND'!B$1,SMALL(Dong,ROWS($1:45)),)),IF(ROWS($1:45)&gt;COUNT(Dong),IF(ROWS($1:45)&gt;COUNT(Dong,Dong2),"",OFFSET('Q4-VND'!B$1,SMALL(Dong2,ROWS($1:45)-COUNT(Dong)),)),OFFSET('Q11-VND'!B$1,SMALL(Dong,ROWS($1:45)),))))</f>
        <v>41465</v>
      </c>
      <c r="B56" s="300" t="str">
        <f ca="1">IF($M$6="Q4",IF(ROWS($1:45)&gt;COUNT(Dong2),"",OFFSET('Q4-VND'!C$1,SMALL(Dong2,ROWS($1:45)),)),IF($M$6="Q11",IF(ROWS($1:45)&gt;COUNT(Dong),"",OFFSET('Q11-VND'!C$1,SMALL(Dong,ROWS($1:45)),)),IF(ROWS($1:45)&gt;COUNT(Dong),IF(ROWS($1:45)&gt;COUNT(Dong,Dong2),"",OFFSET('Q4-VND'!C$1,SMALL(Dong2,ROWS($1:45)-COUNT(Dong)),)),OFFSET('Q11-VND'!C$1,SMALL(Dong,ROWS($1:45)),))))</f>
        <v>GBN</v>
      </c>
      <c r="C56" s="300">
        <f ca="1">IF($M$6="Q4",IF(ROWS($1:45)&gt;COUNT(Dong2),"",OFFSET('Q4-VND'!D$1,SMALL(Dong2,ROWS($1:45)),)),IF($M$6="Q11",IF(ROWS($1:45)&gt;COUNT(Dong),"",OFFSET('Q11-VND'!D$1,SMALL(Dong,ROWS($1:45)),)),IF(ROWS($1:45)&gt;COUNT(Dong),IF(ROWS($1:45)&gt;COUNT(Dong,Dong2),"",OFFSET('Q4-VND'!D$1,SMALL(Dong2,ROWS($1:45)-COUNT(Dong)),)),OFFSET('Q11-VND'!D$1,SMALL(Dong,ROWS($1:45)),))))</f>
        <v>41465</v>
      </c>
      <c r="D56" s="301" t="str">
        <f ca="1">IF($M$6="Q4",IF(ROWS($1:45)&gt;COUNT(Dong2),"",OFFSET('Q4-VND'!E$1,SMALL(Dong2,ROWS($1:45)),)),IF($M$6="Q11",IF(ROWS($1:45)&gt;COUNT(Dong),"",OFFSET('Q11-VND'!E$1,SMALL(Dong,ROWS($1:45)),)),IF(ROWS($1:45)&gt;COUNT(Dong),IF(ROWS($1:45)&gt;COUNT(Dong,Dong2),"","Q4 - "&amp;OFFSET('Q4-VND'!E$1,SMALL(Dong2,ROWS($1:45)-COUNT(Dong)),)),"Q11 - "&amp;OFFSET('Q11-VND'!E$1,SMALL(Dong,ROWS($1:45)),))))</f>
        <v>Q11 - VAT Phí thanh toán</v>
      </c>
      <c r="E56" s="302" t="str">
        <f ca="1">IF($M$6="Q4",IF(ROWS($1:45)&gt;COUNT(Dong2),"",OFFSET('Q4-VND'!G$1,SMALL(Dong2,ROWS($1:45)),)),IF($M$6="Q11",IF(ROWS($1:45)&gt;COUNT(Dong),"",OFFSET('Q11-VND'!G$1,SMALL(Dong,ROWS($1:45)),)),IF(ROWS($1:45)&gt;COUNT(Dong),IF(ROWS($1:45)&gt;COUNT(Dong,Dong2),"",OFFSET('Q4-VND'!G$1,SMALL(Dong2,ROWS($1:45)-COUNT(Dong)),)),OFFSET('Q11-VND'!G$1,SMALL(Dong,ROWS($1:45)),))))</f>
        <v>1331</v>
      </c>
      <c r="F56" s="303">
        <f ca="1">IF($M$6="Q4",IF(ROWS($1:45)&gt;COUNT(Dong2),0,OFFSET('Q4-VND'!H$1,SMALL(Dong2,ROWS($1:45)),)),IF($M$6="Q11",IF(ROWS($1:45)&gt;COUNT(Dong),0,OFFSET('Q11-VND'!H$1,SMALL(Dong,ROWS($1:45)),)),IF(ROWS($1:45)&gt;COUNT(Dong),IF(ROWS($1:45)&gt;COUNT(Dong,Dong2),0,OFFSET('Q4-VND'!H$1,SMALL(Dong2,ROWS($1:45)-COUNT(Dong)),)),OFFSET('Q11-VND'!H$1,SMALL(Dong,ROWS($1:45)),))))</f>
        <v>0</v>
      </c>
      <c r="G56" s="303">
        <f ca="1">IF($M$6="Q4",IF(ROWS($1:45)&gt;COUNT(Dong2),0,OFFSET('Q4-VND'!I$1,SMALL(Dong2,ROWS($1:45)),)),IF($M$6="Q11",IF(ROWS($1:45)&gt;COUNT(Dong),0,OFFSET('Q11-VND'!I$1,SMALL(Dong,ROWS($1:45)),)),IF(ROWS($1:45)&gt;COUNT(Dong),IF(ROWS($1:45)&gt;COUNT(Dong,Dong2),0,OFFSET('Q4-VND'!I$1,SMALL(Dong2,ROWS($1:45)-COUNT(Dong)),)),OFFSET('Q11-VND'!I$1,SMALL(Dong,ROWS($1:45)),))))</f>
        <v>2500</v>
      </c>
      <c r="H56" s="304">
        <f t="shared" ca="1" si="1"/>
        <v>178642438</v>
      </c>
      <c r="I56" s="304"/>
      <c r="J56" s="335"/>
    </row>
    <row r="57" spans="1:10" s="287" customFormat="1" ht="21" customHeight="1">
      <c r="A57" s="300">
        <f ca="1">IF($M$6="Q4",IF(ROWS($1:46)&gt;COUNT(Dong2),"",OFFSET('Q4-VND'!B$1,SMALL(Dong2,ROWS($1:46)),)),IF($M$6="Q11",IF(ROWS($1:46)&gt;COUNT(Dong),"",OFFSET('Q11-VND'!B$1,SMALL(Dong,ROWS($1:46)),)),IF(ROWS($1:46)&gt;COUNT(Dong),IF(ROWS($1:46)&gt;COUNT(Dong,Dong2),"",OFFSET('Q4-VND'!B$1,SMALL(Dong2,ROWS($1:46)-COUNT(Dong)),)),OFFSET('Q11-VND'!B$1,SMALL(Dong,ROWS($1:46)),))))</f>
        <v>41466</v>
      </c>
      <c r="B57" s="300" t="str">
        <f ca="1">IF($M$6="Q4",IF(ROWS($1:46)&gt;COUNT(Dong2),"",OFFSET('Q4-VND'!C$1,SMALL(Dong2,ROWS($1:46)),)),IF($M$6="Q11",IF(ROWS($1:46)&gt;COUNT(Dong),"",OFFSET('Q11-VND'!C$1,SMALL(Dong,ROWS($1:46)),)),IF(ROWS($1:46)&gt;COUNT(Dong),IF(ROWS($1:46)&gt;COUNT(Dong,Dong2),"",OFFSET('Q4-VND'!C$1,SMALL(Dong2,ROWS($1:46)-COUNT(Dong)),)),OFFSET('Q11-VND'!C$1,SMALL(Dong,ROWS($1:46)),))))</f>
        <v>CHI</v>
      </c>
      <c r="C57" s="300">
        <f ca="1">IF($M$6="Q4",IF(ROWS($1:46)&gt;COUNT(Dong2),"",OFFSET('Q4-VND'!D$1,SMALL(Dong2,ROWS($1:46)),)),IF($M$6="Q11",IF(ROWS($1:46)&gt;COUNT(Dong),"",OFFSET('Q11-VND'!D$1,SMALL(Dong,ROWS($1:46)),)),IF(ROWS($1:46)&gt;COUNT(Dong),IF(ROWS($1:46)&gt;COUNT(Dong,Dong2),"",OFFSET('Q4-VND'!D$1,SMALL(Dong2,ROWS($1:46)-COUNT(Dong)),)),OFFSET('Q11-VND'!D$1,SMALL(Dong,ROWS($1:46)),))))</f>
        <v>41466</v>
      </c>
      <c r="D57" s="301" t="str">
        <f ca="1">IF($M$6="Q4",IF(ROWS($1:46)&gt;COUNT(Dong2),"",OFFSET('Q4-VND'!E$1,SMALL(Dong2,ROWS($1:46)),)),IF($M$6="Q11",IF(ROWS($1:46)&gt;COUNT(Dong),"",OFFSET('Q11-VND'!E$1,SMALL(Dong,ROWS($1:46)),)),IF(ROWS($1:46)&gt;COUNT(Dong),IF(ROWS($1:46)&gt;COUNT(Dong,Dong2),"","Q4 - "&amp;OFFSET('Q4-VND'!E$1,SMALL(Dong2,ROWS($1:46)-COUNT(Dong)),)),"Q11 - "&amp;OFFSET('Q11-VND'!E$1,SMALL(Dong,ROWS($1:46)),))))</f>
        <v>Q11 - Nộp tiền vào TK</v>
      </c>
      <c r="E57" s="302" t="str">
        <f ca="1">IF($M$6="Q4",IF(ROWS($1:46)&gt;COUNT(Dong2),"",OFFSET('Q4-VND'!G$1,SMALL(Dong2,ROWS($1:46)),)),IF($M$6="Q11",IF(ROWS($1:46)&gt;COUNT(Dong),"",OFFSET('Q11-VND'!G$1,SMALL(Dong,ROWS($1:46)),)),IF(ROWS($1:46)&gt;COUNT(Dong),IF(ROWS($1:46)&gt;COUNT(Dong,Dong2),"",OFFSET('Q4-VND'!G$1,SMALL(Dong2,ROWS($1:46)-COUNT(Dong)),)),OFFSET('Q11-VND'!G$1,SMALL(Dong,ROWS($1:46)),))))</f>
        <v>1111</v>
      </c>
      <c r="F57" s="303">
        <f ca="1">IF($M$6="Q4",IF(ROWS($1:46)&gt;COUNT(Dong2),0,OFFSET('Q4-VND'!H$1,SMALL(Dong2,ROWS($1:46)),)),IF($M$6="Q11",IF(ROWS($1:46)&gt;COUNT(Dong),0,OFFSET('Q11-VND'!H$1,SMALL(Dong,ROWS($1:46)),)),IF(ROWS($1:46)&gt;COUNT(Dong),IF(ROWS($1:46)&gt;COUNT(Dong,Dong2),0,OFFSET('Q4-VND'!H$1,SMALL(Dong2,ROWS($1:46)-COUNT(Dong)),)),OFFSET('Q11-VND'!H$1,SMALL(Dong,ROWS($1:46)),))))</f>
        <v>225000000</v>
      </c>
      <c r="G57" s="303">
        <f ca="1">IF($M$6="Q4",IF(ROWS($1:46)&gt;COUNT(Dong2),0,OFFSET('Q4-VND'!I$1,SMALL(Dong2,ROWS($1:46)),)),IF($M$6="Q11",IF(ROWS($1:46)&gt;COUNT(Dong),0,OFFSET('Q11-VND'!I$1,SMALL(Dong,ROWS($1:46)),)),IF(ROWS($1:46)&gt;COUNT(Dong),IF(ROWS($1:46)&gt;COUNT(Dong,Dong2),0,OFFSET('Q4-VND'!I$1,SMALL(Dong2,ROWS($1:46)-COUNT(Dong)),)),OFFSET('Q11-VND'!I$1,SMALL(Dong,ROWS($1:46)),))))</f>
        <v>0</v>
      </c>
      <c r="H57" s="304">
        <f t="shared" ca="1" si="1"/>
        <v>403642438</v>
      </c>
      <c r="I57" s="304"/>
      <c r="J57" s="335"/>
    </row>
    <row r="58" spans="1:10" s="287" customFormat="1" ht="21" customHeight="1">
      <c r="A58" s="300">
        <f ca="1">IF($M$6="Q4",IF(ROWS($1:47)&gt;COUNT(Dong2),"",OFFSET('Q4-VND'!B$1,SMALL(Dong2,ROWS($1:47)),)),IF($M$6="Q11",IF(ROWS($1:47)&gt;COUNT(Dong),"",OFFSET('Q11-VND'!B$1,SMALL(Dong,ROWS($1:47)),)),IF(ROWS($1:47)&gt;COUNT(Dong),IF(ROWS($1:47)&gt;COUNT(Dong,Dong2),"",OFFSET('Q4-VND'!B$1,SMALL(Dong2,ROWS($1:47)-COUNT(Dong)),)),OFFSET('Q11-VND'!B$1,SMALL(Dong,ROWS($1:47)),))))</f>
        <v>41466</v>
      </c>
      <c r="B58" s="300" t="str">
        <f ca="1">IF($M$6="Q4",IF(ROWS($1:47)&gt;COUNT(Dong2),"",OFFSET('Q4-VND'!C$1,SMALL(Dong2,ROWS($1:47)),)),IF($M$6="Q11",IF(ROWS($1:47)&gt;COUNT(Dong),"",OFFSET('Q11-VND'!C$1,SMALL(Dong,ROWS($1:47)),)),IF(ROWS($1:47)&gt;COUNT(Dong),IF(ROWS($1:47)&gt;COUNT(Dong,Dong2),"",OFFSET('Q4-VND'!C$1,SMALL(Dong2,ROWS($1:47)-COUNT(Dong)),)),OFFSET('Q11-VND'!C$1,SMALL(Dong,ROWS($1:47)),))))</f>
        <v>GBN</v>
      </c>
      <c r="C58" s="300">
        <f ca="1">IF($M$6="Q4",IF(ROWS($1:47)&gt;COUNT(Dong2),"",OFFSET('Q4-VND'!D$1,SMALL(Dong2,ROWS($1:47)),)),IF($M$6="Q11",IF(ROWS($1:47)&gt;COUNT(Dong),"",OFFSET('Q11-VND'!D$1,SMALL(Dong,ROWS($1:47)),)),IF(ROWS($1:47)&gt;COUNT(Dong),IF(ROWS($1:47)&gt;COUNT(Dong,Dong2),"",OFFSET('Q4-VND'!D$1,SMALL(Dong2,ROWS($1:47)-COUNT(Dong)),)),OFFSET('Q11-VND'!D$1,SMALL(Dong,ROWS($1:47)),))))</f>
        <v>41466</v>
      </c>
      <c r="D58" s="301" t="str">
        <f ca="1">IF($M$6="Q4",IF(ROWS($1:47)&gt;COUNT(Dong2),"",OFFSET('Q4-VND'!E$1,SMALL(Dong2,ROWS($1:47)),)),IF($M$6="Q11",IF(ROWS($1:47)&gt;COUNT(Dong),"",OFFSET('Q11-VND'!E$1,SMALL(Dong,ROWS($1:47)),)),IF(ROWS($1:47)&gt;COUNT(Dong),IF(ROWS($1:47)&gt;COUNT(Dong,Dong2),"","Q4 - "&amp;OFFSET('Q4-VND'!E$1,SMALL(Dong2,ROWS($1:47)-COUNT(Dong)),)),"Q11 - "&amp;OFFSET('Q11-VND'!E$1,SMALL(Dong,ROWS($1:47)),))))</f>
        <v>Q11 - Trả tieền mượn</v>
      </c>
      <c r="E58" s="302" t="str">
        <f ca="1">IF($M$6="Q4",IF(ROWS($1:47)&gt;COUNT(Dong2),"",OFFSET('Q4-VND'!G$1,SMALL(Dong2,ROWS($1:47)),)),IF($M$6="Q11",IF(ROWS($1:47)&gt;COUNT(Dong),"",OFFSET('Q11-VND'!G$1,SMALL(Dong,ROWS($1:47)),)),IF(ROWS($1:47)&gt;COUNT(Dong),IF(ROWS($1:47)&gt;COUNT(Dong,Dong2),"",OFFSET('Q4-VND'!G$1,SMALL(Dong2,ROWS($1:47)-COUNT(Dong)),)),OFFSET('Q11-VND'!G$1,SMALL(Dong,ROWS($1:47)),))))</f>
        <v>3388</v>
      </c>
      <c r="F58" s="303">
        <f ca="1">IF($M$6="Q4",IF(ROWS($1:47)&gt;COUNT(Dong2),0,OFFSET('Q4-VND'!H$1,SMALL(Dong2,ROWS($1:47)),)),IF($M$6="Q11",IF(ROWS($1:47)&gt;COUNT(Dong),0,OFFSET('Q11-VND'!H$1,SMALL(Dong,ROWS($1:47)),)),IF(ROWS($1:47)&gt;COUNT(Dong),IF(ROWS($1:47)&gt;COUNT(Dong,Dong2),0,OFFSET('Q4-VND'!H$1,SMALL(Dong2,ROWS($1:47)-COUNT(Dong)),)),OFFSET('Q11-VND'!H$1,SMALL(Dong,ROWS($1:47)),))))</f>
        <v>0</v>
      </c>
      <c r="G58" s="303">
        <f ca="1">IF($M$6="Q4",IF(ROWS($1:47)&gt;COUNT(Dong2),0,OFFSET('Q4-VND'!I$1,SMALL(Dong2,ROWS($1:47)),)),IF($M$6="Q11",IF(ROWS($1:47)&gt;COUNT(Dong),0,OFFSET('Q11-VND'!I$1,SMALL(Dong,ROWS($1:47)),)),IF(ROWS($1:47)&gt;COUNT(Dong),IF(ROWS($1:47)&gt;COUNT(Dong,Dong2),0,OFFSET('Q4-VND'!I$1,SMALL(Dong2,ROWS($1:47)-COUNT(Dong)),)),OFFSET('Q11-VND'!I$1,SMALL(Dong,ROWS($1:47)),))))</f>
        <v>400000000</v>
      </c>
      <c r="H58" s="304">
        <f t="shared" ca="1" si="1"/>
        <v>3642438</v>
      </c>
      <c r="I58" s="304"/>
      <c r="J58" s="335"/>
    </row>
    <row r="59" spans="1:10" s="287" customFormat="1" ht="21" customHeight="1">
      <c r="A59" s="300">
        <f ca="1">IF($M$6="Q4",IF(ROWS($1:48)&gt;COUNT(Dong2),"",OFFSET('Q4-VND'!B$1,SMALL(Dong2,ROWS($1:48)),)),IF($M$6="Q11",IF(ROWS($1:48)&gt;COUNT(Dong),"",OFFSET('Q11-VND'!B$1,SMALL(Dong,ROWS($1:48)),)),IF(ROWS($1:48)&gt;COUNT(Dong),IF(ROWS($1:48)&gt;COUNT(Dong,Dong2),"",OFFSET('Q4-VND'!B$1,SMALL(Dong2,ROWS($1:48)-COUNT(Dong)),)),OFFSET('Q11-VND'!B$1,SMALL(Dong,ROWS($1:48)),))))</f>
        <v>41466</v>
      </c>
      <c r="B59" s="300" t="str">
        <f ca="1">IF($M$6="Q4",IF(ROWS($1:48)&gt;COUNT(Dong2),"",OFFSET('Q4-VND'!C$1,SMALL(Dong2,ROWS($1:48)),)),IF($M$6="Q11",IF(ROWS($1:48)&gt;COUNT(Dong),"",OFFSET('Q11-VND'!C$1,SMALL(Dong,ROWS($1:48)),)),IF(ROWS($1:48)&gt;COUNT(Dong),IF(ROWS($1:48)&gt;COUNT(Dong,Dong2),"",OFFSET('Q4-VND'!C$1,SMALL(Dong2,ROWS($1:48)-COUNT(Dong)),)),OFFSET('Q11-VND'!C$1,SMALL(Dong,ROWS($1:48)),))))</f>
        <v>GBN</v>
      </c>
      <c r="C59" s="300">
        <f ca="1">IF($M$6="Q4",IF(ROWS($1:48)&gt;COUNT(Dong2),"",OFFSET('Q4-VND'!D$1,SMALL(Dong2,ROWS($1:48)),)),IF($M$6="Q11",IF(ROWS($1:48)&gt;COUNT(Dong),"",OFFSET('Q11-VND'!D$1,SMALL(Dong,ROWS($1:48)),)),IF(ROWS($1:48)&gt;COUNT(Dong),IF(ROWS($1:48)&gt;COUNT(Dong,Dong2),"",OFFSET('Q4-VND'!D$1,SMALL(Dong2,ROWS($1:48)-COUNT(Dong)),)),OFFSET('Q11-VND'!D$1,SMALL(Dong,ROWS($1:48)),))))</f>
        <v>41466</v>
      </c>
      <c r="D59" s="301" t="str">
        <f ca="1">IF($M$6="Q4",IF(ROWS($1:48)&gt;COUNT(Dong2),"",OFFSET('Q4-VND'!E$1,SMALL(Dong2,ROWS($1:48)),)),IF($M$6="Q11",IF(ROWS($1:48)&gt;COUNT(Dong),"",OFFSET('Q11-VND'!E$1,SMALL(Dong,ROWS($1:48)),)),IF(ROWS($1:48)&gt;COUNT(Dong),IF(ROWS($1:48)&gt;COUNT(Dong,Dong2),"","Q4 - "&amp;OFFSET('Q4-VND'!E$1,SMALL(Dong2,ROWS($1:48)-COUNT(Dong)),)),"Q11 - "&amp;OFFSET('Q11-VND'!E$1,SMALL(Dong,ROWS($1:48)),))))</f>
        <v>Q11 - Thu phí kiểm đếm</v>
      </c>
      <c r="E59" s="302" t="str">
        <f ca="1">IF($M$6="Q4",IF(ROWS($1:48)&gt;COUNT(Dong2),"",OFFSET('Q4-VND'!G$1,SMALL(Dong2,ROWS($1:48)),)),IF($M$6="Q11",IF(ROWS($1:48)&gt;COUNT(Dong),"",OFFSET('Q11-VND'!G$1,SMALL(Dong,ROWS($1:48)),)),IF(ROWS($1:48)&gt;COUNT(Dong),IF(ROWS($1:48)&gt;COUNT(Dong,Dong2),"",OFFSET('Q4-VND'!G$1,SMALL(Dong2,ROWS($1:48)-COUNT(Dong)),)),OFFSET('Q11-VND'!G$1,SMALL(Dong,ROWS($1:48)),))))</f>
        <v>6422</v>
      </c>
      <c r="F59" s="303">
        <f ca="1">IF($M$6="Q4",IF(ROWS($1:48)&gt;COUNT(Dong2),0,OFFSET('Q4-VND'!H$1,SMALL(Dong2,ROWS($1:48)),)),IF($M$6="Q11",IF(ROWS($1:48)&gt;COUNT(Dong),0,OFFSET('Q11-VND'!H$1,SMALL(Dong,ROWS($1:48)),)),IF(ROWS($1:48)&gt;COUNT(Dong),IF(ROWS($1:48)&gt;COUNT(Dong,Dong2),0,OFFSET('Q4-VND'!H$1,SMALL(Dong2,ROWS($1:48)-COUNT(Dong)),)),OFFSET('Q11-VND'!H$1,SMALL(Dong,ROWS($1:48)),))))</f>
        <v>0</v>
      </c>
      <c r="G59" s="303">
        <f ca="1">IF($M$6="Q4",IF(ROWS($1:48)&gt;COUNT(Dong2),0,OFFSET('Q4-VND'!I$1,SMALL(Dong2,ROWS($1:48)),)),IF($M$6="Q11",IF(ROWS($1:48)&gt;COUNT(Dong),0,OFFSET('Q11-VND'!I$1,SMALL(Dong,ROWS($1:48)),)),IF(ROWS($1:48)&gt;COUNT(Dong),IF(ROWS($1:48)&gt;COUNT(Dong,Dong2),0,OFFSET('Q4-VND'!I$1,SMALL(Dong2,ROWS($1:48)-COUNT(Dong)),)),OFFSET('Q11-VND'!I$1,SMALL(Dong,ROWS($1:48)),))))</f>
        <v>66645</v>
      </c>
      <c r="H59" s="304">
        <f t="shared" ca="1" si="1"/>
        <v>3575793</v>
      </c>
      <c r="I59" s="304"/>
      <c r="J59" s="335"/>
    </row>
    <row r="60" spans="1:10" s="287" customFormat="1" ht="21" customHeight="1">
      <c r="A60" s="300">
        <f ca="1">IF($M$6="Q4",IF(ROWS($1:49)&gt;COUNT(Dong2),"",OFFSET('Q4-VND'!B$1,SMALL(Dong2,ROWS($1:49)),)),IF($M$6="Q11",IF(ROWS($1:49)&gt;COUNT(Dong),"",OFFSET('Q11-VND'!B$1,SMALL(Dong,ROWS($1:49)),)),IF(ROWS($1:49)&gt;COUNT(Dong),IF(ROWS($1:49)&gt;COUNT(Dong,Dong2),"",OFFSET('Q4-VND'!B$1,SMALL(Dong2,ROWS($1:49)-COUNT(Dong)),)),OFFSET('Q11-VND'!B$1,SMALL(Dong,ROWS($1:49)),))))</f>
        <v>41466</v>
      </c>
      <c r="B60" s="300" t="str">
        <f ca="1">IF($M$6="Q4",IF(ROWS($1:49)&gt;COUNT(Dong2),"",OFFSET('Q4-VND'!C$1,SMALL(Dong2,ROWS($1:49)),)),IF($M$6="Q11",IF(ROWS($1:49)&gt;COUNT(Dong),"",OFFSET('Q11-VND'!C$1,SMALL(Dong,ROWS($1:49)),)),IF(ROWS($1:49)&gt;COUNT(Dong),IF(ROWS($1:49)&gt;COUNT(Dong,Dong2),"",OFFSET('Q4-VND'!C$1,SMALL(Dong2,ROWS($1:49)-COUNT(Dong)),)),OFFSET('Q11-VND'!C$1,SMALL(Dong,ROWS($1:49)),))))</f>
        <v>GBN</v>
      </c>
      <c r="C60" s="300">
        <f ca="1">IF($M$6="Q4",IF(ROWS($1:49)&gt;COUNT(Dong2),"",OFFSET('Q4-VND'!D$1,SMALL(Dong2,ROWS($1:49)),)),IF($M$6="Q11",IF(ROWS($1:49)&gt;COUNT(Dong),"",OFFSET('Q11-VND'!D$1,SMALL(Dong,ROWS($1:49)),)),IF(ROWS($1:49)&gt;COUNT(Dong),IF(ROWS($1:49)&gt;COUNT(Dong,Dong2),"",OFFSET('Q4-VND'!D$1,SMALL(Dong2,ROWS($1:49)-COUNT(Dong)),)),OFFSET('Q11-VND'!D$1,SMALL(Dong,ROWS($1:49)),))))</f>
        <v>41466</v>
      </c>
      <c r="D60" s="301" t="str">
        <f ca="1">IF($M$6="Q4",IF(ROWS($1:49)&gt;COUNT(Dong2),"",OFFSET('Q4-VND'!E$1,SMALL(Dong2,ROWS($1:49)),)),IF($M$6="Q11",IF(ROWS($1:49)&gt;COUNT(Dong),"",OFFSET('Q11-VND'!E$1,SMALL(Dong,ROWS($1:49)),)),IF(ROWS($1:49)&gt;COUNT(Dong),IF(ROWS($1:49)&gt;COUNT(Dong,Dong2),"","Q4 - "&amp;OFFSET('Q4-VND'!E$1,SMALL(Dong2,ROWS($1:49)-COUNT(Dong)),)),"Q11 - "&amp;OFFSET('Q11-VND'!E$1,SMALL(Dong,ROWS($1:49)),))))</f>
        <v>Q11 - VAT Thu phí kiểm đếm</v>
      </c>
      <c r="E60" s="302" t="str">
        <f ca="1">IF($M$6="Q4",IF(ROWS($1:49)&gt;COUNT(Dong2),"",OFFSET('Q4-VND'!G$1,SMALL(Dong2,ROWS($1:49)),)),IF($M$6="Q11",IF(ROWS($1:49)&gt;COUNT(Dong),"",OFFSET('Q11-VND'!G$1,SMALL(Dong,ROWS($1:49)),)),IF(ROWS($1:49)&gt;COUNT(Dong),IF(ROWS($1:49)&gt;COUNT(Dong,Dong2),"",OFFSET('Q4-VND'!G$1,SMALL(Dong2,ROWS($1:49)-COUNT(Dong)),)),OFFSET('Q11-VND'!G$1,SMALL(Dong,ROWS($1:49)),))))</f>
        <v>1331</v>
      </c>
      <c r="F60" s="303">
        <f ca="1">IF($M$6="Q4",IF(ROWS($1:49)&gt;COUNT(Dong2),0,OFFSET('Q4-VND'!H$1,SMALL(Dong2,ROWS($1:49)),)),IF($M$6="Q11",IF(ROWS($1:49)&gt;COUNT(Dong),0,OFFSET('Q11-VND'!H$1,SMALL(Dong,ROWS($1:49)),)),IF(ROWS($1:49)&gt;COUNT(Dong),IF(ROWS($1:49)&gt;COUNT(Dong,Dong2),0,OFFSET('Q4-VND'!H$1,SMALL(Dong2,ROWS($1:49)-COUNT(Dong)),)),OFFSET('Q11-VND'!H$1,SMALL(Dong,ROWS($1:49)),))))</f>
        <v>0</v>
      </c>
      <c r="G60" s="303">
        <f ca="1">IF($M$6="Q4",IF(ROWS($1:49)&gt;COUNT(Dong2),0,OFFSET('Q4-VND'!I$1,SMALL(Dong2,ROWS($1:49)),)),IF($M$6="Q11",IF(ROWS($1:49)&gt;COUNT(Dong),0,OFFSET('Q11-VND'!I$1,SMALL(Dong,ROWS($1:49)),)),IF(ROWS($1:49)&gt;COUNT(Dong),IF(ROWS($1:49)&gt;COUNT(Dong,Dong2),0,OFFSET('Q4-VND'!I$1,SMALL(Dong2,ROWS($1:49)-COUNT(Dong)),)),OFFSET('Q11-VND'!I$1,SMALL(Dong,ROWS($1:49)),))))</f>
        <v>6665</v>
      </c>
      <c r="H60" s="304">
        <f t="shared" ca="1" si="1"/>
        <v>3569128</v>
      </c>
      <c r="I60" s="304"/>
      <c r="J60" s="335"/>
    </row>
    <row r="61" spans="1:10" s="287" customFormat="1" ht="21" customHeight="1">
      <c r="A61" s="300">
        <f ca="1">IF($M$6="Q4",IF(ROWS($1:50)&gt;COUNT(Dong2),"",OFFSET('Q4-VND'!B$1,SMALL(Dong2,ROWS($1:50)),)),IF($M$6="Q11",IF(ROWS($1:50)&gt;COUNT(Dong),"",OFFSET('Q11-VND'!B$1,SMALL(Dong,ROWS($1:50)),)),IF(ROWS($1:50)&gt;COUNT(Dong),IF(ROWS($1:50)&gt;COUNT(Dong,Dong2),"",OFFSET('Q4-VND'!B$1,SMALL(Dong2,ROWS($1:50)-COUNT(Dong)),)),OFFSET('Q11-VND'!B$1,SMALL(Dong,ROWS($1:50)),))))</f>
        <v>41471</v>
      </c>
      <c r="B61" s="300" t="str">
        <f ca="1">IF($M$6="Q4",IF(ROWS($1:50)&gt;COUNT(Dong2),"",OFFSET('Q4-VND'!C$1,SMALL(Dong2,ROWS($1:50)),)),IF($M$6="Q11",IF(ROWS($1:50)&gt;COUNT(Dong),"",OFFSET('Q11-VND'!C$1,SMALL(Dong,ROWS($1:50)),)),IF(ROWS($1:50)&gt;COUNT(Dong),IF(ROWS($1:50)&gt;COUNT(Dong,Dong2),"",OFFSET('Q4-VND'!C$1,SMALL(Dong2,ROWS($1:50)-COUNT(Dong)),)),OFFSET('Q11-VND'!C$1,SMALL(Dong,ROWS($1:50)),))))</f>
        <v>GBN</v>
      </c>
      <c r="C61" s="300">
        <f ca="1">IF($M$6="Q4",IF(ROWS($1:50)&gt;COUNT(Dong2),"",OFFSET('Q4-VND'!D$1,SMALL(Dong2,ROWS($1:50)),)),IF($M$6="Q11",IF(ROWS($1:50)&gt;COUNT(Dong),"",OFFSET('Q11-VND'!D$1,SMALL(Dong,ROWS($1:50)),)),IF(ROWS($1:50)&gt;COUNT(Dong),IF(ROWS($1:50)&gt;COUNT(Dong,Dong2),"",OFFSET('Q4-VND'!D$1,SMALL(Dong2,ROWS($1:50)-COUNT(Dong)),)),OFFSET('Q11-VND'!D$1,SMALL(Dong,ROWS($1:50)),))))</f>
        <v>41471</v>
      </c>
      <c r="D61" s="301" t="str">
        <f ca="1">IF($M$6="Q4",IF(ROWS($1:50)&gt;COUNT(Dong2),"",OFFSET('Q4-VND'!E$1,SMALL(Dong2,ROWS($1:50)),)),IF($M$6="Q11",IF(ROWS($1:50)&gt;COUNT(Dong),"",OFFSET('Q11-VND'!E$1,SMALL(Dong,ROWS($1:50)),)),IF(ROWS($1:50)&gt;COUNT(Dong),IF(ROWS($1:50)&gt;COUNT(Dong,Dong2),"","Q4 - "&amp;OFFSET('Q4-VND'!E$1,SMALL(Dong2,ROWS($1:50)-COUNT(Dong)),)),"Q11 - "&amp;OFFSET('Q11-VND'!E$1,SMALL(Dong,ROWS($1:50)),))))</f>
        <v>Q11 - Bán NT</v>
      </c>
      <c r="E61" s="302" t="str">
        <f ca="1">IF($M$6="Q4",IF(ROWS($1:50)&gt;COUNT(Dong2),"",OFFSET('Q4-VND'!G$1,SMALL(Dong2,ROWS($1:50)),)),IF($M$6="Q11",IF(ROWS($1:50)&gt;COUNT(Dong),"",OFFSET('Q11-VND'!G$1,SMALL(Dong,ROWS($1:50)),)),IF(ROWS($1:50)&gt;COUNT(Dong),IF(ROWS($1:50)&gt;COUNT(Dong,Dong2),"",OFFSET('Q4-VND'!G$1,SMALL(Dong2,ROWS($1:50)-COUNT(Dong)),)),OFFSET('Q11-VND'!G$1,SMALL(Dong,ROWS($1:50)),))))</f>
        <v>1122</v>
      </c>
      <c r="F61" s="303">
        <f ca="1">IF($M$6="Q4",IF(ROWS($1:50)&gt;COUNT(Dong2),0,OFFSET('Q4-VND'!H$1,SMALL(Dong2,ROWS($1:50)),)),IF($M$6="Q11",IF(ROWS($1:50)&gt;COUNT(Dong),0,OFFSET('Q11-VND'!H$1,SMALL(Dong,ROWS($1:50)),)),IF(ROWS($1:50)&gt;COUNT(Dong),IF(ROWS($1:50)&gt;COUNT(Dong,Dong2),0,OFFSET('Q4-VND'!H$1,SMALL(Dong2,ROWS($1:50)-COUNT(Dong)),)),OFFSET('Q11-VND'!H$1,SMALL(Dong,ROWS($1:50)),))))</f>
        <v>2015900000</v>
      </c>
      <c r="G61" s="303">
        <f ca="1">IF($M$6="Q4",IF(ROWS($1:50)&gt;COUNT(Dong2),0,OFFSET('Q4-VND'!I$1,SMALL(Dong2,ROWS($1:50)),)),IF($M$6="Q11",IF(ROWS($1:50)&gt;COUNT(Dong),0,OFFSET('Q11-VND'!I$1,SMALL(Dong,ROWS($1:50)),)),IF(ROWS($1:50)&gt;COUNT(Dong),IF(ROWS($1:50)&gt;COUNT(Dong,Dong2),0,OFFSET('Q4-VND'!I$1,SMALL(Dong2,ROWS($1:50)-COUNT(Dong)),)),OFFSET('Q11-VND'!I$1,SMALL(Dong,ROWS($1:50)),))))</f>
        <v>0</v>
      </c>
      <c r="H61" s="304">
        <f t="shared" ca="1" si="1"/>
        <v>2019469128</v>
      </c>
      <c r="I61" s="304"/>
      <c r="J61" s="335"/>
    </row>
    <row r="62" spans="1:10" s="287" customFormat="1" ht="21" customHeight="1">
      <c r="A62" s="300">
        <f ca="1">IF($M$6="Q4",IF(ROWS($1:51)&gt;COUNT(Dong2),"",OFFSET('Q4-VND'!B$1,SMALL(Dong2,ROWS($1:51)),)),IF($M$6="Q11",IF(ROWS($1:51)&gt;COUNT(Dong),"",OFFSET('Q11-VND'!B$1,SMALL(Dong,ROWS($1:51)),)),IF(ROWS($1:51)&gt;COUNT(Dong),IF(ROWS($1:51)&gt;COUNT(Dong,Dong2),"",OFFSET('Q4-VND'!B$1,SMALL(Dong2,ROWS($1:51)-COUNT(Dong)),)),OFFSET('Q11-VND'!B$1,SMALL(Dong,ROWS($1:51)),))))</f>
        <v>41472</v>
      </c>
      <c r="B62" s="300" t="str">
        <f ca="1">IF($M$6="Q4",IF(ROWS($1:51)&gt;COUNT(Dong2),"",OFFSET('Q4-VND'!C$1,SMALL(Dong2,ROWS($1:51)),)),IF($M$6="Q11",IF(ROWS($1:51)&gt;COUNT(Dong),"",OFFSET('Q11-VND'!C$1,SMALL(Dong,ROWS($1:51)),)),IF(ROWS($1:51)&gt;COUNT(Dong),IF(ROWS($1:51)&gt;COUNT(Dong,Dong2),"",OFFSET('Q4-VND'!C$1,SMALL(Dong2,ROWS($1:51)-COUNT(Dong)),)),OFFSET('Q11-VND'!C$1,SMALL(Dong,ROWS($1:51)),))))</f>
        <v>GBN</v>
      </c>
      <c r="C62" s="300">
        <f ca="1">IF($M$6="Q4",IF(ROWS($1:51)&gt;COUNT(Dong2),"",OFFSET('Q4-VND'!D$1,SMALL(Dong2,ROWS($1:51)),)),IF($M$6="Q11",IF(ROWS($1:51)&gt;COUNT(Dong),"",OFFSET('Q11-VND'!D$1,SMALL(Dong,ROWS($1:51)),)),IF(ROWS($1:51)&gt;COUNT(Dong),IF(ROWS($1:51)&gt;COUNT(Dong,Dong2),"",OFFSET('Q4-VND'!D$1,SMALL(Dong2,ROWS($1:51)-COUNT(Dong)),)),OFFSET('Q11-VND'!D$1,SMALL(Dong,ROWS($1:51)),))))</f>
        <v>41472</v>
      </c>
      <c r="D62" s="301" t="str">
        <f ca="1">IF($M$6="Q4",IF(ROWS($1:51)&gt;COUNT(Dong2),"",OFFSET('Q4-VND'!E$1,SMALL(Dong2,ROWS($1:51)),)),IF($M$6="Q11",IF(ROWS($1:51)&gt;COUNT(Dong),"",OFFSET('Q11-VND'!E$1,SMALL(Dong,ROWS($1:51)),)),IF(ROWS($1:51)&gt;COUNT(Dong),IF(ROWS($1:51)&gt;COUNT(Dong,Dong2),"","Q4 - "&amp;OFFSET('Q4-VND'!E$1,SMALL(Dong2,ROWS($1:51)-COUNT(Dong)),)),"Q11 - "&amp;OFFSET('Q11-VND'!E$1,SMALL(Dong,ROWS($1:51)),))))</f>
        <v>Q11 - Bán ngoại tệ</v>
      </c>
      <c r="E62" s="302" t="str">
        <f ca="1">IF($M$6="Q4",IF(ROWS($1:51)&gt;COUNT(Dong2),"",OFFSET('Q4-VND'!G$1,SMALL(Dong2,ROWS($1:51)),)),IF($M$6="Q11",IF(ROWS($1:51)&gt;COUNT(Dong),"",OFFSET('Q11-VND'!G$1,SMALL(Dong,ROWS($1:51)),)),IF(ROWS($1:51)&gt;COUNT(Dong),IF(ROWS($1:51)&gt;COUNT(Dong,Dong2),"",OFFSET('Q4-VND'!G$1,SMALL(Dong2,ROWS($1:51)-COUNT(Dong)),)),OFFSET('Q11-VND'!G$1,SMALL(Dong,ROWS($1:51)),))))</f>
        <v>1122</v>
      </c>
      <c r="F62" s="303">
        <f ca="1">IF($M$6="Q4",IF(ROWS($1:51)&gt;COUNT(Dong2),0,OFFSET('Q4-VND'!H$1,SMALL(Dong2,ROWS($1:51)),)),IF($M$6="Q11",IF(ROWS($1:51)&gt;COUNT(Dong),0,OFFSET('Q11-VND'!H$1,SMALL(Dong,ROWS($1:51)),)),IF(ROWS($1:51)&gt;COUNT(Dong),IF(ROWS($1:51)&gt;COUNT(Dong,Dong2),0,OFFSET('Q4-VND'!H$1,SMALL(Dong2,ROWS($1:51)-COUNT(Dong)),)),OFFSET('Q11-VND'!H$1,SMALL(Dong,ROWS($1:51)),))))</f>
        <v>838585000</v>
      </c>
      <c r="G62" s="303">
        <f ca="1">IF($M$6="Q4",IF(ROWS($1:51)&gt;COUNT(Dong2),0,OFFSET('Q4-VND'!I$1,SMALL(Dong2,ROWS($1:51)),)),IF($M$6="Q11",IF(ROWS($1:51)&gt;COUNT(Dong),0,OFFSET('Q11-VND'!I$1,SMALL(Dong,ROWS($1:51)),)),IF(ROWS($1:51)&gt;COUNT(Dong),IF(ROWS($1:51)&gt;COUNT(Dong,Dong2),0,OFFSET('Q4-VND'!I$1,SMALL(Dong2,ROWS($1:51)-COUNT(Dong)),)),OFFSET('Q11-VND'!I$1,SMALL(Dong,ROWS($1:51)),))))</f>
        <v>0</v>
      </c>
      <c r="H62" s="304">
        <f t="shared" ca="1" si="1"/>
        <v>2858054128</v>
      </c>
      <c r="I62" s="304"/>
      <c r="J62" s="335"/>
    </row>
    <row r="63" spans="1:10" s="287" customFormat="1" ht="21" customHeight="1">
      <c r="A63" s="300">
        <f ca="1">IF($M$6="Q4",IF(ROWS($1:52)&gt;COUNT(Dong2),"",OFFSET('Q4-VND'!B$1,SMALL(Dong2,ROWS($1:52)),)),IF($M$6="Q11",IF(ROWS($1:52)&gt;COUNT(Dong),"",OFFSET('Q11-VND'!B$1,SMALL(Dong,ROWS($1:52)),)),IF(ROWS($1:52)&gt;COUNT(Dong),IF(ROWS($1:52)&gt;COUNT(Dong,Dong2),"",OFFSET('Q4-VND'!B$1,SMALL(Dong2,ROWS($1:52)-COUNT(Dong)),)),OFFSET('Q11-VND'!B$1,SMALL(Dong,ROWS($1:52)),))))</f>
        <v>41472</v>
      </c>
      <c r="B63" s="300" t="str">
        <f ca="1">IF($M$6="Q4",IF(ROWS($1:52)&gt;COUNT(Dong2),"",OFFSET('Q4-VND'!C$1,SMALL(Dong2,ROWS($1:52)),)),IF($M$6="Q11",IF(ROWS($1:52)&gt;COUNT(Dong),"",OFFSET('Q11-VND'!C$1,SMALL(Dong,ROWS($1:52)),)),IF(ROWS($1:52)&gt;COUNT(Dong),IF(ROWS($1:52)&gt;COUNT(Dong,Dong2),"",OFFSET('Q4-VND'!C$1,SMALL(Dong2,ROWS($1:52)-COUNT(Dong)),)),OFFSET('Q11-VND'!C$1,SMALL(Dong,ROWS($1:52)),))))</f>
        <v>GBN</v>
      </c>
      <c r="C63" s="300">
        <f ca="1">IF($M$6="Q4",IF(ROWS($1:52)&gt;COUNT(Dong2),"",OFFSET('Q4-VND'!D$1,SMALL(Dong2,ROWS($1:52)),)),IF($M$6="Q11",IF(ROWS($1:52)&gt;COUNT(Dong),"",OFFSET('Q11-VND'!D$1,SMALL(Dong,ROWS($1:52)),)),IF(ROWS($1:52)&gt;COUNT(Dong),IF(ROWS($1:52)&gt;COUNT(Dong,Dong2),"",OFFSET('Q4-VND'!D$1,SMALL(Dong2,ROWS($1:52)-COUNT(Dong)),)),OFFSET('Q11-VND'!D$1,SMALL(Dong,ROWS($1:52)),))))</f>
        <v>41472</v>
      </c>
      <c r="D63" s="301" t="str">
        <f ca="1">IF($M$6="Q4",IF(ROWS($1:52)&gt;COUNT(Dong2),"",OFFSET('Q4-VND'!E$1,SMALL(Dong2,ROWS($1:52)),)),IF($M$6="Q11",IF(ROWS($1:52)&gt;COUNT(Dong),"",OFFSET('Q11-VND'!E$1,SMALL(Dong,ROWS($1:52)),)),IF(ROWS($1:52)&gt;COUNT(Dong),IF(ROWS($1:52)&gt;COUNT(Dong,Dong2),"","Q4 - "&amp;OFFSET('Q4-VND'!E$1,SMALL(Dong2,ROWS($1:52)-COUNT(Dong)),)),"Q11 - "&amp;OFFSET('Q11-VND'!E$1,SMALL(Dong,ROWS($1:52)),))))</f>
        <v>Q11 - Trả tieền mượn</v>
      </c>
      <c r="E63" s="302" t="str">
        <f ca="1">IF($M$6="Q4",IF(ROWS($1:52)&gt;COUNT(Dong2),"",OFFSET('Q4-VND'!G$1,SMALL(Dong2,ROWS($1:52)),)),IF($M$6="Q11",IF(ROWS($1:52)&gt;COUNT(Dong),"",OFFSET('Q11-VND'!G$1,SMALL(Dong,ROWS($1:52)),)),IF(ROWS($1:52)&gt;COUNT(Dong),IF(ROWS($1:52)&gt;COUNT(Dong,Dong2),"",OFFSET('Q4-VND'!G$1,SMALL(Dong2,ROWS($1:52)-COUNT(Dong)),)),OFFSET('Q11-VND'!G$1,SMALL(Dong,ROWS($1:52)),))))</f>
        <v>3388</v>
      </c>
      <c r="F63" s="303">
        <f ca="1">IF($M$6="Q4",IF(ROWS($1:52)&gt;COUNT(Dong2),0,OFFSET('Q4-VND'!H$1,SMALL(Dong2,ROWS($1:52)),)),IF($M$6="Q11",IF(ROWS($1:52)&gt;COUNT(Dong),0,OFFSET('Q11-VND'!H$1,SMALL(Dong,ROWS($1:52)),)),IF(ROWS($1:52)&gt;COUNT(Dong),IF(ROWS($1:52)&gt;COUNT(Dong,Dong2),0,OFFSET('Q4-VND'!H$1,SMALL(Dong2,ROWS($1:52)-COUNT(Dong)),)),OFFSET('Q11-VND'!H$1,SMALL(Dong,ROWS($1:52)),))))</f>
        <v>0</v>
      </c>
      <c r="G63" s="303">
        <f ca="1">IF($M$6="Q4",IF(ROWS($1:52)&gt;COUNT(Dong2),0,OFFSET('Q4-VND'!I$1,SMALL(Dong2,ROWS($1:52)),)),IF($M$6="Q11",IF(ROWS($1:52)&gt;COUNT(Dong),0,OFFSET('Q11-VND'!I$1,SMALL(Dong,ROWS($1:52)),)),IF(ROWS($1:52)&gt;COUNT(Dong),IF(ROWS($1:52)&gt;COUNT(Dong,Dong2),0,OFFSET('Q4-VND'!I$1,SMALL(Dong2,ROWS($1:52)-COUNT(Dong)),)),OFFSET('Q11-VND'!I$1,SMALL(Dong,ROWS($1:52)),))))</f>
        <v>300000000</v>
      </c>
      <c r="H63" s="304">
        <f t="shared" ca="1" si="1"/>
        <v>2558054128</v>
      </c>
      <c r="I63" s="304"/>
      <c r="J63" s="335"/>
    </row>
    <row r="64" spans="1:10" s="287" customFormat="1" ht="21" customHeight="1">
      <c r="A64" s="300">
        <f ca="1">IF($M$6="Q4",IF(ROWS($1:53)&gt;COUNT(Dong2),"",OFFSET('Q4-VND'!B$1,SMALL(Dong2,ROWS($1:53)),)),IF($M$6="Q11",IF(ROWS($1:53)&gt;COUNT(Dong),"",OFFSET('Q11-VND'!B$1,SMALL(Dong,ROWS($1:53)),)),IF(ROWS($1:53)&gt;COUNT(Dong),IF(ROWS($1:53)&gt;COUNT(Dong,Dong2),"",OFFSET('Q4-VND'!B$1,SMALL(Dong2,ROWS($1:53)-COUNT(Dong)),)),OFFSET('Q11-VND'!B$1,SMALL(Dong,ROWS($1:53)),))))</f>
        <v>41472</v>
      </c>
      <c r="B64" s="300" t="str">
        <f ca="1">IF($M$6="Q4",IF(ROWS($1:53)&gt;COUNT(Dong2),"",OFFSET('Q4-VND'!C$1,SMALL(Dong2,ROWS($1:53)),)),IF($M$6="Q11",IF(ROWS($1:53)&gt;COUNT(Dong),"",OFFSET('Q11-VND'!C$1,SMALL(Dong,ROWS($1:53)),)),IF(ROWS($1:53)&gt;COUNT(Dong),IF(ROWS($1:53)&gt;COUNT(Dong,Dong2),"",OFFSET('Q4-VND'!C$1,SMALL(Dong2,ROWS($1:53)-COUNT(Dong)),)),OFFSET('Q11-VND'!C$1,SMALL(Dong,ROWS($1:53)),))))</f>
        <v>GBN</v>
      </c>
      <c r="C64" s="300">
        <f ca="1">IF($M$6="Q4",IF(ROWS($1:53)&gt;COUNT(Dong2),"",OFFSET('Q4-VND'!D$1,SMALL(Dong2,ROWS($1:53)),)),IF($M$6="Q11",IF(ROWS($1:53)&gt;COUNT(Dong),"",OFFSET('Q11-VND'!D$1,SMALL(Dong,ROWS($1:53)),)),IF(ROWS($1:53)&gt;COUNT(Dong),IF(ROWS($1:53)&gt;COUNT(Dong,Dong2),"",OFFSET('Q4-VND'!D$1,SMALL(Dong2,ROWS($1:53)-COUNT(Dong)),)),OFFSET('Q11-VND'!D$1,SMALL(Dong,ROWS($1:53)),))))</f>
        <v>41472</v>
      </c>
      <c r="D64" s="301" t="str">
        <f ca="1">IF($M$6="Q4",IF(ROWS($1:53)&gt;COUNT(Dong2),"",OFFSET('Q4-VND'!E$1,SMALL(Dong2,ROWS($1:53)),)),IF($M$6="Q11",IF(ROWS($1:53)&gt;COUNT(Dong),"",OFFSET('Q11-VND'!E$1,SMALL(Dong,ROWS($1:53)),)),IF(ROWS($1:53)&gt;COUNT(Dong),IF(ROWS($1:53)&gt;COUNT(Dong,Dong2),"","Q4 - "&amp;OFFSET('Q4-VND'!E$1,SMALL(Dong2,ROWS($1:53)-COUNT(Dong)),)),"Q11 - "&amp;OFFSET('Q11-VND'!E$1,SMALL(Dong,ROWS($1:53)),))))</f>
        <v>Q11 - Điện kỳ 1 T7/2013</v>
      </c>
      <c r="E64" s="302" t="str">
        <f ca="1">IF($M$6="Q4",IF(ROWS($1:53)&gt;COUNT(Dong2),"",OFFSET('Q4-VND'!G$1,SMALL(Dong2,ROWS($1:53)),)),IF($M$6="Q11",IF(ROWS($1:53)&gt;COUNT(Dong),"",OFFSET('Q11-VND'!G$1,SMALL(Dong,ROWS($1:53)),)),IF(ROWS($1:53)&gt;COUNT(Dong),IF(ROWS($1:53)&gt;COUNT(Dong,Dong2),"",OFFSET('Q4-VND'!G$1,SMALL(Dong2,ROWS($1:53)-COUNT(Dong)),)),OFFSET('Q11-VND'!G$1,SMALL(Dong,ROWS($1:53)),))))</f>
        <v>331</v>
      </c>
      <c r="F64" s="303">
        <f ca="1">IF($M$6="Q4",IF(ROWS($1:53)&gt;COUNT(Dong2),0,OFFSET('Q4-VND'!H$1,SMALL(Dong2,ROWS($1:53)),)),IF($M$6="Q11",IF(ROWS($1:53)&gt;COUNT(Dong),0,OFFSET('Q11-VND'!H$1,SMALL(Dong,ROWS($1:53)),)),IF(ROWS($1:53)&gt;COUNT(Dong),IF(ROWS($1:53)&gt;COUNT(Dong,Dong2),0,OFFSET('Q4-VND'!H$1,SMALL(Dong2,ROWS($1:53)-COUNT(Dong)),)),OFFSET('Q11-VND'!H$1,SMALL(Dong,ROWS($1:53)),))))</f>
        <v>0</v>
      </c>
      <c r="G64" s="303">
        <f ca="1">IF($M$6="Q4",IF(ROWS($1:53)&gt;COUNT(Dong2),0,OFFSET('Q4-VND'!I$1,SMALL(Dong2,ROWS($1:53)),)),IF($M$6="Q11",IF(ROWS($1:53)&gt;COUNT(Dong),0,OFFSET('Q11-VND'!I$1,SMALL(Dong,ROWS($1:53)),)),IF(ROWS($1:53)&gt;COUNT(Dong),IF(ROWS($1:53)&gt;COUNT(Dong,Dong2),0,OFFSET('Q4-VND'!I$1,SMALL(Dong2,ROWS($1:53)-COUNT(Dong)),)),OFFSET('Q11-VND'!I$1,SMALL(Dong,ROWS($1:53)),))))</f>
        <v>14609320</v>
      </c>
      <c r="H64" s="304">
        <f t="shared" ca="1" si="1"/>
        <v>2543444808</v>
      </c>
      <c r="I64" s="304"/>
      <c r="J64" s="335"/>
    </row>
    <row r="65" spans="1:10" s="287" customFormat="1" ht="21" customHeight="1">
      <c r="A65" s="300">
        <f ca="1">IF($M$6="Q4",IF(ROWS($1:54)&gt;COUNT(Dong2),"",OFFSET('Q4-VND'!B$1,SMALL(Dong2,ROWS($1:54)),)),IF($M$6="Q11",IF(ROWS($1:54)&gt;COUNT(Dong),"",OFFSET('Q11-VND'!B$1,SMALL(Dong,ROWS($1:54)),)),IF(ROWS($1:54)&gt;COUNT(Dong),IF(ROWS($1:54)&gt;COUNT(Dong,Dong2),"",OFFSET('Q4-VND'!B$1,SMALL(Dong2,ROWS($1:54)-COUNT(Dong)),)),OFFSET('Q11-VND'!B$1,SMALL(Dong,ROWS($1:54)),))))</f>
        <v>41472</v>
      </c>
      <c r="B65" s="300" t="str">
        <f ca="1">IF($M$6="Q4",IF(ROWS($1:54)&gt;COUNT(Dong2),"",OFFSET('Q4-VND'!C$1,SMALL(Dong2,ROWS($1:54)),)),IF($M$6="Q11",IF(ROWS($1:54)&gt;COUNT(Dong),"",OFFSET('Q11-VND'!C$1,SMALL(Dong,ROWS($1:54)),)),IF(ROWS($1:54)&gt;COUNT(Dong),IF(ROWS($1:54)&gt;COUNT(Dong,Dong2),"",OFFSET('Q4-VND'!C$1,SMALL(Dong2,ROWS($1:54)-COUNT(Dong)),)),OFFSET('Q11-VND'!C$1,SMALL(Dong,ROWS($1:54)),))))</f>
        <v>GBN</v>
      </c>
      <c r="C65" s="300">
        <f ca="1">IF($M$6="Q4",IF(ROWS($1:54)&gt;COUNT(Dong2),"",OFFSET('Q4-VND'!D$1,SMALL(Dong2,ROWS($1:54)),)),IF($M$6="Q11",IF(ROWS($1:54)&gt;COUNT(Dong),"",OFFSET('Q11-VND'!D$1,SMALL(Dong,ROWS($1:54)),)),IF(ROWS($1:54)&gt;COUNT(Dong),IF(ROWS($1:54)&gt;COUNT(Dong,Dong2),"",OFFSET('Q4-VND'!D$1,SMALL(Dong2,ROWS($1:54)-COUNT(Dong)),)),OFFSET('Q11-VND'!D$1,SMALL(Dong,ROWS($1:54)),))))</f>
        <v>41472</v>
      </c>
      <c r="D65" s="301" t="str">
        <f ca="1">IF($M$6="Q4",IF(ROWS($1:54)&gt;COUNT(Dong2),"",OFFSET('Q4-VND'!E$1,SMALL(Dong2,ROWS($1:54)),)),IF($M$6="Q11",IF(ROWS($1:54)&gt;COUNT(Dong),"",OFFSET('Q11-VND'!E$1,SMALL(Dong,ROWS($1:54)),)),IF(ROWS($1:54)&gt;COUNT(Dong),IF(ROWS($1:54)&gt;COUNT(Dong,Dong2),"","Q4 - "&amp;OFFSET('Q4-VND'!E$1,SMALL(Dong2,ROWS($1:54)-COUNT(Dong)),)),"Q11 - "&amp;OFFSET('Q11-VND'!E$1,SMALL(Dong,ROWS($1:54)),))))</f>
        <v>Q11 - Phí thanh toán</v>
      </c>
      <c r="E65" s="302" t="str">
        <f ca="1">IF($M$6="Q4",IF(ROWS($1:54)&gt;COUNT(Dong2),"",OFFSET('Q4-VND'!G$1,SMALL(Dong2,ROWS($1:54)),)),IF($M$6="Q11",IF(ROWS($1:54)&gt;COUNT(Dong),"",OFFSET('Q11-VND'!G$1,SMALL(Dong,ROWS($1:54)),)),IF(ROWS($1:54)&gt;COUNT(Dong),IF(ROWS($1:54)&gt;COUNT(Dong,Dong2),"",OFFSET('Q4-VND'!G$1,SMALL(Dong2,ROWS($1:54)-COUNT(Dong)),)),OFFSET('Q11-VND'!G$1,SMALL(Dong,ROWS($1:54)),))))</f>
        <v>6422</v>
      </c>
      <c r="F65" s="303">
        <f ca="1">IF($M$6="Q4",IF(ROWS($1:54)&gt;COUNT(Dong2),0,OFFSET('Q4-VND'!H$1,SMALL(Dong2,ROWS($1:54)),)),IF($M$6="Q11",IF(ROWS($1:54)&gt;COUNT(Dong),0,OFFSET('Q11-VND'!H$1,SMALL(Dong,ROWS($1:54)),)),IF(ROWS($1:54)&gt;COUNT(Dong),IF(ROWS($1:54)&gt;COUNT(Dong,Dong2),0,OFFSET('Q4-VND'!H$1,SMALL(Dong2,ROWS($1:54)-COUNT(Dong)),)),OFFSET('Q11-VND'!H$1,SMALL(Dong,ROWS($1:54)),))))</f>
        <v>0</v>
      </c>
      <c r="G65" s="303">
        <f ca="1">IF($M$6="Q4",IF(ROWS($1:54)&gt;COUNT(Dong2),0,OFFSET('Q4-VND'!I$1,SMALL(Dong2,ROWS($1:54)),)),IF($M$6="Q11",IF(ROWS($1:54)&gt;COUNT(Dong),0,OFFSET('Q11-VND'!I$1,SMALL(Dong,ROWS($1:54)),)),IF(ROWS($1:54)&gt;COUNT(Dong),IF(ROWS($1:54)&gt;COUNT(Dong,Dong2),0,OFFSET('Q4-VND'!I$1,SMALL(Dong2,ROWS($1:54)-COUNT(Dong)),)),OFFSET('Q11-VND'!I$1,SMALL(Dong,ROWS($1:54)),))))</f>
        <v>20000</v>
      </c>
      <c r="H65" s="304">
        <f t="shared" ca="1" si="1"/>
        <v>2543424808</v>
      </c>
      <c r="I65" s="304"/>
      <c r="J65" s="335"/>
    </row>
    <row r="66" spans="1:10" s="287" customFormat="1" ht="21" customHeight="1">
      <c r="A66" s="300">
        <f ca="1">IF($M$6="Q4",IF(ROWS($1:55)&gt;COUNT(Dong2),"",OFFSET('Q4-VND'!B$1,SMALL(Dong2,ROWS($1:55)),)),IF($M$6="Q11",IF(ROWS($1:55)&gt;COUNT(Dong),"",OFFSET('Q11-VND'!B$1,SMALL(Dong,ROWS($1:55)),)),IF(ROWS($1:55)&gt;COUNT(Dong),IF(ROWS($1:55)&gt;COUNT(Dong,Dong2),"",OFFSET('Q4-VND'!B$1,SMALL(Dong2,ROWS($1:55)-COUNT(Dong)),)),OFFSET('Q11-VND'!B$1,SMALL(Dong,ROWS($1:55)),))))</f>
        <v>41472</v>
      </c>
      <c r="B66" s="300" t="str">
        <f ca="1">IF($M$6="Q4",IF(ROWS($1:55)&gt;COUNT(Dong2),"",OFFSET('Q4-VND'!C$1,SMALL(Dong2,ROWS($1:55)),)),IF($M$6="Q11",IF(ROWS($1:55)&gt;COUNT(Dong),"",OFFSET('Q11-VND'!C$1,SMALL(Dong,ROWS($1:55)),)),IF(ROWS($1:55)&gt;COUNT(Dong),IF(ROWS($1:55)&gt;COUNT(Dong,Dong2),"",OFFSET('Q4-VND'!C$1,SMALL(Dong2,ROWS($1:55)-COUNT(Dong)),)),OFFSET('Q11-VND'!C$1,SMALL(Dong,ROWS($1:55)),))))</f>
        <v>GBN</v>
      </c>
      <c r="C66" s="300">
        <f ca="1">IF($M$6="Q4",IF(ROWS($1:55)&gt;COUNT(Dong2),"",OFFSET('Q4-VND'!D$1,SMALL(Dong2,ROWS($1:55)),)),IF($M$6="Q11",IF(ROWS($1:55)&gt;COUNT(Dong),"",OFFSET('Q11-VND'!D$1,SMALL(Dong,ROWS($1:55)),)),IF(ROWS($1:55)&gt;COUNT(Dong),IF(ROWS($1:55)&gt;COUNT(Dong,Dong2),"",OFFSET('Q4-VND'!D$1,SMALL(Dong2,ROWS($1:55)-COUNT(Dong)),)),OFFSET('Q11-VND'!D$1,SMALL(Dong,ROWS($1:55)),))))</f>
        <v>41472</v>
      </c>
      <c r="D66" s="301" t="str">
        <f ca="1">IF($M$6="Q4",IF(ROWS($1:55)&gt;COUNT(Dong2),"",OFFSET('Q4-VND'!E$1,SMALL(Dong2,ROWS($1:55)),)),IF($M$6="Q11",IF(ROWS($1:55)&gt;COUNT(Dong),"",OFFSET('Q11-VND'!E$1,SMALL(Dong,ROWS($1:55)),)),IF(ROWS($1:55)&gt;COUNT(Dong),IF(ROWS($1:55)&gt;COUNT(Dong,Dong2),"","Q4 - "&amp;OFFSET('Q4-VND'!E$1,SMALL(Dong2,ROWS($1:55)-COUNT(Dong)),)),"Q11 - "&amp;OFFSET('Q11-VND'!E$1,SMALL(Dong,ROWS($1:55)),))))</f>
        <v>Q11 - VAT Phí thanh toán</v>
      </c>
      <c r="E66" s="302" t="str">
        <f ca="1">IF($M$6="Q4",IF(ROWS($1:55)&gt;COUNT(Dong2),"",OFFSET('Q4-VND'!G$1,SMALL(Dong2,ROWS($1:55)),)),IF($M$6="Q11",IF(ROWS($1:55)&gt;COUNT(Dong),"",OFFSET('Q11-VND'!G$1,SMALL(Dong,ROWS($1:55)),)),IF(ROWS($1:55)&gt;COUNT(Dong),IF(ROWS($1:55)&gt;COUNT(Dong,Dong2),"",OFFSET('Q4-VND'!G$1,SMALL(Dong2,ROWS($1:55)-COUNT(Dong)),)),OFFSET('Q11-VND'!G$1,SMALL(Dong,ROWS($1:55)),))))</f>
        <v>1331</v>
      </c>
      <c r="F66" s="303">
        <f ca="1">IF($M$6="Q4",IF(ROWS($1:55)&gt;COUNT(Dong2),0,OFFSET('Q4-VND'!H$1,SMALL(Dong2,ROWS($1:55)),)),IF($M$6="Q11",IF(ROWS($1:55)&gt;COUNT(Dong),0,OFFSET('Q11-VND'!H$1,SMALL(Dong,ROWS($1:55)),)),IF(ROWS($1:55)&gt;COUNT(Dong),IF(ROWS($1:55)&gt;COUNT(Dong,Dong2),0,OFFSET('Q4-VND'!H$1,SMALL(Dong2,ROWS($1:55)-COUNT(Dong)),)),OFFSET('Q11-VND'!H$1,SMALL(Dong,ROWS($1:55)),))))</f>
        <v>0</v>
      </c>
      <c r="G66" s="303">
        <f ca="1">IF($M$6="Q4",IF(ROWS($1:55)&gt;COUNT(Dong2),0,OFFSET('Q4-VND'!I$1,SMALL(Dong2,ROWS($1:55)),)),IF($M$6="Q11",IF(ROWS($1:55)&gt;COUNT(Dong),0,OFFSET('Q11-VND'!I$1,SMALL(Dong,ROWS($1:55)),)),IF(ROWS($1:55)&gt;COUNT(Dong),IF(ROWS($1:55)&gt;COUNT(Dong,Dong2),0,OFFSET('Q4-VND'!I$1,SMALL(Dong2,ROWS($1:55)-COUNT(Dong)),)),OFFSET('Q11-VND'!I$1,SMALL(Dong,ROWS($1:55)),))))</f>
        <v>2000</v>
      </c>
      <c r="H66" s="304">
        <f t="shared" ca="1" si="1"/>
        <v>2543422808</v>
      </c>
      <c r="I66" s="304"/>
      <c r="J66" s="335"/>
    </row>
    <row r="67" spans="1:10" s="287" customFormat="1" ht="21" customHeight="1">
      <c r="A67" s="300">
        <f ca="1">IF($M$6="Q4",IF(ROWS($1:56)&gt;COUNT(Dong2),"",OFFSET('Q4-VND'!B$1,SMALL(Dong2,ROWS($1:56)),)),IF($M$6="Q11",IF(ROWS($1:56)&gt;COUNT(Dong),"",OFFSET('Q11-VND'!B$1,SMALL(Dong,ROWS($1:56)),)),IF(ROWS($1:56)&gt;COUNT(Dong),IF(ROWS($1:56)&gt;COUNT(Dong,Dong2),"",OFFSET('Q4-VND'!B$1,SMALL(Dong2,ROWS($1:56)-COUNT(Dong)),)),OFFSET('Q11-VND'!B$1,SMALL(Dong,ROWS($1:56)),))))</f>
        <v>41472</v>
      </c>
      <c r="B67" s="300" t="str">
        <f ca="1">IF($M$6="Q4",IF(ROWS($1:56)&gt;COUNT(Dong2),"",OFFSET('Q4-VND'!C$1,SMALL(Dong2,ROWS($1:56)),)),IF($M$6="Q11",IF(ROWS($1:56)&gt;COUNT(Dong),"",OFFSET('Q11-VND'!C$1,SMALL(Dong,ROWS($1:56)),)),IF(ROWS($1:56)&gt;COUNT(Dong),IF(ROWS($1:56)&gt;COUNT(Dong,Dong2),"",OFFSET('Q4-VND'!C$1,SMALL(Dong2,ROWS($1:56)-COUNT(Dong)),)),OFFSET('Q11-VND'!C$1,SMALL(Dong,ROWS($1:56)),))))</f>
        <v>GBN</v>
      </c>
      <c r="C67" s="300">
        <f ca="1">IF($M$6="Q4",IF(ROWS($1:56)&gt;COUNT(Dong2),"",OFFSET('Q4-VND'!D$1,SMALL(Dong2,ROWS($1:56)),)),IF($M$6="Q11",IF(ROWS($1:56)&gt;COUNT(Dong),"",OFFSET('Q11-VND'!D$1,SMALL(Dong,ROWS($1:56)),)),IF(ROWS($1:56)&gt;COUNT(Dong),IF(ROWS($1:56)&gt;COUNT(Dong,Dong2),"",OFFSET('Q4-VND'!D$1,SMALL(Dong2,ROWS($1:56)-COUNT(Dong)),)),OFFSET('Q11-VND'!D$1,SMALL(Dong,ROWS($1:56)),))))</f>
        <v>41472</v>
      </c>
      <c r="D67" s="301" t="str">
        <f ca="1">IF($M$6="Q4",IF(ROWS($1:56)&gt;COUNT(Dong2),"",OFFSET('Q4-VND'!E$1,SMALL(Dong2,ROWS($1:56)),)),IF($M$6="Q11",IF(ROWS($1:56)&gt;COUNT(Dong),"",OFFSET('Q11-VND'!E$1,SMALL(Dong,ROWS($1:56)),)),IF(ROWS($1:56)&gt;COUNT(Dong),IF(ROWS($1:56)&gt;COUNT(Dong,Dong2),"","Q4 - "&amp;OFFSET('Q4-VND'!E$1,SMALL(Dong2,ROWS($1:56)-COUNT(Dong)),)),"Q11 - "&amp;OFFSET('Q11-VND'!E$1,SMALL(Dong,ROWS($1:56)),))))</f>
        <v>Q11 - Thanh toán tiền hộp ghẹ</v>
      </c>
      <c r="E67" s="302" t="str">
        <f ca="1">IF($M$6="Q4",IF(ROWS($1:56)&gt;COUNT(Dong2),"",OFFSET('Q4-VND'!G$1,SMALL(Dong2,ROWS($1:56)),)),IF($M$6="Q11",IF(ROWS($1:56)&gt;COUNT(Dong),"",OFFSET('Q11-VND'!G$1,SMALL(Dong,ROWS($1:56)),)),IF(ROWS($1:56)&gt;COUNT(Dong),IF(ROWS($1:56)&gt;COUNT(Dong,Dong2),"",OFFSET('Q4-VND'!G$1,SMALL(Dong2,ROWS($1:56)-COUNT(Dong)),)),OFFSET('Q11-VND'!G$1,SMALL(Dong,ROWS($1:56)),))))</f>
        <v>331</v>
      </c>
      <c r="F67" s="303">
        <f ca="1">IF($M$6="Q4",IF(ROWS($1:56)&gt;COUNT(Dong2),0,OFFSET('Q4-VND'!H$1,SMALL(Dong2,ROWS($1:56)),)),IF($M$6="Q11",IF(ROWS($1:56)&gt;COUNT(Dong),0,OFFSET('Q11-VND'!H$1,SMALL(Dong,ROWS($1:56)),)),IF(ROWS($1:56)&gt;COUNT(Dong),IF(ROWS($1:56)&gt;COUNT(Dong,Dong2),0,OFFSET('Q4-VND'!H$1,SMALL(Dong2,ROWS($1:56)-COUNT(Dong)),)),OFFSET('Q11-VND'!H$1,SMALL(Dong,ROWS($1:56)),))))</f>
        <v>0</v>
      </c>
      <c r="G67" s="303">
        <f ca="1">IF($M$6="Q4",IF(ROWS($1:56)&gt;COUNT(Dong2),0,OFFSET('Q4-VND'!I$1,SMALL(Dong2,ROWS($1:56)),)),IF($M$6="Q11",IF(ROWS($1:56)&gt;COUNT(Dong),0,OFFSET('Q11-VND'!I$1,SMALL(Dong,ROWS($1:56)),)),IF(ROWS($1:56)&gt;COUNT(Dong),IF(ROWS($1:56)&gt;COUNT(Dong,Dong2),0,OFFSET('Q4-VND'!I$1,SMALL(Dong2,ROWS($1:56)-COUNT(Dong)),)),OFFSET('Q11-VND'!I$1,SMALL(Dong,ROWS($1:56)),))))</f>
        <v>38500000</v>
      </c>
      <c r="H67" s="304">
        <f t="shared" ca="1" si="1"/>
        <v>2504922808</v>
      </c>
      <c r="I67" s="304"/>
      <c r="J67" s="335"/>
    </row>
    <row r="68" spans="1:10" s="287" customFormat="1" ht="21" customHeight="1">
      <c r="A68" s="300">
        <f ca="1">IF($M$6="Q4",IF(ROWS($1:57)&gt;COUNT(Dong2),"",OFFSET('Q4-VND'!B$1,SMALL(Dong2,ROWS($1:57)),)),IF($M$6="Q11",IF(ROWS($1:57)&gt;COUNT(Dong),"",OFFSET('Q11-VND'!B$1,SMALL(Dong,ROWS($1:57)),)),IF(ROWS($1:57)&gt;COUNT(Dong),IF(ROWS($1:57)&gt;COUNT(Dong,Dong2),"",OFFSET('Q4-VND'!B$1,SMALL(Dong2,ROWS($1:57)-COUNT(Dong)),)),OFFSET('Q11-VND'!B$1,SMALL(Dong,ROWS($1:57)),))))</f>
        <v>41472</v>
      </c>
      <c r="B68" s="300" t="str">
        <f ca="1">IF($M$6="Q4",IF(ROWS($1:57)&gt;COUNT(Dong2),"",OFFSET('Q4-VND'!C$1,SMALL(Dong2,ROWS($1:57)),)),IF($M$6="Q11",IF(ROWS($1:57)&gt;COUNT(Dong),"",OFFSET('Q11-VND'!C$1,SMALL(Dong,ROWS($1:57)),)),IF(ROWS($1:57)&gt;COUNT(Dong),IF(ROWS($1:57)&gt;COUNT(Dong,Dong2),"",OFFSET('Q4-VND'!C$1,SMALL(Dong2,ROWS($1:57)-COUNT(Dong)),)),OFFSET('Q11-VND'!C$1,SMALL(Dong,ROWS($1:57)),))))</f>
        <v>GBN</v>
      </c>
      <c r="C68" s="300">
        <f ca="1">IF($M$6="Q4",IF(ROWS($1:57)&gt;COUNT(Dong2),"",OFFSET('Q4-VND'!D$1,SMALL(Dong2,ROWS($1:57)),)),IF($M$6="Q11",IF(ROWS($1:57)&gt;COUNT(Dong),"",OFFSET('Q11-VND'!D$1,SMALL(Dong,ROWS($1:57)),)),IF(ROWS($1:57)&gt;COUNT(Dong),IF(ROWS($1:57)&gt;COUNT(Dong,Dong2),"",OFFSET('Q4-VND'!D$1,SMALL(Dong2,ROWS($1:57)-COUNT(Dong)),)),OFFSET('Q11-VND'!D$1,SMALL(Dong,ROWS($1:57)),))))</f>
        <v>41472</v>
      </c>
      <c r="D68" s="301" t="str">
        <f ca="1">IF($M$6="Q4",IF(ROWS($1:57)&gt;COUNT(Dong2),"",OFFSET('Q4-VND'!E$1,SMALL(Dong2,ROWS($1:57)),)),IF($M$6="Q11",IF(ROWS($1:57)&gt;COUNT(Dong),"",OFFSET('Q11-VND'!E$1,SMALL(Dong,ROWS($1:57)),)),IF(ROWS($1:57)&gt;COUNT(Dong),IF(ROWS($1:57)&gt;COUNT(Dong,Dong2),"","Q4 - "&amp;OFFSET('Q4-VND'!E$1,SMALL(Dong2,ROWS($1:57)-COUNT(Dong)),)),"Q11 - "&amp;OFFSET('Q11-VND'!E$1,SMALL(Dong,ROWS($1:57)),))))</f>
        <v>Q11 - Phí thanh toán</v>
      </c>
      <c r="E68" s="302" t="str">
        <f ca="1">IF($M$6="Q4",IF(ROWS($1:57)&gt;COUNT(Dong2),"",OFFSET('Q4-VND'!G$1,SMALL(Dong2,ROWS($1:57)),)),IF($M$6="Q11",IF(ROWS($1:57)&gt;COUNT(Dong),"",OFFSET('Q11-VND'!G$1,SMALL(Dong,ROWS($1:57)),)),IF(ROWS($1:57)&gt;COUNT(Dong),IF(ROWS($1:57)&gt;COUNT(Dong,Dong2),"",OFFSET('Q4-VND'!G$1,SMALL(Dong2,ROWS($1:57)-COUNT(Dong)),)),OFFSET('Q11-VND'!G$1,SMALL(Dong,ROWS($1:57)),))))</f>
        <v>6422</v>
      </c>
      <c r="F68" s="303">
        <f ca="1">IF($M$6="Q4",IF(ROWS($1:57)&gt;COUNT(Dong2),0,OFFSET('Q4-VND'!H$1,SMALL(Dong2,ROWS($1:57)),)),IF($M$6="Q11",IF(ROWS($1:57)&gt;COUNT(Dong),0,OFFSET('Q11-VND'!H$1,SMALL(Dong,ROWS($1:57)),)),IF(ROWS($1:57)&gt;COUNT(Dong),IF(ROWS($1:57)&gt;COUNT(Dong,Dong2),0,OFFSET('Q4-VND'!H$1,SMALL(Dong2,ROWS($1:57)-COUNT(Dong)),)),OFFSET('Q11-VND'!H$1,SMALL(Dong,ROWS($1:57)),))))</f>
        <v>0</v>
      </c>
      <c r="G68" s="303">
        <f ca="1">IF($M$6="Q4",IF(ROWS($1:57)&gt;COUNT(Dong2),0,OFFSET('Q4-VND'!I$1,SMALL(Dong2,ROWS($1:57)),)),IF($M$6="Q11",IF(ROWS($1:57)&gt;COUNT(Dong),0,OFFSET('Q11-VND'!I$1,SMALL(Dong,ROWS($1:57)),)),IF(ROWS($1:57)&gt;COUNT(Dong),IF(ROWS($1:57)&gt;COUNT(Dong,Dong2),0,OFFSET('Q4-VND'!I$1,SMALL(Dong2,ROWS($1:57)-COUNT(Dong)),)),OFFSET('Q11-VND'!I$1,SMALL(Dong,ROWS($1:57)),))))</f>
        <v>10000</v>
      </c>
      <c r="H68" s="304">
        <f t="shared" ca="1" si="1"/>
        <v>2504912808</v>
      </c>
      <c r="I68" s="304"/>
      <c r="J68" s="335"/>
    </row>
    <row r="69" spans="1:10" s="287" customFormat="1" ht="21" customHeight="1">
      <c r="A69" s="300">
        <f ca="1">IF($M$6="Q4",IF(ROWS($1:58)&gt;COUNT(Dong2),"",OFFSET('Q4-VND'!B$1,SMALL(Dong2,ROWS($1:58)),)),IF($M$6="Q11",IF(ROWS($1:58)&gt;COUNT(Dong),"",OFFSET('Q11-VND'!B$1,SMALL(Dong,ROWS($1:58)),)),IF(ROWS($1:58)&gt;COUNT(Dong),IF(ROWS($1:58)&gt;COUNT(Dong,Dong2),"",OFFSET('Q4-VND'!B$1,SMALL(Dong2,ROWS($1:58)-COUNT(Dong)),)),OFFSET('Q11-VND'!B$1,SMALL(Dong,ROWS($1:58)),))))</f>
        <v>41472</v>
      </c>
      <c r="B69" s="300" t="str">
        <f ca="1">IF($M$6="Q4",IF(ROWS($1:58)&gt;COUNT(Dong2),"",OFFSET('Q4-VND'!C$1,SMALL(Dong2,ROWS($1:58)),)),IF($M$6="Q11",IF(ROWS($1:58)&gt;COUNT(Dong),"",OFFSET('Q11-VND'!C$1,SMALL(Dong,ROWS($1:58)),)),IF(ROWS($1:58)&gt;COUNT(Dong),IF(ROWS($1:58)&gt;COUNT(Dong,Dong2),"",OFFSET('Q4-VND'!C$1,SMALL(Dong2,ROWS($1:58)-COUNT(Dong)),)),OFFSET('Q11-VND'!C$1,SMALL(Dong,ROWS($1:58)),))))</f>
        <v>GBN</v>
      </c>
      <c r="C69" s="300">
        <f ca="1">IF($M$6="Q4",IF(ROWS($1:58)&gt;COUNT(Dong2),"",OFFSET('Q4-VND'!D$1,SMALL(Dong2,ROWS($1:58)),)),IF($M$6="Q11",IF(ROWS($1:58)&gt;COUNT(Dong),"",OFFSET('Q11-VND'!D$1,SMALL(Dong,ROWS($1:58)),)),IF(ROWS($1:58)&gt;COUNT(Dong),IF(ROWS($1:58)&gt;COUNT(Dong,Dong2),"",OFFSET('Q4-VND'!D$1,SMALL(Dong2,ROWS($1:58)-COUNT(Dong)),)),OFFSET('Q11-VND'!D$1,SMALL(Dong,ROWS($1:58)),))))</f>
        <v>41472</v>
      </c>
      <c r="D69" s="301" t="str">
        <f ca="1">IF($M$6="Q4",IF(ROWS($1:58)&gt;COUNT(Dong2),"",OFFSET('Q4-VND'!E$1,SMALL(Dong2,ROWS($1:58)),)),IF($M$6="Q11",IF(ROWS($1:58)&gt;COUNT(Dong),"",OFFSET('Q11-VND'!E$1,SMALL(Dong,ROWS($1:58)),)),IF(ROWS($1:58)&gt;COUNT(Dong),IF(ROWS($1:58)&gt;COUNT(Dong,Dong2),"","Q4 - "&amp;OFFSET('Q4-VND'!E$1,SMALL(Dong2,ROWS($1:58)-COUNT(Dong)),)),"Q11 - "&amp;OFFSET('Q11-VND'!E$1,SMALL(Dong,ROWS($1:58)),))))</f>
        <v>Q11 - VAT Phí thanh toán</v>
      </c>
      <c r="E69" s="302" t="str">
        <f ca="1">IF($M$6="Q4",IF(ROWS($1:58)&gt;COUNT(Dong2),"",OFFSET('Q4-VND'!G$1,SMALL(Dong2,ROWS($1:58)),)),IF($M$6="Q11",IF(ROWS($1:58)&gt;COUNT(Dong),"",OFFSET('Q11-VND'!G$1,SMALL(Dong,ROWS($1:58)),)),IF(ROWS($1:58)&gt;COUNT(Dong),IF(ROWS($1:58)&gt;COUNT(Dong,Dong2),"",OFFSET('Q4-VND'!G$1,SMALL(Dong2,ROWS($1:58)-COUNT(Dong)),)),OFFSET('Q11-VND'!G$1,SMALL(Dong,ROWS($1:58)),))))</f>
        <v>1331</v>
      </c>
      <c r="F69" s="303">
        <f ca="1">IF($M$6="Q4",IF(ROWS($1:58)&gt;COUNT(Dong2),0,OFFSET('Q4-VND'!H$1,SMALL(Dong2,ROWS($1:58)),)),IF($M$6="Q11",IF(ROWS($1:58)&gt;COUNT(Dong),0,OFFSET('Q11-VND'!H$1,SMALL(Dong,ROWS($1:58)),)),IF(ROWS($1:58)&gt;COUNT(Dong),IF(ROWS($1:58)&gt;COUNT(Dong,Dong2),0,OFFSET('Q4-VND'!H$1,SMALL(Dong2,ROWS($1:58)-COUNT(Dong)),)),OFFSET('Q11-VND'!H$1,SMALL(Dong,ROWS($1:58)),))))</f>
        <v>0</v>
      </c>
      <c r="G69" s="303">
        <f ca="1">IF($M$6="Q4",IF(ROWS($1:58)&gt;COUNT(Dong2),0,OFFSET('Q4-VND'!I$1,SMALL(Dong2,ROWS($1:58)),)),IF($M$6="Q11",IF(ROWS($1:58)&gt;COUNT(Dong),0,OFFSET('Q11-VND'!I$1,SMALL(Dong,ROWS($1:58)),)),IF(ROWS($1:58)&gt;COUNT(Dong),IF(ROWS($1:58)&gt;COUNT(Dong,Dong2),0,OFFSET('Q4-VND'!I$1,SMALL(Dong2,ROWS($1:58)-COUNT(Dong)),)),OFFSET('Q11-VND'!I$1,SMALL(Dong,ROWS($1:58)),))))</f>
        <v>1000</v>
      </c>
      <c r="H69" s="304">
        <f t="shared" ca="1" si="1"/>
        <v>2504911808</v>
      </c>
      <c r="I69" s="304"/>
      <c r="J69" s="335"/>
    </row>
    <row r="70" spans="1:10" s="287" customFormat="1" ht="21" customHeight="1">
      <c r="A70" s="300">
        <f ca="1">IF($M$6="Q4",IF(ROWS($1:59)&gt;COUNT(Dong2),"",OFFSET('Q4-VND'!B$1,SMALL(Dong2,ROWS($1:59)),)),IF($M$6="Q11",IF(ROWS($1:59)&gt;COUNT(Dong),"",OFFSET('Q11-VND'!B$1,SMALL(Dong,ROWS($1:59)),)),IF(ROWS($1:59)&gt;COUNT(Dong),IF(ROWS($1:59)&gt;COUNT(Dong,Dong2),"",OFFSET('Q4-VND'!B$1,SMALL(Dong2,ROWS($1:59)-COUNT(Dong)),)),OFFSET('Q11-VND'!B$1,SMALL(Dong,ROWS($1:59)),))))</f>
        <v>41472</v>
      </c>
      <c r="B70" s="300" t="str">
        <f ca="1">IF($M$6="Q4",IF(ROWS($1:59)&gt;COUNT(Dong2),"",OFFSET('Q4-VND'!C$1,SMALL(Dong2,ROWS($1:59)),)),IF($M$6="Q11",IF(ROWS($1:59)&gt;COUNT(Dong),"",OFFSET('Q11-VND'!C$1,SMALL(Dong,ROWS($1:59)),)),IF(ROWS($1:59)&gt;COUNT(Dong),IF(ROWS($1:59)&gt;COUNT(Dong,Dong2),"",OFFSET('Q4-VND'!C$1,SMALL(Dong2,ROWS($1:59)-COUNT(Dong)),)),OFFSET('Q11-VND'!C$1,SMALL(Dong,ROWS($1:59)),))))</f>
        <v>GBN</v>
      </c>
      <c r="C70" s="300">
        <f ca="1">IF($M$6="Q4",IF(ROWS($1:59)&gt;COUNT(Dong2),"",OFFSET('Q4-VND'!D$1,SMALL(Dong2,ROWS($1:59)),)),IF($M$6="Q11",IF(ROWS($1:59)&gt;COUNT(Dong),"",OFFSET('Q11-VND'!D$1,SMALL(Dong,ROWS($1:59)),)),IF(ROWS($1:59)&gt;COUNT(Dong),IF(ROWS($1:59)&gt;COUNT(Dong,Dong2),"",OFFSET('Q4-VND'!D$1,SMALL(Dong2,ROWS($1:59)-COUNT(Dong)),)),OFFSET('Q11-VND'!D$1,SMALL(Dong,ROWS($1:59)),))))</f>
        <v>41472</v>
      </c>
      <c r="D70" s="301" t="str">
        <f ca="1">IF($M$6="Q4",IF(ROWS($1:59)&gt;COUNT(Dong2),"",OFFSET('Q4-VND'!E$1,SMALL(Dong2,ROWS($1:59)),)),IF($M$6="Q11",IF(ROWS($1:59)&gt;COUNT(Dong),"",OFFSET('Q11-VND'!E$1,SMALL(Dong,ROWS($1:59)),)),IF(ROWS($1:59)&gt;COUNT(Dong),IF(ROWS($1:59)&gt;COUNT(Dong,Dong2),"","Q4 - "&amp;OFFSET('Q4-VND'!E$1,SMALL(Dong2,ROWS($1:59)-COUNT(Dong)),)),"Q11 - "&amp;OFFSET('Q11-VND'!E$1,SMALL(Dong,ROWS($1:59)),))))</f>
        <v>Q11 - Thanh toán cước vận chuyển T4/2013</v>
      </c>
      <c r="E70" s="302" t="str">
        <f ca="1">IF($M$6="Q4",IF(ROWS($1:59)&gt;COUNT(Dong2),"",OFFSET('Q4-VND'!G$1,SMALL(Dong2,ROWS($1:59)),)),IF($M$6="Q11",IF(ROWS($1:59)&gt;COUNT(Dong),"",OFFSET('Q11-VND'!G$1,SMALL(Dong,ROWS($1:59)),)),IF(ROWS($1:59)&gt;COUNT(Dong),IF(ROWS($1:59)&gt;COUNT(Dong,Dong2),"",OFFSET('Q4-VND'!G$1,SMALL(Dong2,ROWS($1:59)-COUNT(Dong)),)),OFFSET('Q11-VND'!G$1,SMALL(Dong,ROWS($1:59)),))))</f>
        <v>331</v>
      </c>
      <c r="F70" s="303">
        <f ca="1">IF($M$6="Q4",IF(ROWS($1:59)&gt;COUNT(Dong2),0,OFFSET('Q4-VND'!H$1,SMALL(Dong2,ROWS($1:59)),)),IF($M$6="Q11",IF(ROWS($1:59)&gt;COUNT(Dong),0,OFFSET('Q11-VND'!H$1,SMALL(Dong,ROWS($1:59)),)),IF(ROWS($1:59)&gt;COUNT(Dong),IF(ROWS($1:59)&gt;COUNT(Dong,Dong2),0,OFFSET('Q4-VND'!H$1,SMALL(Dong2,ROWS($1:59)-COUNT(Dong)),)),OFFSET('Q11-VND'!H$1,SMALL(Dong,ROWS($1:59)),))))</f>
        <v>0</v>
      </c>
      <c r="G70" s="303">
        <f ca="1">IF($M$6="Q4",IF(ROWS($1:59)&gt;COUNT(Dong2),0,OFFSET('Q4-VND'!I$1,SMALL(Dong2,ROWS($1:59)),)),IF($M$6="Q11",IF(ROWS($1:59)&gt;COUNT(Dong),0,OFFSET('Q11-VND'!I$1,SMALL(Dong,ROWS($1:59)),)),IF(ROWS($1:59)&gt;COUNT(Dong),IF(ROWS($1:59)&gt;COUNT(Dong,Dong2),0,OFFSET('Q4-VND'!I$1,SMALL(Dong2,ROWS($1:59)-COUNT(Dong)),)),OFFSET('Q11-VND'!I$1,SMALL(Dong,ROWS($1:59)),))))</f>
        <v>33062500</v>
      </c>
      <c r="H70" s="304">
        <f t="shared" ca="1" si="1"/>
        <v>2471849308</v>
      </c>
      <c r="I70" s="304"/>
      <c r="J70" s="335"/>
    </row>
    <row r="71" spans="1:10" s="287" customFormat="1" ht="21" customHeight="1">
      <c r="A71" s="300">
        <f ca="1">IF($M$6="Q4",IF(ROWS($1:60)&gt;COUNT(Dong2),"",OFFSET('Q4-VND'!B$1,SMALL(Dong2,ROWS($1:60)),)),IF($M$6="Q11",IF(ROWS($1:60)&gt;COUNT(Dong),"",OFFSET('Q11-VND'!B$1,SMALL(Dong,ROWS($1:60)),)),IF(ROWS($1:60)&gt;COUNT(Dong),IF(ROWS($1:60)&gt;COUNT(Dong,Dong2),"",OFFSET('Q4-VND'!B$1,SMALL(Dong2,ROWS($1:60)-COUNT(Dong)),)),OFFSET('Q11-VND'!B$1,SMALL(Dong,ROWS($1:60)),))))</f>
        <v>41472</v>
      </c>
      <c r="B71" s="300" t="str">
        <f ca="1">IF($M$6="Q4",IF(ROWS($1:60)&gt;COUNT(Dong2),"",OFFSET('Q4-VND'!C$1,SMALL(Dong2,ROWS($1:60)),)),IF($M$6="Q11",IF(ROWS($1:60)&gt;COUNT(Dong),"",OFFSET('Q11-VND'!C$1,SMALL(Dong,ROWS($1:60)),)),IF(ROWS($1:60)&gt;COUNT(Dong),IF(ROWS($1:60)&gt;COUNT(Dong,Dong2),"",OFFSET('Q4-VND'!C$1,SMALL(Dong2,ROWS($1:60)-COUNT(Dong)),)),OFFSET('Q11-VND'!C$1,SMALL(Dong,ROWS($1:60)),))))</f>
        <v>GBN</v>
      </c>
      <c r="C71" s="300">
        <f ca="1">IF($M$6="Q4",IF(ROWS($1:60)&gt;COUNT(Dong2),"",OFFSET('Q4-VND'!D$1,SMALL(Dong2,ROWS($1:60)),)),IF($M$6="Q11",IF(ROWS($1:60)&gt;COUNT(Dong),"",OFFSET('Q11-VND'!D$1,SMALL(Dong,ROWS($1:60)),)),IF(ROWS($1:60)&gt;COUNT(Dong),IF(ROWS($1:60)&gt;COUNT(Dong,Dong2),"",OFFSET('Q4-VND'!D$1,SMALL(Dong2,ROWS($1:60)-COUNT(Dong)),)),OFFSET('Q11-VND'!D$1,SMALL(Dong,ROWS($1:60)),))))</f>
        <v>41472</v>
      </c>
      <c r="D71" s="301" t="str">
        <f ca="1">IF($M$6="Q4",IF(ROWS($1:60)&gt;COUNT(Dong2),"",OFFSET('Q4-VND'!E$1,SMALL(Dong2,ROWS($1:60)),)),IF($M$6="Q11",IF(ROWS($1:60)&gt;COUNT(Dong),"",OFFSET('Q11-VND'!E$1,SMALL(Dong,ROWS($1:60)),)),IF(ROWS($1:60)&gt;COUNT(Dong),IF(ROWS($1:60)&gt;COUNT(Dong,Dong2),"","Q4 - "&amp;OFFSET('Q4-VND'!E$1,SMALL(Dong2,ROWS($1:60)-COUNT(Dong)),)),"Q11 - "&amp;OFFSET('Q11-VND'!E$1,SMALL(Dong,ROWS($1:60)),))))</f>
        <v>Q11 - Phí thanh toán</v>
      </c>
      <c r="E71" s="302" t="str">
        <f ca="1">IF($M$6="Q4",IF(ROWS($1:60)&gt;COUNT(Dong2),"",OFFSET('Q4-VND'!G$1,SMALL(Dong2,ROWS($1:60)),)),IF($M$6="Q11",IF(ROWS($1:60)&gt;COUNT(Dong),"",OFFSET('Q11-VND'!G$1,SMALL(Dong,ROWS($1:60)),)),IF(ROWS($1:60)&gt;COUNT(Dong),IF(ROWS($1:60)&gt;COUNT(Dong,Dong2),"",OFFSET('Q4-VND'!G$1,SMALL(Dong2,ROWS($1:60)-COUNT(Dong)),)),OFFSET('Q11-VND'!G$1,SMALL(Dong,ROWS($1:60)),))))</f>
        <v>6422</v>
      </c>
      <c r="F71" s="303">
        <f ca="1">IF($M$6="Q4",IF(ROWS($1:60)&gt;COUNT(Dong2),0,OFFSET('Q4-VND'!H$1,SMALL(Dong2,ROWS($1:60)),)),IF($M$6="Q11",IF(ROWS($1:60)&gt;COUNT(Dong),0,OFFSET('Q11-VND'!H$1,SMALL(Dong,ROWS($1:60)),)),IF(ROWS($1:60)&gt;COUNT(Dong),IF(ROWS($1:60)&gt;COUNT(Dong,Dong2),0,OFFSET('Q4-VND'!H$1,SMALL(Dong2,ROWS($1:60)-COUNT(Dong)),)),OFFSET('Q11-VND'!H$1,SMALL(Dong,ROWS($1:60)),))))</f>
        <v>0</v>
      </c>
      <c r="G71" s="303">
        <f ca="1">IF($M$6="Q4",IF(ROWS($1:60)&gt;COUNT(Dong2),0,OFFSET('Q4-VND'!I$1,SMALL(Dong2,ROWS($1:60)),)),IF($M$6="Q11",IF(ROWS($1:60)&gt;COUNT(Dong),0,OFFSET('Q11-VND'!I$1,SMALL(Dong,ROWS($1:60)),)),IF(ROWS($1:60)&gt;COUNT(Dong),IF(ROWS($1:60)&gt;COUNT(Dong,Dong2),0,OFFSET('Q4-VND'!I$1,SMALL(Dong2,ROWS($1:60)-COUNT(Dong)),)),OFFSET('Q11-VND'!I$1,SMALL(Dong,ROWS($1:60)),))))</f>
        <v>10000</v>
      </c>
      <c r="H71" s="304">
        <f t="shared" ca="1" si="1"/>
        <v>2471839308</v>
      </c>
      <c r="I71" s="304"/>
      <c r="J71" s="335"/>
    </row>
    <row r="72" spans="1:10" s="287" customFormat="1" ht="21" customHeight="1">
      <c r="A72" s="300">
        <f ca="1">IF($M$6="Q4",IF(ROWS($1:61)&gt;COUNT(Dong2),"",OFFSET('Q4-VND'!B$1,SMALL(Dong2,ROWS($1:61)),)),IF($M$6="Q11",IF(ROWS($1:61)&gt;COUNT(Dong),"",OFFSET('Q11-VND'!B$1,SMALL(Dong,ROWS($1:61)),)),IF(ROWS($1:61)&gt;COUNT(Dong),IF(ROWS($1:61)&gt;COUNT(Dong,Dong2),"",OFFSET('Q4-VND'!B$1,SMALL(Dong2,ROWS($1:61)-COUNT(Dong)),)),OFFSET('Q11-VND'!B$1,SMALL(Dong,ROWS($1:61)),))))</f>
        <v>41472</v>
      </c>
      <c r="B72" s="300" t="str">
        <f ca="1">IF($M$6="Q4",IF(ROWS($1:61)&gt;COUNT(Dong2),"",OFFSET('Q4-VND'!C$1,SMALL(Dong2,ROWS($1:61)),)),IF($M$6="Q11",IF(ROWS($1:61)&gt;COUNT(Dong),"",OFFSET('Q11-VND'!C$1,SMALL(Dong,ROWS($1:61)),)),IF(ROWS($1:61)&gt;COUNT(Dong),IF(ROWS($1:61)&gt;COUNT(Dong,Dong2),"",OFFSET('Q4-VND'!C$1,SMALL(Dong2,ROWS($1:61)-COUNT(Dong)),)),OFFSET('Q11-VND'!C$1,SMALL(Dong,ROWS($1:61)),))))</f>
        <v>GBN</v>
      </c>
      <c r="C72" s="300">
        <f ca="1">IF($M$6="Q4",IF(ROWS($1:61)&gt;COUNT(Dong2),"",OFFSET('Q4-VND'!D$1,SMALL(Dong2,ROWS($1:61)),)),IF($M$6="Q11",IF(ROWS($1:61)&gt;COUNT(Dong),"",OFFSET('Q11-VND'!D$1,SMALL(Dong,ROWS($1:61)),)),IF(ROWS($1:61)&gt;COUNT(Dong),IF(ROWS($1:61)&gt;COUNT(Dong,Dong2),"",OFFSET('Q4-VND'!D$1,SMALL(Dong2,ROWS($1:61)-COUNT(Dong)),)),OFFSET('Q11-VND'!D$1,SMALL(Dong,ROWS($1:61)),))))</f>
        <v>41472</v>
      </c>
      <c r="D72" s="301" t="str">
        <f ca="1">IF($M$6="Q4",IF(ROWS($1:61)&gt;COUNT(Dong2),"",OFFSET('Q4-VND'!E$1,SMALL(Dong2,ROWS($1:61)),)),IF($M$6="Q11",IF(ROWS($1:61)&gt;COUNT(Dong),"",OFFSET('Q11-VND'!E$1,SMALL(Dong,ROWS($1:61)),)),IF(ROWS($1:61)&gt;COUNT(Dong),IF(ROWS($1:61)&gt;COUNT(Dong,Dong2),"","Q4 - "&amp;OFFSET('Q4-VND'!E$1,SMALL(Dong2,ROWS($1:61)-COUNT(Dong)),)),"Q11 - "&amp;OFFSET('Q11-VND'!E$1,SMALL(Dong,ROWS($1:61)),))))</f>
        <v>Q11 - VAT Phí thanh toán</v>
      </c>
      <c r="E72" s="302" t="str">
        <f ca="1">IF($M$6="Q4",IF(ROWS($1:61)&gt;COUNT(Dong2),"",OFFSET('Q4-VND'!G$1,SMALL(Dong2,ROWS($1:61)),)),IF($M$6="Q11",IF(ROWS($1:61)&gt;COUNT(Dong),"",OFFSET('Q11-VND'!G$1,SMALL(Dong,ROWS($1:61)),)),IF(ROWS($1:61)&gt;COUNT(Dong),IF(ROWS($1:61)&gt;COUNT(Dong,Dong2),"",OFFSET('Q4-VND'!G$1,SMALL(Dong2,ROWS($1:61)-COUNT(Dong)),)),OFFSET('Q11-VND'!G$1,SMALL(Dong,ROWS($1:61)),))))</f>
        <v>1331</v>
      </c>
      <c r="F72" s="303">
        <f ca="1">IF($M$6="Q4",IF(ROWS($1:61)&gt;COUNT(Dong2),0,OFFSET('Q4-VND'!H$1,SMALL(Dong2,ROWS($1:61)),)),IF($M$6="Q11",IF(ROWS($1:61)&gt;COUNT(Dong),0,OFFSET('Q11-VND'!H$1,SMALL(Dong,ROWS($1:61)),)),IF(ROWS($1:61)&gt;COUNT(Dong),IF(ROWS($1:61)&gt;COUNT(Dong,Dong2),0,OFFSET('Q4-VND'!H$1,SMALL(Dong2,ROWS($1:61)-COUNT(Dong)),)),OFFSET('Q11-VND'!H$1,SMALL(Dong,ROWS($1:61)),))))</f>
        <v>0</v>
      </c>
      <c r="G72" s="303">
        <f ca="1">IF($M$6="Q4",IF(ROWS($1:61)&gt;COUNT(Dong2),0,OFFSET('Q4-VND'!I$1,SMALL(Dong2,ROWS($1:61)),)),IF($M$6="Q11",IF(ROWS($1:61)&gt;COUNT(Dong),0,OFFSET('Q11-VND'!I$1,SMALL(Dong,ROWS($1:61)),)),IF(ROWS($1:61)&gt;COUNT(Dong),IF(ROWS($1:61)&gt;COUNT(Dong,Dong2),0,OFFSET('Q4-VND'!I$1,SMALL(Dong2,ROWS($1:61)-COUNT(Dong)),)),OFFSET('Q11-VND'!I$1,SMALL(Dong,ROWS($1:61)),))))</f>
        <v>1000</v>
      </c>
      <c r="H72" s="304">
        <f t="shared" ca="1" si="1"/>
        <v>2471838308</v>
      </c>
      <c r="I72" s="304"/>
      <c r="J72" s="335"/>
    </row>
    <row r="73" spans="1:10" s="287" customFormat="1" ht="21" customHeight="1">
      <c r="A73" s="300">
        <f ca="1">IF($M$6="Q4",IF(ROWS($1:62)&gt;COUNT(Dong2),"",OFFSET('Q4-VND'!B$1,SMALL(Dong2,ROWS($1:62)),)),IF($M$6="Q11",IF(ROWS($1:62)&gt;COUNT(Dong),"",OFFSET('Q11-VND'!B$1,SMALL(Dong,ROWS($1:62)),)),IF(ROWS($1:62)&gt;COUNT(Dong),IF(ROWS($1:62)&gt;COUNT(Dong,Dong2),"",OFFSET('Q4-VND'!B$1,SMALL(Dong2,ROWS($1:62)-COUNT(Dong)),)),OFFSET('Q11-VND'!B$1,SMALL(Dong,ROWS($1:62)),))))</f>
        <v>41472</v>
      </c>
      <c r="B73" s="300" t="str">
        <f ca="1">IF($M$6="Q4",IF(ROWS($1:62)&gt;COUNT(Dong2),"",OFFSET('Q4-VND'!C$1,SMALL(Dong2,ROWS($1:62)),)),IF($M$6="Q11",IF(ROWS($1:62)&gt;COUNT(Dong),"",OFFSET('Q11-VND'!C$1,SMALL(Dong,ROWS($1:62)),)),IF(ROWS($1:62)&gt;COUNT(Dong),IF(ROWS($1:62)&gt;COUNT(Dong,Dong2),"",OFFSET('Q4-VND'!C$1,SMALL(Dong2,ROWS($1:62)-COUNT(Dong)),)),OFFSET('Q11-VND'!C$1,SMALL(Dong,ROWS($1:62)),))))</f>
        <v>GBN</v>
      </c>
      <c r="C73" s="300">
        <f ca="1">IF($M$6="Q4",IF(ROWS($1:62)&gt;COUNT(Dong2),"",OFFSET('Q4-VND'!D$1,SMALL(Dong2,ROWS($1:62)),)),IF($M$6="Q11",IF(ROWS($1:62)&gt;COUNT(Dong),"",OFFSET('Q11-VND'!D$1,SMALL(Dong,ROWS($1:62)),)),IF(ROWS($1:62)&gt;COUNT(Dong),IF(ROWS($1:62)&gt;COUNT(Dong,Dong2),"",OFFSET('Q4-VND'!D$1,SMALL(Dong2,ROWS($1:62)-COUNT(Dong)),)),OFFSET('Q11-VND'!D$1,SMALL(Dong,ROWS($1:62)),))))</f>
        <v>41472</v>
      </c>
      <c r="D73" s="301" t="str">
        <f ca="1">IF($M$6="Q4",IF(ROWS($1:62)&gt;COUNT(Dong2),"",OFFSET('Q4-VND'!E$1,SMALL(Dong2,ROWS($1:62)),)),IF($M$6="Q11",IF(ROWS($1:62)&gt;COUNT(Dong),"",OFFSET('Q11-VND'!E$1,SMALL(Dong,ROWS($1:62)),)),IF(ROWS($1:62)&gt;COUNT(Dong),IF(ROWS($1:62)&gt;COUNT(Dong,Dong2),"","Q4 - "&amp;OFFSET('Q4-VND'!E$1,SMALL(Dong2,ROWS($1:62)-COUNT(Dong)),)),"Q11 - "&amp;OFFSET('Q11-VND'!E$1,SMALL(Dong,ROWS($1:62)),))))</f>
        <v>Q11 - Thanh toán tiền thuê xe</v>
      </c>
      <c r="E73" s="302" t="str">
        <f ca="1">IF($M$6="Q4",IF(ROWS($1:62)&gt;COUNT(Dong2),"",OFFSET('Q4-VND'!G$1,SMALL(Dong2,ROWS($1:62)),)),IF($M$6="Q11",IF(ROWS($1:62)&gt;COUNT(Dong),"",OFFSET('Q11-VND'!G$1,SMALL(Dong,ROWS($1:62)),)),IF(ROWS($1:62)&gt;COUNT(Dong),IF(ROWS($1:62)&gt;COUNT(Dong,Dong2),"",OFFSET('Q4-VND'!G$1,SMALL(Dong2,ROWS($1:62)-COUNT(Dong)),)),OFFSET('Q11-VND'!G$1,SMALL(Dong,ROWS($1:62)),))))</f>
        <v>331</v>
      </c>
      <c r="F73" s="303">
        <f ca="1">IF($M$6="Q4",IF(ROWS($1:62)&gt;COUNT(Dong2),0,OFFSET('Q4-VND'!H$1,SMALL(Dong2,ROWS($1:62)),)),IF($M$6="Q11",IF(ROWS($1:62)&gt;COUNT(Dong),0,OFFSET('Q11-VND'!H$1,SMALL(Dong,ROWS($1:62)),)),IF(ROWS($1:62)&gt;COUNT(Dong),IF(ROWS($1:62)&gt;COUNT(Dong,Dong2),0,OFFSET('Q4-VND'!H$1,SMALL(Dong2,ROWS($1:62)-COUNT(Dong)),)),OFFSET('Q11-VND'!H$1,SMALL(Dong,ROWS($1:62)),))))</f>
        <v>0</v>
      </c>
      <c r="G73" s="303">
        <f ca="1">IF($M$6="Q4",IF(ROWS($1:62)&gt;COUNT(Dong2),0,OFFSET('Q4-VND'!I$1,SMALL(Dong2,ROWS($1:62)),)),IF($M$6="Q11",IF(ROWS($1:62)&gt;COUNT(Dong),0,OFFSET('Q11-VND'!I$1,SMALL(Dong,ROWS($1:62)),)),IF(ROWS($1:62)&gt;COUNT(Dong),IF(ROWS($1:62)&gt;COUNT(Dong,Dong2),0,OFFSET('Q4-VND'!I$1,SMALL(Dong2,ROWS($1:62)-COUNT(Dong)),)),OFFSET('Q11-VND'!I$1,SMALL(Dong,ROWS($1:62)),))))</f>
        <v>90000000</v>
      </c>
      <c r="H73" s="304">
        <f t="shared" ca="1" si="1"/>
        <v>2381838308</v>
      </c>
      <c r="I73" s="304"/>
      <c r="J73" s="335"/>
    </row>
    <row r="74" spans="1:10" s="287" customFormat="1" ht="21" customHeight="1">
      <c r="A74" s="300">
        <f ca="1">IF($M$6="Q4",IF(ROWS($1:63)&gt;COUNT(Dong2),"",OFFSET('Q4-VND'!B$1,SMALL(Dong2,ROWS($1:63)),)),IF($M$6="Q11",IF(ROWS($1:63)&gt;COUNT(Dong),"",OFFSET('Q11-VND'!B$1,SMALL(Dong,ROWS($1:63)),)),IF(ROWS($1:63)&gt;COUNT(Dong),IF(ROWS($1:63)&gt;COUNT(Dong,Dong2),"",OFFSET('Q4-VND'!B$1,SMALL(Dong2,ROWS($1:63)-COUNT(Dong)),)),OFFSET('Q11-VND'!B$1,SMALL(Dong,ROWS($1:63)),))))</f>
        <v>41472</v>
      </c>
      <c r="B74" s="300" t="str">
        <f ca="1">IF($M$6="Q4",IF(ROWS($1:63)&gt;COUNT(Dong2),"",OFFSET('Q4-VND'!C$1,SMALL(Dong2,ROWS($1:63)),)),IF($M$6="Q11",IF(ROWS($1:63)&gt;COUNT(Dong),"",OFFSET('Q11-VND'!C$1,SMALL(Dong,ROWS($1:63)),)),IF(ROWS($1:63)&gt;COUNT(Dong),IF(ROWS($1:63)&gt;COUNT(Dong,Dong2),"",OFFSET('Q4-VND'!C$1,SMALL(Dong2,ROWS($1:63)-COUNT(Dong)),)),OFFSET('Q11-VND'!C$1,SMALL(Dong,ROWS($1:63)),))))</f>
        <v>THU</v>
      </c>
      <c r="C74" s="300">
        <f ca="1">IF($M$6="Q4",IF(ROWS($1:63)&gt;COUNT(Dong2),"",OFFSET('Q4-VND'!D$1,SMALL(Dong2,ROWS($1:63)),)),IF($M$6="Q11",IF(ROWS($1:63)&gt;COUNT(Dong),"",OFFSET('Q11-VND'!D$1,SMALL(Dong,ROWS($1:63)),)),IF(ROWS($1:63)&gt;COUNT(Dong),IF(ROWS($1:63)&gt;COUNT(Dong,Dong2),"",OFFSET('Q4-VND'!D$1,SMALL(Dong2,ROWS($1:63)-COUNT(Dong)),)),OFFSET('Q11-VND'!D$1,SMALL(Dong,ROWS($1:63)),))))</f>
        <v>41472</v>
      </c>
      <c r="D74" s="301" t="str">
        <f ca="1">IF($M$6="Q4",IF(ROWS($1:63)&gt;COUNT(Dong2),"",OFFSET('Q4-VND'!E$1,SMALL(Dong2,ROWS($1:63)),)),IF($M$6="Q11",IF(ROWS($1:63)&gt;COUNT(Dong),"",OFFSET('Q11-VND'!E$1,SMALL(Dong,ROWS($1:63)),)),IF(ROWS($1:63)&gt;COUNT(Dong),IF(ROWS($1:63)&gt;COUNT(Dong,Dong2),"","Q4 - "&amp;OFFSET('Q4-VND'!E$1,SMALL(Dong2,ROWS($1:63)-COUNT(Dong)),)),"Q11 - "&amp;OFFSET('Q11-VND'!E$1,SMALL(Dong,ROWS($1:63)),))))</f>
        <v>Q11 - Rút tiền nhập quỹ</v>
      </c>
      <c r="E74" s="302" t="str">
        <f ca="1">IF($M$6="Q4",IF(ROWS($1:63)&gt;COUNT(Dong2),"",OFFSET('Q4-VND'!G$1,SMALL(Dong2,ROWS($1:63)),)),IF($M$6="Q11",IF(ROWS($1:63)&gt;COUNT(Dong),"",OFFSET('Q11-VND'!G$1,SMALL(Dong,ROWS($1:63)),)),IF(ROWS($1:63)&gt;COUNT(Dong),IF(ROWS($1:63)&gt;COUNT(Dong,Dong2),"",OFFSET('Q4-VND'!G$1,SMALL(Dong2,ROWS($1:63)-COUNT(Dong)),)),OFFSET('Q11-VND'!G$1,SMALL(Dong,ROWS($1:63)),))))</f>
        <v>1111</v>
      </c>
      <c r="F74" s="303">
        <f ca="1">IF($M$6="Q4",IF(ROWS($1:63)&gt;COUNT(Dong2),0,OFFSET('Q4-VND'!H$1,SMALL(Dong2,ROWS($1:63)),)),IF($M$6="Q11",IF(ROWS($1:63)&gt;COUNT(Dong),0,OFFSET('Q11-VND'!H$1,SMALL(Dong,ROWS($1:63)),)),IF(ROWS($1:63)&gt;COUNT(Dong),IF(ROWS($1:63)&gt;COUNT(Dong,Dong2),0,OFFSET('Q4-VND'!H$1,SMALL(Dong2,ROWS($1:63)-COUNT(Dong)),)),OFFSET('Q11-VND'!H$1,SMALL(Dong,ROWS($1:63)),))))</f>
        <v>0</v>
      </c>
      <c r="G74" s="303">
        <f ca="1">IF($M$6="Q4",IF(ROWS($1:63)&gt;COUNT(Dong2),0,OFFSET('Q4-VND'!I$1,SMALL(Dong2,ROWS($1:63)),)),IF($M$6="Q11",IF(ROWS($1:63)&gt;COUNT(Dong),0,OFFSET('Q11-VND'!I$1,SMALL(Dong,ROWS($1:63)),)),IF(ROWS($1:63)&gt;COUNT(Dong),IF(ROWS($1:63)&gt;COUNT(Dong,Dong2),0,OFFSET('Q4-VND'!I$1,SMALL(Dong2,ROWS($1:63)-COUNT(Dong)),)),OFFSET('Q11-VND'!I$1,SMALL(Dong,ROWS($1:63)),))))</f>
        <v>1600000000</v>
      </c>
      <c r="H74" s="304">
        <f t="shared" ca="1" si="1"/>
        <v>781838308</v>
      </c>
      <c r="I74" s="304"/>
      <c r="J74" s="335"/>
    </row>
    <row r="75" spans="1:10" s="287" customFormat="1" ht="21" customHeight="1">
      <c r="A75" s="300">
        <f ca="1">IF($M$6="Q4",IF(ROWS($1:64)&gt;COUNT(Dong2),"",OFFSET('Q4-VND'!B$1,SMALL(Dong2,ROWS($1:64)),)),IF($M$6="Q11",IF(ROWS($1:64)&gt;COUNT(Dong),"",OFFSET('Q11-VND'!B$1,SMALL(Dong,ROWS($1:64)),)),IF(ROWS($1:64)&gt;COUNT(Dong),IF(ROWS($1:64)&gt;COUNT(Dong,Dong2),"",OFFSET('Q4-VND'!B$1,SMALL(Dong2,ROWS($1:64)-COUNT(Dong)),)),OFFSET('Q11-VND'!B$1,SMALL(Dong,ROWS($1:64)),))))</f>
        <v>41473</v>
      </c>
      <c r="B75" s="300" t="str">
        <f ca="1">IF($M$6="Q4",IF(ROWS($1:64)&gt;COUNT(Dong2),"",OFFSET('Q4-VND'!C$1,SMALL(Dong2,ROWS($1:64)),)),IF($M$6="Q11",IF(ROWS($1:64)&gt;COUNT(Dong),"",OFFSET('Q11-VND'!C$1,SMALL(Dong,ROWS($1:64)),)),IF(ROWS($1:64)&gt;COUNT(Dong),IF(ROWS($1:64)&gt;COUNT(Dong,Dong2),"",OFFSET('Q4-VND'!C$1,SMALL(Dong2,ROWS($1:64)-COUNT(Dong)),)),OFFSET('Q11-VND'!C$1,SMALL(Dong,ROWS($1:64)),))))</f>
        <v>GBC</v>
      </c>
      <c r="C75" s="300">
        <f ca="1">IF($M$6="Q4",IF(ROWS($1:64)&gt;COUNT(Dong2),"",OFFSET('Q4-VND'!D$1,SMALL(Dong2,ROWS($1:64)),)),IF($M$6="Q11",IF(ROWS($1:64)&gt;COUNT(Dong),"",OFFSET('Q11-VND'!D$1,SMALL(Dong,ROWS($1:64)),)),IF(ROWS($1:64)&gt;COUNT(Dong),IF(ROWS($1:64)&gt;COUNT(Dong,Dong2),"",OFFSET('Q4-VND'!D$1,SMALL(Dong2,ROWS($1:64)-COUNT(Dong)),)),OFFSET('Q11-VND'!D$1,SMALL(Dong,ROWS($1:64)),))))</f>
        <v>41473</v>
      </c>
      <c r="D75" s="301" t="str">
        <f ca="1">IF($M$6="Q4",IF(ROWS($1:64)&gt;COUNT(Dong2),"",OFFSET('Q4-VND'!E$1,SMALL(Dong2,ROWS($1:64)),)),IF($M$6="Q11",IF(ROWS($1:64)&gt;COUNT(Dong),"",OFFSET('Q11-VND'!E$1,SMALL(Dong,ROWS($1:64)),)),IF(ROWS($1:64)&gt;COUNT(Dong),IF(ROWS($1:64)&gt;COUNT(Dong,Dong2),"","Q4 - "&amp;OFFSET('Q4-VND'!E$1,SMALL(Dong2,ROWS($1:64)-COUNT(Dong)),)),"Q11 - "&amp;OFFSET('Q11-VND'!E$1,SMALL(Dong,ROWS($1:64)),))))</f>
        <v>Q11 - Thu tiền hàng</v>
      </c>
      <c r="E75" s="302" t="str">
        <f ca="1">IF($M$6="Q4",IF(ROWS($1:64)&gt;COUNT(Dong2),"",OFFSET('Q4-VND'!G$1,SMALL(Dong2,ROWS($1:64)),)),IF($M$6="Q11",IF(ROWS($1:64)&gt;COUNT(Dong),"",OFFSET('Q11-VND'!G$1,SMALL(Dong,ROWS($1:64)),)),IF(ROWS($1:64)&gt;COUNT(Dong),IF(ROWS($1:64)&gt;COUNT(Dong,Dong2),"",OFFSET('Q4-VND'!G$1,SMALL(Dong2,ROWS($1:64)-COUNT(Dong)),)),OFFSET('Q11-VND'!G$1,SMALL(Dong,ROWS($1:64)),))))</f>
        <v>1388</v>
      </c>
      <c r="F75" s="303">
        <f ca="1">IF($M$6="Q4",IF(ROWS($1:64)&gt;COUNT(Dong2),0,OFFSET('Q4-VND'!H$1,SMALL(Dong2,ROWS($1:64)),)),IF($M$6="Q11",IF(ROWS($1:64)&gt;COUNT(Dong),0,OFFSET('Q11-VND'!H$1,SMALL(Dong,ROWS($1:64)),)),IF(ROWS($1:64)&gt;COUNT(Dong),IF(ROWS($1:64)&gt;COUNT(Dong,Dong2),0,OFFSET('Q4-VND'!H$1,SMALL(Dong2,ROWS($1:64)-COUNT(Dong)),)),OFFSET('Q11-VND'!H$1,SMALL(Dong,ROWS($1:64)),))))</f>
        <v>801000000</v>
      </c>
      <c r="G75" s="303">
        <f ca="1">IF($M$6="Q4",IF(ROWS($1:64)&gt;COUNT(Dong2),0,OFFSET('Q4-VND'!I$1,SMALL(Dong2,ROWS($1:64)),)),IF($M$6="Q11",IF(ROWS($1:64)&gt;COUNT(Dong),0,OFFSET('Q11-VND'!I$1,SMALL(Dong,ROWS($1:64)),)),IF(ROWS($1:64)&gt;COUNT(Dong),IF(ROWS($1:64)&gt;COUNT(Dong,Dong2),0,OFFSET('Q4-VND'!I$1,SMALL(Dong2,ROWS($1:64)-COUNT(Dong)),)),OFFSET('Q11-VND'!I$1,SMALL(Dong,ROWS($1:64)),))))</f>
        <v>0</v>
      </c>
      <c r="H75" s="304">
        <f t="shared" ca="1" si="1"/>
        <v>1582838308</v>
      </c>
      <c r="I75" s="304"/>
      <c r="J75" s="335"/>
    </row>
    <row r="76" spans="1:10" s="287" customFormat="1" ht="21" customHeight="1">
      <c r="A76" s="300">
        <f ca="1">IF($M$6="Q4",IF(ROWS($1:65)&gt;COUNT(Dong2),"",OFFSET('Q4-VND'!B$1,SMALL(Dong2,ROWS($1:65)),)),IF($M$6="Q11",IF(ROWS($1:65)&gt;COUNT(Dong),"",OFFSET('Q11-VND'!B$1,SMALL(Dong,ROWS($1:65)),)),IF(ROWS($1:65)&gt;COUNT(Dong),IF(ROWS($1:65)&gt;COUNT(Dong,Dong2),"",OFFSET('Q4-VND'!B$1,SMALL(Dong2,ROWS($1:65)-COUNT(Dong)),)),OFFSET('Q11-VND'!B$1,SMALL(Dong,ROWS($1:65)),))))</f>
        <v>41473</v>
      </c>
      <c r="B76" s="300" t="str">
        <f ca="1">IF($M$6="Q4",IF(ROWS($1:65)&gt;COUNT(Dong2),"",OFFSET('Q4-VND'!C$1,SMALL(Dong2,ROWS($1:65)),)),IF($M$6="Q11",IF(ROWS($1:65)&gt;COUNT(Dong),"",OFFSET('Q11-VND'!C$1,SMALL(Dong,ROWS($1:65)),)),IF(ROWS($1:65)&gt;COUNT(Dong),IF(ROWS($1:65)&gt;COUNT(Dong,Dong2),"",OFFSET('Q4-VND'!C$1,SMALL(Dong2,ROWS($1:65)-COUNT(Dong)),)),OFFSET('Q11-VND'!C$1,SMALL(Dong,ROWS($1:65)),))))</f>
        <v>GBN</v>
      </c>
      <c r="C76" s="300">
        <f ca="1">IF($M$6="Q4",IF(ROWS($1:65)&gt;COUNT(Dong2),"",OFFSET('Q4-VND'!D$1,SMALL(Dong2,ROWS($1:65)),)),IF($M$6="Q11",IF(ROWS($1:65)&gt;COUNT(Dong),"",OFFSET('Q11-VND'!D$1,SMALL(Dong,ROWS($1:65)),)),IF(ROWS($1:65)&gt;COUNT(Dong),IF(ROWS($1:65)&gt;COUNT(Dong,Dong2),"",OFFSET('Q4-VND'!D$1,SMALL(Dong2,ROWS($1:65)-COUNT(Dong)),)),OFFSET('Q11-VND'!D$1,SMALL(Dong,ROWS($1:65)),))))</f>
        <v>41473</v>
      </c>
      <c r="D76" s="301" t="str">
        <f ca="1">IF($M$6="Q4",IF(ROWS($1:65)&gt;COUNT(Dong2),"",OFFSET('Q4-VND'!E$1,SMALL(Dong2,ROWS($1:65)),)),IF($M$6="Q11",IF(ROWS($1:65)&gt;COUNT(Dong),"",OFFSET('Q11-VND'!E$1,SMALL(Dong,ROWS($1:65)),)),IF(ROWS($1:65)&gt;COUNT(Dong),IF(ROWS($1:65)&gt;COUNT(Dong,Dong2),"","Q4 - "&amp;OFFSET('Q4-VND'!E$1,SMALL(Dong2,ROWS($1:65)-COUNT(Dong)),)),"Q11 - "&amp;OFFSET('Q11-VND'!E$1,SMALL(Dong,ROWS($1:65)),))))</f>
        <v>Q11 - Trả lãi vay từ ngày 18/06 - 17/07/2013 KU 1015LDS201300523</v>
      </c>
      <c r="E76" s="302" t="str">
        <f ca="1">IF($M$6="Q4",IF(ROWS($1:65)&gt;COUNT(Dong2),"",OFFSET('Q4-VND'!G$1,SMALL(Dong2,ROWS($1:65)),)),IF($M$6="Q11",IF(ROWS($1:65)&gt;COUNT(Dong),"",OFFSET('Q11-VND'!G$1,SMALL(Dong,ROWS($1:65)),)),IF(ROWS($1:65)&gt;COUNT(Dong),IF(ROWS($1:65)&gt;COUNT(Dong,Dong2),"",OFFSET('Q4-VND'!G$1,SMALL(Dong2,ROWS($1:65)-COUNT(Dong)),)),OFFSET('Q11-VND'!G$1,SMALL(Dong,ROWS($1:65)),))))</f>
        <v>635</v>
      </c>
      <c r="F76" s="303">
        <f ca="1">IF($M$6="Q4",IF(ROWS($1:65)&gt;COUNT(Dong2),0,OFFSET('Q4-VND'!H$1,SMALL(Dong2,ROWS($1:65)),)),IF($M$6="Q11",IF(ROWS($1:65)&gt;COUNT(Dong),0,OFFSET('Q11-VND'!H$1,SMALL(Dong,ROWS($1:65)),)),IF(ROWS($1:65)&gt;COUNT(Dong),IF(ROWS($1:65)&gt;COUNT(Dong,Dong2),0,OFFSET('Q4-VND'!H$1,SMALL(Dong2,ROWS($1:65)-COUNT(Dong)),)),OFFSET('Q11-VND'!H$1,SMALL(Dong,ROWS($1:65)),))))</f>
        <v>0</v>
      </c>
      <c r="G76" s="303">
        <f ca="1">IF($M$6="Q4",IF(ROWS($1:65)&gt;COUNT(Dong2),0,OFFSET('Q4-VND'!I$1,SMALL(Dong2,ROWS($1:65)),)),IF($M$6="Q11",IF(ROWS($1:65)&gt;COUNT(Dong),0,OFFSET('Q11-VND'!I$1,SMALL(Dong,ROWS($1:65)),)),IF(ROWS($1:65)&gt;COUNT(Dong),IF(ROWS($1:65)&gt;COUNT(Dong,Dong2),0,OFFSET('Q4-VND'!I$1,SMALL(Dong2,ROWS($1:65)-COUNT(Dong)),)),OFFSET('Q11-VND'!I$1,SMALL(Dong,ROWS($1:65)),))))</f>
        <v>10975471</v>
      </c>
      <c r="H76" s="304">
        <f t="shared" ref="H76:H90" ca="1" si="2">IF(A76&lt;&gt;"",ROUND(H75+F76-G76,0),"")</f>
        <v>1571862837</v>
      </c>
      <c r="I76" s="304"/>
      <c r="J76" s="335"/>
    </row>
    <row r="77" spans="1:10" s="287" customFormat="1" ht="21" customHeight="1">
      <c r="A77" s="300">
        <f ca="1">IF($M$6="Q4",IF(ROWS($1:66)&gt;COUNT(Dong2),"",OFFSET('Q4-VND'!B$1,SMALL(Dong2,ROWS($1:66)),)),IF($M$6="Q11",IF(ROWS($1:66)&gt;COUNT(Dong),"",OFFSET('Q11-VND'!B$1,SMALL(Dong,ROWS($1:66)),)),IF(ROWS($1:66)&gt;COUNT(Dong),IF(ROWS($1:66)&gt;COUNT(Dong,Dong2),"",OFFSET('Q4-VND'!B$1,SMALL(Dong2,ROWS($1:66)-COUNT(Dong)),)),OFFSET('Q11-VND'!B$1,SMALL(Dong,ROWS($1:66)),))))</f>
        <v>41473</v>
      </c>
      <c r="B77" s="300" t="str">
        <f ca="1">IF($M$6="Q4",IF(ROWS($1:66)&gt;COUNT(Dong2),"",OFFSET('Q4-VND'!C$1,SMALL(Dong2,ROWS($1:66)),)),IF($M$6="Q11",IF(ROWS($1:66)&gt;COUNT(Dong),"",OFFSET('Q11-VND'!C$1,SMALL(Dong,ROWS($1:66)),)),IF(ROWS($1:66)&gt;COUNT(Dong),IF(ROWS($1:66)&gt;COUNT(Dong,Dong2),"",OFFSET('Q4-VND'!C$1,SMALL(Dong2,ROWS($1:66)-COUNT(Dong)),)),OFFSET('Q11-VND'!C$1,SMALL(Dong,ROWS($1:66)),))))</f>
        <v>GBN</v>
      </c>
      <c r="C77" s="300">
        <f ca="1">IF($M$6="Q4",IF(ROWS($1:66)&gt;COUNT(Dong2),"",OFFSET('Q4-VND'!D$1,SMALL(Dong2,ROWS($1:66)),)),IF($M$6="Q11",IF(ROWS($1:66)&gt;COUNT(Dong),"",OFFSET('Q11-VND'!D$1,SMALL(Dong,ROWS($1:66)),)),IF(ROWS($1:66)&gt;COUNT(Dong),IF(ROWS($1:66)&gt;COUNT(Dong,Dong2),"",OFFSET('Q4-VND'!D$1,SMALL(Dong2,ROWS($1:66)-COUNT(Dong)),)),OFFSET('Q11-VND'!D$1,SMALL(Dong,ROWS($1:66)),))))</f>
        <v>41473</v>
      </c>
      <c r="D77" s="301" t="str">
        <f ca="1">IF($M$6="Q4",IF(ROWS($1:66)&gt;COUNT(Dong2),"",OFFSET('Q4-VND'!E$1,SMALL(Dong2,ROWS($1:66)),)),IF($M$6="Q11",IF(ROWS($1:66)&gt;COUNT(Dong),"",OFFSET('Q11-VND'!E$1,SMALL(Dong,ROWS($1:66)),)),IF(ROWS($1:66)&gt;COUNT(Dong),IF(ROWS($1:66)&gt;COUNT(Dong,Dong2),"","Q4 - "&amp;OFFSET('Q4-VND'!E$1,SMALL(Dong2,ROWS($1:66)-COUNT(Dong)),)),"Q11 - "&amp;OFFSET('Q11-VND'!E$1,SMALL(Dong,ROWS($1:66)),))))</f>
        <v>Q11 - Trả lãi vay từ ngày 18/06 - 17/07/2013 KU 1015LDS201300575</v>
      </c>
      <c r="E77" s="302" t="str">
        <f ca="1">IF($M$6="Q4",IF(ROWS($1:66)&gt;COUNT(Dong2),"",OFFSET('Q4-VND'!G$1,SMALL(Dong2,ROWS($1:66)),)),IF($M$6="Q11",IF(ROWS($1:66)&gt;COUNT(Dong),"",OFFSET('Q11-VND'!G$1,SMALL(Dong,ROWS($1:66)),)),IF(ROWS($1:66)&gt;COUNT(Dong),IF(ROWS($1:66)&gt;COUNT(Dong,Dong2),"",OFFSET('Q4-VND'!G$1,SMALL(Dong2,ROWS($1:66)-COUNT(Dong)),)),OFFSET('Q11-VND'!G$1,SMALL(Dong,ROWS($1:66)),))))</f>
        <v>635</v>
      </c>
      <c r="F77" s="303">
        <f ca="1">IF($M$6="Q4",IF(ROWS($1:66)&gt;COUNT(Dong2),0,OFFSET('Q4-VND'!H$1,SMALL(Dong2,ROWS($1:66)),)),IF($M$6="Q11",IF(ROWS($1:66)&gt;COUNT(Dong),0,OFFSET('Q11-VND'!H$1,SMALL(Dong,ROWS($1:66)),)),IF(ROWS($1:66)&gt;COUNT(Dong),IF(ROWS($1:66)&gt;COUNT(Dong,Dong2),0,OFFSET('Q4-VND'!H$1,SMALL(Dong2,ROWS($1:66)-COUNT(Dong)),)),OFFSET('Q11-VND'!H$1,SMALL(Dong,ROWS($1:66)),))))</f>
        <v>0</v>
      </c>
      <c r="G77" s="303">
        <f ca="1">IF($M$6="Q4",IF(ROWS($1:66)&gt;COUNT(Dong2),0,OFFSET('Q4-VND'!I$1,SMALL(Dong2,ROWS($1:66)),)),IF($M$6="Q11",IF(ROWS($1:66)&gt;COUNT(Dong),0,OFFSET('Q11-VND'!I$1,SMALL(Dong,ROWS($1:66)),)),IF(ROWS($1:66)&gt;COUNT(Dong),IF(ROWS($1:66)&gt;COUNT(Dong,Dong2),0,OFFSET('Q4-VND'!I$1,SMALL(Dong2,ROWS($1:66)-COUNT(Dong)),)),OFFSET('Q11-VND'!I$1,SMALL(Dong,ROWS($1:66)),))))</f>
        <v>10415002</v>
      </c>
      <c r="H77" s="304">
        <f t="shared" ca="1" si="2"/>
        <v>1561447835</v>
      </c>
      <c r="I77" s="304"/>
      <c r="J77" s="335"/>
    </row>
    <row r="78" spans="1:10" s="287" customFormat="1" ht="21" customHeight="1">
      <c r="A78" s="300">
        <f ca="1">IF($M$6="Q4",IF(ROWS($1:67)&gt;COUNT(Dong2),"",OFFSET('Q4-VND'!B$1,SMALL(Dong2,ROWS($1:67)),)),IF($M$6="Q11",IF(ROWS($1:67)&gt;COUNT(Dong),"",OFFSET('Q11-VND'!B$1,SMALL(Dong,ROWS($1:67)),)),IF(ROWS($1:67)&gt;COUNT(Dong),IF(ROWS($1:67)&gt;COUNT(Dong,Dong2),"",OFFSET('Q4-VND'!B$1,SMALL(Dong2,ROWS($1:67)-COUNT(Dong)),)),OFFSET('Q11-VND'!B$1,SMALL(Dong,ROWS($1:67)),))))</f>
        <v>41473</v>
      </c>
      <c r="B78" s="300" t="str">
        <f ca="1">IF($M$6="Q4",IF(ROWS($1:67)&gt;COUNT(Dong2),"",OFFSET('Q4-VND'!C$1,SMALL(Dong2,ROWS($1:67)),)),IF($M$6="Q11",IF(ROWS($1:67)&gt;COUNT(Dong),"",OFFSET('Q11-VND'!C$1,SMALL(Dong,ROWS($1:67)),)),IF(ROWS($1:67)&gt;COUNT(Dong),IF(ROWS($1:67)&gt;COUNT(Dong,Dong2),"",OFFSET('Q4-VND'!C$1,SMALL(Dong2,ROWS($1:67)-COUNT(Dong)),)),OFFSET('Q11-VND'!C$1,SMALL(Dong,ROWS($1:67)),))))</f>
        <v>GBN</v>
      </c>
      <c r="C78" s="300">
        <f ca="1">IF($M$6="Q4",IF(ROWS($1:67)&gt;COUNT(Dong2),"",OFFSET('Q4-VND'!D$1,SMALL(Dong2,ROWS($1:67)),)),IF($M$6="Q11",IF(ROWS($1:67)&gt;COUNT(Dong),"",OFFSET('Q11-VND'!D$1,SMALL(Dong,ROWS($1:67)),)),IF(ROWS($1:67)&gt;COUNT(Dong),IF(ROWS($1:67)&gt;COUNT(Dong,Dong2),"",OFFSET('Q4-VND'!D$1,SMALL(Dong2,ROWS($1:67)-COUNT(Dong)),)),OFFSET('Q11-VND'!D$1,SMALL(Dong,ROWS($1:67)),))))</f>
        <v>41473</v>
      </c>
      <c r="D78" s="301" t="str">
        <f ca="1">IF($M$6="Q4",IF(ROWS($1:67)&gt;COUNT(Dong2),"",OFFSET('Q4-VND'!E$1,SMALL(Dong2,ROWS($1:67)),)),IF($M$6="Q11",IF(ROWS($1:67)&gt;COUNT(Dong),"",OFFSET('Q11-VND'!E$1,SMALL(Dong,ROWS($1:67)),)),IF(ROWS($1:67)&gt;COUNT(Dong),IF(ROWS($1:67)&gt;COUNT(Dong,Dong2),"","Q4 - "&amp;OFFSET('Q4-VND'!E$1,SMALL(Dong2,ROWS($1:67)-COUNT(Dong)),)),"Q11 - "&amp;OFFSET('Q11-VND'!E$1,SMALL(Dong,ROWS($1:67)),))))</f>
        <v>Q11 - Thanh toán cước vận chuyển và phí liên quan</v>
      </c>
      <c r="E78" s="302" t="str">
        <f ca="1">IF($M$6="Q4",IF(ROWS($1:67)&gt;COUNT(Dong2),"",OFFSET('Q4-VND'!G$1,SMALL(Dong2,ROWS($1:67)),)),IF($M$6="Q11",IF(ROWS($1:67)&gt;COUNT(Dong),"",OFFSET('Q11-VND'!G$1,SMALL(Dong,ROWS($1:67)),)),IF(ROWS($1:67)&gt;COUNT(Dong),IF(ROWS($1:67)&gt;COUNT(Dong,Dong2),"",OFFSET('Q4-VND'!G$1,SMALL(Dong2,ROWS($1:67)-COUNT(Dong)),)),OFFSET('Q11-VND'!G$1,SMALL(Dong,ROWS($1:67)),))))</f>
        <v>331</v>
      </c>
      <c r="F78" s="303">
        <f ca="1">IF($M$6="Q4",IF(ROWS($1:67)&gt;COUNT(Dong2),0,OFFSET('Q4-VND'!H$1,SMALL(Dong2,ROWS($1:67)),)),IF($M$6="Q11",IF(ROWS($1:67)&gt;COUNT(Dong),0,OFFSET('Q11-VND'!H$1,SMALL(Dong,ROWS($1:67)),)),IF(ROWS($1:67)&gt;COUNT(Dong),IF(ROWS($1:67)&gt;COUNT(Dong,Dong2),0,OFFSET('Q4-VND'!H$1,SMALL(Dong2,ROWS($1:67)-COUNT(Dong)),)),OFFSET('Q11-VND'!H$1,SMALL(Dong,ROWS($1:67)),))))</f>
        <v>0</v>
      </c>
      <c r="G78" s="303">
        <f ca="1">IF($M$6="Q4",IF(ROWS($1:67)&gt;COUNT(Dong2),0,OFFSET('Q4-VND'!I$1,SMALL(Dong2,ROWS($1:67)),)),IF($M$6="Q11",IF(ROWS($1:67)&gt;COUNT(Dong),0,OFFSET('Q11-VND'!I$1,SMALL(Dong,ROWS($1:67)),)),IF(ROWS($1:67)&gt;COUNT(Dong),IF(ROWS($1:67)&gt;COUNT(Dong,Dong2),0,OFFSET('Q4-VND'!I$1,SMALL(Dong2,ROWS($1:67)-COUNT(Dong)),)),OFFSET('Q11-VND'!I$1,SMALL(Dong,ROWS($1:67)),))))</f>
        <v>30000000</v>
      </c>
      <c r="H78" s="304">
        <f t="shared" ca="1" si="2"/>
        <v>1531447835</v>
      </c>
      <c r="I78" s="304"/>
      <c r="J78" s="335"/>
    </row>
    <row r="79" spans="1:10" s="287" customFormat="1" ht="21" customHeight="1">
      <c r="A79" s="300">
        <f ca="1">IF($M$6="Q4",IF(ROWS($1:68)&gt;COUNT(Dong2),"",OFFSET('Q4-VND'!B$1,SMALL(Dong2,ROWS($1:68)),)),IF($M$6="Q11",IF(ROWS($1:68)&gt;COUNT(Dong),"",OFFSET('Q11-VND'!B$1,SMALL(Dong,ROWS($1:68)),)),IF(ROWS($1:68)&gt;COUNT(Dong),IF(ROWS($1:68)&gt;COUNT(Dong,Dong2),"",OFFSET('Q4-VND'!B$1,SMALL(Dong2,ROWS($1:68)-COUNT(Dong)),)),OFFSET('Q11-VND'!B$1,SMALL(Dong,ROWS($1:68)),))))</f>
        <v>41473</v>
      </c>
      <c r="B79" s="300" t="str">
        <f ca="1">IF($M$6="Q4",IF(ROWS($1:68)&gt;COUNT(Dong2),"",OFFSET('Q4-VND'!C$1,SMALL(Dong2,ROWS($1:68)),)),IF($M$6="Q11",IF(ROWS($1:68)&gt;COUNT(Dong),"",OFFSET('Q11-VND'!C$1,SMALL(Dong,ROWS($1:68)),)),IF(ROWS($1:68)&gt;COUNT(Dong),IF(ROWS($1:68)&gt;COUNT(Dong,Dong2),"",OFFSET('Q4-VND'!C$1,SMALL(Dong2,ROWS($1:68)-COUNT(Dong)),)),OFFSET('Q11-VND'!C$1,SMALL(Dong,ROWS($1:68)),))))</f>
        <v>GBN</v>
      </c>
      <c r="C79" s="300">
        <f ca="1">IF($M$6="Q4",IF(ROWS($1:68)&gt;COUNT(Dong2),"",OFFSET('Q4-VND'!D$1,SMALL(Dong2,ROWS($1:68)),)),IF($M$6="Q11",IF(ROWS($1:68)&gt;COUNT(Dong),"",OFFSET('Q11-VND'!D$1,SMALL(Dong,ROWS($1:68)),)),IF(ROWS($1:68)&gt;COUNT(Dong),IF(ROWS($1:68)&gt;COUNT(Dong,Dong2),"",OFFSET('Q4-VND'!D$1,SMALL(Dong2,ROWS($1:68)-COUNT(Dong)),)),OFFSET('Q11-VND'!D$1,SMALL(Dong,ROWS($1:68)),))))</f>
        <v>41473</v>
      </c>
      <c r="D79" s="301" t="str">
        <f ca="1">IF($M$6="Q4",IF(ROWS($1:68)&gt;COUNT(Dong2),"",OFFSET('Q4-VND'!E$1,SMALL(Dong2,ROWS($1:68)),)),IF($M$6="Q11",IF(ROWS($1:68)&gt;COUNT(Dong),"",OFFSET('Q11-VND'!E$1,SMALL(Dong,ROWS($1:68)),)),IF(ROWS($1:68)&gt;COUNT(Dong),IF(ROWS($1:68)&gt;COUNT(Dong,Dong2),"","Q4 - "&amp;OFFSET('Q4-VND'!E$1,SMALL(Dong2,ROWS($1:68)-COUNT(Dong)),)),"Q11 - "&amp;OFFSET('Q11-VND'!E$1,SMALL(Dong,ROWS($1:68)),))))</f>
        <v>Q11 - Phí thanh toán</v>
      </c>
      <c r="E79" s="302" t="str">
        <f ca="1">IF($M$6="Q4",IF(ROWS($1:68)&gt;COUNT(Dong2),"",OFFSET('Q4-VND'!G$1,SMALL(Dong2,ROWS($1:68)),)),IF($M$6="Q11",IF(ROWS($1:68)&gt;COUNT(Dong),"",OFFSET('Q11-VND'!G$1,SMALL(Dong,ROWS($1:68)),)),IF(ROWS($1:68)&gt;COUNT(Dong),IF(ROWS($1:68)&gt;COUNT(Dong,Dong2),"",OFFSET('Q4-VND'!G$1,SMALL(Dong2,ROWS($1:68)-COUNT(Dong)),)),OFFSET('Q11-VND'!G$1,SMALL(Dong,ROWS($1:68)),))))</f>
        <v>6422</v>
      </c>
      <c r="F79" s="303">
        <f ca="1">IF($M$6="Q4",IF(ROWS($1:68)&gt;COUNT(Dong2),0,OFFSET('Q4-VND'!H$1,SMALL(Dong2,ROWS($1:68)),)),IF($M$6="Q11",IF(ROWS($1:68)&gt;COUNT(Dong),0,OFFSET('Q11-VND'!H$1,SMALL(Dong,ROWS($1:68)),)),IF(ROWS($1:68)&gt;COUNT(Dong),IF(ROWS($1:68)&gt;COUNT(Dong,Dong2),0,OFFSET('Q4-VND'!H$1,SMALL(Dong2,ROWS($1:68)-COUNT(Dong)),)),OFFSET('Q11-VND'!H$1,SMALL(Dong,ROWS($1:68)),))))</f>
        <v>0</v>
      </c>
      <c r="G79" s="303">
        <f ca="1">IF($M$6="Q4",IF(ROWS($1:68)&gt;COUNT(Dong2),0,OFFSET('Q4-VND'!I$1,SMALL(Dong2,ROWS($1:68)),)),IF($M$6="Q11",IF(ROWS($1:68)&gt;COUNT(Dong),0,OFFSET('Q11-VND'!I$1,SMALL(Dong,ROWS($1:68)),)),IF(ROWS($1:68)&gt;COUNT(Dong),IF(ROWS($1:68)&gt;COUNT(Dong,Dong2),0,OFFSET('Q4-VND'!I$1,SMALL(Dong2,ROWS($1:68)-COUNT(Dong)),)),OFFSET('Q11-VND'!I$1,SMALL(Dong,ROWS($1:68)),))))</f>
        <v>10000</v>
      </c>
      <c r="H79" s="304">
        <f t="shared" ca="1" si="2"/>
        <v>1531437835</v>
      </c>
      <c r="I79" s="304"/>
      <c r="J79" s="335"/>
    </row>
    <row r="80" spans="1:10" s="287" customFormat="1" ht="21" customHeight="1">
      <c r="A80" s="300">
        <f ca="1">IF($M$6="Q4",IF(ROWS($1:69)&gt;COUNT(Dong2),"",OFFSET('Q4-VND'!B$1,SMALL(Dong2,ROWS($1:69)),)),IF($M$6="Q11",IF(ROWS($1:69)&gt;COUNT(Dong),"",OFFSET('Q11-VND'!B$1,SMALL(Dong,ROWS($1:69)),)),IF(ROWS($1:69)&gt;COUNT(Dong),IF(ROWS($1:69)&gt;COUNT(Dong,Dong2),"",OFFSET('Q4-VND'!B$1,SMALL(Dong2,ROWS($1:69)-COUNT(Dong)),)),OFFSET('Q11-VND'!B$1,SMALL(Dong,ROWS($1:69)),))))</f>
        <v>41473</v>
      </c>
      <c r="B80" s="300" t="str">
        <f ca="1">IF($M$6="Q4",IF(ROWS($1:69)&gt;COUNT(Dong2),"",OFFSET('Q4-VND'!C$1,SMALL(Dong2,ROWS($1:69)),)),IF($M$6="Q11",IF(ROWS($1:69)&gt;COUNT(Dong),"",OFFSET('Q11-VND'!C$1,SMALL(Dong,ROWS($1:69)),)),IF(ROWS($1:69)&gt;COUNT(Dong),IF(ROWS($1:69)&gt;COUNT(Dong,Dong2),"",OFFSET('Q4-VND'!C$1,SMALL(Dong2,ROWS($1:69)-COUNT(Dong)),)),OFFSET('Q11-VND'!C$1,SMALL(Dong,ROWS($1:69)),))))</f>
        <v>GBN</v>
      </c>
      <c r="C80" s="300">
        <f ca="1">IF($M$6="Q4",IF(ROWS($1:69)&gt;COUNT(Dong2),"",OFFSET('Q4-VND'!D$1,SMALL(Dong2,ROWS($1:69)),)),IF($M$6="Q11",IF(ROWS($1:69)&gt;COUNT(Dong),"",OFFSET('Q11-VND'!D$1,SMALL(Dong,ROWS($1:69)),)),IF(ROWS($1:69)&gt;COUNT(Dong),IF(ROWS($1:69)&gt;COUNT(Dong,Dong2),"",OFFSET('Q4-VND'!D$1,SMALL(Dong2,ROWS($1:69)-COUNT(Dong)),)),OFFSET('Q11-VND'!D$1,SMALL(Dong,ROWS($1:69)),))))</f>
        <v>41473</v>
      </c>
      <c r="D80" s="301" t="str">
        <f ca="1">IF($M$6="Q4",IF(ROWS($1:69)&gt;COUNT(Dong2),"",OFFSET('Q4-VND'!E$1,SMALL(Dong2,ROWS($1:69)),)),IF($M$6="Q11",IF(ROWS($1:69)&gt;COUNT(Dong),"",OFFSET('Q11-VND'!E$1,SMALL(Dong,ROWS($1:69)),)),IF(ROWS($1:69)&gt;COUNT(Dong),IF(ROWS($1:69)&gt;COUNT(Dong,Dong2),"","Q4 - "&amp;OFFSET('Q4-VND'!E$1,SMALL(Dong2,ROWS($1:69)-COUNT(Dong)),)),"Q11 - "&amp;OFFSET('Q11-VND'!E$1,SMALL(Dong,ROWS($1:69)),))))</f>
        <v>Q11 - VAT Phí thanh toán</v>
      </c>
      <c r="E80" s="302" t="str">
        <f ca="1">IF($M$6="Q4",IF(ROWS($1:69)&gt;COUNT(Dong2),"",OFFSET('Q4-VND'!G$1,SMALL(Dong2,ROWS($1:69)),)),IF($M$6="Q11",IF(ROWS($1:69)&gt;COUNT(Dong),"",OFFSET('Q11-VND'!G$1,SMALL(Dong,ROWS($1:69)),)),IF(ROWS($1:69)&gt;COUNT(Dong),IF(ROWS($1:69)&gt;COUNT(Dong,Dong2),"",OFFSET('Q4-VND'!G$1,SMALL(Dong2,ROWS($1:69)-COUNT(Dong)),)),OFFSET('Q11-VND'!G$1,SMALL(Dong,ROWS($1:69)),))))</f>
        <v>1331</v>
      </c>
      <c r="F80" s="303">
        <f ca="1">IF($M$6="Q4",IF(ROWS($1:69)&gt;COUNT(Dong2),0,OFFSET('Q4-VND'!H$1,SMALL(Dong2,ROWS($1:69)),)),IF($M$6="Q11",IF(ROWS($1:69)&gt;COUNT(Dong),0,OFFSET('Q11-VND'!H$1,SMALL(Dong,ROWS($1:69)),)),IF(ROWS($1:69)&gt;COUNT(Dong),IF(ROWS($1:69)&gt;COUNT(Dong,Dong2),0,OFFSET('Q4-VND'!H$1,SMALL(Dong2,ROWS($1:69)-COUNT(Dong)),)),OFFSET('Q11-VND'!H$1,SMALL(Dong,ROWS($1:69)),))))</f>
        <v>0</v>
      </c>
      <c r="G80" s="303">
        <f ca="1">IF($M$6="Q4",IF(ROWS($1:69)&gt;COUNT(Dong2),0,OFFSET('Q4-VND'!I$1,SMALL(Dong2,ROWS($1:69)),)),IF($M$6="Q11",IF(ROWS($1:69)&gt;COUNT(Dong),0,OFFSET('Q11-VND'!I$1,SMALL(Dong,ROWS($1:69)),)),IF(ROWS($1:69)&gt;COUNT(Dong),IF(ROWS($1:69)&gt;COUNT(Dong,Dong2),0,OFFSET('Q4-VND'!I$1,SMALL(Dong2,ROWS($1:69)-COUNT(Dong)),)),OFFSET('Q11-VND'!I$1,SMALL(Dong,ROWS($1:69)),))))</f>
        <v>1000</v>
      </c>
      <c r="H80" s="304">
        <f t="shared" ca="1" si="2"/>
        <v>1531436835</v>
      </c>
      <c r="I80" s="304"/>
      <c r="J80" s="335"/>
    </row>
    <row r="81" spans="1:10" s="287" customFormat="1" ht="21" customHeight="1">
      <c r="A81" s="300">
        <f ca="1">IF($M$6="Q4",IF(ROWS($1:70)&gt;COUNT(Dong2),"",OFFSET('Q4-VND'!B$1,SMALL(Dong2,ROWS($1:70)),)),IF($M$6="Q11",IF(ROWS($1:70)&gt;COUNT(Dong),"",OFFSET('Q11-VND'!B$1,SMALL(Dong,ROWS($1:70)),)),IF(ROWS($1:70)&gt;COUNT(Dong),IF(ROWS($1:70)&gt;COUNT(Dong,Dong2),"",OFFSET('Q4-VND'!B$1,SMALL(Dong2,ROWS($1:70)-COUNT(Dong)),)),OFFSET('Q11-VND'!B$1,SMALL(Dong,ROWS($1:70)),))))</f>
        <v>41473</v>
      </c>
      <c r="B81" s="300" t="str">
        <f ca="1">IF($M$6="Q4",IF(ROWS($1:70)&gt;COUNT(Dong2),"",OFFSET('Q4-VND'!C$1,SMALL(Dong2,ROWS($1:70)),)),IF($M$6="Q11",IF(ROWS($1:70)&gt;COUNT(Dong),"",OFFSET('Q11-VND'!C$1,SMALL(Dong,ROWS($1:70)),)),IF(ROWS($1:70)&gt;COUNT(Dong),IF(ROWS($1:70)&gt;COUNT(Dong,Dong2),"",OFFSET('Q4-VND'!C$1,SMALL(Dong2,ROWS($1:70)-COUNT(Dong)),)),OFFSET('Q11-VND'!C$1,SMALL(Dong,ROWS($1:70)),))))</f>
        <v>GBN</v>
      </c>
      <c r="C81" s="300">
        <f ca="1">IF($M$6="Q4",IF(ROWS($1:70)&gt;COUNT(Dong2),"",OFFSET('Q4-VND'!D$1,SMALL(Dong2,ROWS($1:70)),)),IF($M$6="Q11",IF(ROWS($1:70)&gt;COUNT(Dong),"",OFFSET('Q11-VND'!D$1,SMALL(Dong,ROWS($1:70)),)),IF(ROWS($1:70)&gt;COUNT(Dong),IF(ROWS($1:70)&gt;COUNT(Dong,Dong2),"",OFFSET('Q4-VND'!D$1,SMALL(Dong2,ROWS($1:70)-COUNT(Dong)),)),OFFSET('Q11-VND'!D$1,SMALL(Dong,ROWS($1:70)),))))</f>
        <v>41473</v>
      </c>
      <c r="D81" s="301" t="str">
        <f ca="1">IF($M$6="Q4",IF(ROWS($1:70)&gt;COUNT(Dong2),"",OFFSET('Q4-VND'!E$1,SMALL(Dong2,ROWS($1:70)),)),IF($M$6="Q11",IF(ROWS($1:70)&gt;COUNT(Dong),"",OFFSET('Q11-VND'!E$1,SMALL(Dong,ROWS($1:70)),)),IF(ROWS($1:70)&gt;COUNT(Dong),IF(ROWS($1:70)&gt;COUNT(Dong,Dong2),"","Q4 - "&amp;OFFSET('Q4-VND'!E$1,SMALL(Dong2,ROWS($1:70)-COUNT(Dong)),)),"Q11 - "&amp;OFFSET('Q11-VND'!E$1,SMALL(Dong,ROWS($1:70)),))))</f>
        <v>Q11 - Nộp thuế nhập khẩu TK 15: C554, K071, TM901</v>
      </c>
      <c r="E81" s="302" t="str">
        <f ca="1">IF($M$6="Q4",IF(ROWS($1:70)&gt;COUNT(Dong2),"",OFFSET('Q4-VND'!G$1,SMALL(Dong2,ROWS($1:70)),)),IF($M$6="Q11",IF(ROWS($1:70)&gt;COUNT(Dong),"",OFFSET('Q11-VND'!G$1,SMALL(Dong,ROWS($1:70)),)),IF(ROWS($1:70)&gt;COUNT(Dong),IF(ROWS($1:70)&gt;COUNT(Dong,Dong2),"",OFFSET('Q4-VND'!G$1,SMALL(Dong2,ROWS($1:70)-COUNT(Dong)),)),OFFSET('Q11-VND'!G$1,SMALL(Dong,ROWS($1:70)),))))</f>
        <v>3333</v>
      </c>
      <c r="F81" s="303">
        <f ca="1">IF($M$6="Q4",IF(ROWS($1:70)&gt;COUNT(Dong2),0,OFFSET('Q4-VND'!H$1,SMALL(Dong2,ROWS($1:70)),)),IF($M$6="Q11",IF(ROWS($1:70)&gt;COUNT(Dong),0,OFFSET('Q11-VND'!H$1,SMALL(Dong,ROWS($1:70)),)),IF(ROWS($1:70)&gt;COUNT(Dong),IF(ROWS($1:70)&gt;COUNT(Dong,Dong2),0,OFFSET('Q4-VND'!H$1,SMALL(Dong2,ROWS($1:70)-COUNT(Dong)),)),OFFSET('Q11-VND'!H$1,SMALL(Dong,ROWS($1:70)),))))</f>
        <v>0</v>
      </c>
      <c r="G81" s="303">
        <f ca="1">IF($M$6="Q4",IF(ROWS($1:70)&gt;COUNT(Dong2),0,OFFSET('Q4-VND'!I$1,SMALL(Dong2,ROWS($1:70)),)),IF($M$6="Q11",IF(ROWS($1:70)&gt;COUNT(Dong),0,OFFSET('Q11-VND'!I$1,SMALL(Dong,ROWS($1:70)),)),IF(ROWS($1:70)&gt;COUNT(Dong),IF(ROWS($1:70)&gt;COUNT(Dong,Dong2),0,OFFSET('Q4-VND'!I$1,SMALL(Dong2,ROWS($1:70)-COUNT(Dong)),)),OFFSET('Q11-VND'!I$1,SMALL(Dong,ROWS($1:70)),))))</f>
        <v>31242000</v>
      </c>
      <c r="H81" s="304">
        <f t="shared" ca="1" si="2"/>
        <v>1500194835</v>
      </c>
      <c r="I81" s="304"/>
      <c r="J81" s="335"/>
    </row>
    <row r="82" spans="1:10" s="287" customFormat="1" ht="21" customHeight="1">
      <c r="A82" s="300">
        <f ca="1">IF($M$6="Q4",IF(ROWS($1:71)&gt;COUNT(Dong2),"",OFFSET('Q4-VND'!B$1,SMALL(Dong2,ROWS($1:71)),)),IF($M$6="Q11",IF(ROWS($1:71)&gt;COUNT(Dong),"",OFFSET('Q11-VND'!B$1,SMALL(Dong,ROWS($1:71)),)),IF(ROWS($1:71)&gt;COUNT(Dong),IF(ROWS($1:71)&gt;COUNT(Dong,Dong2),"",OFFSET('Q4-VND'!B$1,SMALL(Dong2,ROWS($1:71)-COUNT(Dong)),)),OFFSET('Q11-VND'!B$1,SMALL(Dong,ROWS($1:71)),))))</f>
        <v>41473</v>
      </c>
      <c r="B82" s="300" t="str">
        <f ca="1">IF($M$6="Q4",IF(ROWS($1:71)&gt;COUNT(Dong2),"",OFFSET('Q4-VND'!C$1,SMALL(Dong2,ROWS($1:71)),)),IF($M$6="Q11",IF(ROWS($1:71)&gt;COUNT(Dong),"",OFFSET('Q11-VND'!C$1,SMALL(Dong,ROWS($1:71)),)),IF(ROWS($1:71)&gt;COUNT(Dong),IF(ROWS($1:71)&gt;COUNT(Dong,Dong2),"",OFFSET('Q4-VND'!C$1,SMALL(Dong2,ROWS($1:71)-COUNT(Dong)),)),OFFSET('Q11-VND'!C$1,SMALL(Dong,ROWS($1:71)),))))</f>
        <v>GBN</v>
      </c>
      <c r="C82" s="300">
        <f ca="1">IF($M$6="Q4",IF(ROWS($1:71)&gt;COUNT(Dong2),"",OFFSET('Q4-VND'!D$1,SMALL(Dong2,ROWS($1:71)),)),IF($M$6="Q11",IF(ROWS($1:71)&gt;COUNT(Dong),"",OFFSET('Q11-VND'!D$1,SMALL(Dong,ROWS($1:71)),)),IF(ROWS($1:71)&gt;COUNT(Dong),IF(ROWS($1:71)&gt;COUNT(Dong,Dong2),"",OFFSET('Q4-VND'!D$1,SMALL(Dong2,ROWS($1:71)-COUNT(Dong)),)),OFFSET('Q11-VND'!D$1,SMALL(Dong,ROWS($1:71)),))))</f>
        <v>41473</v>
      </c>
      <c r="D82" s="301" t="str">
        <f ca="1">IF($M$6="Q4",IF(ROWS($1:71)&gt;COUNT(Dong2),"",OFFSET('Q4-VND'!E$1,SMALL(Dong2,ROWS($1:71)),)),IF($M$6="Q11",IF(ROWS($1:71)&gt;COUNT(Dong),"",OFFSET('Q11-VND'!E$1,SMALL(Dong,ROWS($1:71)),)),IF(ROWS($1:71)&gt;COUNT(Dong),IF(ROWS($1:71)&gt;COUNT(Dong,Dong2),"","Q4 - "&amp;OFFSET('Q4-VND'!E$1,SMALL(Dong2,ROWS($1:71)-COUNT(Dong)),)),"Q11 - "&amp;OFFSET('Q11-VND'!E$1,SMALL(Dong,ROWS($1:71)),))))</f>
        <v>Q11 - Phí thanh toán</v>
      </c>
      <c r="E82" s="302" t="str">
        <f ca="1">IF($M$6="Q4",IF(ROWS($1:71)&gt;COUNT(Dong2),"",OFFSET('Q4-VND'!G$1,SMALL(Dong2,ROWS($1:71)),)),IF($M$6="Q11",IF(ROWS($1:71)&gt;COUNT(Dong),"",OFFSET('Q11-VND'!G$1,SMALL(Dong,ROWS($1:71)),)),IF(ROWS($1:71)&gt;COUNT(Dong),IF(ROWS($1:71)&gt;COUNT(Dong,Dong2),"",OFFSET('Q4-VND'!G$1,SMALL(Dong2,ROWS($1:71)-COUNT(Dong)),)),OFFSET('Q11-VND'!G$1,SMALL(Dong,ROWS($1:71)),))))</f>
        <v>6422</v>
      </c>
      <c r="F82" s="303">
        <f ca="1">IF($M$6="Q4",IF(ROWS($1:71)&gt;COUNT(Dong2),0,OFFSET('Q4-VND'!H$1,SMALL(Dong2,ROWS($1:71)),)),IF($M$6="Q11",IF(ROWS($1:71)&gt;COUNT(Dong),0,OFFSET('Q11-VND'!H$1,SMALL(Dong,ROWS($1:71)),)),IF(ROWS($1:71)&gt;COUNT(Dong),IF(ROWS($1:71)&gt;COUNT(Dong,Dong2),0,OFFSET('Q4-VND'!H$1,SMALL(Dong2,ROWS($1:71)-COUNT(Dong)),)),OFFSET('Q11-VND'!H$1,SMALL(Dong,ROWS($1:71)),))))</f>
        <v>0</v>
      </c>
      <c r="G82" s="303">
        <f ca="1">IF($M$6="Q4",IF(ROWS($1:71)&gt;COUNT(Dong2),0,OFFSET('Q4-VND'!I$1,SMALL(Dong2,ROWS($1:71)),)),IF($M$6="Q11",IF(ROWS($1:71)&gt;COUNT(Dong),0,OFFSET('Q11-VND'!I$1,SMALL(Dong,ROWS($1:71)),)),IF(ROWS($1:71)&gt;COUNT(Dong),IF(ROWS($1:71)&gt;COUNT(Dong,Dong2),0,OFFSET('Q4-VND'!I$1,SMALL(Dong2,ROWS($1:71)-COUNT(Dong)),)),OFFSET('Q11-VND'!I$1,SMALL(Dong,ROWS($1:71)),))))</f>
        <v>10000</v>
      </c>
      <c r="H82" s="304">
        <f t="shared" ca="1" si="2"/>
        <v>1500184835</v>
      </c>
      <c r="I82" s="304"/>
      <c r="J82" s="335"/>
    </row>
    <row r="83" spans="1:10" s="287" customFormat="1" ht="21" customHeight="1">
      <c r="A83" s="300">
        <f ca="1">IF($M$6="Q4",IF(ROWS($1:72)&gt;COUNT(Dong2),"",OFFSET('Q4-VND'!B$1,SMALL(Dong2,ROWS($1:72)),)),IF($M$6="Q11",IF(ROWS($1:72)&gt;COUNT(Dong),"",OFFSET('Q11-VND'!B$1,SMALL(Dong,ROWS($1:72)),)),IF(ROWS($1:72)&gt;COUNT(Dong),IF(ROWS($1:72)&gt;COUNT(Dong,Dong2),"",OFFSET('Q4-VND'!B$1,SMALL(Dong2,ROWS($1:72)-COUNT(Dong)),)),OFFSET('Q11-VND'!B$1,SMALL(Dong,ROWS($1:72)),))))</f>
        <v>41473</v>
      </c>
      <c r="B83" s="300" t="str">
        <f ca="1">IF($M$6="Q4",IF(ROWS($1:72)&gt;COUNT(Dong2),"",OFFSET('Q4-VND'!C$1,SMALL(Dong2,ROWS($1:72)),)),IF($M$6="Q11",IF(ROWS($1:72)&gt;COUNT(Dong),"",OFFSET('Q11-VND'!C$1,SMALL(Dong,ROWS($1:72)),)),IF(ROWS($1:72)&gt;COUNT(Dong),IF(ROWS($1:72)&gt;COUNT(Dong,Dong2),"",OFFSET('Q4-VND'!C$1,SMALL(Dong2,ROWS($1:72)-COUNT(Dong)),)),OFFSET('Q11-VND'!C$1,SMALL(Dong,ROWS($1:72)),))))</f>
        <v>GBN</v>
      </c>
      <c r="C83" s="300">
        <f ca="1">IF($M$6="Q4",IF(ROWS($1:72)&gt;COUNT(Dong2),"",OFFSET('Q4-VND'!D$1,SMALL(Dong2,ROWS($1:72)),)),IF($M$6="Q11",IF(ROWS($1:72)&gt;COUNT(Dong),"",OFFSET('Q11-VND'!D$1,SMALL(Dong,ROWS($1:72)),)),IF(ROWS($1:72)&gt;COUNT(Dong),IF(ROWS($1:72)&gt;COUNT(Dong,Dong2),"",OFFSET('Q4-VND'!D$1,SMALL(Dong2,ROWS($1:72)-COUNT(Dong)),)),OFFSET('Q11-VND'!D$1,SMALL(Dong,ROWS($1:72)),))))</f>
        <v>41473</v>
      </c>
      <c r="D83" s="301" t="str">
        <f ca="1">IF($M$6="Q4",IF(ROWS($1:72)&gt;COUNT(Dong2),"",OFFSET('Q4-VND'!E$1,SMALL(Dong2,ROWS($1:72)),)),IF($M$6="Q11",IF(ROWS($1:72)&gt;COUNT(Dong),"",OFFSET('Q11-VND'!E$1,SMALL(Dong,ROWS($1:72)),)),IF(ROWS($1:72)&gt;COUNT(Dong),IF(ROWS($1:72)&gt;COUNT(Dong,Dong2),"","Q4 - "&amp;OFFSET('Q4-VND'!E$1,SMALL(Dong2,ROWS($1:72)-COUNT(Dong)),)),"Q11 - "&amp;OFFSET('Q11-VND'!E$1,SMALL(Dong,ROWS($1:72)),))))</f>
        <v>Q11 - VAT Phí thanh toán</v>
      </c>
      <c r="E83" s="302" t="str">
        <f ca="1">IF($M$6="Q4",IF(ROWS($1:72)&gt;COUNT(Dong2),"",OFFSET('Q4-VND'!G$1,SMALL(Dong2,ROWS($1:72)),)),IF($M$6="Q11",IF(ROWS($1:72)&gt;COUNT(Dong),"",OFFSET('Q11-VND'!G$1,SMALL(Dong,ROWS($1:72)),)),IF(ROWS($1:72)&gt;COUNT(Dong),IF(ROWS($1:72)&gt;COUNT(Dong,Dong2),"",OFFSET('Q4-VND'!G$1,SMALL(Dong2,ROWS($1:72)-COUNT(Dong)),)),OFFSET('Q11-VND'!G$1,SMALL(Dong,ROWS($1:72)),))))</f>
        <v>1331</v>
      </c>
      <c r="F83" s="303">
        <f ca="1">IF($M$6="Q4",IF(ROWS($1:72)&gt;COUNT(Dong2),0,OFFSET('Q4-VND'!H$1,SMALL(Dong2,ROWS($1:72)),)),IF($M$6="Q11",IF(ROWS($1:72)&gt;COUNT(Dong),0,OFFSET('Q11-VND'!H$1,SMALL(Dong,ROWS($1:72)),)),IF(ROWS($1:72)&gt;COUNT(Dong),IF(ROWS($1:72)&gt;COUNT(Dong,Dong2),0,OFFSET('Q4-VND'!H$1,SMALL(Dong2,ROWS($1:72)-COUNT(Dong)),)),OFFSET('Q11-VND'!H$1,SMALL(Dong,ROWS($1:72)),))))</f>
        <v>0</v>
      </c>
      <c r="G83" s="303">
        <f ca="1">IF($M$6="Q4",IF(ROWS($1:72)&gt;COUNT(Dong2),0,OFFSET('Q4-VND'!I$1,SMALL(Dong2,ROWS($1:72)),)),IF($M$6="Q11",IF(ROWS($1:72)&gt;COUNT(Dong),0,OFFSET('Q11-VND'!I$1,SMALL(Dong,ROWS($1:72)),)),IF(ROWS($1:72)&gt;COUNT(Dong),IF(ROWS($1:72)&gt;COUNT(Dong,Dong2),0,OFFSET('Q4-VND'!I$1,SMALL(Dong2,ROWS($1:72)-COUNT(Dong)),)),OFFSET('Q11-VND'!I$1,SMALL(Dong,ROWS($1:72)),))))</f>
        <v>1000</v>
      </c>
      <c r="H83" s="304">
        <f t="shared" ca="1" si="2"/>
        <v>1500183835</v>
      </c>
      <c r="I83" s="304"/>
      <c r="J83" s="335"/>
    </row>
    <row r="84" spans="1:10" s="287" customFormat="1" ht="21" customHeight="1">
      <c r="A84" s="300">
        <f ca="1">IF($M$6="Q4",IF(ROWS($1:73)&gt;COUNT(Dong2),"",OFFSET('Q4-VND'!B$1,SMALL(Dong2,ROWS($1:73)),)),IF($M$6="Q11",IF(ROWS($1:73)&gt;COUNT(Dong),"",OFFSET('Q11-VND'!B$1,SMALL(Dong,ROWS($1:73)),)),IF(ROWS($1:73)&gt;COUNT(Dong),IF(ROWS($1:73)&gt;COUNT(Dong,Dong2),"",OFFSET('Q4-VND'!B$1,SMALL(Dong2,ROWS($1:73)-COUNT(Dong)),)),OFFSET('Q11-VND'!B$1,SMALL(Dong,ROWS($1:73)),))))</f>
        <v>41473</v>
      </c>
      <c r="B84" s="300" t="str">
        <f ca="1">IF($M$6="Q4",IF(ROWS($1:73)&gt;COUNT(Dong2),"",OFFSET('Q4-VND'!C$1,SMALL(Dong2,ROWS($1:73)),)),IF($M$6="Q11",IF(ROWS($1:73)&gt;COUNT(Dong),"",OFFSET('Q11-VND'!C$1,SMALL(Dong,ROWS($1:73)),)),IF(ROWS($1:73)&gt;COUNT(Dong),IF(ROWS($1:73)&gt;COUNT(Dong,Dong2),"",OFFSET('Q4-VND'!C$1,SMALL(Dong2,ROWS($1:73)-COUNT(Dong)),)),OFFSET('Q11-VND'!C$1,SMALL(Dong,ROWS($1:73)),))))</f>
        <v>THU</v>
      </c>
      <c r="C84" s="300">
        <f ca="1">IF($M$6="Q4",IF(ROWS($1:73)&gt;COUNT(Dong2),"",OFFSET('Q4-VND'!D$1,SMALL(Dong2,ROWS($1:73)),)),IF($M$6="Q11",IF(ROWS($1:73)&gt;COUNT(Dong),"",OFFSET('Q11-VND'!D$1,SMALL(Dong,ROWS($1:73)),)),IF(ROWS($1:73)&gt;COUNT(Dong),IF(ROWS($1:73)&gt;COUNT(Dong,Dong2),"",OFFSET('Q4-VND'!D$1,SMALL(Dong2,ROWS($1:73)-COUNT(Dong)),)),OFFSET('Q11-VND'!D$1,SMALL(Dong,ROWS($1:73)),))))</f>
        <v>41473</v>
      </c>
      <c r="D84" s="301" t="str">
        <f ca="1">IF($M$6="Q4",IF(ROWS($1:73)&gt;COUNT(Dong2),"",OFFSET('Q4-VND'!E$1,SMALL(Dong2,ROWS($1:73)),)),IF($M$6="Q11",IF(ROWS($1:73)&gt;COUNT(Dong),"",OFFSET('Q11-VND'!E$1,SMALL(Dong,ROWS($1:73)),)),IF(ROWS($1:73)&gt;COUNT(Dong),IF(ROWS($1:73)&gt;COUNT(Dong,Dong2),"","Q4 - "&amp;OFFSET('Q4-VND'!E$1,SMALL(Dong2,ROWS($1:73)-COUNT(Dong)),)),"Q11 - "&amp;OFFSET('Q11-VND'!E$1,SMALL(Dong,ROWS($1:73)),))))</f>
        <v>Q11 - Rút tiền nhập quỹ</v>
      </c>
      <c r="E84" s="302" t="str">
        <f ca="1">IF($M$6="Q4",IF(ROWS($1:73)&gt;COUNT(Dong2),"",OFFSET('Q4-VND'!G$1,SMALL(Dong2,ROWS($1:73)),)),IF($M$6="Q11",IF(ROWS($1:73)&gt;COUNT(Dong),"",OFFSET('Q11-VND'!G$1,SMALL(Dong,ROWS($1:73)),)),IF(ROWS($1:73)&gt;COUNT(Dong),IF(ROWS($1:73)&gt;COUNT(Dong,Dong2),"",OFFSET('Q4-VND'!G$1,SMALL(Dong2,ROWS($1:73)-COUNT(Dong)),)),OFFSET('Q11-VND'!G$1,SMALL(Dong,ROWS($1:73)),))))</f>
        <v>1111</v>
      </c>
      <c r="F84" s="303">
        <f ca="1">IF($M$6="Q4",IF(ROWS($1:73)&gt;COUNT(Dong2),0,OFFSET('Q4-VND'!H$1,SMALL(Dong2,ROWS($1:73)),)),IF($M$6="Q11",IF(ROWS($1:73)&gt;COUNT(Dong),0,OFFSET('Q11-VND'!H$1,SMALL(Dong,ROWS($1:73)),)),IF(ROWS($1:73)&gt;COUNT(Dong),IF(ROWS($1:73)&gt;COUNT(Dong,Dong2),0,OFFSET('Q4-VND'!H$1,SMALL(Dong2,ROWS($1:73)-COUNT(Dong)),)),OFFSET('Q11-VND'!H$1,SMALL(Dong,ROWS($1:73)),))))</f>
        <v>0</v>
      </c>
      <c r="G84" s="303">
        <f ca="1">IF($M$6="Q4",IF(ROWS($1:73)&gt;COUNT(Dong2),0,OFFSET('Q4-VND'!I$1,SMALL(Dong2,ROWS($1:73)),)),IF($M$6="Q11",IF(ROWS($1:73)&gt;COUNT(Dong),0,OFFSET('Q11-VND'!I$1,SMALL(Dong,ROWS($1:73)),)),IF(ROWS($1:73)&gt;COUNT(Dong),IF(ROWS($1:73)&gt;COUNT(Dong,Dong2),0,OFFSET('Q4-VND'!I$1,SMALL(Dong2,ROWS($1:73)-COUNT(Dong)),)),OFFSET('Q11-VND'!I$1,SMALL(Dong,ROWS($1:73)),))))</f>
        <v>739000000</v>
      </c>
      <c r="H84" s="304">
        <f t="shared" ca="1" si="2"/>
        <v>761183835</v>
      </c>
      <c r="I84" s="304"/>
      <c r="J84" s="335"/>
    </row>
    <row r="85" spans="1:10" s="287" customFormat="1" ht="21" customHeight="1">
      <c r="A85" s="300">
        <f ca="1">IF($M$6="Q4",IF(ROWS($1:74)&gt;COUNT(Dong2),"",OFFSET('Q4-VND'!B$1,SMALL(Dong2,ROWS($1:74)),)),IF($M$6="Q11",IF(ROWS($1:74)&gt;COUNT(Dong),"",OFFSET('Q11-VND'!B$1,SMALL(Dong,ROWS($1:74)),)),IF(ROWS($1:74)&gt;COUNT(Dong),IF(ROWS($1:74)&gt;COUNT(Dong,Dong2),"",OFFSET('Q4-VND'!B$1,SMALL(Dong2,ROWS($1:74)-COUNT(Dong)),)),OFFSET('Q11-VND'!B$1,SMALL(Dong,ROWS($1:74)),))))</f>
        <v>41473</v>
      </c>
      <c r="B85" s="300" t="str">
        <f ca="1">IF($M$6="Q4",IF(ROWS($1:74)&gt;COUNT(Dong2),"",OFFSET('Q4-VND'!C$1,SMALL(Dong2,ROWS($1:74)),)),IF($M$6="Q11",IF(ROWS($1:74)&gt;COUNT(Dong),"",OFFSET('Q11-VND'!C$1,SMALL(Dong,ROWS($1:74)),)),IF(ROWS($1:74)&gt;COUNT(Dong),IF(ROWS($1:74)&gt;COUNT(Dong,Dong2),"",OFFSET('Q4-VND'!C$1,SMALL(Dong2,ROWS($1:74)-COUNT(Dong)),)),OFFSET('Q11-VND'!C$1,SMALL(Dong,ROWS($1:74)),))))</f>
        <v>THU</v>
      </c>
      <c r="C85" s="300">
        <f ca="1">IF($M$6="Q4",IF(ROWS($1:74)&gt;COUNT(Dong2),"",OFFSET('Q4-VND'!D$1,SMALL(Dong2,ROWS($1:74)),)),IF($M$6="Q11",IF(ROWS($1:74)&gt;COUNT(Dong),"",OFFSET('Q11-VND'!D$1,SMALL(Dong,ROWS($1:74)),)),IF(ROWS($1:74)&gt;COUNT(Dong),IF(ROWS($1:74)&gt;COUNT(Dong,Dong2),"",OFFSET('Q4-VND'!D$1,SMALL(Dong2,ROWS($1:74)-COUNT(Dong)),)),OFFSET('Q11-VND'!D$1,SMALL(Dong,ROWS($1:74)),))))</f>
        <v>41473</v>
      </c>
      <c r="D85" s="301" t="str">
        <f ca="1">IF($M$6="Q4",IF(ROWS($1:74)&gt;COUNT(Dong2),"",OFFSET('Q4-VND'!E$1,SMALL(Dong2,ROWS($1:74)),)),IF($M$6="Q11",IF(ROWS($1:74)&gt;COUNT(Dong),"",OFFSET('Q11-VND'!E$1,SMALL(Dong,ROWS($1:74)),)),IF(ROWS($1:74)&gt;COUNT(Dong),IF(ROWS($1:74)&gt;COUNT(Dong,Dong2),"","Q4 - "&amp;OFFSET('Q4-VND'!E$1,SMALL(Dong2,ROWS($1:74)-COUNT(Dong)),)),"Q11 - "&amp;OFFSET('Q11-VND'!E$1,SMALL(Dong,ROWS($1:74)),))))</f>
        <v>Q11 - Rút tiền nhập quỹ</v>
      </c>
      <c r="E85" s="302" t="str">
        <f ca="1">IF($M$6="Q4",IF(ROWS($1:74)&gt;COUNT(Dong2),"",OFFSET('Q4-VND'!G$1,SMALL(Dong2,ROWS($1:74)),)),IF($M$6="Q11",IF(ROWS($1:74)&gt;COUNT(Dong),"",OFFSET('Q11-VND'!G$1,SMALL(Dong,ROWS($1:74)),)),IF(ROWS($1:74)&gt;COUNT(Dong),IF(ROWS($1:74)&gt;COUNT(Dong,Dong2),"",OFFSET('Q4-VND'!G$1,SMALL(Dong2,ROWS($1:74)-COUNT(Dong)),)),OFFSET('Q11-VND'!G$1,SMALL(Dong,ROWS($1:74)),))))</f>
        <v>1111</v>
      </c>
      <c r="F85" s="303">
        <f ca="1">IF($M$6="Q4",IF(ROWS($1:74)&gt;COUNT(Dong2),0,OFFSET('Q4-VND'!H$1,SMALL(Dong2,ROWS($1:74)),)),IF($M$6="Q11",IF(ROWS($1:74)&gt;COUNT(Dong),0,OFFSET('Q11-VND'!H$1,SMALL(Dong,ROWS($1:74)),)),IF(ROWS($1:74)&gt;COUNT(Dong),IF(ROWS($1:74)&gt;COUNT(Dong,Dong2),0,OFFSET('Q4-VND'!H$1,SMALL(Dong2,ROWS($1:74)-COUNT(Dong)),)),OFFSET('Q11-VND'!H$1,SMALL(Dong,ROWS($1:74)),))))</f>
        <v>0</v>
      </c>
      <c r="G85" s="303">
        <f ca="1">IF($M$6="Q4",IF(ROWS($1:74)&gt;COUNT(Dong2),0,OFFSET('Q4-VND'!I$1,SMALL(Dong2,ROWS($1:74)),)),IF($M$6="Q11",IF(ROWS($1:74)&gt;COUNT(Dong),0,OFFSET('Q11-VND'!I$1,SMALL(Dong,ROWS($1:74)),)),IF(ROWS($1:74)&gt;COUNT(Dong),IF(ROWS($1:74)&gt;COUNT(Dong,Dong2),0,OFFSET('Q4-VND'!I$1,SMALL(Dong2,ROWS($1:74)-COUNT(Dong)),)),OFFSET('Q11-VND'!I$1,SMALL(Dong,ROWS($1:74)),))))</f>
        <v>759000000</v>
      </c>
      <c r="H85" s="304">
        <f t="shared" ca="1" si="2"/>
        <v>2183835</v>
      </c>
      <c r="I85" s="304"/>
      <c r="J85" s="335"/>
    </row>
    <row r="86" spans="1:10" s="287" customFormat="1" ht="21" customHeight="1">
      <c r="A86" s="300">
        <f ca="1">IF($M$6="Q4",IF(ROWS($1:75)&gt;COUNT(Dong2),"",OFFSET('Q4-VND'!B$1,SMALL(Dong2,ROWS($1:75)),)),IF($M$6="Q11",IF(ROWS($1:75)&gt;COUNT(Dong),"",OFFSET('Q11-VND'!B$1,SMALL(Dong,ROWS($1:75)),)),IF(ROWS($1:75)&gt;COUNT(Dong),IF(ROWS($1:75)&gt;COUNT(Dong,Dong2),"",OFFSET('Q4-VND'!B$1,SMALL(Dong2,ROWS($1:75)-COUNT(Dong)),)),OFFSET('Q11-VND'!B$1,SMALL(Dong,ROWS($1:75)),))))</f>
        <v>41479</v>
      </c>
      <c r="B86" s="300" t="str">
        <f ca="1">IF($M$6="Q4",IF(ROWS($1:75)&gt;COUNT(Dong2),"",OFFSET('Q4-VND'!C$1,SMALL(Dong2,ROWS($1:75)),)),IF($M$6="Q11",IF(ROWS($1:75)&gt;COUNT(Dong),"",OFFSET('Q11-VND'!C$1,SMALL(Dong,ROWS($1:75)),)),IF(ROWS($1:75)&gt;COUNT(Dong),IF(ROWS($1:75)&gt;COUNT(Dong,Dong2),"",OFFSET('Q4-VND'!C$1,SMALL(Dong2,ROWS($1:75)-COUNT(Dong)),)),OFFSET('Q11-VND'!C$1,SMALL(Dong,ROWS($1:75)),))))</f>
        <v>GBC</v>
      </c>
      <c r="C86" s="300">
        <f ca="1">IF($M$6="Q4",IF(ROWS($1:75)&gt;COUNT(Dong2),"",OFFSET('Q4-VND'!D$1,SMALL(Dong2,ROWS($1:75)),)),IF($M$6="Q11",IF(ROWS($1:75)&gt;COUNT(Dong),"",OFFSET('Q11-VND'!D$1,SMALL(Dong,ROWS($1:75)),)),IF(ROWS($1:75)&gt;COUNT(Dong),IF(ROWS($1:75)&gt;COUNT(Dong,Dong2),"",OFFSET('Q4-VND'!D$1,SMALL(Dong2,ROWS($1:75)-COUNT(Dong)),)),OFFSET('Q11-VND'!D$1,SMALL(Dong,ROWS($1:75)),))))</f>
        <v>41479</v>
      </c>
      <c r="D86" s="301" t="str">
        <f ca="1">IF($M$6="Q4",IF(ROWS($1:75)&gt;COUNT(Dong2),"",OFFSET('Q4-VND'!E$1,SMALL(Dong2,ROWS($1:75)),)),IF($M$6="Q11",IF(ROWS($1:75)&gt;COUNT(Dong),"",OFFSET('Q11-VND'!E$1,SMALL(Dong,ROWS($1:75)),)),IF(ROWS($1:75)&gt;COUNT(Dong),IF(ROWS($1:75)&gt;COUNT(Dong,Dong2),"","Q4 - "&amp;OFFSET('Q4-VND'!E$1,SMALL(Dong2,ROWS($1:75)-COUNT(Dong)),)),"Q11 - "&amp;OFFSET('Q11-VND'!E$1,SMALL(Dong,ROWS($1:75)),))))</f>
        <v>Q11 - Lãi tiền gửi</v>
      </c>
      <c r="E86" s="302" t="str">
        <f ca="1">IF($M$6="Q4",IF(ROWS($1:75)&gt;COUNT(Dong2),"",OFFSET('Q4-VND'!G$1,SMALL(Dong2,ROWS($1:75)),)),IF($M$6="Q11",IF(ROWS($1:75)&gt;COUNT(Dong),"",OFFSET('Q11-VND'!G$1,SMALL(Dong,ROWS($1:75)),)),IF(ROWS($1:75)&gt;COUNT(Dong),IF(ROWS($1:75)&gt;COUNT(Dong,Dong2),"",OFFSET('Q4-VND'!G$1,SMALL(Dong2,ROWS($1:75)-COUNT(Dong)),)),OFFSET('Q11-VND'!G$1,SMALL(Dong,ROWS($1:75)),))))</f>
        <v>515</v>
      </c>
      <c r="F86" s="303">
        <f ca="1">IF($M$6="Q4",IF(ROWS($1:75)&gt;COUNT(Dong2),0,OFFSET('Q4-VND'!H$1,SMALL(Dong2,ROWS($1:75)),)),IF($M$6="Q11",IF(ROWS($1:75)&gt;COUNT(Dong),0,OFFSET('Q11-VND'!H$1,SMALL(Dong,ROWS($1:75)),)),IF(ROWS($1:75)&gt;COUNT(Dong),IF(ROWS($1:75)&gt;COUNT(Dong,Dong2),0,OFFSET('Q4-VND'!H$1,SMALL(Dong2,ROWS($1:75)-COUNT(Dong)),)),OFFSET('Q11-VND'!H$1,SMALL(Dong,ROWS($1:75)),))))</f>
        <v>76252</v>
      </c>
      <c r="G86" s="303">
        <f ca="1">IF($M$6="Q4",IF(ROWS($1:75)&gt;COUNT(Dong2),0,OFFSET('Q4-VND'!I$1,SMALL(Dong2,ROWS($1:75)),)),IF($M$6="Q11",IF(ROWS($1:75)&gt;COUNT(Dong),0,OFFSET('Q11-VND'!I$1,SMALL(Dong,ROWS($1:75)),)),IF(ROWS($1:75)&gt;COUNT(Dong),IF(ROWS($1:75)&gt;COUNT(Dong,Dong2),0,OFFSET('Q4-VND'!I$1,SMALL(Dong2,ROWS($1:75)-COUNT(Dong)),)),OFFSET('Q11-VND'!I$1,SMALL(Dong,ROWS($1:75)),))))</f>
        <v>0</v>
      </c>
      <c r="H86" s="304">
        <f t="shared" ca="1" si="2"/>
        <v>2260087</v>
      </c>
      <c r="I86" s="304"/>
      <c r="J86" s="335"/>
    </row>
    <row r="87" spans="1:10" s="287" customFormat="1" ht="21" customHeight="1">
      <c r="A87" s="300">
        <f ca="1">IF($M$6="Q4",IF(ROWS($1:76)&gt;COUNT(Dong2),"",OFFSET('Q4-VND'!B$1,SMALL(Dong2,ROWS($1:76)),)),IF($M$6="Q11",IF(ROWS($1:76)&gt;COUNT(Dong),"",OFFSET('Q11-VND'!B$1,SMALL(Dong,ROWS($1:76)),)),IF(ROWS($1:76)&gt;COUNT(Dong),IF(ROWS($1:76)&gt;COUNT(Dong,Dong2),"",OFFSET('Q4-VND'!B$1,SMALL(Dong2,ROWS($1:76)-COUNT(Dong)),)),OFFSET('Q11-VND'!B$1,SMALL(Dong,ROWS($1:76)),))))</f>
        <v>41479</v>
      </c>
      <c r="B87" s="300" t="str">
        <f ca="1">IF($M$6="Q4",IF(ROWS($1:76)&gt;COUNT(Dong2),"",OFFSET('Q4-VND'!C$1,SMALL(Dong2,ROWS($1:76)),)),IF($M$6="Q11",IF(ROWS($1:76)&gt;COUNT(Dong),"",OFFSET('Q11-VND'!C$1,SMALL(Dong,ROWS($1:76)),)),IF(ROWS($1:76)&gt;COUNT(Dong),IF(ROWS($1:76)&gt;COUNT(Dong,Dong2),"",OFFSET('Q4-VND'!C$1,SMALL(Dong2,ROWS($1:76)-COUNT(Dong)),)),OFFSET('Q11-VND'!C$1,SMALL(Dong,ROWS($1:76)),))))</f>
        <v>GBC</v>
      </c>
      <c r="C87" s="300">
        <f ca="1">IF($M$6="Q4",IF(ROWS($1:76)&gt;COUNT(Dong2),"",OFFSET('Q4-VND'!D$1,SMALL(Dong2,ROWS($1:76)),)),IF($M$6="Q11",IF(ROWS($1:76)&gt;COUNT(Dong),"",OFFSET('Q11-VND'!D$1,SMALL(Dong,ROWS($1:76)),)),IF(ROWS($1:76)&gt;COUNT(Dong),IF(ROWS($1:76)&gt;COUNT(Dong,Dong2),"",OFFSET('Q4-VND'!D$1,SMALL(Dong2,ROWS($1:76)-COUNT(Dong)),)),OFFSET('Q11-VND'!D$1,SMALL(Dong,ROWS($1:76)),))))</f>
        <v>41479</v>
      </c>
      <c r="D87" s="301" t="str">
        <f ca="1">IF($M$6="Q4",IF(ROWS($1:76)&gt;COUNT(Dong2),"",OFFSET('Q4-VND'!E$1,SMALL(Dong2,ROWS($1:76)),)),IF($M$6="Q11",IF(ROWS($1:76)&gt;COUNT(Dong),"",OFFSET('Q11-VND'!E$1,SMALL(Dong,ROWS($1:76)),)),IF(ROWS($1:76)&gt;COUNT(Dong),IF(ROWS($1:76)&gt;COUNT(Dong,Dong2),"","Q4 - "&amp;OFFSET('Q4-VND'!E$1,SMALL(Dong2,ROWS($1:76)-COUNT(Dong)),)),"Q11 - "&amp;OFFSET('Q11-VND'!E$1,SMALL(Dong,ROWS($1:76)),))))</f>
        <v>Q11 - Thu tiền hàng</v>
      </c>
      <c r="E87" s="302" t="str">
        <f ca="1">IF($M$6="Q4",IF(ROWS($1:76)&gt;COUNT(Dong2),"",OFFSET('Q4-VND'!G$1,SMALL(Dong2,ROWS($1:76)),)),IF($M$6="Q11",IF(ROWS($1:76)&gt;COUNT(Dong),"",OFFSET('Q11-VND'!G$1,SMALL(Dong,ROWS($1:76)),)),IF(ROWS($1:76)&gt;COUNT(Dong),IF(ROWS($1:76)&gt;COUNT(Dong,Dong2),"",OFFSET('Q4-VND'!G$1,SMALL(Dong2,ROWS($1:76)-COUNT(Dong)),)),OFFSET('Q11-VND'!G$1,SMALL(Dong,ROWS($1:76)),))))</f>
        <v>1388</v>
      </c>
      <c r="F87" s="303">
        <f ca="1">IF($M$6="Q4",IF(ROWS($1:76)&gt;COUNT(Dong2),0,OFFSET('Q4-VND'!H$1,SMALL(Dong2,ROWS($1:76)),)),IF($M$6="Q11",IF(ROWS($1:76)&gt;COUNT(Dong),0,OFFSET('Q11-VND'!H$1,SMALL(Dong,ROWS($1:76)),)),IF(ROWS($1:76)&gt;COUNT(Dong),IF(ROWS($1:76)&gt;COUNT(Dong,Dong2),0,OFFSET('Q4-VND'!H$1,SMALL(Dong2,ROWS($1:76)-COUNT(Dong)),)),OFFSET('Q11-VND'!H$1,SMALL(Dong,ROWS($1:76)),))))</f>
        <v>840000000</v>
      </c>
      <c r="G87" s="303">
        <f ca="1">IF($M$6="Q4",IF(ROWS($1:76)&gt;COUNT(Dong2),0,OFFSET('Q4-VND'!I$1,SMALL(Dong2,ROWS($1:76)),)),IF($M$6="Q11",IF(ROWS($1:76)&gt;COUNT(Dong),0,OFFSET('Q11-VND'!I$1,SMALL(Dong,ROWS($1:76)),)),IF(ROWS($1:76)&gt;COUNT(Dong),IF(ROWS($1:76)&gt;COUNT(Dong,Dong2),0,OFFSET('Q4-VND'!I$1,SMALL(Dong2,ROWS($1:76)-COUNT(Dong)),)),OFFSET('Q11-VND'!I$1,SMALL(Dong,ROWS($1:76)),))))</f>
        <v>0</v>
      </c>
      <c r="H87" s="304">
        <f t="shared" ca="1" si="2"/>
        <v>842260087</v>
      </c>
      <c r="I87" s="304"/>
      <c r="J87" s="335"/>
    </row>
    <row r="88" spans="1:10" s="287" customFormat="1" ht="21" customHeight="1">
      <c r="A88" s="300">
        <f ca="1">IF($M$6="Q4",IF(ROWS($1:77)&gt;COUNT(Dong2),"",OFFSET('Q4-VND'!B$1,SMALL(Dong2,ROWS($1:77)),)),IF($M$6="Q11",IF(ROWS($1:77)&gt;COUNT(Dong),"",OFFSET('Q11-VND'!B$1,SMALL(Dong,ROWS($1:77)),)),IF(ROWS($1:77)&gt;COUNT(Dong),IF(ROWS($1:77)&gt;COUNT(Dong,Dong2),"",OFFSET('Q4-VND'!B$1,SMALL(Dong2,ROWS($1:77)-COUNT(Dong)),)),OFFSET('Q11-VND'!B$1,SMALL(Dong,ROWS($1:77)),))))</f>
        <v>41479</v>
      </c>
      <c r="B88" s="300" t="str">
        <f ca="1">IF($M$6="Q4",IF(ROWS($1:77)&gt;COUNT(Dong2),"",OFFSET('Q4-VND'!C$1,SMALL(Dong2,ROWS($1:77)),)),IF($M$6="Q11",IF(ROWS($1:77)&gt;COUNT(Dong),"",OFFSET('Q11-VND'!C$1,SMALL(Dong,ROWS($1:77)),)),IF(ROWS($1:77)&gt;COUNT(Dong),IF(ROWS($1:77)&gt;COUNT(Dong,Dong2),"",OFFSET('Q4-VND'!C$1,SMALL(Dong2,ROWS($1:77)-COUNT(Dong)),)),OFFSET('Q11-VND'!C$1,SMALL(Dong,ROWS($1:77)),))))</f>
        <v>GBN</v>
      </c>
      <c r="C88" s="300">
        <f ca="1">IF($M$6="Q4",IF(ROWS($1:77)&gt;COUNT(Dong2),"",OFFSET('Q4-VND'!D$1,SMALL(Dong2,ROWS($1:77)),)),IF($M$6="Q11",IF(ROWS($1:77)&gt;COUNT(Dong),"",OFFSET('Q11-VND'!D$1,SMALL(Dong,ROWS($1:77)),)),IF(ROWS($1:77)&gt;COUNT(Dong),IF(ROWS($1:77)&gt;COUNT(Dong,Dong2),"",OFFSET('Q4-VND'!D$1,SMALL(Dong2,ROWS($1:77)-COUNT(Dong)),)),OFFSET('Q11-VND'!D$1,SMALL(Dong,ROWS($1:77)),))))</f>
        <v>41479</v>
      </c>
      <c r="D88" s="301" t="str">
        <f ca="1">IF($M$6="Q4",IF(ROWS($1:77)&gt;COUNT(Dong2),"",OFFSET('Q4-VND'!E$1,SMALL(Dong2,ROWS($1:77)),)),IF($M$6="Q11",IF(ROWS($1:77)&gt;COUNT(Dong),"",OFFSET('Q11-VND'!E$1,SMALL(Dong,ROWS($1:77)),)),IF(ROWS($1:77)&gt;COUNT(Dong),IF(ROWS($1:77)&gt;COUNT(Dong,Dong2),"","Q4 - "&amp;OFFSET('Q4-VND'!E$1,SMALL(Dong2,ROWS($1:77)-COUNT(Dong)),)),"Q11 - "&amp;OFFSET('Q11-VND'!E$1,SMALL(Dong,ROWS($1:77)),))))</f>
        <v>Q11 - Phí thanh toán</v>
      </c>
      <c r="E88" s="302" t="str">
        <f ca="1">IF($M$6="Q4",IF(ROWS($1:77)&gt;COUNT(Dong2),"",OFFSET('Q4-VND'!G$1,SMALL(Dong2,ROWS($1:77)),)),IF($M$6="Q11",IF(ROWS($1:77)&gt;COUNT(Dong),"",OFFSET('Q11-VND'!G$1,SMALL(Dong,ROWS($1:77)),)),IF(ROWS($1:77)&gt;COUNT(Dong),IF(ROWS($1:77)&gt;COUNT(Dong,Dong2),"",OFFSET('Q4-VND'!G$1,SMALL(Dong2,ROWS($1:77)-COUNT(Dong)),)),OFFSET('Q11-VND'!G$1,SMALL(Dong,ROWS($1:77)),))))</f>
        <v>6422</v>
      </c>
      <c r="F88" s="303">
        <f ca="1">IF($M$6="Q4",IF(ROWS($1:77)&gt;COUNT(Dong2),0,OFFSET('Q4-VND'!H$1,SMALL(Dong2,ROWS($1:77)),)),IF($M$6="Q11",IF(ROWS($1:77)&gt;COUNT(Dong),0,OFFSET('Q11-VND'!H$1,SMALL(Dong,ROWS($1:77)),)),IF(ROWS($1:77)&gt;COUNT(Dong),IF(ROWS($1:77)&gt;COUNT(Dong,Dong2),0,OFFSET('Q4-VND'!H$1,SMALL(Dong2,ROWS($1:77)-COUNT(Dong)),)),OFFSET('Q11-VND'!H$1,SMALL(Dong,ROWS($1:77)),))))</f>
        <v>0</v>
      </c>
      <c r="G88" s="303">
        <f ca="1">IF($M$6="Q4",IF(ROWS($1:77)&gt;COUNT(Dong2),0,OFFSET('Q4-VND'!I$1,SMALL(Dong2,ROWS($1:77)),)),IF($M$6="Q11",IF(ROWS($1:77)&gt;COUNT(Dong),0,OFFSET('Q11-VND'!I$1,SMALL(Dong,ROWS($1:77)),)),IF(ROWS($1:77)&gt;COUNT(Dong),IF(ROWS($1:77)&gt;COUNT(Dong,Dong2),0,OFFSET('Q4-VND'!I$1,SMALL(Dong2,ROWS($1:77)-COUNT(Dong)),)),OFFSET('Q11-VND'!I$1,SMALL(Dong,ROWS($1:77)),))))</f>
        <v>10000</v>
      </c>
      <c r="H88" s="304">
        <f t="shared" ca="1" si="2"/>
        <v>842250087</v>
      </c>
      <c r="I88" s="304"/>
      <c r="J88" s="335"/>
    </row>
    <row r="89" spans="1:10" s="287" customFormat="1" ht="21" customHeight="1">
      <c r="A89" s="300">
        <f ca="1">IF($M$6="Q4",IF(ROWS($1:78)&gt;COUNT(Dong2),"",OFFSET('Q4-VND'!B$1,SMALL(Dong2,ROWS($1:78)),)),IF($M$6="Q11",IF(ROWS($1:78)&gt;COUNT(Dong),"",OFFSET('Q11-VND'!B$1,SMALL(Dong,ROWS($1:78)),)),IF(ROWS($1:78)&gt;COUNT(Dong),IF(ROWS($1:78)&gt;COUNT(Dong,Dong2),"",OFFSET('Q4-VND'!B$1,SMALL(Dong2,ROWS($1:78)-COUNT(Dong)),)),OFFSET('Q11-VND'!B$1,SMALL(Dong,ROWS($1:78)),))))</f>
        <v>41479</v>
      </c>
      <c r="B89" s="300" t="str">
        <f ca="1">IF($M$6="Q4",IF(ROWS($1:78)&gt;COUNT(Dong2),"",OFFSET('Q4-VND'!C$1,SMALL(Dong2,ROWS($1:78)),)),IF($M$6="Q11",IF(ROWS($1:78)&gt;COUNT(Dong),"",OFFSET('Q11-VND'!C$1,SMALL(Dong,ROWS($1:78)),)),IF(ROWS($1:78)&gt;COUNT(Dong),IF(ROWS($1:78)&gt;COUNT(Dong,Dong2),"",OFFSET('Q4-VND'!C$1,SMALL(Dong2,ROWS($1:78)-COUNT(Dong)),)),OFFSET('Q11-VND'!C$1,SMALL(Dong,ROWS($1:78)),))))</f>
        <v>GBN</v>
      </c>
      <c r="C89" s="300">
        <f ca="1">IF($M$6="Q4",IF(ROWS($1:78)&gt;COUNT(Dong2),"",OFFSET('Q4-VND'!D$1,SMALL(Dong2,ROWS($1:78)),)),IF($M$6="Q11",IF(ROWS($1:78)&gt;COUNT(Dong),"",OFFSET('Q11-VND'!D$1,SMALL(Dong,ROWS($1:78)),)),IF(ROWS($1:78)&gt;COUNT(Dong),IF(ROWS($1:78)&gt;COUNT(Dong,Dong2),"",OFFSET('Q4-VND'!D$1,SMALL(Dong2,ROWS($1:78)-COUNT(Dong)),)),OFFSET('Q11-VND'!D$1,SMALL(Dong,ROWS($1:78)),))))</f>
        <v>41479</v>
      </c>
      <c r="D89" s="301" t="str">
        <f ca="1">IF($M$6="Q4",IF(ROWS($1:78)&gt;COUNT(Dong2),"",OFFSET('Q4-VND'!E$1,SMALL(Dong2,ROWS($1:78)),)),IF($M$6="Q11",IF(ROWS($1:78)&gt;COUNT(Dong),"",OFFSET('Q11-VND'!E$1,SMALL(Dong,ROWS($1:78)),)),IF(ROWS($1:78)&gt;COUNT(Dong),IF(ROWS($1:78)&gt;COUNT(Dong,Dong2),"","Q4 - "&amp;OFFSET('Q4-VND'!E$1,SMALL(Dong2,ROWS($1:78)-COUNT(Dong)),)),"Q11 - "&amp;OFFSET('Q11-VND'!E$1,SMALL(Dong,ROWS($1:78)),))))</f>
        <v>Q11 - VAT Phí thanh toán</v>
      </c>
      <c r="E89" s="302" t="str">
        <f ca="1">IF($M$6="Q4",IF(ROWS($1:78)&gt;COUNT(Dong2),"",OFFSET('Q4-VND'!G$1,SMALL(Dong2,ROWS($1:78)),)),IF($M$6="Q11",IF(ROWS($1:78)&gt;COUNT(Dong),"",OFFSET('Q11-VND'!G$1,SMALL(Dong,ROWS($1:78)),)),IF(ROWS($1:78)&gt;COUNT(Dong),IF(ROWS($1:78)&gt;COUNT(Dong,Dong2),"",OFFSET('Q4-VND'!G$1,SMALL(Dong2,ROWS($1:78)-COUNT(Dong)),)),OFFSET('Q11-VND'!G$1,SMALL(Dong,ROWS($1:78)),))))</f>
        <v>1331</v>
      </c>
      <c r="F89" s="303">
        <f ca="1">IF($M$6="Q4",IF(ROWS($1:78)&gt;COUNT(Dong2),0,OFFSET('Q4-VND'!H$1,SMALL(Dong2,ROWS($1:78)),)),IF($M$6="Q11",IF(ROWS($1:78)&gt;COUNT(Dong),0,OFFSET('Q11-VND'!H$1,SMALL(Dong,ROWS($1:78)),)),IF(ROWS($1:78)&gt;COUNT(Dong),IF(ROWS($1:78)&gt;COUNT(Dong,Dong2),0,OFFSET('Q4-VND'!H$1,SMALL(Dong2,ROWS($1:78)-COUNT(Dong)),)),OFFSET('Q11-VND'!H$1,SMALL(Dong,ROWS($1:78)),))))</f>
        <v>0</v>
      </c>
      <c r="G89" s="303">
        <f ca="1">IF($M$6="Q4",IF(ROWS($1:78)&gt;COUNT(Dong2),0,OFFSET('Q4-VND'!I$1,SMALL(Dong2,ROWS($1:78)),)),IF($M$6="Q11",IF(ROWS($1:78)&gt;COUNT(Dong),0,OFFSET('Q11-VND'!I$1,SMALL(Dong,ROWS($1:78)),)),IF(ROWS($1:78)&gt;COUNT(Dong),IF(ROWS($1:78)&gt;COUNT(Dong,Dong2),0,OFFSET('Q4-VND'!I$1,SMALL(Dong2,ROWS($1:78)-COUNT(Dong)),)),OFFSET('Q11-VND'!I$1,SMALL(Dong,ROWS($1:78)),))))</f>
        <v>1000</v>
      </c>
      <c r="H89" s="304">
        <f t="shared" ca="1" si="2"/>
        <v>842249087</v>
      </c>
      <c r="I89" s="304"/>
      <c r="J89" s="335"/>
    </row>
    <row r="90" spans="1:10" s="287" customFormat="1" ht="21" customHeight="1">
      <c r="A90" s="300">
        <f ca="1">IF($M$6="Q4",IF(ROWS($1:79)&gt;COUNT(Dong2),"",OFFSET('Q4-VND'!B$1,SMALL(Dong2,ROWS($1:79)),)),IF($M$6="Q11",IF(ROWS($1:79)&gt;COUNT(Dong),"",OFFSET('Q11-VND'!B$1,SMALL(Dong,ROWS($1:79)),)),IF(ROWS($1:79)&gt;COUNT(Dong),IF(ROWS($1:79)&gt;COUNT(Dong,Dong2),"",OFFSET('Q4-VND'!B$1,SMALL(Dong2,ROWS($1:79)-COUNT(Dong)),)),OFFSET('Q11-VND'!B$1,SMALL(Dong,ROWS($1:79)),))))</f>
        <v>41481</v>
      </c>
      <c r="B90" s="300" t="str">
        <f ca="1">IF($M$6="Q4",IF(ROWS($1:79)&gt;COUNT(Dong2),"",OFFSET('Q4-VND'!C$1,SMALL(Dong2,ROWS($1:79)),)),IF($M$6="Q11",IF(ROWS($1:79)&gt;COUNT(Dong),"",OFFSET('Q11-VND'!C$1,SMALL(Dong,ROWS($1:79)),)),IF(ROWS($1:79)&gt;COUNT(Dong),IF(ROWS($1:79)&gt;COUNT(Dong,Dong2),"",OFFSET('Q4-VND'!C$1,SMALL(Dong2,ROWS($1:79)-COUNT(Dong)),)),OFFSET('Q11-VND'!C$1,SMALL(Dong,ROWS($1:79)),))))</f>
        <v>THU</v>
      </c>
      <c r="C90" s="300">
        <f ca="1">IF($M$6="Q4",IF(ROWS($1:79)&gt;COUNT(Dong2),"",OFFSET('Q4-VND'!D$1,SMALL(Dong2,ROWS($1:79)),)),IF($M$6="Q11",IF(ROWS($1:79)&gt;COUNT(Dong),"",OFFSET('Q11-VND'!D$1,SMALL(Dong,ROWS($1:79)),)),IF(ROWS($1:79)&gt;COUNT(Dong),IF(ROWS($1:79)&gt;COUNT(Dong,Dong2),"",OFFSET('Q4-VND'!D$1,SMALL(Dong2,ROWS($1:79)-COUNT(Dong)),)),OFFSET('Q11-VND'!D$1,SMALL(Dong,ROWS($1:79)),))))</f>
        <v>41481</v>
      </c>
      <c r="D90" s="301" t="str">
        <f ca="1">IF($M$6="Q4",IF(ROWS($1:79)&gt;COUNT(Dong2),"",OFFSET('Q4-VND'!E$1,SMALL(Dong2,ROWS($1:79)),)),IF($M$6="Q11",IF(ROWS($1:79)&gt;COUNT(Dong),"",OFFSET('Q11-VND'!E$1,SMALL(Dong,ROWS($1:79)),)),IF(ROWS($1:79)&gt;COUNT(Dong),IF(ROWS($1:79)&gt;COUNT(Dong,Dong2),"","Q4 - "&amp;OFFSET('Q4-VND'!E$1,SMALL(Dong2,ROWS($1:79)-COUNT(Dong)),)),"Q11 - "&amp;OFFSET('Q11-VND'!E$1,SMALL(Dong,ROWS($1:79)),))))</f>
        <v>Q11 - Rút tiền nhập quỹ</v>
      </c>
      <c r="E90" s="302" t="str">
        <f ca="1">IF($M$6="Q4",IF(ROWS($1:79)&gt;COUNT(Dong2),"",OFFSET('Q4-VND'!G$1,SMALL(Dong2,ROWS($1:79)),)),IF($M$6="Q11",IF(ROWS($1:79)&gt;COUNT(Dong),"",OFFSET('Q11-VND'!G$1,SMALL(Dong,ROWS($1:79)),)),IF(ROWS($1:79)&gt;COUNT(Dong),IF(ROWS($1:79)&gt;COUNT(Dong,Dong2),"",OFFSET('Q4-VND'!G$1,SMALL(Dong2,ROWS($1:79)-COUNT(Dong)),)),OFFSET('Q11-VND'!G$1,SMALL(Dong,ROWS($1:79)),))))</f>
        <v>1111</v>
      </c>
      <c r="F90" s="303">
        <f ca="1">IF($M$6="Q4",IF(ROWS($1:79)&gt;COUNT(Dong2),0,OFFSET('Q4-VND'!H$1,SMALL(Dong2,ROWS($1:79)),)),IF($M$6="Q11",IF(ROWS($1:79)&gt;COUNT(Dong),0,OFFSET('Q11-VND'!H$1,SMALL(Dong,ROWS($1:79)),)),IF(ROWS($1:79)&gt;COUNT(Dong),IF(ROWS($1:79)&gt;COUNT(Dong,Dong2),0,OFFSET('Q4-VND'!H$1,SMALL(Dong2,ROWS($1:79)-COUNT(Dong)),)),OFFSET('Q11-VND'!H$1,SMALL(Dong,ROWS($1:79)),))))</f>
        <v>0</v>
      </c>
      <c r="G90" s="303">
        <f ca="1">IF($M$6="Q4",IF(ROWS($1:79)&gt;COUNT(Dong2),0,OFFSET('Q4-VND'!I$1,SMALL(Dong2,ROWS($1:79)),)),IF($M$6="Q11",IF(ROWS($1:79)&gt;COUNT(Dong),0,OFFSET('Q11-VND'!I$1,SMALL(Dong,ROWS($1:79)),)),IF(ROWS($1:79)&gt;COUNT(Dong),IF(ROWS($1:79)&gt;COUNT(Dong,Dong2),0,OFFSET('Q4-VND'!I$1,SMALL(Dong2,ROWS($1:79)-COUNT(Dong)),)),OFFSET('Q11-VND'!I$1,SMALL(Dong,ROWS($1:79)),))))</f>
        <v>300000000</v>
      </c>
      <c r="H90" s="304">
        <f t="shared" ca="1" si="2"/>
        <v>542249087</v>
      </c>
      <c r="I90" s="304"/>
      <c r="J90" s="335"/>
    </row>
    <row r="91" spans="1:10" s="287" customFormat="1" ht="21" customHeight="1">
      <c r="A91" s="300">
        <f ca="1">IF($M$6="Q4",IF(ROWS($1:80)&gt;COUNT(Dong2),"",OFFSET('Q4-VND'!B$1,SMALL(Dong2,ROWS($1:80)),)),IF($M$6="Q11",IF(ROWS($1:80)&gt;COUNT(Dong),"",OFFSET('Q11-VND'!B$1,SMALL(Dong,ROWS($1:80)),)),IF(ROWS($1:80)&gt;COUNT(Dong),IF(ROWS($1:80)&gt;COUNT(Dong,Dong2),"",OFFSET('Q4-VND'!B$1,SMALL(Dong2,ROWS($1:80)-COUNT(Dong)),)),OFFSET('Q11-VND'!B$1,SMALL(Dong,ROWS($1:80)),))))</f>
        <v>41485</v>
      </c>
      <c r="B91" s="300" t="str">
        <f ca="1">IF($M$6="Q4",IF(ROWS($1:80)&gt;COUNT(Dong2),"",OFFSET('Q4-VND'!C$1,SMALL(Dong2,ROWS($1:80)),)),IF($M$6="Q11",IF(ROWS($1:80)&gt;COUNT(Dong),"",OFFSET('Q11-VND'!C$1,SMALL(Dong,ROWS($1:80)),)),IF(ROWS($1:80)&gt;COUNT(Dong),IF(ROWS($1:80)&gt;COUNT(Dong,Dong2),"",OFFSET('Q4-VND'!C$1,SMALL(Dong2,ROWS($1:80)-COUNT(Dong)),)),OFFSET('Q11-VND'!C$1,SMALL(Dong,ROWS($1:80)),))))</f>
        <v>GBN</v>
      </c>
      <c r="C91" s="300">
        <f ca="1">IF($M$6="Q4",IF(ROWS($1:80)&gt;COUNT(Dong2),"",OFFSET('Q4-VND'!D$1,SMALL(Dong2,ROWS($1:80)),)),IF($M$6="Q11",IF(ROWS($1:80)&gt;COUNT(Dong),"",OFFSET('Q11-VND'!D$1,SMALL(Dong,ROWS($1:80)),)),IF(ROWS($1:80)&gt;COUNT(Dong),IF(ROWS($1:80)&gt;COUNT(Dong,Dong2),"",OFFSET('Q4-VND'!D$1,SMALL(Dong2,ROWS($1:80)-COUNT(Dong)),)),OFFSET('Q11-VND'!D$1,SMALL(Dong,ROWS($1:80)),))))</f>
        <v>41485</v>
      </c>
      <c r="D91" s="301" t="str">
        <f ca="1">IF($M$6="Q4",IF(ROWS($1:80)&gt;COUNT(Dong2),"",OFFSET('Q4-VND'!E$1,SMALL(Dong2,ROWS($1:80)),)),IF($M$6="Q11",IF(ROWS($1:80)&gt;COUNT(Dong),"",OFFSET('Q11-VND'!E$1,SMALL(Dong,ROWS($1:80)),)),IF(ROWS($1:80)&gt;COUNT(Dong),IF(ROWS($1:80)&gt;COUNT(Dong,Dong2),"","Q4 - "&amp;OFFSET('Q4-VND'!E$1,SMALL(Dong2,ROWS($1:80)-COUNT(Dong)),)),"Q11 - "&amp;OFFSET('Q11-VND'!E$1,SMALL(Dong,ROWS($1:80)),))))</f>
        <v>Q11 - Thanh toán phí kiểm nghiệm T 06/2013</v>
      </c>
      <c r="E91" s="302" t="str">
        <f ca="1">IF($M$6="Q4",IF(ROWS($1:80)&gt;COUNT(Dong2),"",OFFSET('Q4-VND'!G$1,SMALL(Dong2,ROWS($1:80)),)),IF($M$6="Q11",IF(ROWS($1:80)&gt;COUNT(Dong),"",OFFSET('Q11-VND'!G$1,SMALL(Dong,ROWS($1:80)),)),IF(ROWS($1:80)&gt;COUNT(Dong),IF(ROWS($1:80)&gt;COUNT(Dong,Dong2),"",OFFSET('Q4-VND'!G$1,SMALL(Dong2,ROWS($1:80)-COUNT(Dong)),)),OFFSET('Q11-VND'!G$1,SMALL(Dong,ROWS($1:80)),))))</f>
        <v>331</v>
      </c>
      <c r="F91" s="303">
        <f ca="1">IF($M$6="Q4",IF(ROWS($1:80)&gt;COUNT(Dong2),0,OFFSET('Q4-VND'!H$1,SMALL(Dong2,ROWS($1:80)),)),IF($M$6="Q11",IF(ROWS($1:80)&gt;COUNT(Dong),0,OFFSET('Q11-VND'!H$1,SMALL(Dong,ROWS($1:80)),)),IF(ROWS($1:80)&gt;COUNT(Dong),IF(ROWS($1:80)&gt;COUNT(Dong,Dong2),0,OFFSET('Q4-VND'!H$1,SMALL(Dong2,ROWS($1:80)-COUNT(Dong)),)),OFFSET('Q11-VND'!H$1,SMALL(Dong,ROWS($1:80)),))))</f>
        <v>0</v>
      </c>
      <c r="G91" s="303">
        <f ca="1">IF($M$6="Q4",IF(ROWS($1:80)&gt;COUNT(Dong2),0,OFFSET('Q4-VND'!I$1,SMALL(Dong2,ROWS($1:80)),)),IF($M$6="Q11",IF(ROWS($1:80)&gt;COUNT(Dong),0,OFFSET('Q11-VND'!I$1,SMALL(Dong,ROWS($1:80)),)),IF(ROWS($1:80)&gt;COUNT(Dong),IF(ROWS($1:80)&gt;COUNT(Dong,Dong2),0,OFFSET('Q4-VND'!I$1,SMALL(Dong2,ROWS($1:80)-COUNT(Dong)),)),OFFSET('Q11-VND'!I$1,SMALL(Dong,ROWS($1:80)),))))</f>
        <v>240000</v>
      </c>
      <c r="H91" s="304">
        <f t="shared" ref="H91:H100" ca="1" si="3">IF(A91&lt;&gt;"",ROUND(H90+F91-G91,0),"")</f>
        <v>542009087</v>
      </c>
      <c r="I91" s="304"/>
      <c r="J91" s="335"/>
    </row>
    <row r="92" spans="1:10" s="287" customFormat="1" ht="21" customHeight="1">
      <c r="A92" s="300">
        <f ca="1">IF($M$6="Q4",IF(ROWS($1:81)&gt;COUNT(Dong2),"",OFFSET('Q4-VND'!B$1,SMALL(Dong2,ROWS($1:81)),)),IF($M$6="Q11",IF(ROWS($1:81)&gt;COUNT(Dong),"",OFFSET('Q11-VND'!B$1,SMALL(Dong,ROWS($1:81)),)),IF(ROWS($1:81)&gt;COUNT(Dong),IF(ROWS($1:81)&gt;COUNT(Dong,Dong2),"",OFFSET('Q4-VND'!B$1,SMALL(Dong2,ROWS($1:81)-COUNT(Dong)),)),OFFSET('Q11-VND'!B$1,SMALL(Dong,ROWS($1:81)),))))</f>
        <v>41485</v>
      </c>
      <c r="B92" s="300" t="str">
        <f ca="1">IF($M$6="Q4",IF(ROWS($1:81)&gt;COUNT(Dong2),"",OFFSET('Q4-VND'!C$1,SMALL(Dong2,ROWS($1:81)),)),IF($M$6="Q11",IF(ROWS($1:81)&gt;COUNT(Dong),"",OFFSET('Q11-VND'!C$1,SMALL(Dong,ROWS($1:81)),)),IF(ROWS($1:81)&gt;COUNT(Dong),IF(ROWS($1:81)&gt;COUNT(Dong,Dong2),"",OFFSET('Q4-VND'!C$1,SMALL(Dong2,ROWS($1:81)-COUNT(Dong)),)),OFFSET('Q11-VND'!C$1,SMALL(Dong,ROWS($1:81)),))))</f>
        <v>GBN</v>
      </c>
      <c r="C92" s="300">
        <f ca="1">IF($M$6="Q4",IF(ROWS($1:81)&gt;COUNT(Dong2),"",OFFSET('Q4-VND'!D$1,SMALL(Dong2,ROWS($1:81)),)),IF($M$6="Q11",IF(ROWS($1:81)&gt;COUNT(Dong),"",OFFSET('Q11-VND'!D$1,SMALL(Dong,ROWS($1:81)),)),IF(ROWS($1:81)&gt;COUNT(Dong),IF(ROWS($1:81)&gt;COUNT(Dong,Dong2),"",OFFSET('Q4-VND'!D$1,SMALL(Dong2,ROWS($1:81)-COUNT(Dong)),)),OFFSET('Q11-VND'!D$1,SMALL(Dong,ROWS($1:81)),))))</f>
        <v>41485</v>
      </c>
      <c r="D92" s="301" t="str">
        <f ca="1">IF($M$6="Q4",IF(ROWS($1:81)&gt;COUNT(Dong2),"",OFFSET('Q4-VND'!E$1,SMALL(Dong2,ROWS($1:81)),)),IF($M$6="Q11",IF(ROWS($1:81)&gt;COUNT(Dong),"",OFFSET('Q11-VND'!E$1,SMALL(Dong,ROWS($1:81)),)),IF(ROWS($1:81)&gt;COUNT(Dong),IF(ROWS($1:81)&gt;COUNT(Dong,Dong2),"","Q4 - "&amp;OFFSET('Q4-VND'!E$1,SMALL(Dong2,ROWS($1:81)-COUNT(Dong)),)),"Q11 - "&amp;OFFSET('Q11-VND'!E$1,SMALL(Dong,ROWS($1:81)),))))</f>
        <v>Q11 - Phí thanh toán</v>
      </c>
      <c r="E92" s="302" t="str">
        <f ca="1">IF($M$6="Q4",IF(ROWS($1:81)&gt;COUNT(Dong2),"",OFFSET('Q4-VND'!G$1,SMALL(Dong2,ROWS($1:81)),)),IF($M$6="Q11",IF(ROWS($1:81)&gt;COUNT(Dong),"",OFFSET('Q11-VND'!G$1,SMALL(Dong,ROWS($1:81)),)),IF(ROWS($1:81)&gt;COUNT(Dong),IF(ROWS($1:81)&gt;COUNT(Dong,Dong2),"",OFFSET('Q4-VND'!G$1,SMALL(Dong2,ROWS($1:81)-COUNT(Dong)),)),OFFSET('Q11-VND'!G$1,SMALL(Dong,ROWS($1:81)),))))</f>
        <v>6422</v>
      </c>
      <c r="F92" s="303">
        <f ca="1">IF($M$6="Q4",IF(ROWS($1:81)&gt;COUNT(Dong2),0,OFFSET('Q4-VND'!H$1,SMALL(Dong2,ROWS($1:81)),)),IF($M$6="Q11",IF(ROWS($1:81)&gt;COUNT(Dong),0,OFFSET('Q11-VND'!H$1,SMALL(Dong,ROWS($1:81)),)),IF(ROWS($1:81)&gt;COUNT(Dong),IF(ROWS($1:81)&gt;COUNT(Dong,Dong2),0,OFFSET('Q4-VND'!H$1,SMALL(Dong2,ROWS($1:81)-COUNT(Dong)),)),OFFSET('Q11-VND'!H$1,SMALL(Dong,ROWS($1:81)),))))</f>
        <v>0</v>
      </c>
      <c r="G92" s="303">
        <f ca="1">IF($M$6="Q4",IF(ROWS($1:81)&gt;COUNT(Dong2),0,OFFSET('Q4-VND'!I$1,SMALL(Dong2,ROWS($1:81)),)),IF($M$6="Q11",IF(ROWS($1:81)&gt;COUNT(Dong),0,OFFSET('Q11-VND'!I$1,SMALL(Dong,ROWS($1:81)),)),IF(ROWS($1:81)&gt;COUNT(Dong),IF(ROWS($1:81)&gt;COUNT(Dong,Dong2),0,OFFSET('Q4-VND'!I$1,SMALL(Dong2,ROWS($1:81)-COUNT(Dong)),)),OFFSET('Q11-VND'!I$1,SMALL(Dong,ROWS($1:81)),))))</f>
        <v>10000</v>
      </c>
      <c r="H92" s="304">
        <f t="shared" ca="1" si="3"/>
        <v>541999087</v>
      </c>
      <c r="I92" s="304"/>
      <c r="J92" s="335"/>
    </row>
    <row r="93" spans="1:10" s="287" customFormat="1" ht="21" customHeight="1">
      <c r="A93" s="300">
        <f ca="1">IF($M$6="Q4",IF(ROWS($1:82)&gt;COUNT(Dong2),"",OFFSET('Q4-VND'!B$1,SMALL(Dong2,ROWS($1:82)),)),IF($M$6="Q11",IF(ROWS($1:82)&gt;COUNT(Dong),"",OFFSET('Q11-VND'!B$1,SMALL(Dong,ROWS($1:82)),)),IF(ROWS($1:82)&gt;COUNT(Dong),IF(ROWS($1:82)&gt;COUNT(Dong,Dong2),"",OFFSET('Q4-VND'!B$1,SMALL(Dong2,ROWS($1:82)-COUNT(Dong)),)),OFFSET('Q11-VND'!B$1,SMALL(Dong,ROWS($1:82)),))))</f>
        <v>41485</v>
      </c>
      <c r="B93" s="300" t="str">
        <f ca="1">IF($M$6="Q4",IF(ROWS($1:82)&gt;COUNT(Dong2),"",OFFSET('Q4-VND'!C$1,SMALL(Dong2,ROWS($1:82)),)),IF($M$6="Q11",IF(ROWS($1:82)&gt;COUNT(Dong),"",OFFSET('Q11-VND'!C$1,SMALL(Dong,ROWS($1:82)),)),IF(ROWS($1:82)&gt;COUNT(Dong),IF(ROWS($1:82)&gt;COUNT(Dong,Dong2),"",OFFSET('Q4-VND'!C$1,SMALL(Dong2,ROWS($1:82)-COUNT(Dong)),)),OFFSET('Q11-VND'!C$1,SMALL(Dong,ROWS($1:82)),))))</f>
        <v>GBN</v>
      </c>
      <c r="C93" s="300">
        <f ca="1">IF($M$6="Q4",IF(ROWS($1:82)&gt;COUNT(Dong2),"",OFFSET('Q4-VND'!D$1,SMALL(Dong2,ROWS($1:82)),)),IF($M$6="Q11",IF(ROWS($1:82)&gt;COUNT(Dong),"",OFFSET('Q11-VND'!D$1,SMALL(Dong,ROWS($1:82)),)),IF(ROWS($1:82)&gt;COUNT(Dong),IF(ROWS($1:82)&gt;COUNT(Dong,Dong2),"",OFFSET('Q4-VND'!D$1,SMALL(Dong2,ROWS($1:82)-COUNT(Dong)),)),OFFSET('Q11-VND'!D$1,SMALL(Dong,ROWS($1:82)),))))</f>
        <v>41485</v>
      </c>
      <c r="D93" s="301" t="str">
        <f ca="1">IF($M$6="Q4",IF(ROWS($1:82)&gt;COUNT(Dong2),"",OFFSET('Q4-VND'!E$1,SMALL(Dong2,ROWS($1:82)),)),IF($M$6="Q11",IF(ROWS($1:82)&gt;COUNT(Dong),"",OFFSET('Q11-VND'!E$1,SMALL(Dong,ROWS($1:82)),)),IF(ROWS($1:82)&gt;COUNT(Dong),IF(ROWS($1:82)&gt;COUNT(Dong,Dong2),"","Q4 - "&amp;OFFSET('Q4-VND'!E$1,SMALL(Dong2,ROWS($1:82)-COUNT(Dong)),)),"Q11 - "&amp;OFFSET('Q11-VND'!E$1,SMALL(Dong,ROWS($1:82)),))))</f>
        <v>Q11 - VAT Phí thanh toán</v>
      </c>
      <c r="E93" s="302" t="str">
        <f ca="1">IF($M$6="Q4",IF(ROWS($1:82)&gt;COUNT(Dong2),"",OFFSET('Q4-VND'!G$1,SMALL(Dong2,ROWS($1:82)),)),IF($M$6="Q11",IF(ROWS($1:82)&gt;COUNT(Dong),"",OFFSET('Q11-VND'!G$1,SMALL(Dong,ROWS($1:82)),)),IF(ROWS($1:82)&gt;COUNT(Dong),IF(ROWS($1:82)&gt;COUNT(Dong,Dong2),"",OFFSET('Q4-VND'!G$1,SMALL(Dong2,ROWS($1:82)-COUNT(Dong)),)),OFFSET('Q11-VND'!G$1,SMALL(Dong,ROWS($1:82)),))))</f>
        <v>1331</v>
      </c>
      <c r="F93" s="303">
        <f ca="1">IF($M$6="Q4",IF(ROWS($1:82)&gt;COUNT(Dong2),0,OFFSET('Q4-VND'!H$1,SMALL(Dong2,ROWS($1:82)),)),IF($M$6="Q11",IF(ROWS($1:82)&gt;COUNT(Dong),0,OFFSET('Q11-VND'!H$1,SMALL(Dong,ROWS($1:82)),)),IF(ROWS($1:82)&gt;COUNT(Dong),IF(ROWS($1:82)&gt;COUNT(Dong,Dong2),0,OFFSET('Q4-VND'!H$1,SMALL(Dong2,ROWS($1:82)-COUNT(Dong)),)),OFFSET('Q11-VND'!H$1,SMALL(Dong,ROWS($1:82)),))))</f>
        <v>0</v>
      </c>
      <c r="G93" s="303">
        <f ca="1">IF($M$6="Q4",IF(ROWS($1:82)&gt;COUNT(Dong2),0,OFFSET('Q4-VND'!I$1,SMALL(Dong2,ROWS($1:82)),)),IF($M$6="Q11",IF(ROWS($1:82)&gt;COUNT(Dong),0,OFFSET('Q11-VND'!I$1,SMALL(Dong,ROWS($1:82)),)),IF(ROWS($1:82)&gt;COUNT(Dong),IF(ROWS($1:82)&gt;COUNT(Dong,Dong2),0,OFFSET('Q4-VND'!I$1,SMALL(Dong2,ROWS($1:82)-COUNT(Dong)),)),OFFSET('Q11-VND'!I$1,SMALL(Dong,ROWS($1:82)),))))</f>
        <v>1000</v>
      </c>
      <c r="H93" s="304">
        <f t="shared" ca="1" si="3"/>
        <v>541998087</v>
      </c>
      <c r="I93" s="304"/>
      <c r="J93" s="335"/>
    </row>
    <row r="94" spans="1:10" s="287" customFormat="1" ht="21" customHeight="1">
      <c r="A94" s="300">
        <f ca="1">IF($M$6="Q4",IF(ROWS($1:83)&gt;COUNT(Dong2),"",OFFSET('Q4-VND'!B$1,SMALL(Dong2,ROWS($1:83)),)),IF($M$6="Q11",IF(ROWS($1:83)&gt;COUNT(Dong),"",OFFSET('Q11-VND'!B$1,SMALL(Dong,ROWS($1:83)),)),IF(ROWS($1:83)&gt;COUNT(Dong),IF(ROWS($1:83)&gt;COUNT(Dong,Dong2),"",OFFSET('Q4-VND'!B$1,SMALL(Dong2,ROWS($1:83)-COUNT(Dong)),)),OFFSET('Q11-VND'!B$1,SMALL(Dong,ROWS($1:83)),))))</f>
        <v>41485</v>
      </c>
      <c r="B94" s="300" t="str">
        <f ca="1">IF($M$6="Q4",IF(ROWS($1:83)&gt;COUNT(Dong2),"",OFFSET('Q4-VND'!C$1,SMALL(Dong2,ROWS($1:83)),)),IF($M$6="Q11",IF(ROWS($1:83)&gt;COUNT(Dong),"",OFFSET('Q11-VND'!C$1,SMALL(Dong,ROWS($1:83)),)),IF(ROWS($1:83)&gt;COUNT(Dong),IF(ROWS($1:83)&gt;COUNT(Dong,Dong2),"",OFFSET('Q4-VND'!C$1,SMALL(Dong2,ROWS($1:83)-COUNT(Dong)),)),OFFSET('Q11-VND'!C$1,SMALL(Dong,ROWS($1:83)),))))</f>
        <v>GBN</v>
      </c>
      <c r="C94" s="300">
        <f ca="1">IF($M$6="Q4",IF(ROWS($1:83)&gt;COUNT(Dong2),"",OFFSET('Q4-VND'!D$1,SMALL(Dong2,ROWS($1:83)),)),IF($M$6="Q11",IF(ROWS($1:83)&gt;COUNT(Dong),"",OFFSET('Q11-VND'!D$1,SMALL(Dong,ROWS($1:83)),)),IF(ROWS($1:83)&gt;COUNT(Dong),IF(ROWS($1:83)&gt;COUNT(Dong,Dong2),"",OFFSET('Q4-VND'!D$1,SMALL(Dong2,ROWS($1:83)-COUNT(Dong)),)),OFFSET('Q11-VND'!D$1,SMALL(Dong,ROWS($1:83)),))))</f>
        <v>41485</v>
      </c>
      <c r="D94" s="301" t="str">
        <f ca="1">IF($M$6="Q4",IF(ROWS($1:83)&gt;COUNT(Dong2),"",OFFSET('Q4-VND'!E$1,SMALL(Dong2,ROWS($1:83)),)),IF($M$6="Q11",IF(ROWS($1:83)&gt;COUNT(Dong),"",OFFSET('Q11-VND'!E$1,SMALL(Dong,ROWS($1:83)),)),IF(ROWS($1:83)&gt;COUNT(Dong),IF(ROWS($1:83)&gt;COUNT(Dong,Dong2),"","Q4 - "&amp;OFFSET('Q4-VND'!E$1,SMALL(Dong2,ROWS($1:83)-COUNT(Dong)),)),"Q11 - "&amp;OFFSET('Q11-VND'!E$1,SMALL(Dong,ROWS($1:83)),))))</f>
        <v>Q11 - Thanh toán phí kiểm nghiệm T 06/2013</v>
      </c>
      <c r="E94" s="302" t="str">
        <f ca="1">IF($M$6="Q4",IF(ROWS($1:83)&gt;COUNT(Dong2),"",OFFSET('Q4-VND'!G$1,SMALL(Dong2,ROWS($1:83)),)),IF($M$6="Q11",IF(ROWS($1:83)&gt;COUNT(Dong),"",OFFSET('Q11-VND'!G$1,SMALL(Dong,ROWS($1:83)),)),IF(ROWS($1:83)&gt;COUNT(Dong),IF(ROWS($1:83)&gt;COUNT(Dong,Dong2),"",OFFSET('Q4-VND'!G$1,SMALL(Dong2,ROWS($1:83)-COUNT(Dong)),)),OFFSET('Q11-VND'!G$1,SMALL(Dong,ROWS($1:83)),))))</f>
        <v>331</v>
      </c>
      <c r="F94" s="303">
        <f ca="1">IF($M$6="Q4",IF(ROWS($1:83)&gt;COUNT(Dong2),0,OFFSET('Q4-VND'!H$1,SMALL(Dong2,ROWS($1:83)),)),IF($M$6="Q11",IF(ROWS($1:83)&gt;COUNT(Dong),0,OFFSET('Q11-VND'!H$1,SMALL(Dong,ROWS($1:83)),)),IF(ROWS($1:83)&gt;COUNT(Dong),IF(ROWS($1:83)&gt;COUNT(Dong,Dong2),0,OFFSET('Q4-VND'!H$1,SMALL(Dong2,ROWS($1:83)-COUNT(Dong)),)),OFFSET('Q11-VND'!H$1,SMALL(Dong,ROWS($1:83)),))))</f>
        <v>0</v>
      </c>
      <c r="G94" s="303">
        <f ca="1">IF($M$6="Q4",IF(ROWS($1:83)&gt;COUNT(Dong2),0,OFFSET('Q4-VND'!I$1,SMALL(Dong2,ROWS($1:83)),)),IF($M$6="Q11",IF(ROWS($1:83)&gt;COUNT(Dong),0,OFFSET('Q11-VND'!I$1,SMALL(Dong,ROWS($1:83)),)),IF(ROWS($1:83)&gt;COUNT(Dong),IF(ROWS($1:83)&gt;COUNT(Dong,Dong2),0,OFFSET('Q4-VND'!I$1,SMALL(Dong2,ROWS($1:83)-COUNT(Dong)),)),OFFSET('Q11-VND'!I$1,SMALL(Dong,ROWS($1:83)),))))</f>
        <v>2430000</v>
      </c>
      <c r="H94" s="304">
        <f t="shared" ca="1" si="3"/>
        <v>539568087</v>
      </c>
      <c r="I94" s="304"/>
      <c r="J94" s="335"/>
    </row>
    <row r="95" spans="1:10" s="287" customFormat="1" ht="21" customHeight="1">
      <c r="A95" s="300">
        <f ca="1">IF($M$6="Q4",IF(ROWS($1:84)&gt;COUNT(Dong2),"",OFFSET('Q4-VND'!B$1,SMALL(Dong2,ROWS($1:84)),)),IF($M$6="Q11",IF(ROWS($1:84)&gt;COUNT(Dong),"",OFFSET('Q11-VND'!B$1,SMALL(Dong,ROWS($1:84)),)),IF(ROWS($1:84)&gt;COUNT(Dong),IF(ROWS($1:84)&gt;COUNT(Dong,Dong2),"",OFFSET('Q4-VND'!B$1,SMALL(Dong2,ROWS($1:84)-COUNT(Dong)),)),OFFSET('Q11-VND'!B$1,SMALL(Dong,ROWS($1:84)),))))</f>
        <v>41485</v>
      </c>
      <c r="B95" s="300" t="str">
        <f ca="1">IF($M$6="Q4",IF(ROWS($1:84)&gt;COUNT(Dong2),"",OFFSET('Q4-VND'!C$1,SMALL(Dong2,ROWS($1:84)),)),IF($M$6="Q11",IF(ROWS($1:84)&gt;COUNT(Dong),"",OFFSET('Q11-VND'!C$1,SMALL(Dong,ROWS($1:84)),)),IF(ROWS($1:84)&gt;COUNT(Dong),IF(ROWS($1:84)&gt;COUNT(Dong,Dong2),"",OFFSET('Q4-VND'!C$1,SMALL(Dong2,ROWS($1:84)-COUNT(Dong)),)),OFFSET('Q11-VND'!C$1,SMALL(Dong,ROWS($1:84)),))))</f>
        <v>GBN</v>
      </c>
      <c r="C95" s="300">
        <f ca="1">IF($M$6="Q4",IF(ROWS($1:84)&gt;COUNT(Dong2),"",OFFSET('Q4-VND'!D$1,SMALL(Dong2,ROWS($1:84)),)),IF($M$6="Q11",IF(ROWS($1:84)&gt;COUNT(Dong),"",OFFSET('Q11-VND'!D$1,SMALL(Dong,ROWS($1:84)),)),IF(ROWS($1:84)&gt;COUNT(Dong),IF(ROWS($1:84)&gt;COUNT(Dong,Dong2),"",OFFSET('Q4-VND'!D$1,SMALL(Dong2,ROWS($1:84)-COUNT(Dong)),)),OFFSET('Q11-VND'!D$1,SMALL(Dong,ROWS($1:84)),))))</f>
        <v>41485</v>
      </c>
      <c r="D95" s="301" t="str">
        <f ca="1">IF($M$6="Q4",IF(ROWS($1:84)&gt;COUNT(Dong2),"",OFFSET('Q4-VND'!E$1,SMALL(Dong2,ROWS($1:84)),)),IF($M$6="Q11",IF(ROWS($1:84)&gt;COUNT(Dong),"",OFFSET('Q11-VND'!E$1,SMALL(Dong,ROWS($1:84)),)),IF(ROWS($1:84)&gt;COUNT(Dong),IF(ROWS($1:84)&gt;COUNT(Dong,Dong2),"","Q4 - "&amp;OFFSET('Q4-VND'!E$1,SMALL(Dong2,ROWS($1:84)-COUNT(Dong)),)),"Q11 - "&amp;OFFSET('Q11-VND'!E$1,SMALL(Dong,ROWS($1:84)),))))</f>
        <v>Q11 - Phí thanh toán</v>
      </c>
      <c r="E95" s="302" t="str">
        <f ca="1">IF($M$6="Q4",IF(ROWS($1:84)&gt;COUNT(Dong2),"",OFFSET('Q4-VND'!G$1,SMALL(Dong2,ROWS($1:84)),)),IF($M$6="Q11",IF(ROWS($1:84)&gt;COUNT(Dong),"",OFFSET('Q11-VND'!G$1,SMALL(Dong,ROWS($1:84)),)),IF(ROWS($1:84)&gt;COUNT(Dong),IF(ROWS($1:84)&gt;COUNT(Dong,Dong2),"",OFFSET('Q4-VND'!G$1,SMALL(Dong2,ROWS($1:84)-COUNT(Dong)),)),OFFSET('Q11-VND'!G$1,SMALL(Dong,ROWS($1:84)),))))</f>
        <v>6422</v>
      </c>
      <c r="F95" s="303">
        <f ca="1">IF($M$6="Q4",IF(ROWS($1:84)&gt;COUNT(Dong2),0,OFFSET('Q4-VND'!H$1,SMALL(Dong2,ROWS($1:84)),)),IF($M$6="Q11",IF(ROWS($1:84)&gt;COUNT(Dong),0,OFFSET('Q11-VND'!H$1,SMALL(Dong,ROWS($1:84)),)),IF(ROWS($1:84)&gt;COUNT(Dong),IF(ROWS($1:84)&gt;COUNT(Dong,Dong2),0,OFFSET('Q4-VND'!H$1,SMALL(Dong2,ROWS($1:84)-COUNT(Dong)),)),OFFSET('Q11-VND'!H$1,SMALL(Dong,ROWS($1:84)),))))</f>
        <v>0</v>
      </c>
      <c r="G95" s="303">
        <f ca="1">IF($M$6="Q4",IF(ROWS($1:84)&gt;COUNT(Dong2),0,OFFSET('Q4-VND'!I$1,SMALL(Dong2,ROWS($1:84)),)),IF($M$6="Q11",IF(ROWS($1:84)&gt;COUNT(Dong),0,OFFSET('Q11-VND'!I$1,SMALL(Dong,ROWS($1:84)),)),IF(ROWS($1:84)&gt;COUNT(Dong),IF(ROWS($1:84)&gt;COUNT(Dong,Dong2),0,OFFSET('Q4-VND'!I$1,SMALL(Dong2,ROWS($1:84)-COUNT(Dong)),)),OFFSET('Q11-VND'!I$1,SMALL(Dong,ROWS($1:84)),))))</f>
        <v>10000</v>
      </c>
      <c r="H95" s="304">
        <f t="shared" ca="1" si="3"/>
        <v>539558087</v>
      </c>
      <c r="I95" s="304"/>
      <c r="J95" s="335"/>
    </row>
    <row r="96" spans="1:10" s="287" customFormat="1" ht="21" customHeight="1">
      <c r="A96" s="300">
        <f ca="1">IF($M$6="Q4",IF(ROWS($1:85)&gt;COUNT(Dong2),"",OFFSET('Q4-VND'!B$1,SMALL(Dong2,ROWS($1:85)),)),IF($M$6="Q11",IF(ROWS($1:85)&gt;COUNT(Dong),"",OFFSET('Q11-VND'!B$1,SMALL(Dong,ROWS($1:85)),)),IF(ROWS($1:85)&gt;COUNT(Dong),IF(ROWS($1:85)&gt;COUNT(Dong,Dong2),"",OFFSET('Q4-VND'!B$1,SMALL(Dong2,ROWS($1:85)-COUNT(Dong)),)),OFFSET('Q11-VND'!B$1,SMALL(Dong,ROWS($1:85)),))))</f>
        <v>41485</v>
      </c>
      <c r="B96" s="300" t="str">
        <f ca="1">IF($M$6="Q4",IF(ROWS($1:85)&gt;COUNT(Dong2),"",OFFSET('Q4-VND'!C$1,SMALL(Dong2,ROWS($1:85)),)),IF($M$6="Q11",IF(ROWS($1:85)&gt;COUNT(Dong),"",OFFSET('Q11-VND'!C$1,SMALL(Dong,ROWS($1:85)),)),IF(ROWS($1:85)&gt;COUNT(Dong),IF(ROWS($1:85)&gt;COUNT(Dong,Dong2),"",OFFSET('Q4-VND'!C$1,SMALL(Dong2,ROWS($1:85)-COUNT(Dong)),)),OFFSET('Q11-VND'!C$1,SMALL(Dong,ROWS($1:85)),))))</f>
        <v>GBN</v>
      </c>
      <c r="C96" s="300">
        <f ca="1">IF($M$6="Q4",IF(ROWS($1:85)&gt;COUNT(Dong2),"",OFFSET('Q4-VND'!D$1,SMALL(Dong2,ROWS($1:85)),)),IF($M$6="Q11",IF(ROWS($1:85)&gt;COUNT(Dong),"",OFFSET('Q11-VND'!D$1,SMALL(Dong,ROWS($1:85)),)),IF(ROWS($1:85)&gt;COUNT(Dong),IF(ROWS($1:85)&gt;COUNT(Dong,Dong2),"",OFFSET('Q4-VND'!D$1,SMALL(Dong2,ROWS($1:85)-COUNT(Dong)),)),OFFSET('Q11-VND'!D$1,SMALL(Dong,ROWS($1:85)),))))</f>
        <v>41485</v>
      </c>
      <c r="D96" s="301" t="str">
        <f ca="1">IF($M$6="Q4",IF(ROWS($1:85)&gt;COUNT(Dong2),"",OFFSET('Q4-VND'!E$1,SMALL(Dong2,ROWS($1:85)),)),IF($M$6="Q11",IF(ROWS($1:85)&gt;COUNT(Dong),"",OFFSET('Q11-VND'!E$1,SMALL(Dong,ROWS($1:85)),)),IF(ROWS($1:85)&gt;COUNT(Dong),IF(ROWS($1:85)&gt;COUNT(Dong,Dong2),"","Q4 - "&amp;OFFSET('Q4-VND'!E$1,SMALL(Dong2,ROWS($1:85)-COUNT(Dong)),)),"Q11 - "&amp;OFFSET('Q11-VND'!E$1,SMALL(Dong,ROWS($1:85)),))))</f>
        <v>Q11 - VAT Phí thanh toán</v>
      </c>
      <c r="E96" s="302" t="str">
        <f ca="1">IF($M$6="Q4",IF(ROWS($1:85)&gt;COUNT(Dong2),"",OFFSET('Q4-VND'!G$1,SMALL(Dong2,ROWS($1:85)),)),IF($M$6="Q11",IF(ROWS($1:85)&gt;COUNT(Dong),"",OFFSET('Q11-VND'!G$1,SMALL(Dong,ROWS($1:85)),)),IF(ROWS($1:85)&gt;COUNT(Dong),IF(ROWS($1:85)&gt;COUNT(Dong,Dong2),"",OFFSET('Q4-VND'!G$1,SMALL(Dong2,ROWS($1:85)-COUNT(Dong)),)),OFFSET('Q11-VND'!G$1,SMALL(Dong,ROWS($1:85)),))))</f>
        <v>1331</v>
      </c>
      <c r="F96" s="303">
        <f ca="1">IF($M$6="Q4",IF(ROWS($1:85)&gt;COUNT(Dong2),0,OFFSET('Q4-VND'!H$1,SMALL(Dong2,ROWS($1:85)),)),IF($M$6="Q11",IF(ROWS($1:85)&gt;COUNT(Dong),0,OFFSET('Q11-VND'!H$1,SMALL(Dong,ROWS($1:85)),)),IF(ROWS($1:85)&gt;COUNT(Dong),IF(ROWS($1:85)&gt;COUNT(Dong,Dong2),0,OFFSET('Q4-VND'!H$1,SMALL(Dong2,ROWS($1:85)-COUNT(Dong)),)),OFFSET('Q11-VND'!H$1,SMALL(Dong,ROWS($1:85)),))))</f>
        <v>0</v>
      </c>
      <c r="G96" s="303">
        <f ca="1">IF($M$6="Q4",IF(ROWS($1:85)&gt;COUNT(Dong2),0,OFFSET('Q4-VND'!I$1,SMALL(Dong2,ROWS($1:85)),)),IF($M$6="Q11",IF(ROWS($1:85)&gt;COUNT(Dong),0,OFFSET('Q11-VND'!I$1,SMALL(Dong,ROWS($1:85)),)),IF(ROWS($1:85)&gt;COUNT(Dong),IF(ROWS($1:85)&gt;COUNT(Dong,Dong2),0,OFFSET('Q4-VND'!I$1,SMALL(Dong2,ROWS($1:85)-COUNT(Dong)),)),OFFSET('Q11-VND'!I$1,SMALL(Dong,ROWS($1:85)),))))</f>
        <v>1000</v>
      </c>
      <c r="H96" s="304">
        <f t="shared" ca="1" si="3"/>
        <v>539557087</v>
      </c>
      <c r="I96" s="304"/>
      <c r="J96" s="335"/>
    </row>
    <row r="97" spans="1:10" s="287" customFormat="1" ht="21" customHeight="1">
      <c r="A97" s="300">
        <f ca="1">IF($M$6="Q4",IF(ROWS($1:86)&gt;COUNT(Dong2),"",OFFSET('Q4-VND'!B$1,SMALL(Dong2,ROWS($1:86)),)),IF($M$6="Q11",IF(ROWS($1:86)&gt;COUNT(Dong),"",OFFSET('Q11-VND'!B$1,SMALL(Dong,ROWS($1:86)),)),IF(ROWS($1:86)&gt;COUNT(Dong),IF(ROWS($1:86)&gt;COUNT(Dong,Dong2),"",OFFSET('Q4-VND'!B$1,SMALL(Dong2,ROWS($1:86)-COUNT(Dong)),)),OFFSET('Q11-VND'!B$1,SMALL(Dong,ROWS($1:86)),))))</f>
        <v>41485</v>
      </c>
      <c r="B97" s="300" t="str">
        <f ca="1">IF($M$6="Q4",IF(ROWS($1:86)&gt;COUNT(Dong2),"",OFFSET('Q4-VND'!C$1,SMALL(Dong2,ROWS($1:86)),)),IF($M$6="Q11",IF(ROWS($1:86)&gt;COUNT(Dong),"",OFFSET('Q11-VND'!C$1,SMALL(Dong,ROWS($1:86)),)),IF(ROWS($1:86)&gt;COUNT(Dong),IF(ROWS($1:86)&gt;COUNT(Dong,Dong2),"",OFFSET('Q4-VND'!C$1,SMALL(Dong2,ROWS($1:86)-COUNT(Dong)),)),OFFSET('Q11-VND'!C$1,SMALL(Dong,ROWS($1:86)),))))</f>
        <v>GBN</v>
      </c>
      <c r="C97" s="300">
        <f ca="1">IF($M$6="Q4",IF(ROWS($1:86)&gt;COUNT(Dong2),"",OFFSET('Q4-VND'!D$1,SMALL(Dong2,ROWS($1:86)),)),IF($M$6="Q11",IF(ROWS($1:86)&gt;COUNT(Dong),"",OFFSET('Q11-VND'!D$1,SMALL(Dong,ROWS($1:86)),)),IF(ROWS($1:86)&gt;COUNT(Dong),IF(ROWS($1:86)&gt;COUNT(Dong,Dong2),"",OFFSET('Q4-VND'!D$1,SMALL(Dong2,ROWS($1:86)-COUNT(Dong)),)),OFFSET('Q11-VND'!D$1,SMALL(Dong,ROWS($1:86)),))))</f>
        <v>41485</v>
      </c>
      <c r="D97" s="301" t="str">
        <f ca="1">IF($M$6="Q4",IF(ROWS($1:86)&gt;COUNT(Dong2),"",OFFSET('Q4-VND'!E$1,SMALL(Dong2,ROWS($1:86)),)),IF($M$6="Q11",IF(ROWS($1:86)&gt;COUNT(Dong),"",OFFSET('Q11-VND'!E$1,SMALL(Dong,ROWS($1:86)),)),IF(ROWS($1:86)&gt;COUNT(Dong),IF(ROWS($1:86)&gt;COUNT(Dong,Dong2),"","Q4 - "&amp;OFFSET('Q4-VND'!E$1,SMALL(Dong2,ROWS($1:86)-COUNT(Dong)),)),"Q11 - "&amp;OFFSET('Q11-VND'!E$1,SMALL(Dong,ROWS($1:86)),))))</f>
        <v>Q11 - Thanh toán tiền bảo hiểm MCE/00593844</v>
      </c>
      <c r="E97" s="302" t="str">
        <f ca="1">IF($M$6="Q4",IF(ROWS($1:86)&gt;COUNT(Dong2),"",OFFSET('Q4-VND'!G$1,SMALL(Dong2,ROWS($1:86)),)),IF($M$6="Q11",IF(ROWS($1:86)&gt;COUNT(Dong),"",OFFSET('Q11-VND'!G$1,SMALL(Dong,ROWS($1:86)),)),IF(ROWS($1:86)&gt;COUNT(Dong),IF(ROWS($1:86)&gt;COUNT(Dong,Dong2),"",OFFSET('Q4-VND'!G$1,SMALL(Dong2,ROWS($1:86)-COUNT(Dong)),)),OFFSET('Q11-VND'!G$1,SMALL(Dong,ROWS($1:86)),))))</f>
        <v>331</v>
      </c>
      <c r="F97" s="303">
        <f ca="1">IF($M$6="Q4",IF(ROWS($1:86)&gt;COUNT(Dong2),0,OFFSET('Q4-VND'!H$1,SMALL(Dong2,ROWS($1:86)),)),IF($M$6="Q11",IF(ROWS($1:86)&gt;COUNT(Dong),0,OFFSET('Q11-VND'!H$1,SMALL(Dong,ROWS($1:86)),)),IF(ROWS($1:86)&gt;COUNT(Dong),IF(ROWS($1:86)&gt;COUNT(Dong,Dong2),0,OFFSET('Q4-VND'!H$1,SMALL(Dong2,ROWS($1:86)-COUNT(Dong)),)),OFFSET('Q11-VND'!H$1,SMALL(Dong,ROWS($1:86)),))))</f>
        <v>0</v>
      </c>
      <c r="G97" s="303">
        <f ca="1">IF($M$6="Q4",IF(ROWS($1:86)&gt;COUNT(Dong2),0,OFFSET('Q4-VND'!I$1,SMALL(Dong2,ROWS($1:86)),)),IF($M$6="Q11",IF(ROWS($1:86)&gt;COUNT(Dong),0,OFFSET('Q11-VND'!I$1,SMALL(Dong,ROWS($1:86)),)),IF(ROWS($1:86)&gt;COUNT(Dong),IF(ROWS($1:86)&gt;COUNT(Dong,Dong2),0,OFFSET('Q4-VND'!I$1,SMALL(Dong2,ROWS($1:86)-COUNT(Dong)),)),OFFSET('Q11-VND'!I$1,SMALL(Dong,ROWS($1:86)),))))</f>
        <v>3947932</v>
      </c>
      <c r="H97" s="304">
        <f t="shared" ca="1" si="3"/>
        <v>535609155</v>
      </c>
      <c r="I97" s="304"/>
      <c r="J97" s="335"/>
    </row>
    <row r="98" spans="1:10" s="287" customFormat="1" ht="21" customHeight="1">
      <c r="A98" s="300">
        <f ca="1">IF($M$6="Q4",IF(ROWS($1:87)&gt;COUNT(Dong2),"",OFFSET('Q4-VND'!B$1,SMALL(Dong2,ROWS($1:87)),)),IF($M$6="Q11",IF(ROWS($1:87)&gt;COUNT(Dong),"",OFFSET('Q11-VND'!B$1,SMALL(Dong,ROWS($1:87)),)),IF(ROWS($1:87)&gt;COUNT(Dong),IF(ROWS($1:87)&gt;COUNT(Dong,Dong2),"",OFFSET('Q4-VND'!B$1,SMALL(Dong2,ROWS($1:87)-COUNT(Dong)),)),OFFSET('Q11-VND'!B$1,SMALL(Dong,ROWS($1:87)),))))</f>
        <v>41485</v>
      </c>
      <c r="B98" s="300" t="str">
        <f ca="1">IF($M$6="Q4",IF(ROWS($1:87)&gt;COUNT(Dong2),"",OFFSET('Q4-VND'!C$1,SMALL(Dong2,ROWS($1:87)),)),IF($M$6="Q11",IF(ROWS($1:87)&gt;COUNT(Dong),"",OFFSET('Q11-VND'!C$1,SMALL(Dong,ROWS($1:87)),)),IF(ROWS($1:87)&gt;COUNT(Dong),IF(ROWS($1:87)&gt;COUNT(Dong,Dong2),"",OFFSET('Q4-VND'!C$1,SMALL(Dong2,ROWS($1:87)-COUNT(Dong)),)),OFFSET('Q11-VND'!C$1,SMALL(Dong,ROWS($1:87)),))))</f>
        <v>GBN</v>
      </c>
      <c r="C98" s="300">
        <f ca="1">IF($M$6="Q4",IF(ROWS($1:87)&gt;COUNT(Dong2),"",OFFSET('Q4-VND'!D$1,SMALL(Dong2,ROWS($1:87)),)),IF($M$6="Q11",IF(ROWS($1:87)&gt;COUNT(Dong),"",OFFSET('Q11-VND'!D$1,SMALL(Dong,ROWS($1:87)),)),IF(ROWS($1:87)&gt;COUNT(Dong),IF(ROWS($1:87)&gt;COUNT(Dong,Dong2),"",OFFSET('Q4-VND'!D$1,SMALL(Dong2,ROWS($1:87)-COUNT(Dong)),)),OFFSET('Q11-VND'!D$1,SMALL(Dong,ROWS($1:87)),))))</f>
        <v>41485</v>
      </c>
      <c r="D98" s="301" t="str">
        <f ca="1">IF($M$6="Q4",IF(ROWS($1:87)&gt;COUNT(Dong2),"",OFFSET('Q4-VND'!E$1,SMALL(Dong2,ROWS($1:87)),)),IF($M$6="Q11",IF(ROWS($1:87)&gt;COUNT(Dong),"",OFFSET('Q11-VND'!E$1,SMALL(Dong,ROWS($1:87)),)),IF(ROWS($1:87)&gt;COUNT(Dong),IF(ROWS($1:87)&gt;COUNT(Dong,Dong2),"","Q4 - "&amp;OFFSET('Q4-VND'!E$1,SMALL(Dong2,ROWS($1:87)-COUNT(Dong)),)),"Q11 - "&amp;OFFSET('Q11-VND'!E$1,SMALL(Dong,ROWS($1:87)),))))</f>
        <v>Q11 - Phí thanh toán</v>
      </c>
      <c r="E98" s="302" t="str">
        <f ca="1">IF($M$6="Q4",IF(ROWS($1:87)&gt;COUNT(Dong2),"",OFFSET('Q4-VND'!G$1,SMALL(Dong2,ROWS($1:87)),)),IF($M$6="Q11",IF(ROWS($1:87)&gt;COUNT(Dong),"",OFFSET('Q11-VND'!G$1,SMALL(Dong,ROWS($1:87)),)),IF(ROWS($1:87)&gt;COUNT(Dong),IF(ROWS($1:87)&gt;COUNT(Dong,Dong2),"",OFFSET('Q4-VND'!G$1,SMALL(Dong2,ROWS($1:87)-COUNT(Dong)),)),OFFSET('Q11-VND'!G$1,SMALL(Dong,ROWS($1:87)),))))</f>
        <v>6422</v>
      </c>
      <c r="F98" s="303">
        <f ca="1">IF($M$6="Q4",IF(ROWS($1:87)&gt;COUNT(Dong2),0,OFFSET('Q4-VND'!H$1,SMALL(Dong2,ROWS($1:87)),)),IF($M$6="Q11",IF(ROWS($1:87)&gt;COUNT(Dong),0,OFFSET('Q11-VND'!H$1,SMALL(Dong,ROWS($1:87)),)),IF(ROWS($1:87)&gt;COUNT(Dong),IF(ROWS($1:87)&gt;COUNT(Dong,Dong2),0,OFFSET('Q4-VND'!H$1,SMALL(Dong2,ROWS($1:87)-COUNT(Dong)),)),OFFSET('Q11-VND'!H$1,SMALL(Dong,ROWS($1:87)),))))</f>
        <v>0</v>
      </c>
      <c r="G98" s="303">
        <f ca="1">IF($M$6="Q4",IF(ROWS($1:87)&gt;COUNT(Dong2),0,OFFSET('Q4-VND'!I$1,SMALL(Dong2,ROWS($1:87)),)),IF($M$6="Q11",IF(ROWS($1:87)&gt;COUNT(Dong),0,OFFSET('Q11-VND'!I$1,SMALL(Dong,ROWS($1:87)),)),IF(ROWS($1:87)&gt;COUNT(Dong),IF(ROWS($1:87)&gt;COUNT(Dong,Dong2),0,OFFSET('Q4-VND'!I$1,SMALL(Dong2,ROWS($1:87)-COUNT(Dong)),)),OFFSET('Q11-VND'!I$1,SMALL(Dong,ROWS($1:87)),))))</f>
        <v>20000</v>
      </c>
      <c r="H98" s="304">
        <f t="shared" ca="1" si="3"/>
        <v>535589155</v>
      </c>
      <c r="I98" s="304"/>
      <c r="J98" s="335"/>
    </row>
    <row r="99" spans="1:10" s="287" customFormat="1" ht="21" customHeight="1">
      <c r="A99" s="300">
        <f ca="1">IF($M$6="Q4",IF(ROWS($1:88)&gt;COUNT(Dong2),"",OFFSET('Q4-VND'!B$1,SMALL(Dong2,ROWS($1:88)),)),IF($M$6="Q11",IF(ROWS($1:88)&gt;COUNT(Dong),"",OFFSET('Q11-VND'!B$1,SMALL(Dong,ROWS($1:88)),)),IF(ROWS($1:88)&gt;COUNT(Dong),IF(ROWS($1:88)&gt;COUNT(Dong,Dong2),"",OFFSET('Q4-VND'!B$1,SMALL(Dong2,ROWS($1:88)-COUNT(Dong)),)),OFFSET('Q11-VND'!B$1,SMALL(Dong,ROWS($1:88)),))))</f>
        <v>41485</v>
      </c>
      <c r="B99" s="300" t="str">
        <f ca="1">IF($M$6="Q4",IF(ROWS($1:88)&gt;COUNT(Dong2),"",OFFSET('Q4-VND'!C$1,SMALL(Dong2,ROWS($1:88)),)),IF($M$6="Q11",IF(ROWS($1:88)&gt;COUNT(Dong),"",OFFSET('Q11-VND'!C$1,SMALL(Dong,ROWS($1:88)),)),IF(ROWS($1:88)&gt;COUNT(Dong),IF(ROWS($1:88)&gt;COUNT(Dong,Dong2),"",OFFSET('Q4-VND'!C$1,SMALL(Dong2,ROWS($1:88)-COUNT(Dong)),)),OFFSET('Q11-VND'!C$1,SMALL(Dong,ROWS($1:88)),))))</f>
        <v>GBN</v>
      </c>
      <c r="C99" s="300">
        <f ca="1">IF($M$6="Q4",IF(ROWS($1:88)&gt;COUNT(Dong2),"",OFFSET('Q4-VND'!D$1,SMALL(Dong2,ROWS($1:88)),)),IF($M$6="Q11",IF(ROWS($1:88)&gt;COUNT(Dong),"",OFFSET('Q11-VND'!D$1,SMALL(Dong,ROWS($1:88)),)),IF(ROWS($1:88)&gt;COUNT(Dong),IF(ROWS($1:88)&gt;COUNT(Dong,Dong2),"",OFFSET('Q4-VND'!D$1,SMALL(Dong2,ROWS($1:88)-COUNT(Dong)),)),OFFSET('Q11-VND'!D$1,SMALL(Dong,ROWS($1:88)),))))</f>
        <v>41485</v>
      </c>
      <c r="D99" s="301" t="str">
        <f ca="1">IF($M$6="Q4",IF(ROWS($1:88)&gt;COUNT(Dong2),"",OFFSET('Q4-VND'!E$1,SMALL(Dong2,ROWS($1:88)),)),IF($M$6="Q11",IF(ROWS($1:88)&gt;COUNT(Dong),"",OFFSET('Q11-VND'!E$1,SMALL(Dong,ROWS($1:88)),)),IF(ROWS($1:88)&gt;COUNT(Dong),IF(ROWS($1:88)&gt;COUNT(Dong,Dong2),"","Q4 - "&amp;OFFSET('Q4-VND'!E$1,SMALL(Dong2,ROWS($1:88)-COUNT(Dong)),)),"Q11 - "&amp;OFFSET('Q11-VND'!E$1,SMALL(Dong,ROWS($1:88)),))))</f>
        <v>Q11 - VAT Phí thanh toán</v>
      </c>
      <c r="E99" s="302" t="str">
        <f ca="1">IF($M$6="Q4",IF(ROWS($1:88)&gt;COUNT(Dong2),"",OFFSET('Q4-VND'!G$1,SMALL(Dong2,ROWS($1:88)),)),IF($M$6="Q11",IF(ROWS($1:88)&gt;COUNT(Dong),"",OFFSET('Q11-VND'!G$1,SMALL(Dong,ROWS($1:88)),)),IF(ROWS($1:88)&gt;COUNT(Dong),IF(ROWS($1:88)&gt;COUNT(Dong,Dong2),"",OFFSET('Q4-VND'!G$1,SMALL(Dong2,ROWS($1:88)-COUNT(Dong)),)),OFFSET('Q11-VND'!G$1,SMALL(Dong,ROWS($1:88)),))))</f>
        <v>1331</v>
      </c>
      <c r="F99" s="303">
        <f ca="1">IF($M$6="Q4",IF(ROWS($1:88)&gt;COUNT(Dong2),0,OFFSET('Q4-VND'!H$1,SMALL(Dong2,ROWS($1:88)),)),IF($M$6="Q11",IF(ROWS($1:88)&gt;COUNT(Dong),0,OFFSET('Q11-VND'!H$1,SMALL(Dong,ROWS($1:88)),)),IF(ROWS($1:88)&gt;COUNT(Dong),IF(ROWS($1:88)&gt;COUNT(Dong,Dong2),0,OFFSET('Q4-VND'!H$1,SMALL(Dong2,ROWS($1:88)-COUNT(Dong)),)),OFFSET('Q11-VND'!H$1,SMALL(Dong,ROWS($1:88)),))))</f>
        <v>0</v>
      </c>
      <c r="G99" s="303">
        <f ca="1">IF($M$6="Q4",IF(ROWS($1:88)&gt;COUNT(Dong2),0,OFFSET('Q4-VND'!I$1,SMALL(Dong2,ROWS($1:88)),)),IF($M$6="Q11",IF(ROWS($1:88)&gt;COUNT(Dong),0,OFFSET('Q11-VND'!I$1,SMALL(Dong,ROWS($1:88)),)),IF(ROWS($1:88)&gt;COUNT(Dong),IF(ROWS($1:88)&gt;COUNT(Dong,Dong2),0,OFFSET('Q4-VND'!I$1,SMALL(Dong2,ROWS($1:88)-COUNT(Dong)),)),OFFSET('Q11-VND'!I$1,SMALL(Dong,ROWS($1:88)),))))</f>
        <v>2000</v>
      </c>
      <c r="H99" s="304">
        <f t="shared" ca="1" si="3"/>
        <v>535587155</v>
      </c>
      <c r="I99" s="304"/>
      <c r="J99" s="335"/>
    </row>
    <row r="100" spans="1:10" s="287" customFormat="1" ht="21" customHeight="1">
      <c r="A100" s="300">
        <f ca="1">IF($M$6="Q4",IF(ROWS($1:89)&gt;COUNT(Dong2),"",OFFSET('Q4-VND'!B$1,SMALL(Dong2,ROWS($1:89)),)),IF($M$6="Q11",IF(ROWS($1:89)&gt;COUNT(Dong),"",OFFSET('Q11-VND'!B$1,SMALL(Dong,ROWS($1:89)),)),IF(ROWS($1:89)&gt;COUNT(Dong),IF(ROWS($1:89)&gt;COUNT(Dong,Dong2),"",OFFSET('Q4-VND'!B$1,SMALL(Dong2,ROWS($1:89)-COUNT(Dong)),)),OFFSET('Q11-VND'!B$1,SMALL(Dong,ROWS($1:89)),))))</f>
        <v>41485</v>
      </c>
      <c r="B100" s="300" t="str">
        <f ca="1">IF($M$6="Q4",IF(ROWS($1:89)&gt;COUNT(Dong2),"",OFFSET('Q4-VND'!C$1,SMALL(Dong2,ROWS($1:89)),)),IF($M$6="Q11",IF(ROWS($1:89)&gt;COUNT(Dong),"",OFFSET('Q11-VND'!C$1,SMALL(Dong,ROWS($1:89)),)),IF(ROWS($1:89)&gt;COUNT(Dong),IF(ROWS($1:89)&gt;COUNT(Dong,Dong2),"",OFFSET('Q4-VND'!C$1,SMALL(Dong2,ROWS($1:89)-COUNT(Dong)),)),OFFSET('Q11-VND'!C$1,SMALL(Dong,ROWS($1:89)),))))</f>
        <v>THU</v>
      </c>
      <c r="C100" s="300">
        <f ca="1">IF($M$6="Q4",IF(ROWS($1:89)&gt;COUNT(Dong2),"",OFFSET('Q4-VND'!D$1,SMALL(Dong2,ROWS($1:89)),)),IF($M$6="Q11",IF(ROWS($1:89)&gt;COUNT(Dong),"",OFFSET('Q11-VND'!D$1,SMALL(Dong,ROWS($1:89)),)),IF(ROWS($1:89)&gt;COUNT(Dong),IF(ROWS($1:89)&gt;COUNT(Dong,Dong2),"",OFFSET('Q4-VND'!D$1,SMALL(Dong2,ROWS($1:89)-COUNT(Dong)),)),OFFSET('Q11-VND'!D$1,SMALL(Dong,ROWS($1:89)),))))</f>
        <v>41485</v>
      </c>
      <c r="D100" s="301" t="str">
        <f ca="1">IF($M$6="Q4",IF(ROWS($1:89)&gt;COUNT(Dong2),"",OFFSET('Q4-VND'!E$1,SMALL(Dong2,ROWS($1:89)),)),IF($M$6="Q11",IF(ROWS($1:89)&gt;COUNT(Dong),"",OFFSET('Q11-VND'!E$1,SMALL(Dong,ROWS($1:89)),)),IF(ROWS($1:89)&gt;COUNT(Dong),IF(ROWS($1:89)&gt;COUNT(Dong,Dong2),"","Q4 - "&amp;OFFSET('Q4-VND'!E$1,SMALL(Dong2,ROWS($1:89)-COUNT(Dong)),)),"Q11 - "&amp;OFFSET('Q11-VND'!E$1,SMALL(Dong,ROWS($1:89)),))))</f>
        <v>Q11 - Rút tiền nhập quỹ</v>
      </c>
      <c r="E100" s="302" t="str">
        <f ca="1">IF($M$6="Q4",IF(ROWS($1:89)&gt;COUNT(Dong2),"",OFFSET('Q4-VND'!G$1,SMALL(Dong2,ROWS($1:89)),)),IF($M$6="Q11",IF(ROWS($1:89)&gt;COUNT(Dong),"",OFFSET('Q11-VND'!G$1,SMALL(Dong,ROWS($1:89)),)),IF(ROWS($1:89)&gt;COUNT(Dong),IF(ROWS($1:89)&gt;COUNT(Dong,Dong2),"",OFFSET('Q4-VND'!G$1,SMALL(Dong2,ROWS($1:89)-COUNT(Dong)),)),OFFSET('Q11-VND'!G$1,SMALL(Dong,ROWS($1:89)),))))</f>
        <v>1111</v>
      </c>
      <c r="F100" s="303">
        <f ca="1">IF($M$6="Q4",IF(ROWS($1:89)&gt;COUNT(Dong2),0,OFFSET('Q4-VND'!H$1,SMALL(Dong2,ROWS($1:89)),)),IF($M$6="Q11",IF(ROWS($1:89)&gt;COUNT(Dong),0,OFFSET('Q11-VND'!H$1,SMALL(Dong,ROWS($1:89)),)),IF(ROWS($1:89)&gt;COUNT(Dong),IF(ROWS($1:89)&gt;COUNT(Dong,Dong2),0,OFFSET('Q4-VND'!H$1,SMALL(Dong2,ROWS($1:89)-COUNT(Dong)),)),OFFSET('Q11-VND'!H$1,SMALL(Dong,ROWS($1:89)),))))</f>
        <v>0</v>
      </c>
      <c r="G100" s="303">
        <f ca="1">IF($M$6="Q4",IF(ROWS($1:89)&gt;COUNT(Dong2),0,OFFSET('Q4-VND'!I$1,SMALL(Dong2,ROWS($1:89)),)),IF($M$6="Q11",IF(ROWS($1:89)&gt;COUNT(Dong),0,OFFSET('Q11-VND'!I$1,SMALL(Dong,ROWS($1:89)),)),IF(ROWS($1:89)&gt;COUNT(Dong),IF(ROWS($1:89)&gt;COUNT(Dong,Dong2),0,OFFSET('Q4-VND'!I$1,SMALL(Dong2,ROWS($1:89)-COUNT(Dong)),)),OFFSET('Q11-VND'!I$1,SMALL(Dong,ROWS($1:89)),))))</f>
        <v>400000000</v>
      </c>
      <c r="H100" s="304">
        <f t="shared" ca="1" si="3"/>
        <v>135587155</v>
      </c>
      <c r="I100" s="304"/>
      <c r="J100" s="335"/>
    </row>
    <row r="101" spans="1:10" s="287" customFormat="1" ht="21" customHeight="1">
      <c r="A101" s="300">
        <f ca="1">IF($M$6="Q4",IF(ROWS($1:90)&gt;COUNT(Dong2),"",OFFSET('Q4-VND'!B$1,SMALL(Dong2,ROWS($1:90)),)),IF($M$6="Q11",IF(ROWS($1:90)&gt;COUNT(Dong),"",OFFSET('Q11-VND'!B$1,SMALL(Dong,ROWS($1:90)),)),IF(ROWS($1:90)&gt;COUNT(Dong),IF(ROWS($1:90)&gt;COUNT(Dong,Dong2),"",OFFSET('Q4-VND'!B$1,SMALL(Dong2,ROWS($1:90)-COUNT(Dong)),)),OFFSET('Q11-VND'!B$1,SMALL(Dong,ROWS($1:90)),))))</f>
        <v>41486</v>
      </c>
      <c r="B101" s="300" t="str">
        <f ca="1">IF($M$6="Q4",IF(ROWS($1:90)&gt;COUNT(Dong2),"",OFFSET('Q4-VND'!C$1,SMALL(Dong2,ROWS($1:90)),)),IF($M$6="Q11",IF(ROWS($1:90)&gt;COUNT(Dong),"",OFFSET('Q11-VND'!C$1,SMALL(Dong,ROWS($1:90)),)),IF(ROWS($1:90)&gt;COUNT(Dong),IF(ROWS($1:90)&gt;COUNT(Dong,Dong2),"",OFFSET('Q4-VND'!C$1,SMALL(Dong2,ROWS($1:90)-COUNT(Dong)),)),OFFSET('Q11-VND'!C$1,SMALL(Dong,ROWS($1:90)),))))</f>
        <v>GBN</v>
      </c>
      <c r="C101" s="300">
        <f ca="1">IF($M$6="Q4",IF(ROWS($1:90)&gt;COUNT(Dong2),"",OFFSET('Q4-VND'!D$1,SMALL(Dong2,ROWS($1:90)),)),IF($M$6="Q11",IF(ROWS($1:90)&gt;COUNT(Dong),"",OFFSET('Q11-VND'!D$1,SMALL(Dong,ROWS($1:90)),)),IF(ROWS($1:90)&gt;COUNT(Dong),IF(ROWS($1:90)&gt;COUNT(Dong,Dong2),"",OFFSET('Q4-VND'!D$1,SMALL(Dong2,ROWS($1:90)-COUNT(Dong)),)),OFFSET('Q11-VND'!D$1,SMALL(Dong,ROWS($1:90)),))))</f>
        <v>41486</v>
      </c>
      <c r="D101" s="301" t="str">
        <f ca="1">IF($M$6="Q4",IF(ROWS($1:90)&gt;COUNT(Dong2),"",OFFSET('Q4-VND'!E$1,SMALL(Dong2,ROWS($1:90)),)),IF($M$6="Q11",IF(ROWS($1:90)&gt;COUNT(Dong),"",OFFSET('Q11-VND'!E$1,SMALL(Dong,ROWS($1:90)),)),IF(ROWS($1:90)&gt;COUNT(Dong),IF(ROWS($1:90)&gt;COUNT(Dong,Dong2),"","Q4 - "&amp;OFFSET('Q4-VND'!E$1,SMALL(Dong2,ROWS($1:90)-COUNT(Dong)),)),"Q11 - "&amp;OFFSET('Q11-VND'!E$1,SMALL(Dong,ROWS($1:90)),))))</f>
        <v>Q11 - Hoàn vốn</v>
      </c>
      <c r="E101" s="302" t="str">
        <f ca="1">IF($M$6="Q4",IF(ROWS($1:90)&gt;COUNT(Dong2),"",OFFSET('Q4-VND'!G$1,SMALL(Dong2,ROWS($1:90)),)),IF($M$6="Q11",IF(ROWS($1:90)&gt;COUNT(Dong),"",OFFSET('Q11-VND'!G$1,SMALL(Dong,ROWS($1:90)),)),IF(ROWS($1:90)&gt;COUNT(Dong),IF(ROWS($1:90)&gt;COUNT(Dong,Dong2),"",OFFSET('Q4-VND'!G$1,SMALL(Dong2,ROWS($1:90)-COUNT(Dong)),)),OFFSET('Q11-VND'!G$1,SMALL(Dong,ROWS($1:90)),))))</f>
        <v>1388</v>
      </c>
      <c r="F101" s="303">
        <f ca="1">IF($M$6="Q4",IF(ROWS($1:90)&gt;COUNT(Dong2),0,OFFSET('Q4-VND'!H$1,SMALL(Dong2,ROWS($1:90)),)),IF($M$6="Q11",IF(ROWS($1:90)&gt;COUNT(Dong),0,OFFSET('Q11-VND'!H$1,SMALL(Dong,ROWS($1:90)),)),IF(ROWS($1:90)&gt;COUNT(Dong),IF(ROWS($1:90)&gt;COUNT(Dong,Dong2),0,OFFSET('Q4-VND'!H$1,SMALL(Dong2,ROWS($1:90)-COUNT(Dong)),)),OFFSET('Q11-VND'!H$1,SMALL(Dong,ROWS($1:90)),))))</f>
        <v>100000000</v>
      </c>
      <c r="G101" s="303">
        <f ca="1">IF($M$6="Q4",IF(ROWS($1:90)&gt;COUNT(Dong2),0,OFFSET('Q4-VND'!I$1,SMALL(Dong2,ROWS($1:90)),)),IF($M$6="Q11",IF(ROWS($1:90)&gt;COUNT(Dong),0,OFFSET('Q11-VND'!I$1,SMALL(Dong,ROWS($1:90)),)),IF(ROWS($1:90)&gt;COUNT(Dong),IF(ROWS($1:90)&gt;COUNT(Dong,Dong2),0,OFFSET('Q4-VND'!I$1,SMALL(Dong2,ROWS($1:90)-COUNT(Dong)),)),OFFSET('Q11-VND'!I$1,SMALL(Dong,ROWS($1:90)),))))</f>
        <v>0</v>
      </c>
      <c r="H101" s="304">
        <f t="shared" ref="H101:H117" ca="1" si="4">IF(A101&lt;&gt;"",ROUND(H100+F101-G101,0),"")</f>
        <v>235587155</v>
      </c>
      <c r="I101" s="304"/>
      <c r="J101" s="335"/>
    </row>
    <row r="102" spans="1:10" s="287" customFormat="1" ht="21" customHeight="1">
      <c r="A102" s="300">
        <f ca="1">IF($M$6="Q4",IF(ROWS($1:91)&gt;COUNT(Dong2),"",OFFSET('Q4-VND'!B$1,SMALL(Dong2,ROWS($1:91)),)),IF($M$6="Q11",IF(ROWS($1:91)&gt;COUNT(Dong),"",OFFSET('Q11-VND'!B$1,SMALL(Dong,ROWS($1:91)),)),IF(ROWS($1:91)&gt;COUNT(Dong),IF(ROWS($1:91)&gt;COUNT(Dong,Dong2),"",OFFSET('Q4-VND'!B$1,SMALL(Dong2,ROWS($1:91)-COUNT(Dong)),)),OFFSET('Q11-VND'!B$1,SMALL(Dong,ROWS($1:91)),))))</f>
        <v>41486</v>
      </c>
      <c r="B102" s="300" t="str">
        <f ca="1">IF($M$6="Q4",IF(ROWS($1:91)&gt;COUNT(Dong2),"",OFFSET('Q4-VND'!C$1,SMALL(Dong2,ROWS($1:91)),)),IF($M$6="Q11",IF(ROWS($1:91)&gt;COUNT(Dong),"",OFFSET('Q11-VND'!C$1,SMALL(Dong,ROWS($1:91)),)),IF(ROWS($1:91)&gt;COUNT(Dong),IF(ROWS($1:91)&gt;COUNT(Dong,Dong2),"",OFFSET('Q4-VND'!C$1,SMALL(Dong2,ROWS($1:91)-COUNT(Dong)),)),OFFSET('Q11-VND'!C$1,SMALL(Dong,ROWS($1:91)),))))</f>
        <v>GBN</v>
      </c>
      <c r="C102" s="300">
        <f ca="1">IF($M$6="Q4",IF(ROWS($1:91)&gt;COUNT(Dong2),"",OFFSET('Q4-VND'!D$1,SMALL(Dong2,ROWS($1:91)),)),IF($M$6="Q11",IF(ROWS($1:91)&gt;COUNT(Dong),"",OFFSET('Q11-VND'!D$1,SMALL(Dong,ROWS($1:91)),)),IF(ROWS($1:91)&gt;COUNT(Dong),IF(ROWS($1:91)&gt;COUNT(Dong,Dong2),"",OFFSET('Q4-VND'!D$1,SMALL(Dong2,ROWS($1:91)-COUNT(Dong)),)),OFFSET('Q11-VND'!D$1,SMALL(Dong,ROWS($1:91)),))))</f>
        <v>41486</v>
      </c>
      <c r="D102" s="301" t="str">
        <f ca="1">IF($M$6="Q4",IF(ROWS($1:91)&gt;COUNT(Dong2),"",OFFSET('Q4-VND'!E$1,SMALL(Dong2,ROWS($1:91)),)),IF($M$6="Q11",IF(ROWS($1:91)&gt;COUNT(Dong),"",OFFSET('Q11-VND'!E$1,SMALL(Dong,ROWS($1:91)),)),IF(ROWS($1:91)&gt;COUNT(Dong),IF(ROWS($1:91)&gt;COUNT(Dong,Dong2),"","Q4 - "&amp;OFFSET('Q4-VND'!E$1,SMALL(Dong2,ROWS($1:91)-COUNT(Dong)),)),"Q11 - "&amp;OFFSET('Q11-VND'!E$1,SMALL(Dong,ROWS($1:91)),))))</f>
        <v>Q11 - Cho mượn vốn</v>
      </c>
      <c r="E102" s="302" t="str">
        <f ca="1">IF($M$6="Q4",IF(ROWS($1:91)&gt;COUNT(Dong2),"",OFFSET('Q4-VND'!G$1,SMALL(Dong2,ROWS($1:91)),)),IF($M$6="Q11",IF(ROWS($1:91)&gt;COUNT(Dong),"",OFFSET('Q11-VND'!G$1,SMALL(Dong,ROWS($1:91)),)),IF(ROWS($1:91)&gt;COUNT(Dong),IF(ROWS($1:91)&gt;COUNT(Dong,Dong2),"",OFFSET('Q4-VND'!G$1,SMALL(Dong2,ROWS($1:91)-COUNT(Dong)),)),OFFSET('Q11-VND'!G$1,SMALL(Dong,ROWS($1:91)),))))</f>
        <v>1388</v>
      </c>
      <c r="F102" s="303">
        <f ca="1">IF($M$6="Q4",IF(ROWS($1:91)&gt;COUNT(Dong2),0,OFFSET('Q4-VND'!H$1,SMALL(Dong2,ROWS($1:91)),)),IF($M$6="Q11",IF(ROWS($1:91)&gt;COUNT(Dong),0,OFFSET('Q11-VND'!H$1,SMALL(Dong,ROWS($1:91)),)),IF(ROWS($1:91)&gt;COUNT(Dong),IF(ROWS($1:91)&gt;COUNT(Dong,Dong2),0,OFFSET('Q4-VND'!H$1,SMALL(Dong2,ROWS($1:91)-COUNT(Dong)),)),OFFSET('Q11-VND'!H$1,SMALL(Dong,ROWS($1:91)),))))</f>
        <v>0</v>
      </c>
      <c r="G102" s="303">
        <f ca="1">IF($M$6="Q4",IF(ROWS($1:91)&gt;COUNT(Dong2),0,OFFSET('Q4-VND'!I$1,SMALL(Dong2,ROWS($1:91)),)),IF($M$6="Q11",IF(ROWS($1:91)&gt;COUNT(Dong),0,OFFSET('Q11-VND'!I$1,SMALL(Dong,ROWS($1:91)),)),IF(ROWS($1:91)&gt;COUNT(Dong),IF(ROWS($1:91)&gt;COUNT(Dong,Dong2),0,OFFSET('Q4-VND'!I$1,SMALL(Dong2,ROWS($1:91)-COUNT(Dong)),)),OFFSET('Q11-VND'!I$1,SMALL(Dong,ROWS($1:91)),))))</f>
        <v>100000000</v>
      </c>
      <c r="H102" s="304">
        <f t="shared" ca="1" si="4"/>
        <v>135587155</v>
      </c>
      <c r="I102" s="304"/>
      <c r="J102" s="335"/>
    </row>
    <row r="103" spans="1:10" s="287" customFormat="1" ht="21" customHeight="1">
      <c r="A103" s="300">
        <f ca="1">IF($M$6="Q4",IF(ROWS($1:92)&gt;COUNT(Dong2),"",OFFSET('Q4-VND'!B$1,SMALL(Dong2,ROWS($1:92)),)),IF($M$6="Q11",IF(ROWS($1:92)&gt;COUNT(Dong),"",OFFSET('Q11-VND'!B$1,SMALL(Dong,ROWS($1:92)),)),IF(ROWS($1:92)&gt;COUNT(Dong),IF(ROWS($1:92)&gt;COUNT(Dong,Dong2),"",OFFSET('Q4-VND'!B$1,SMALL(Dong2,ROWS($1:92)-COUNT(Dong)),)),OFFSET('Q11-VND'!B$1,SMALL(Dong,ROWS($1:92)),))))</f>
        <v>41486</v>
      </c>
      <c r="B103" s="300" t="str">
        <f ca="1">IF($M$6="Q4",IF(ROWS($1:92)&gt;COUNT(Dong2),"",OFFSET('Q4-VND'!C$1,SMALL(Dong2,ROWS($1:92)),)),IF($M$6="Q11",IF(ROWS($1:92)&gt;COUNT(Dong),"",OFFSET('Q11-VND'!C$1,SMALL(Dong,ROWS($1:92)),)),IF(ROWS($1:92)&gt;COUNT(Dong),IF(ROWS($1:92)&gt;COUNT(Dong,Dong2),"",OFFSET('Q4-VND'!C$1,SMALL(Dong2,ROWS($1:92)-COUNT(Dong)),)),OFFSET('Q11-VND'!C$1,SMALL(Dong,ROWS($1:92)),))))</f>
        <v>GBN</v>
      </c>
      <c r="C103" s="300">
        <f ca="1">IF($M$6="Q4",IF(ROWS($1:92)&gt;COUNT(Dong2),"",OFFSET('Q4-VND'!D$1,SMALL(Dong2,ROWS($1:92)),)),IF($M$6="Q11",IF(ROWS($1:92)&gt;COUNT(Dong),"",OFFSET('Q11-VND'!D$1,SMALL(Dong,ROWS($1:92)),)),IF(ROWS($1:92)&gt;COUNT(Dong),IF(ROWS($1:92)&gt;COUNT(Dong,Dong2),"",OFFSET('Q4-VND'!D$1,SMALL(Dong2,ROWS($1:92)-COUNT(Dong)),)),OFFSET('Q11-VND'!D$1,SMALL(Dong,ROWS($1:92)),))))</f>
        <v>41486</v>
      </c>
      <c r="D103" s="301" t="str">
        <f ca="1">IF($M$6="Q4",IF(ROWS($1:92)&gt;COUNT(Dong2),"",OFFSET('Q4-VND'!E$1,SMALL(Dong2,ROWS($1:92)),)),IF($M$6="Q11",IF(ROWS($1:92)&gt;COUNT(Dong),"",OFFSET('Q11-VND'!E$1,SMALL(Dong,ROWS($1:92)),)),IF(ROWS($1:92)&gt;COUNT(Dong),IF(ROWS($1:92)&gt;COUNT(Dong,Dong2),"","Q4 - "&amp;OFFSET('Q4-VND'!E$1,SMALL(Dong2,ROWS($1:92)-COUNT(Dong)),)),"Q11 - "&amp;OFFSET('Q11-VND'!E$1,SMALL(Dong,ROWS($1:92)),))))</f>
        <v>Q11 - Điện kỳ 2 T 07/2013</v>
      </c>
      <c r="E103" s="302" t="str">
        <f ca="1">IF($M$6="Q4",IF(ROWS($1:92)&gt;COUNT(Dong2),"",OFFSET('Q4-VND'!G$1,SMALL(Dong2,ROWS($1:92)),)),IF($M$6="Q11",IF(ROWS($1:92)&gt;COUNT(Dong),"",OFFSET('Q11-VND'!G$1,SMALL(Dong,ROWS($1:92)),)),IF(ROWS($1:92)&gt;COUNT(Dong),IF(ROWS($1:92)&gt;COUNT(Dong,Dong2),"",OFFSET('Q4-VND'!G$1,SMALL(Dong2,ROWS($1:92)-COUNT(Dong)),)),OFFSET('Q11-VND'!G$1,SMALL(Dong,ROWS($1:92)),))))</f>
        <v>331</v>
      </c>
      <c r="F103" s="303">
        <f ca="1">IF($M$6="Q4",IF(ROWS($1:92)&gt;COUNT(Dong2),0,OFFSET('Q4-VND'!H$1,SMALL(Dong2,ROWS($1:92)),)),IF($M$6="Q11",IF(ROWS($1:92)&gt;COUNT(Dong),0,OFFSET('Q11-VND'!H$1,SMALL(Dong,ROWS($1:92)),)),IF(ROWS($1:92)&gt;COUNT(Dong),IF(ROWS($1:92)&gt;COUNT(Dong,Dong2),0,OFFSET('Q4-VND'!H$1,SMALL(Dong2,ROWS($1:92)-COUNT(Dong)),)),OFFSET('Q11-VND'!H$1,SMALL(Dong,ROWS($1:92)),))))</f>
        <v>0</v>
      </c>
      <c r="G103" s="303">
        <f ca="1">IF($M$6="Q4",IF(ROWS($1:92)&gt;COUNT(Dong2),0,OFFSET('Q4-VND'!I$1,SMALL(Dong2,ROWS($1:92)),)),IF($M$6="Q11",IF(ROWS($1:92)&gt;COUNT(Dong),0,OFFSET('Q11-VND'!I$1,SMALL(Dong,ROWS($1:92)),)),IF(ROWS($1:92)&gt;COUNT(Dong),IF(ROWS($1:92)&gt;COUNT(Dong,Dong2),0,OFFSET('Q4-VND'!I$1,SMALL(Dong2,ROWS($1:92)-COUNT(Dong)),)),OFFSET('Q11-VND'!I$1,SMALL(Dong,ROWS($1:92)),))))</f>
        <v>14289330</v>
      </c>
      <c r="H103" s="304">
        <f t="shared" ca="1" si="4"/>
        <v>121297825</v>
      </c>
      <c r="I103" s="304"/>
      <c r="J103" s="335"/>
    </row>
    <row r="104" spans="1:10" s="287" customFormat="1" ht="21" customHeight="1">
      <c r="A104" s="300">
        <f ca="1">IF($M$6="Q4",IF(ROWS($1:93)&gt;COUNT(Dong2),"",OFFSET('Q4-VND'!B$1,SMALL(Dong2,ROWS($1:93)),)),IF($M$6="Q11",IF(ROWS($1:93)&gt;COUNT(Dong),"",OFFSET('Q11-VND'!B$1,SMALL(Dong,ROWS($1:93)),)),IF(ROWS($1:93)&gt;COUNT(Dong),IF(ROWS($1:93)&gt;COUNT(Dong,Dong2),"",OFFSET('Q4-VND'!B$1,SMALL(Dong2,ROWS($1:93)-COUNT(Dong)),)),OFFSET('Q11-VND'!B$1,SMALL(Dong,ROWS($1:93)),))))</f>
        <v>41486</v>
      </c>
      <c r="B104" s="300" t="str">
        <f ca="1">IF($M$6="Q4",IF(ROWS($1:93)&gt;COUNT(Dong2),"",OFFSET('Q4-VND'!C$1,SMALL(Dong2,ROWS($1:93)),)),IF($M$6="Q11",IF(ROWS($1:93)&gt;COUNT(Dong),"",OFFSET('Q11-VND'!C$1,SMALL(Dong,ROWS($1:93)),)),IF(ROWS($1:93)&gt;COUNT(Dong),IF(ROWS($1:93)&gt;COUNT(Dong,Dong2),"",OFFSET('Q4-VND'!C$1,SMALL(Dong2,ROWS($1:93)-COUNT(Dong)),)),OFFSET('Q11-VND'!C$1,SMALL(Dong,ROWS($1:93)),))))</f>
        <v>GBN</v>
      </c>
      <c r="C104" s="300">
        <f ca="1">IF($M$6="Q4",IF(ROWS($1:93)&gt;COUNT(Dong2),"",OFFSET('Q4-VND'!D$1,SMALL(Dong2,ROWS($1:93)),)),IF($M$6="Q11",IF(ROWS($1:93)&gt;COUNT(Dong),"",OFFSET('Q11-VND'!D$1,SMALL(Dong,ROWS($1:93)),)),IF(ROWS($1:93)&gt;COUNT(Dong),IF(ROWS($1:93)&gt;COUNT(Dong,Dong2),"",OFFSET('Q4-VND'!D$1,SMALL(Dong2,ROWS($1:93)-COUNT(Dong)),)),OFFSET('Q11-VND'!D$1,SMALL(Dong,ROWS($1:93)),))))</f>
        <v>41486</v>
      </c>
      <c r="D104" s="301" t="str">
        <f ca="1">IF($M$6="Q4",IF(ROWS($1:93)&gt;COUNT(Dong2),"",OFFSET('Q4-VND'!E$1,SMALL(Dong2,ROWS($1:93)),)),IF($M$6="Q11",IF(ROWS($1:93)&gt;COUNT(Dong),"",OFFSET('Q11-VND'!E$1,SMALL(Dong,ROWS($1:93)),)),IF(ROWS($1:93)&gt;COUNT(Dong),IF(ROWS($1:93)&gt;COUNT(Dong,Dong2),"","Q4 - "&amp;OFFSET('Q4-VND'!E$1,SMALL(Dong2,ROWS($1:93)-COUNT(Dong)),)),"Q11 - "&amp;OFFSET('Q11-VND'!E$1,SMALL(Dong,ROWS($1:93)),))))</f>
        <v>Q11 - Phí thanh toán</v>
      </c>
      <c r="E104" s="302" t="str">
        <f ca="1">IF($M$6="Q4",IF(ROWS($1:93)&gt;COUNT(Dong2),"",OFFSET('Q4-VND'!G$1,SMALL(Dong2,ROWS($1:93)),)),IF($M$6="Q11",IF(ROWS($1:93)&gt;COUNT(Dong),"",OFFSET('Q11-VND'!G$1,SMALL(Dong,ROWS($1:93)),)),IF(ROWS($1:93)&gt;COUNT(Dong),IF(ROWS($1:93)&gt;COUNT(Dong,Dong2),"",OFFSET('Q4-VND'!G$1,SMALL(Dong2,ROWS($1:93)-COUNT(Dong)),)),OFFSET('Q11-VND'!G$1,SMALL(Dong,ROWS($1:93)),))))</f>
        <v>6422</v>
      </c>
      <c r="F104" s="303">
        <f ca="1">IF($M$6="Q4",IF(ROWS($1:93)&gt;COUNT(Dong2),0,OFFSET('Q4-VND'!H$1,SMALL(Dong2,ROWS($1:93)),)),IF($M$6="Q11",IF(ROWS($1:93)&gt;COUNT(Dong),0,OFFSET('Q11-VND'!H$1,SMALL(Dong,ROWS($1:93)),)),IF(ROWS($1:93)&gt;COUNT(Dong),IF(ROWS($1:93)&gt;COUNT(Dong,Dong2),0,OFFSET('Q4-VND'!H$1,SMALL(Dong2,ROWS($1:93)-COUNT(Dong)),)),OFFSET('Q11-VND'!H$1,SMALL(Dong,ROWS($1:93)),))))</f>
        <v>0</v>
      </c>
      <c r="G104" s="303">
        <f ca="1">IF($M$6="Q4",IF(ROWS($1:93)&gt;COUNT(Dong2),0,OFFSET('Q4-VND'!I$1,SMALL(Dong2,ROWS($1:93)),)),IF($M$6="Q11",IF(ROWS($1:93)&gt;COUNT(Dong),0,OFFSET('Q11-VND'!I$1,SMALL(Dong,ROWS($1:93)),)),IF(ROWS($1:93)&gt;COUNT(Dong),IF(ROWS($1:93)&gt;COUNT(Dong,Dong2),0,OFFSET('Q4-VND'!I$1,SMALL(Dong2,ROWS($1:93)-COUNT(Dong)),)),OFFSET('Q11-VND'!I$1,SMALL(Dong,ROWS($1:93)),))))</f>
        <v>20000</v>
      </c>
      <c r="H104" s="304">
        <f t="shared" ca="1" si="4"/>
        <v>121277825</v>
      </c>
      <c r="I104" s="304"/>
      <c r="J104" s="335"/>
    </row>
    <row r="105" spans="1:10" s="287" customFormat="1" ht="21" customHeight="1">
      <c r="A105" s="300">
        <f ca="1">IF($M$6="Q4",IF(ROWS($1:94)&gt;COUNT(Dong2),"",OFFSET('Q4-VND'!B$1,SMALL(Dong2,ROWS($1:94)),)),IF($M$6="Q11",IF(ROWS($1:94)&gt;COUNT(Dong),"",OFFSET('Q11-VND'!B$1,SMALL(Dong,ROWS($1:94)),)),IF(ROWS($1:94)&gt;COUNT(Dong),IF(ROWS($1:94)&gt;COUNT(Dong,Dong2),"",OFFSET('Q4-VND'!B$1,SMALL(Dong2,ROWS($1:94)-COUNT(Dong)),)),OFFSET('Q11-VND'!B$1,SMALL(Dong,ROWS($1:94)),))))</f>
        <v>41486</v>
      </c>
      <c r="B105" s="300" t="str">
        <f ca="1">IF($M$6="Q4",IF(ROWS($1:94)&gt;COUNT(Dong2),"",OFFSET('Q4-VND'!C$1,SMALL(Dong2,ROWS($1:94)),)),IF($M$6="Q11",IF(ROWS($1:94)&gt;COUNT(Dong),"",OFFSET('Q11-VND'!C$1,SMALL(Dong,ROWS($1:94)),)),IF(ROWS($1:94)&gt;COUNT(Dong),IF(ROWS($1:94)&gt;COUNT(Dong,Dong2),"",OFFSET('Q4-VND'!C$1,SMALL(Dong2,ROWS($1:94)-COUNT(Dong)),)),OFFSET('Q11-VND'!C$1,SMALL(Dong,ROWS($1:94)),))))</f>
        <v>GBN</v>
      </c>
      <c r="C105" s="300">
        <f ca="1">IF($M$6="Q4",IF(ROWS($1:94)&gt;COUNT(Dong2),"",OFFSET('Q4-VND'!D$1,SMALL(Dong2,ROWS($1:94)),)),IF($M$6="Q11",IF(ROWS($1:94)&gt;COUNT(Dong),"",OFFSET('Q11-VND'!D$1,SMALL(Dong,ROWS($1:94)),)),IF(ROWS($1:94)&gt;COUNT(Dong),IF(ROWS($1:94)&gt;COUNT(Dong,Dong2),"",OFFSET('Q4-VND'!D$1,SMALL(Dong2,ROWS($1:94)-COUNT(Dong)),)),OFFSET('Q11-VND'!D$1,SMALL(Dong,ROWS($1:94)),))))</f>
        <v>41486</v>
      </c>
      <c r="D105" s="301" t="str">
        <f ca="1">IF($M$6="Q4",IF(ROWS($1:94)&gt;COUNT(Dong2),"",OFFSET('Q4-VND'!E$1,SMALL(Dong2,ROWS($1:94)),)),IF($M$6="Q11",IF(ROWS($1:94)&gt;COUNT(Dong),"",OFFSET('Q11-VND'!E$1,SMALL(Dong,ROWS($1:94)),)),IF(ROWS($1:94)&gt;COUNT(Dong),IF(ROWS($1:94)&gt;COUNT(Dong,Dong2),"","Q4 - "&amp;OFFSET('Q4-VND'!E$1,SMALL(Dong2,ROWS($1:94)-COUNT(Dong)),)),"Q11 - "&amp;OFFSET('Q11-VND'!E$1,SMALL(Dong,ROWS($1:94)),))))</f>
        <v>Q11 - VAT Phí thanh toán</v>
      </c>
      <c r="E105" s="302" t="str">
        <f ca="1">IF($M$6="Q4",IF(ROWS($1:94)&gt;COUNT(Dong2),"",OFFSET('Q4-VND'!G$1,SMALL(Dong2,ROWS($1:94)),)),IF($M$6="Q11",IF(ROWS($1:94)&gt;COUNT(Dong),"",OFFSET('Q11-VND'!G$1,SMALL(Dong,ROWS($1:94)),)),IF(ROWS($1:94)&gt;COUNT(Dong),IF(ROWS($1:94)&gt;COUNT(Dong,Dong2),"",OFFSET('Q4-VND'!G$1,SMALL(Dong2,ROWS($1:94)-COUNT(Dong)),)),OFFSET('Q11-VND'!G$1,SMALL(Dong,ROWS($1:94)),))))</f>
        <v>1331</v>
      </c>
      <c r="F105" s="303">
        <f ca="1">IF($M$6="Q4",IF(ROWS($1:94)&gt;COUNT(Dong2),0,OFFSET('Q4-VND'!H$1,SMALL(Dong2,ROWS($1:94)),)),IF($M$6="Q11",IF(ROWS($1:94)&gt;COUNT(Dong),0,OFFSET('Q11-VND'!H$1,SMALL(Dong,ROWS($1:94)),)),IF(ROWS($1:94)&gt;COUNT(Dong),IF(ROWS($1:94)&gt;COUNT(Dong,Dong2),0,OFFSET('Q4-VND'!H$1,SMALL(Dong2,ROWS($1:94)-COUNT(Dong)),)),OFFSET('Q11-VND'!H$1,SMALL(Dong,ROWS($1:94)),))))</f>
        <v>0</v>
      </c>
      <c r="G105" s="303">
        <f ca="1">IF($M$6="Q4",IF(ROWS($1:94)&gt;COUNT(Dong2),0,OFFSET('Q4-VND'!I$1,SMALL(Dong2,ROWS($1:94)),)),IF($M$6="Q11",IF(ROWS($1:94)&gt;COUNT(Dong),0,OFFSET('Q11-VND'!I$1,SMALL(Dong,ROWS($1:94)),)),IF(ROWS($1:94)&gt;COUNT(Dong),IF(ROWS($1:94)&gt;COUNT(Dong,Dong2),0,OFFSET('Q4-VND'!I$1,SMALL(Dong2,ROWS($1:94)-COUNT(Dong)),)),OFFSET('Q11-VND'!I$1,SMALL(Dong,ROWS($1:94)),))))</f>
        <v>2000</v>
      </c>
      <c r="H105" s="304">
        <f t="shared" ca="1" si="4"/>
        <v>121275825</v>
      </c>
      <c r="I105" s="304"/>
      <c r="J105" s="335"/>
    </row>
    <row r="106" spans="1:10" s="287" customFormat="1" ht="21" customHeight="1">
      <c r="A106" s="300">
        <f ca="1">IF($M$6="Q4",IF(ROWS($1:95)&gt;COUNT(Dong2),"",OFFSET('Q4-VND'!B$1,SMALL(Dong2,ROWS($1:95)),)),IF($M$6="Q11",IF(ROWS($1:95)&gt;COUNT(Dong),"",OFFSET('Q11-VND'!B$1,SMALL(Dong,ROWS($1:95)),)),IF(ROWS($1:95)&gt;COUNT(Dong),IF(ROWS($1:95)&gt;COUNT(Dong,Dong2),"",OFFSET('Q4-VND'!B$1,SMALL(Dong2,ROWS($1:95)-COUNT(Dong)),)),OFFSET('Q11-VND'!B$1,SMALL(Dong,ROWS($1:95)),))))</f>
        <v>41456</v>
      </c>
      <c r="B106" s="300" t="str">
        <f ca="1">IF($M$6="Q4",IF(ROWS($1:95)&gt;COUNT(Dong2),"",OFFSET('Q4-VND'!C$1,SMALL(Dong2,ROWS($1:95)),)),IF($M$6="Q11",IF(ROWS($1:95)&gt;COUNT(Dong),"",OFFSET('Q11-VND'!C$1,SMALL(Dong,ROWS($1:95)),)),IF(ROWS($1:95)&gt;COUNT(Dong),IF(ROWS($1:95)&gt;COUNT(Dong,Dong2),"",OFFSET('Q4-VND'!C$1,SMALL(Dong2,ROWS($1:95)-COUNT(Dong)),)),OFFSET('Q11-VND'!C$1,SMALL(Dong,ROWS($1:95)),))))</f>
        <v>GBN</v>
      </c>
      <c r="C106" s="300">
        <f ca="1">IF($M$6="Q4",IF(ROWS($1:95)&gt;COUNT(Dong2),"",OFFSET('Q4-VND'!D$1,SMALL(Dong2,ROWS($1:95)),)),IF($M$6="Q11",IF(ROWS($1:95)&gt;COUNT(Dong),"",OFFSET('Q11-VND'!D$1,SMALL(Dong,ROWS($1:95)),)),IF(ROWS($1:95)&gt;COUNT(Dong),IF(ROWS($1:95)&gt;COUNT(Dong,Dong2),"",OFFSET('Q4-VND'!D$1,SMALL(Dong2,ROWS($1:95)-COUNT(Dong)),)),OFFSET('Q11-VND'!D$1,SMALL(Dong,ROWS($1:95)),))))</f>
        <v>41456</v>
      </c>
      <c r="D106" s="301" t="str">
        <f ca="1">IF($M$6="Q4",IF(ROWS($1:95)&gt;COUNT(Dong2),"",OFFSET('Q4-VND'!E$1,SMALL(Dong2,ROWS($1:95)),)),IF($M$6="Q11",IF(ROWS($1:95)&gt;COUNT(Dong),"",OFFSET('Q11-VND'!E$1,SMALL(Dong,ROWS($1:95)),)),IF(ROWS($1:95)&gt;COUNT(Dong),IF(ROWS($1:95)&gt;COUNT(Dong,Dong2),"","Q4 - "&amp;OFFSET('Q4-VND'!E$1,SMALL(Dong2,ROWS($1:95)-COUNT(Dong)),)),"Q11 - "&amp;OFFSET('Q11-VND'!E$1,SMALL(Dong,ROWS($1:95)),))))</f>
        <v>Q4 - BP - Phí DV Internet Banking</v>
      </c>
      <c r="E106" s="302" t="str">
        <f ca="1">IF($M$6="Q4",IF(ROWS($1:95)&gt;COUNT(Dong2),"",OFFSET('Q4-VND'!G$1,SMALL(Dong2,ROWS($1:95)),)),IF($M$6="Q11",IF(ROWS($1:95)&gt;COUNT(Dong),"",OFFSET('Q11-VND'!G$1,SMALL(Dong,ROWS($1:95)),)),IF(ROWS($1:95)&gt;COUNT(Dong),IF(ROWS($1:95)&gt;COUNT(Dong,Dong2),"",OFFSET('Q4-VND'!G$1,SMALL(Dong2,ROWS($1:95)-COUNT(Dong)),)),OFFSET('Q11-VND'!G$1,SMALL(Dong,ROWS($1:95)),))))</f>
        <v>6422</v>
      </c>
      <c r="F106" s="303">
        <f ca="1">IF($M$6="Q4",IF(ROWS($1:95)&gt;COUNT(Dong2),0,OFFSET('Q4-VND'!H$1,SMALL(Dong2,ROWS($1:95)),)),IF($M$6="Q11",IF(ROWS($1:95)&gt;COUNT(Dong),0,OFFSET('Q11-VND'!H$1,SMALL(Dong,ROWS($1:95)),)),IF(ROWS($1:95)&gt;COUNT(Dong),IF(ROWS($1:95)&gt;COUNT(Dong,Dong2),0,OFFSET('Q4-VND'!H$1,SMALL(Dong2,ROWS($1:95)-COUNT(Dong)),)),OFFSET('Q11-VND'!H$1,SMALL(Dong,ROWS($1:95)),))))</f>
        <v>0</v>
      </c>
      <c r="G106" s="303">
        <f ca="1">IF($M$6="Q4",IF(ROWS($1:95)&gt;COUNT(Dong2),0,OFFSET('Q4-VND'!I$1,SMALL(Dong2,ROWS($1:95)),)),IF($M$6="Q11",IF(ROWS($1:95)&gt;COUNT(Dong),0,OFFSET('Q11-VND'!I$1,SMALL(Dong,ROWS($1:95)),)),IF(ROWS($1:95)&gt;COUNT(Dong),IF(ROWS($1:95)&gt;COUNT(Dong,Dong2),0,OFFSET('Q4-VND'!I$1,SMALL(Dong2,ROWS($1:95)-COUNT(Dong)),)),OFFSET('Q11-VND'!I$1,SMALL(Dong,ROWS($1:95)),))))</f>
        <v>110000</v>
      </c>
      <c r="H106" s="304">
        <f t="shared" ca="1" si="4"/>
        <v>121165825</v>
      </c>
      <c r="I106" s="304"/>
      <c r="J106" s="335"/>
    </row>
    <row r="107" spans="1:10" s="287" customFormat="1" ht="21" customHeight="1">
      <c r="A107" s="300" t="str">
        <f ca="1">IF($M$6="Q4",IF(ROWS($1:96)&gt;COUNT(Dong2),"",OFFSET('Q4-VND'!B$1,SMALL(Dong2,ROWS($1:96)),)),IF($M$6="Q11",IF(ROWS($1:96)&gt;COUNT(Dong),"",OFFSET('Q11-VND'!B$1,SMALL(Dong,ROWS($1:96)),)),IF(ROWS($1:96)&gt;COUNT(Dong),IF(ROWS($1:96)&gt;COUNT(Dong,Dong2),"",OFFSET('Q4-VND'!B$1,SMALL(Dong2,ROWS($1:96)-COUNT(Dong)),)),OFFSET('Q11-VND'!B$1,SMALL(Dong,ROWS($1:96)),))))</f>
        <v/>
      </c>
      <c r="B107" s="300" t="str">
        <f ca="1">IF($M$6="Q4",IF(ROWS($1:96)&gt;COUNT(Dong2),"",OFFSET('Q4-VND'!C$1,SMALL(Dong2,ROWS($1:96)),)),IF($M$6="Q11",IF(ROWS($1:96)&gt;COUNT(Dong),"",OFFSET('Q11-VND'!C$1,SMALL(Dong,ROWS($1:96)),)),IF(ROWS($1:96)&gt;COUNT(Dong),IF(ROWS($1:96)&gt;COUNT(Dong,Dong2),"",OFFSET('Q4-VND'!C$1,SMALL(Dong2,ROWS($1:96)-COUNT(Dong)),)),OFFSET('Q11-VND'!C$1,SMALL(Dong,ROWS($1:96)),))))</f>
        <v/>
      </c>
      <c r="C107" s="300" t="str">
        <f ca="1">IF($M$6="Q4",IF(ROWS($1:96)&gt;COUNT(Dong2),"",OFFSET('Q4-VND'!D$1,SMALL(Dong2,ROWS($1:96)),)),IF($M$6="Q11",IF(ROWS($1:96)&gt;COUNT(Dong),"",OFFSET('Q11-VND'!D$1,SMALL(Dong,ROWS($1:96)),)),IF(ROWS($1:96)&gt;COUNT(Dong),IF(ROWS($1:96)&gt;COUNT(Dong,Dong2),"",OFFSET('Q4-VND'!D$1,SMALL(Dong2,ROWS($1:96)-COUNT(Dong)),)),OFFSET('Q11-VND'!D$1,SMALL(Dong,ROWS($1:96)),))))</f>
        <v/>
      </c>
      <c r="D107" s="301" t="str">
        <f ca="1">IF($M$6="Q4",IF(ROWS($1:96)&gt;COUNT(Dong2),"",OFFSET('Q4-VND'!E$1,SMALL(Dong2,ROWS($1:96)),)),IF($M$6="Q11",IF(ROWS($1:96)&gt;COUNT(Dong),"",OFFSET('Q11-VND'!E$1,SMALL(Dong,ROWS($1:96)),)),IF(ROWS($1:96)&gt;COUNT(Dong),IF(ROWS($1:96)&gt;COUNT(Dong,Dong2),"","Q4 - "&amp;OFFSET('Q4-VND'!E$1,SMALL(Dong2,ROWS($1:96)-COUNT(Dong)),)),"Q11 - "&amp;OFFSET('Q11-VND'!E$1,SMALL(Dong,ROWS($1:96)),))))</f>
        <v/>
      </c>
      <c r="E107" s="302" t="str">
        <f ca="1">IF($M$6="Q4",IF(ROWS($1:96)&gt;COUNT(Dong2),"",OFFSET('Q4-VND'!G$1,SMALL(Dong2,ROWS($1:96)),)),IF($M$6="Q11",IF(ROWS($1:96)&gt;COUNT(Dong),"",OFFSET('Q11-VND'!G$1,SMALL(Dong,ROWS($1:96)),)),IF(ROWS($1:96)&gt;COUNT(Dong),IF(ROWS($1:96)&gt;COUNT(Dong,Dong2),"",OFFSET('Q4-VND'!G$1,SMALL(Dong2,ROWS($1:96)-COUNT(Dong)),)),OFFSET('Q11-VND'!G$1,SMALL(Dong,ROWS($1:96)),))))</f>
        <v/>
      </c>
      <c r="F107" s="303">
        <f ca="1">IF($M$6="Q4",IF(ROWS($1:96)&gt;COUNT(Dong2),0,OFFSET('Q4-VND'!H$1,SMALL(Dong2,ROWS($1:96)),)),IF($M$6="Q11",IF(ROWS($1:96)&gt;COUNT(Dong),0,OFFSET('Q11-VND'!H$1,SMALL(Dong,ROWS($1:96)),)),IF(ROWS($1:96)&gt;COUNT(Dong),IF(ROWS($1:96)&gt;COUNT(Dong,Dong2),0,OFFSET('Q4-VND'!H$1,SMALL(Dong2,ROWS($1:96)-COUNT(Dong)),)),OFFSET('Q11-VND'!H$1,SMALL(Dong,ROWS($1:96)),))))</f>
        <v>0</v>
      </c>
      <c r="G107" s="303">
        <f ca="1">IF($M$6="Q4",IF(ROWS($1:96)&gt;COUNT(Dong2),0,OFFSET('Q4-VND'!I$1,SMALL(Dong2,ROWS($1:96)),)),IF($M$6="Q11",IF(ROWS($1:96)&gt;COUNT(Dong),0,OFFSET('Q11-VND'!I$1,SMALL(Dong,ROWS($1:96)),)),IF(ROWS($1:96)&gt;COUNT(Dong),IF(ROWS($1:96)&gt;COUNT(Dong,Dong2),0,OFFSET('Q4-VND'!I$1,SMALL(Dong2,ROWS($1:96)-COUNT(Dong)),)),OFFSET('Q11-VND'!I$1,SMALL(Dong,ROWS($1:96)),))))</f>
        <v>0</v>
      </c>
      <c r="H107" s="304" t="str">
        <f t="shared" ca="1" si="4"/>
        <v/>
      </c>
      <c r="I107" s="304"/>
      <c r="J107" s="335"/>
    </row>
    <row r="108" spans="1:10" s="287" customFormat="1" ht="21" customHeight="1">
      <c r="A108" s="300" t="str">
        <f ca="1">IF($M$6="Q4",IF(ROWS($1:97)&gt;COUNT(Dong2),"",OFFSET('Q4-VND'!B$1,SMALL(Dong2,ROWS($1:97)),)),IF($M$6="Q11",IF(ROWS($1:97)&gt;COUNT(Dong),"",OFFSET('Q11-VND'!B$1,SMALL(Dong,ROWS($1:97)),)),IF(ROWS($1:97)&gt;COUNT(Dong),IF(ROWS($1:97)&gt;COUNT(Dong,Dong2),"",OFFSET('Q4-VND'!B$1,SMALL(Dong2,ROWS($1:97)-COUNT(Dong)),)),OFFSET('Q11-VND'!B$1,SMALL(Dong,ROWS($1:97)),))))</f>
        <v/>
      </c>
      <c r="B108" s="300" t="str">
        <f ca="1">IF($M$6="Q4",IF(ROWS($1:97)&gt;COUNT(Dong2),"",OFFSET('Q4-VND'!C$1,SMALL(Dong2,ROWS($1:97)),)),IF($M$6="Q11",IF(ROWS($1:97)&gt;COUNT(Dong),"",OFFSET('Q11-VND'!C$1,SMALL(Dong,ROWS($1:97)),)),IF(ROWS($1:97)&gt;COUNT(Dong),IF(ROWS($1:97)&gt;COUNT(Dong,Dong2),"",OFFSET('Q4-VND'!C$1,SMALL(Dong2,ROWS($1:97)-COUNT(Dong)),)),OFFSET('Q11-VND'!C$1,SMALL(Dong,ROWS($1:97)),))))</f>
        <v/>
      </c>
      <c r="C108" s="300" t="str">
        <f ca="1">IF($M$6="Q4",IF(ROWS($1:97)&gt;COUNT(Dong2),"",OFFSET('Q4-VND'!D$1,SMALL(Dong2,ROWS($1:97)),)),IF($M$6="Q11",IF(ROWS($1:97)&gt;COUNT(Dong),"",OFFSET('Q11-VND'!D$1,SMALL(Dong,ROWS($1:97)),)),IF(ROWS($1:97)&gt;COUNT(Dong),IF(ROWS($1:97)&gt;COUNT(Dong,Dong2),"",OFFSET('Q4-VND'!D$1,SMALL(Dong2,ROWS($1:97)-COUNT(Dong)),)),OFFSET('Q11-VND'!D$1,SMALL(Dong,ROWS($1:97)),))))</f>
        <v/>
      </c>
      <c r="D108" s="301" t="str">
        <f ca="1">IF($M$6="Q4",IF(ROWS($1:97)&gt;COUNT(Dong2),"",OFFSET('Q4-VND'!E$1,SMALL(Dong2,ROWS($1:97)),)),IF($M$6="Q11",IF(ROWS($1:97)&gt;COUNT(Dong),"",OFFSET('Q11-VND'!E$1,SMALL(Dong,ROWS($1:97)),)),IF(ROWS($1:97)&gt;COUNT(Dong),IF(ROWS($1:97)&gt;COUNT(Dong,Dong2),"","Q4 - "&amp;OFFSET('Q4-VND'!E$1,SMALL(Dong2,ROWS($1:97)-COUNT(Dong)),)),"Q11 - "&amp;OFFSET('Q11-VND'!E$1,SMALL(Dong,ROWS($1:97)),))))</f>
        <v/>
      </c>
      <c r="E108" s="302" t="str">
        <f ca="1">IF($M$6="Q4",IF(ROWS($1:97)&gt;COUNT(Dong2),"",OFFSET('Q4-VND'!G$1,SMALL(Dong2,ROWS($1:97)),)),IF($M$6="Q11",IF(ROWS($1:97)&gt;COUNT(Dong),"",OFFSET('Q11-VND'!G$1,SMALL(Dong,ROWS($1:97)),)),IF(ROWS($1:97)&gt;COUNT(Dong),IF(ROWS($1:97)&gt;COUNT(Dong,Dong2),"",OFFSET('Q4-VND'!G$1,SMALL(Dong2,ROWS($1:97)-COUNT(Dong)),)),OFFSET('Q11-VND'!G$1,SMALL(Dong,ROWS($1:97)),))))</f>
        <v/>
      </c>
      <c r="F108" s="303">
        <f ca="1">IF($M$6="Q4",IF(ROWS($1:97)&gt;COUNT(Dong2),0,OFFSET('Q4-VND'!H$1,SMALL(Dong2,ROWS($1:97)),)),IF($M$6="Q11",IF(ROWS($1:97)&gt;COUNT(Dong),0,OFFSET('Q11-VND'!H$1,SMALL(Dong,ROWS($1:97)),)),IF(ROWS($1:97)&gt;COUNT(Dong),IF(ROWS($1:97)&gt;COUNT(Dong,Dong2),0,OFFSET('Q4-VND'!H$1,SMALL(Dong2,ROWS($1:97)-COUNT(Dong)),)),OFFSET('Q11-VND'!H$1,SMALL(Dong,ROWS($1:97)),))))</f>
        <v>0</v>
      </c>
      <c r="G108" s="303">
        <f ca="1">IF($M$6="Q4",IF(ROWS($1:97)&gt;COUNT(Dong2),0,OFFSET('Q4-VND'!I$1,SMALL(Dong2,ROWS($1:97)),)),IF($M$6="Q11",IF(ROWS($1:97)&gt;COUNT(Dong),0,OFFSET('Q11-VND'!I$1,SMALL(Dong,ROWS($1:97)),)),IF(ROWS($1:97)&gt;COUNT(Dong),IF(ROWS($1:97)&gt;COUNT(Dong,Dong2),0,OFFSET('Q4-VND'!I$1,SMALL(Dong2,ROWS($1:97)-COUNT(Dong)),)),OFFSET('Q11-VND'!I$1,SMALL(Dong,ROWS($1:97)),))))</f>
        <v>0</v>
      </c>
      <c r="H108" s="304" t="str">
        <f t="shared" ca="1" si="4"/>
        <v/>
      </c>
      <c r="I108" s="304"/>
      <c r="J108" s="335"/>
    </row>
    <row r="109" spans="1:10" s="287" customFormat="1" ht="21" customHeight="1">
      <c r="A109" s="300" t="str">
        <f ca="1">IF($M$6="Q4",IF(ROWS($1:98)&gt;COUNT(Dong2),"",OFFSET('Q4-VND'!B$1,SMALL(Dong2,ROWS($1:98)),)),IF($M$6="Q11",IF(ROWS($1:98)&gt;COUNT(Dong),"",OFFSET('Q11-VND'!B$1,SMALL(Dong,ROWS($1:98)),)),IF(ROWS($1:98)&gt;COUNT(Dong),IF(ROWS($1:98)&gt;COUNT(Dong,Dong2),"",OFFSET('Q4-VND'!B$1,SMALL(Dong2,ROWS($1:98)-COUNT(Dong)),)),OFFSET('Q11-VND'!B$1,SMALL(Dong,ROWS($1:98)),))))</f>
        <v/>
      </c>
      <c r="B109" s="300" t="str">
        <f ca="1">IF($M$6="Q4",IF(ROWS($1:98)&gt;COUNT(Dong2),"",OFFSET('Q4-VND'!C$1,SMALL(Dong2,ROWS($1:98)),)),IF($M$6="Q11",IF(ROWS($1:98)&gt;COUNT(Dong),"",OFFSET('Q11-VND'!C$1,SMALL(Dong,ROWS($1:98)),)),IF(ROWS($1:98)&gt;COUNT(Dong),IF(ROWS($1:98)&gt;COUNT(Dong,Dong2),"",OFFSET('Q4-VND'!C$1,SMALL(Dong2,ROWS($1:98)-COUNT(Dong)),)),OFFSET('Q11-VND'!C$1,SMALL(Dong,ROWS($1:98)),))))</f>
        <v/>
      </c>
      <c r="C109" s="300" t="str">
        <f ca="1">IF($M$6="Q4",IF(ROWS($1:98)&gt;COUNT(Dong2),"",OFFSET('Q4-VND'!D$1,SMALL(Dong2,ROWS($1:98)),)),IF($M$6="Q11",IF(ROWS($1:98)&gt;COUNT(Dong),"",OFFSET('Q11-VND'!D$1,SMALL(Dong,ROWS($1:98)),)),IF(ROWS($1:98)&gt;COUNT(Dong),IF(ROWS($1:98)&gt;COUNT(Dong,Dong2),"",OFFSET('Q4-VND'!D$1,SMALL(Dong2,ROWS($1:98)-COUNT(Dong)),)),OFFSET('Q11-VND'!D$1,SMALL(Dong,ROWS($1:98)),))))</f>
        <v/>
      </c>
      <c r="D109" s="301" t="str">
        <f ca="1">IF($M$6="Q4",IF(ROWS($1:98)&gt;COUNT(Dong2),"",OFFSET('Q4-VND'!E$1,SMALL(Dong2,ROWS($1:98)),)),IF($M$6="Q11",IF(ROWS($1:98)&gt;COUNT(Dong),"",OFFSET('Q11-VND'!E$1,SMALL(Dong,ROWS($1:98)),)),IF(ROWS($1:98)&gt;COUNT(Dong),IF(ROWS($1:98)&gt;COUNT(Dong,Dong2),"","Q4 - "&amp;OFFSET('Q4-VND'!E$1,SMALL(Dong2,ROWS($1:98)-COUNT(Dong)),)),"Q11 - "&amp;OFFSET('Q11-VND'!E$1,SMALL(Dong,ROWS($1:98)),))))</f>
        <v/>
      </c>
      <c r="E109" s="302" t="str">
        <f ca="1">IF($M$6="Q4",IF(ROWS($1:98)&gt;COUNT(Dong2),"",OFFSET('Q4-VND'!G$1,SMALL(Dong2,ROWS($1:98)),)),IF($M$6="Q11",IF(ROWS($1:98)&gt;COUNT(Dong),"",OFFSET('Q11-VND'!G$1,SMALL(Dong,ROWS($1:98)),)),IF(ROWS($1:98)&gt;COUNT(Dong),IF(ROWS($1:98)&gt;COUNT(Dong,Dong2),"",OFFSET('Q4-VND'!G$1,SMALL(Dong2,ROWS($1:98)-COUNT(Dong)),)),OFFSET('Q11-VND'!G$1,SMALL(Dong,ROWS($1:98)),))))</f>
        <v/>
      </c>
      <c r="F109" s="303">
        <f ca="1">IF($M$6="Q4",IF(ROWS($1:98)&gt;COUNT(Dong2),0,OFFSET('Q4-VND'!H$1,SMALL(Dong2,ROWS($1:98)),)),IF($M$6="Q11",IF(ROWS($1:98)&gt;COUNT(Dong),0,OFFSET('Q11-VND'!H$1,SMALL(Dong,ROWS($1:98)),)),IF(ROWS($1:98)&gt;COUNT(Dong),IF(ROWS($1:98)&gt;COUNT(Dong,Dong2),0,OFFSET('Q4-VND'!H$1,SMALL(Dong2,ROWS($1:98)-COUNT(Dong)),)),OFFSET('Q11-VND'!H$1,SMALL(Dong,ROWS($1:98)),))))</f>
        <v>0</v>
      </c>
      <c r="G109" s="303">
        <f ca="1">IF($M$6="Q4",IF(ROWS($1:98)&gt;COUNT(Dong2),0,OFFSET('Q4-VND'!I$1,SMALL(Dong2,ROWS($1:98)),)),IF($M$6="Q11",IF(ROWS($1:98)&gt;COUNT(Dong),0,OFFSET('Q11-VND'!I$1,SMALL(Dong,ROWS($1:98)),)),IF(ROWS($1:98)&gt;COUNT(Dong),IF(ROWS($1:98)&gt;COUNT(Dong,Dong2),0,OFFSET('Q4-VND'!I$1,SMALL(Dong2,ROWS($1:98)-COUNT(Dong)),)),OFFSET('Q11-VND'!I$1,SMALL(Dong,ROWS($1:98)),))))</f>
        <v>0</v>
      </c>
      <c r="H109" s="304" t="str">
        <f t="shared" ca="1" si="4"/>
        <v/>
      </c>
      <c r="I109" s="304"/>
      <c r="J109" s="335"/>
    </row>
    <row r="110" spans="1:10" s="287" customFormat="1" ht="21" customHeight="1">
      <c r="A110" s="300" t="str">
        <f ca="1">IF($M$6="Q4",IF(ROWS($1:99)&gt;COUNT(Dong2),"",OFFSET('Q4-VND'!B$1,SMALL(Dong2,ROWS($1:99)),)),IF($M$6="Q11",IF(ROWS($1:99)&gt;COUNT(Dong),"",OFFSET('Q11-VND'!B$1,SMALL(Dong,ROWS($1:99)),)),IF(ROWS($1:99)&gt;COUNT(Dong),IF(ROWS($1:99)&gt;COUNT(Dong,Dong2),"",OFFSET('Q4-VND'!B$1,SMALL(Dong2,ROWS($1:99)-COUNT(Dong)),)),OFFSET('Q11-VND'!B$1,SMALL(Dong,ROWS($1:99)),))))</f>
        <v/>
      </c>
      <c r="B110" s="300" t="str">
        <f ca="1">IF($M$6="Q4",IF(ROWS($1:99)&gt;COUNT(Dong2),"",OFFSET('Q4-VND'!C$1,SMALL(Dong2,ROWS($1:99)),)),IF($M$6="Q11",IF(ROWS($1:99)&gt;COUNT(Dong),"",OFFSET('Q11-VND'!C$1,SMALL(Dong,ROWS($1:99)),)),IF(ROWS($1:99)&gt;COUNT(Dong),IF(ROWS($1:99)&gt;COUNT(Dong,Dong2),"",OFFSET('Q4-VND'!C$1,SMALL(Dong2,ROWS($1:99)-COUNT(Dong)),)),OFFSET('Q11-VND'!C$1,SMALL(Dong,ROWS($1:99)),))))</f>
        <v/>
      </c>
      <c r="C110" s="300" t="str">
        <f ca="1">IF($M$6="Q4",IF(ROWS($1:99)&gt;COUNT(Dong2),"",OFFSET('Q4-VND'!D$1,SMALL(Dong2,ROWS($1:99)),)),IF($M$6="Q11",IF(ROWS($1:99)&gt;COUNT(Dong),"",OFFSET('Q11-VND'!D$1,SMALL(Dong,ROWS($1:99)),)),IF(ROWS($1:99)&gt;COUNT(Dong),IF(ROWS($1:99)&gt;COUNT(Dong,Dong2),"",OFFSET('Q4-VND'!D$1,SMALL(Dong2,ROWS($1:99)-COUNT(Dong)),)),OFFSET('Q11-VND'!D$1,SMALL(Dong,ROWS($1:99)),))))</f>
        <v/>
      </c>
      <c r="D110" s="301" t="str">
        <f ca="1">IF($M$6="Q4",IF(ROWS($1:99)&gt;COUNT(Dong2),"",OFFSET('Q4-VND'!E$1,SMALL(Dong2,ROWS($1:99)),)),IF($M$6="Q11",IF(ROWS($1:99)&gt;COUNT(Dong),"",OFFSET('Q11-VND'!E$1,SMALL(Dong,ROWS($1:99)),)),IF(ROWS($1:99)&gt;COUNT(Dong),IF(ROWS($1:99)&gt;COUNT(Dong,Dong2),"","Q4 - "&amp;OFFSET('Q4-VND'!E$1,SMALL(Dong2,ROWS($1:99)-COUNT(Dong)),)),"Q11 - "&amp;OFFSET('Q11-VND'!E$1,SMALL(Dong,ROWS($1:99)),))))</f>
        <v/>
      </c>
      <c r="E110" s="302" t="str">
        <f ca="1">IF($M$6="Q4",IF(ROWS($1:99)&gt;COUNT(Dong2),"",OFFSET('Q4-VND'!G$1,SMALL(Dong2,ROWS($1:99)),)),IF($M$6="Q11",IF(ROWS($1:99)&gt;COUNT(Dong),"",OFFSET('Q11-VND'!G$1,SMALL(Dong,ROWS($1:99)),)),IF(ROWS($1:99)&gt;COUNT(Dong),IF(ROWS($1:99)&gt;COUNT(Dong,Dong2),"",OFFSET('Q4-VND'!G$1,SMALL(Dong2,ROWS($1:99)-COUNT(Dong)),)),OFFSET('Q11-VND'!G$1,SMALL(Dong,ROWS($1:99)),))))</f>
        <v/>
      </c>
      <c r="F110" s="303">
        <f ca="1">IF($M$6="Q4",IF(ROWS($1:99)&gt;COUNT(Dong2),0,OFFSET('Q4-VND'!H$1,SMALL(Dong2,ROWS($1:99)),)),IF($M$6="Q11",IF(ROWS($1:99)&gt;COUNT(Dong),0,OFFSET('Q11-VND'!H$1,SMALL(Dong,ROWS($1:99)),)),IF(ROWS($1:99)&gt;COUNT(Dong),IF(ROWS($1:99)&gt;COUNT(Dong,Dong2),0,OFFSET('Q4-VND'!H$1,SMALL(Dong2,ROWS($1:99)-COUNT(Dong)),)),OFFSET('Q11-VND'!H$1,SMALL(Dong,ROWS($1:99)),))))</f>
        <v>0</v>
      </c>
      <c r="G110" s="303">
        <f ca="1">IF($M$6="Q4",IF(ROWS($1:99)&gt;COUNT(Dong2),0,OFFSET('Q4-VND'!I$1,SMALL(Dong2,ROWS($1:99)),)),IF($M$6="Q11",IF(ROWS($1:99)&gt;COUNT(Dong),0,OFFSET('Q11-VND'!I$1,SMALL(Dong,ROWS($1:99)),)),IF(ROWS($1:99)&gt;COUNT(Dong),IF(ROWS($1:99)&gt;COUNT(Dong,Dong2),0,OFFSET('Q4-VND'!I$1,SMALL(Dong2,ROWS($1:99)-COUNT(Dong)),)),OFFSET('Q11-VND'!I$1,SMALL(Dong,ROWS($1:99)),))))</f>
        <v>0</v>
      </c>
      <c r="H110" s="304" t="str">
        <f t="shared" ca="1" si="4"/>
        <v/>
      </c>
      <c r="I110" s="304"/>
      <c r="J110" s="335"/>
    </row>
    <row r="111" spans="1:10" s="287" customFormat="1" ht="21" customHeight="1">
      <c r="A111" s="300" t="str">
        <f ca="1">IF($M$6="Q4",IF(ROWS($1:100)&gt;COUNT(Dong2),"",OFFSET('Q4-VND'!B$1,SMALL(Dong2,ROWS($1:100)),)),IF($M$6="Q11",IF(ROWS($1:100)&gt;COUNT(Dong),"",OFFSET('Q11-VND'!B$1,SMALL(Dong,ROWS($1:100)),)),IF(ROWS($1:100)&gt;COUNT(Dong),IF(ROWS($1:100)&gt;COUNT(Dong,Dong2),"",OFFSET('Q4-VND'!B$1,SMALL(Dong2,ROWS($1:100)-COUNT(Dong)),)),OFFSET('Q11-VND'!B$1,SMALL(Dong,ROWS($1:100)),))))</f>
        <v/>
      </c>
      <c r="B111" s="300" t="str">
        <f ca="1">IF($M$6="Q4",IF(ROWS($1:100)&gt;COUNT(Dong2),"",OFFSET('Q4-VND'!C$1,SMALL(Dong2,ROWS($1:100)),)),IF($M$6="Q11",IF(ROWS($1:100)&gt;COUNT(Dong),"",OFFSET('Q11-VND'!C$1,SMALL(Dong,ROWS($1:100)),)),IF(ROWS($1:100)&gt;COUNT(Dong),IF(ROWS($1:100)&gt;COUNT(Dong,Dong2),"",OFFSET('Q4-VND'!C$1,SMALL(Dong2,ROWS($1:100)-COUNT(Dong)),)),OFFSET('Q11-VND'!C$1,SMALL(Dong,ROWS($1:100)),))))</f>
        <v/>
      </c>
      <c r="C111" s="300" t="str">
        <f ca="1">IF($M$6="Q4",IF(ROWS($1:100)&gt;COUNT(Dong2),"",OFFSET('Q4-VND'!D$1,SMALL(Dong2,ROWS($1:100)),)),IF($M$6="Q11",IF(ROWS($1:100)&gt;COUNT(Dong),"",OFFSET('Q11-VND'!D$1,SMALL(Dong,ROWS($1:100)),)),IF(ROWS($1:100)&gt;COUNT(Dong),IF(ROWS($1:100)&gt;COUNT(Dong,Dong2),"",OFFSET('Q4-VND'!D$1,SMALL(Dong2,ROWS($1:100)-COUNT(Dong)),)),OFFSET('Q11-VND'!D$1,SMALL(Dong,ROWS($1:100)),))))</f>
        <v/>
      </c>
      <c r="D111" s="301" t="str">
        <f ca="1">IF($M$6="Q4",IF(ROWS($1:100)&gt;COUNT(Dong2),"",OFFSET('Q4-VND'!E$1,SMALL(Dong2,ROWS($1:100)),)),IF($M$6="Q11",IF(ROWS($1:100)&gt;COUNT(Dong),"",OFFSET('Q11-VND'!E$1,SMALL(Dong,ROWS($1:100)),)),IF(ROWS($1:100)&gt;COUNT(Dong),IF(ROWS($1:100)&gt;COUNT(Dong,Dong2),"","Q4 - "&amp;OFFSET('Q4-VND'!E$1,SMALL(Dong2,ROWS($1:100)-COUNT(Dong)),)),"Q11 - "&amp;OFFSET('Q11-VND'!E$1,SMALL(Dong,ROWS($1:100)),))))</f>
        <v/>
      </c>
      <c r="E111" s="302" t="str">
        <f ca="1">IF($M$6="Q4",IF(ROWS($1:100)&gt;COUNT(Dong2),"",OFFSET('Q4-VND'!G$1,SMALL(Dong2,ROWS($1:100)),)),IF($M$6="Q11",IF(ROWS($1:100)&gt;COUNT(Dong),"",OFFSET('Q11-VND'!G$1,SMALL(Dong,ROWS($1:100)),)),IF(ROWS($1:100)&gt;COUNT(Dong),IF(ROWS($1:100)&gt;COUNT(Dong,Dong2),"",OFFSET('Q4-VND'!G$1,SMALL(Dong2,ROWS($1:100)-COUNT(Dong)),)),OFFSET('Q11-VND'!G$1,SMALL(Dong,ROWS($1:100)),))))</f>
        <v/>
      </c>
      <c r="F111" s="303">
        <f ca="1">IF($M$6="Q4",IF(ROWS($1:100)&gt;COUNT(Dong2),0,OFFSET('Q4-VND'!H$1,SMALL(Dong2,ROWS($1:100)),)),IF($M$6="Q11",IF(ROWS($1:100)&gt;COUNT(Dong),0,OFFSET('Q11-VND'!H$1,SMALL(Dong,ROWS($1:100)),)),IF(ROWS($1:100)&gt;COUNT(Dong),IF(ROWS($1:100)&gt;COUNT(Dong,Dong2),0,OFFSET('Q4-VND'!H$1,SMALL(Dong2,ROWS($1:100)-COUNT(Dong)),)),OFFSET('Q11-VND'!H$1,SMALL(Dong,ROWS($1:100)),))))</f>
        <v>0</v>
      </c>
      <c r="G111" s="303">
        <f ca="1">IF($M$6="Q4",IF(ROWS($1:100)&gt;COUNT(Dong2),0,OFFSET('Q4-VND'!I$1,SMALL(Dong2,ROWS($1:100)),)),IF($M$6="Q11",IF(ROWS($1:100)&gt;COUNT(Dong),0,OFFSET('Q11-VND'!I$1,SMALL(Dong,ROWS($1:100)),)),IF(ROWS($1:100)&gt;COUNT(Dong),IF(ROWS($1:100)&gt;COUNT(Dong,Dong2),0,OFFSET('Q4-VND'!I$1,SMALL(Dong2,ROWS($1:100)-COUNT(Dong)),)),OFFSET('Q11-VND'!I$1,SMALL(Dong,ROWS($1:100)),))))</f>
        <v>0</v>
      </c>
      <c r="H111" s="304" t="str">
        <f t="shared" ca="1" si="4"/>
        <v/>
      </c>
      <c r="I111" s="304"/>
      <c r="J111" s="335"/>
    </row>
    <row r="112" spans="1:10" s="287" customFormat="1" ht="21" customHeight="1">
      <c r="A112" s="300" t="str">
        <f ca="1">IF($M$6="Q4",IF(ROWS($1:101)&gt;COUNT(Dong2),"",OFFSET('Q4-VND'!B$1,SMALL(Dong2,ROWS($1:101)),)),IF($M$6="Q11",IF(ROWS($1:101)&gt;COUNT(Dong),"",OFFSET('Q11-VND'!B$1,SMALL(Dong,ROWS($1:101)),)),IF(ROWS($1:101)&gt;COUNT(Dong),IF(ROWS($1:101)&gt;COUNT(Dong,Dong2),"",OFFSET('Q4-VND'!B$1,SMALL(Dong2,ROWS($1:101)-COUNT(Dong)),)),OFFSET('Q11-VND'!B$1,SMALL(Dong,ROWS($1:101)),))))</f>
        <v/>
      </c>
      <c r="B112" s="300" t="str">
        <f ca="1">IF($M$6="Q4",IF(ROWS($1:101)&gt;COUNT(Dong2),"",OFFSET('Q4-VND'!C$1,SMALL(Dong2,ROWS($1:101)),)),IF($M$6="Q11",IF(ROWS($1:101)&gt;COUNT(Dong),"",OFFSET('Q11-VND'!C$1,SMALL(Dong,ROWS($1:101)),)),IF(ROWS($1:101)&gt;COUNT(Dong),IF(ROWS($1:101)&gt;COUNT(Dong,Dong2),"",OFFSET('Q4-VND'!C$1,SMALL(Dong2,ROWS($1:101)-COUNT(Dong)),)),OFFSET('Q11-VND'!C$1,SMALL(Dong,ROWS($1:101)),))))</f>
        <v/>
      </c>
      <c r="C112" s="300" t="str">
        <f ca="1">IF($M$6="Q4",IF(ROWS($1:101)&gt;COUNT(Dong2),"",OFFSET('Q4-VND'!D$1,SMALL(Dong2,ROWS($1:101)),)),IF($M$6="Q11",IF(ROWS($1:101)&gt;COUNT(Dong),"",OFFSET('Q11-VND'!D$1,SMALL(Dong,ROWS($1:101)),)),IF(ROWS($1:101)&gt;COUNT(Dong),IF(ROWS($1:101)&gt;COUNT(Dong,Dong2),"",OFFSET('Q4-VND'!D$1,SMALL(Dong2,ROWS($1:101)-COUNT(Dong)),)),OFFSET('Q11-VND'!D$1,SMALL(Dong,ROWS($1:101)),))))</f>
        <v/>
      </c>
      <c r="D112" s="301" t="str">
        <f ca="1">IF($M$6="Q4",IF(ROWS($1:101)&gt;COUNT(Dong2),"",OFFSET('Q4-VND'!E$1,SMALL(Dong2,ROWS($1:101)),)),IF($M$6="Q11",IF(ROWS($1:101)&gt;COUNT(Dong),"",OFFSET('Q11-VND'!E$1,SMALL(Dong,ROWS($1:101)),)),IF(ROWS($1:101)&gt;COUNT(Dong),IF(ROWS($1:101)&gt;COUNT(Dong,Dong2),"","Q4 - "&amp;OFFSET('Q4-VND'!E$1,SMALL(Dong2,ROWS($1:101)-COUNT(Dong)),)),"Q11 - "&amp;OFFSET('Q11-VND'!E$1,SMALL(Dong,ROWS($1:101)),))))</f>
        <v/>
      </c>
      <c r="E112" s="302" t="str">
        <f ca="1">IF($M$6="Q4",IF(ROWS($1:101)&gt;COUNT(Dong2),"",OFFSET('Q4-VND'!G$1,SMALL(Dong2,ROWS($1:101)),)),IF($M$6="Q11",IF(ROWS($1:101)&gt;COUNT(Dong),"",OFFSET('Q11-VND'!G$1,SMALL(Dong,ROWS($1:101)),)),IF(ROWS($1:101)&gt;COUNT(Dong),IF(ROWS($1:101)&gt;COUNT(Dong,Dong2),"",OFFSET('Q4-VND'!G$1,SMALL(Dong2,ROWS($1:101)-COUNT(Dong)),)),OFFSET('Q11-VND'!G$1,SMALL(Dong,ROWS($1:101)),))))</f>
        <v/>
      </c>
      <c r="F112" s="303">
        <f ca="1">IF($M$6="Q4",IF(ROWS($1:101)&gt;COUNT(Dong2),0,OFFSET('Q4-VND'!H$1,SMALL(Dong2,ROWS($1:101)),)),IF($M$6="Q11",IF(ROWS($1:101)&gt;COUNT(Dong),0,OFFSET('Q11-VND'!H$1,SMALL(Dong,ROWS($1:101)),)),IF(ROWS($1:101)&gt;COUNT(Dong),IF(ROWS($1:101)&gt;COUNT(Dong,Dong2),0,OFFSET('Q4-VND'!H$1,SMALL(Dong2,ROWS($1:101)-COUNT(Dong)),)),OFFSET('Q11-VND'!H$1,SMALL(Dong,ROWS($1:101)),))))</f>
        <v>0</v>
      </c>
      <c r="G112" s="303">
        <f ca="1">IF($M$6="Q4",IF(ROWS($1:101)&gt;COUNT(Dong2),0,OFFSET('Q4-VND'!I$1,SMALL(Dong2,ROWS($1:101)),)),IF($M$6="Q11",IF(ROWS($1:101)&gt;COUNT(Dong),0,OFFSET('Q11-VND'!I$1,SMALL(Dong,ROWS($1:101)),)),IF(ROWS($1:101)&gt;COUNT(Dong),IF(ROWS($1:101)&gt;COUNT(Dong,Dong2),0,OFFSET('Q4-VND'!I$1,SMALL(Dong2,ROWS($1:101)-COUNT(Dong)),)),OFFSET('Q11-VND'!I$1,SMALL(Dong,ROWS($1:101)),))))</f>
        <v>0</v>
      </c>
      <c r="H112" s="304" t="str">
        <f t="shared" ca="1" si="4"/>
        <v/>
      </c>
      <c r="I112" s="304"/>
      <c r="J112" s="335"/>
    </row>
    <row r="113" spans="1:15" s="287" customFormat="1" ht="21" customHeight="1">
      <c r="A113" s="300" t="str">
        <f ca="1">IF($M$6="Q4",IF(ROWS($1:102)&gt;COUNT(Dong2),"",OFFSET('Q4-VND'!B$1,SMALL(Dong2,ROWS($1:102)),)),IF($M$6="Q11",IF(ROWS($1:102)&gt;COUNT(Dong),"",OFFSET('Q11-VND'!B$1,SMALL(Dong,ROWS($1:102)),)),IF(ROWS($1:102)&gt;COUNT(Dong),IF(ROWS($1:102)&gt;COUNT(Dong,Dong2),"",OFFSET('Q4-VND'!B$1,SMALL(Dong2,ROWS($1:102)-COUNT(Dong)),)),OFFSET('Q11-VND'!B$1,SMALL(Dong,ROWS($1:102)),))))</f>
        <v/>
      </c>
      <c r="B113" s="300" t="str">
        <f ca="1">IF($M$6="Q4",IF(ROWS($1:102)&gt;COUNT(Dong2),"",OFFSET('Q4-VND'!C$1,SMALL(Dong2,ROWS($1:102)),)),IF($M$6="Q11",IF(ROWS($1:102)&gt;COUNT(Dong),"",OFFSET('Q11-VND'!C$1,SMALL(Dong,ROWS($1:102)),)),IF(ROWS($1:102)&gt;COUNT(Dong),IF(ROWS($1:102)&gt;COUNT(Dong,Dong2),"",OFFSET('Q4-VND'!C$1,SMALL(Dong2,ROWS($1:102)-COUNT(Dong)),)),OFFSET('Q11-VND'!C$1,SMALL(Dong,ROWS($1:102)),))))</f>
        <v/>
      </c>
      <c r="C113" s="300" t="str">
        <f ca="1">IF($M$6="Q4",IF(ROWS($1:102)&gt;COUNT(Dong2),"",OFFSET('Q4-VND'!D$1,SMALL(Dong2,ROWS($1:102)),)),IF($M$6="Q11",IF(ROWS($1:102)&gt;COUNT(Dong),"",OFFSET('Q11-VND'!D$1,SMALL(Dong,ROWS($1:102)),)),IF(ROWS($1:102)&gt;COUNT(Dong),IF(ROWS($1:102)&gt;COUNT(Dong,Dong2),"",OFFSET('Q4-VND'!D$1,SMALL(Dong2,ROWS($1:102)-COUNT(Dong)),)),OFFSET('Q11-VND'!D$1,SMALL(Dong,ROWS($1:102)),))))</f>
        <v/>
      </c>
      <c r="D113" s="301" t="str">
        <f ca="1">IF($M$6="Q4",IF(ROWS($1:102)&gt;COUNT(Dong2),"",OFFSET('Q4-VND'!E$1,SMALL(Dong2,ROWS($1:102)),)),IF($M$6="Q11",IF(ROWS($1:102)&gt;COUNT(Dong),"",OFFSET('Q11-VND'!E$1,SMALL(Dong,ROWS($1:102)),)),IF(ROWS($1:102)&gt;COUNT(Dong),IF(ROWS($1:102)&gt;COUNT(Dong,Dong2),"","Q4 - "&amp;OFFSET('Q4-VND'!E$1,SMALL(Dong2,ROWS($1:102)-COUNT(Dong)),)),"Q11 - "&amp;OFFSET('Q11-VND'!E$1,SMALL(Dong,ROWS($1:102)),))))</f>
        <v/>
      </c>
      <c r="E113" s="302" t="str">
        <f ca="1">IF($M$6="Q4",IF(ROWS($1:102)&gt;COUNT(Dong2),"",OFFSET('Q4-VND'!G$1,SMALL(Dong2,ROWS($1:102)),)),IF($M$6="Q11",IF(ROWS($1:102)&gt;COUNT(Dong),"",OFFSET('Q11-VND'!G$1,SMALL(Dong,ROWS($1:102)),)),IF(ROWS($1:102)&gt;COUNT(Dong),IF(ROWS($1:102)&gt;COUNT(Dong,Dong2),"",OFFSET('Q4-VND'!G$1,SMALL(Dong2,ROWS($1:102)-COUNT(Dong)),)),OFFSET('Q11-VND'!G$1,SMALL(Dong,ROWS($1:102)),))))</f>
        <v/>
      </c>
      <c r="F113" s="303">
        <f ca="1">IF($M$6="Q4",IF(ROWS($1:102)&gt;COUNT(Dong2),0,OFFSET('Q4-VND'!H$1,SMALL(Dong2,ROWS($1:102)),)),IF($M$6="Q11",IF(ROWS($1:102)&gt;COUNT(Dong),0,OFFSET('Q11-VND'!H$1,SMALL(Dong,ROWS($1:102)),)),IF(ROWS($1:102)&gt;COUNT(Dong),IF(ROWS($1:102)&gt;COUNT(Dong,Dong2),0,OFFSET('Q4-VND'!H$1,SMALL(Dong2,ROWS($1:102)-COUNT(Dong)),)),OFFSET('Q11-VND'!H$1,SMALL(Dong,ROWS($1:102)),))))</f>
        <v>0</v>
      </c>
      <c r="G113" s="303">
        <f ca="1">IF($M$6="Q4",IF(ROWS($1:102)&gt;COUNT(Dong2),0,OFFSET('Q4-VND'!I$1,SMALL(Dong2,ROWS($1:102)),)),IF($M$6="Q11",IF(ROWS($1:102)&gt;COUNT(Dong),0,OFFSET('Q11-VND'!I$1,SMALL(Dong,ROWS($1:102)),)),IF(ROWS($1:102)&gt;COUNT(Dong),IF(ROWS($1:102)&gt;COUNT(Dong,Dong2),0,OFFSET('Q4-VND'!I$1,SMALL(Dong2,ROWS($1:102)-COUNT(Dong)),)),OFFSET('Q11-VND'!I$1,SMALL(Dong,ROWS($1:102)),))))</f>
        <v>0</v>
      </c>
      <c r="H113" s="304" t="str">
        <f t="shared" ca="1" si="4"/>
        <v/>
      </c>
      <c r="I113" s="304"/>
      <c r="J113" s="335"/>
    </row>
    <row r="114" spans="1:15" s="287" customFormat="1" ht="21" customHeight="1">
      <c r="A114" s="300" t="str">
        <f ca="1">IF($M$6="Q4",IF(ROWS($1:103)&gt;COUNT(Dong2),"",OFFSET('Q4-VND'!B$1,SMALL(Dong2,ROWS($1:103)),)),IF($M$6="Q11",IF(ROWS($1:103)&gt;COUNT(Dong),"",OFFSET('Q11-VND'!B$1,SMALL(Dong,ROWS($1:103)),)),IF(ROWS($1:103)&gt;COUNT(Dong),IF(ROWS($1:103)&gt;COUNT(Dong,Dong2),"",OFFSET('Q4-VND'!B$1,SMALL(Dong2,ROWS($1:103)-COUNT(Dong)),)),OFFSET('Q11-VND'!B$1,SMALL(Dong,ROWS($1:103)),))))</f>
        <v/>
      </c>
      <c r="B114" s="300" t="str">
        <f ca="1">IF($M$6="Q4",IF(ROWS($1:103)&gt;COUNT(Dong2),"",OFFSET('Q4-VND'!C$1,SMALL(Dong2,ROWS($1:103)),)),IF($M$6="Q11",IF(ROWS($1:103)&gt;COUNT(Dong),"",OFFSET('Q11-VND'!C$1,SMALL(Dong,ROWS($1:103)),)),IF(ROWS($1:103)&gt;COUNT(Dong),IF(ROWS($1:103)&gt;COUNT(Dong,Dong2),"",OFFSET('Q4-VND'!C$1,SMALL(Dong2,ROWS($1:103)-COUNT(Dong)),)),OFFSET('Q11-VND'!C$1,SMALL(Dong,ROWS($1:103)),))))</f>
        <v/>
      </c>
      <c r="C114" s="300" t="str">
        <f ca="1">IF($M$6="Q4",IF(ROWS($1:103)&gt;COUNT(Dong2),"",OFFSET('Q4-VND'!D$1,SMALL(Dong2,ROWS($1:103)),)),IF($M$6="Q11",IF(ROWS($1:103)&gt;COUNT(Dong),"",OFFSET('Q11-VND'!D$1,SMALL(Dong,ROWS($1:103)),)),IF(ROWS($1:103)&gt;COUNT(Dong),IF(ROWS($1:103)&gt;COUNT(Dong,Dong2),"",OFFSET('Q4-VND'!D$1,SMALL(Dong2,ROWS($1:103)-COUNT(Dong)),)),OFFSET('Q11-VND'!D$1,SMALL(Dong,ROWS($1:103)),))))</f>
        <v/>
      </c>
      <c r="D114" s="301" t="str">
        <f ca="1">IF($M$6="Q4",IF(ROWS($1:103)&gt;COUNT(Dong2),"",OFFSET('Q4-VND'!E$1,SMALL(Dong2,ROWS($1:103)),)),IF($M$6="Q11",IF(ROWS($1:103)&gt;COUNT(Dong),"",OFFSET('Q11-VND'!E$1,SMALL(Dong,ROWS($1:103)),)),IF(ROWS($1:103)&gt;COUNT(Dong),IF(ROWS($1:103)&gt;COUNT(Dong,Dong2),"","Q4 - "&amp;OFFSET('Q4-VND'!E$1,SMALL(Dong2,ROWS($1:103)-COUNT(Dong)),)),"Q11 - "&amp;OFFSET('Q11-VND'!E$1,SMALL(Dong,ROWS($1:103)),))))</f>
        <v/>
      </c>
      <c r="E114" s="302" t="str">
        <f ca="1">IF($M$6="Q4",IF(ROWS($1:103)&gt;COUNT(Dong2),"",OFFSET('Q4-VND'!G$1,SMALL(Dong2,ROWS($1:103)),)),IF($M$6="Q11",IF(ROWS($1:103)&gt;COUNT(Dong),"",OFFSET('Q11-VND'!G$1,SMALL(Dong,ROWS($1:103)),)),IF(ROWS($1:103)&gt;COUNT(Dong),IF(ROWS($1:103)&gt;COUNT(Dong,Dong2),"",OFFSET('Q4-VND'!G$1,SMALL(Dong2,ROWS($1:103)-COUNT(Dong)),)),OFFSET('Q11-VND'!G$1,SMALL(Dong,ROWS($1:103)),))))</f>
        <v/>
      </c>
      <c r="F114" s="303">
        <f ca="1">IF($M$6="Q4",IF(ROWS($1:103)&gt;COUNT(Dong2),0,OFFSET('Q4-VND'!H$1,SMALL(Dong2,ROWS($1:103)),)),IF($M$6="Q11",IF(ROWS($1:103)&gt;COUNT(Dong),0,OFFSET('Q11-VND'!H$1,SMALL(Dong,ROWS($1:103)),)),IF(ROWS($1:103)&gt;COUNT(Dong),IF(ROWS($1:103)&gt;COUNT(Dong,Dong2),0,OFFSET('Q4-VND'!H$1,SMALL(Dong2,ROWS($1:103)-COUNT(Dong)),)),OFFSET('Q11-VND'!H$1,SMALL(Dong,ROWS($1:103)),))))</f>
        <v>0</v>
      </c>
      <c r="G114" s="303">
        <f ca="1">IF($M$6="Q4",IF(ROWS($1:103)&gt;COUNT(Dong2),0,OFFSET('Q4-VND'!I$1,SMALL(Dong2,ROWS($1:103)),)),IF($M$6="Q11",IF(ROWS($1:103)&gt;COUNT(Dong),0,OFFSET('Q11-VND'!I$1,SMALL(Dong,ROWS($1:103)),)),IF(ROWS($1:103)&gt;COUNT(Dong),IF(ROWS($1:103)&gt;COUNT(Dong,Dong2),0,OFFSET('Q4-VND'!I$1,SMALL(Dong2,ROWS($1:103)-COUNT(Dong)),)),OFFSET('Q11-VND'!I$1,SMALL(Dong,ROWS($1:103)),))))</f>
        <v>0</v>
      </c>
      <c r="H114" s="304" t="str">
        <f t="shared" ca="1" si="4"/>
        <v/>
      </c>
      <c r="I114" s="304"/>
      <c r="J114" s="335"/>
    </row>
    <row r="115" spans="1:15" s="287" customFormat="1" ht="21" customHeight="1">
      <c r="A115" s="300" t="str">
        <f ca="1">IF($M$6="Q4",IF(ROWS($1:104)&gt;COUNT(Dong2),"",OFFSET('Q4-VND'!B$1,SMALL(Dong2,ROWS($1:104)),)),IF($M$6="Q11",IF(ROWS($1:104)&gt;COUNT(Dong),"",OFFSET('Q11-VND'!B$1,SMALL(Dong,ROWS($1:104)),)),IF(ROWS($1:104)&gt;COUNT(Dong),IF(ROWS($1:104)&gt;COUNT(Dong,Dong2),"",OFFSET('Q4-VND'!B$1,SMALL(Dong2,ROWS($1:104)-COUNT(Dong)),)),OFFSET('Q11-VND'!B$1,SMALL(Dong,ROWS($1:104)),))))</f>
        <v/>
      </c>
      <c r="B115" s="300" t="str">
        <f ca="1">IF($M$6="Q4",IF(ROWS($1:104)&gt;COUNT(Dong2),"",OFFSET('Q4-VND'!C$1,SMALL(Dong2,ROWS($1:104)),)),IF($M$6="Q11",IF(ROWS($1:104)&gt;COUNT(Dong),"",OFFSET('Q11-VND'!C$1,SMALL(Dong,ROWS($1:104)),)),IF(ROWS($1:104)&gt;COUNT(Dong),IF(ROWS($1:104)&gt;COUNT(Dong,Dong2),"",OFFSET('Q4-VND'!C$1,SMALL(Dong2,ROWS($1:104)-COUNT(Dong)),)),OFFSET('Q11-VND'!C$1,SMALL(Dong,ROWS($1:104)),))))</f>
        <v/>
      </c>
      <c r="C115" s="300" t="str">
        <f ca="1">IF($M$6="Q4",IF(ROWS($1:104)&gt;COUNT(Dong2),"",OFFSET('Q4-VND'!D$1,SMALL(Dong2,ROWS($1:104)),)),IF($M$6="Q11",IF(ROWS($1:104)&gt;COUNT(Dong),"",OFFSET('Q11-VND'!D$1,SMALL(Dong,ROWS($1:104)),)),IF(ROWS($1:104)&gt;COUNT(Dong),IF(ROWS($1:104)&gt;COUNT(Dong,Dong2),"",OFFSET('Q4-VND'!D$1,SMALL(Dong2,ROWS($1:104)-COUNT(Dong)),)),OFFSET('Q11-VND'!D$1,SMALL(Dong,ROWS($1:104)),))))</f>
        <v/>
      </c>
      <c r="D115" s="301" t="str">
        <f ca="1">IF($M$6="Q4",IF(ROWS($1:104)&gt;COUNT(Dong2),"",OFFSET('Q4-VND'!E$1,SMALL(Dong2,ROWS($1:104)),)),IF($M$6="Q11",IF(ROWS($1:104)&gt;COUNT(Dong),"",OFFSET('Q11-VND'!E$1,SMALL(Dong,ROWS($1:104)),)),IF(ROWS($1:104)&gt;COUNT(Dong),IF(ROWS($1:104)&gt;COUNT(Dong,Dong2),"","Q4 - "&amp;OFFSET('Q4-VND'!E$1,SMALL(Dong2,ROWS($1:104)-COUNT(Dong)),)),"Q11 - "&amp;OFFSET('Q11-VND'!E$1,SMALL(Dong,ROWS($1:104)),))))</f>
        <v/>
      </c>
      <c r="E115" s="302" t="str">
        <f ca="1">IF($M$6="Q4",IF(ROWS($1:104)&gt;COUNT(Dong2),"",OFFSET('Q4-VND'!G$1,SMALL(Dong2,ROWS($1:104)),)),IF($M$6="Q11",IF(ROWS($1:104)&gt;COUNT(Dong),"",OFFSET('Q11-VND'!G$1,SMALL(Dong,ROWS($1:104)),)),IF(ROWS($1:104)&gt;COUNT(Dong),IF(ROWS($1:104)&gt;COUNT(Dong,Dong2),"",OFFSET('Q4-VND'!G$1,SMALL(Dong2,ROWS($1:104)-COUNT(Dong)),)),OFFSET('Q11-VND'!G$1,SMALL(Dong,ROWS($1:104)),))))</f>
        <v/>
      </c>
      <c r="F115" s="303">
        <f ca="1">IF($M$6="Q4",IF(ROWS($1:104)&gt;COUNT(Dong2),0,OFFSET('Q4-VND'!H$1,SMALL(Dong2,ROWS($1:104)),)),IF($M$6="Q11",IF(ROWS($1:104)&gt;COUNT(Dong),0,OFFSET('Q11-VND'!H$1,SMALL(Dong,ROWS($1:104)),)),IF(ROWS($1:104)&gt;COUNT(Dong),IF(ROWS($1:104)&gt;COUNT(Dong,Dong2),0,OFFSET('Q4-VND'!H$1,SMALL(Dong2,ROWS($1:104)-COUNT(Dong)),)),OFFSET('Q11-VND'!H$1,SMALL(Dong,ROWS($1:104)),))))</f>
        <v>0</v>
      </c>
      <c r="G115" s="303">
        <f ca="1">IF($M$6="Q4",IF(ROWS($1:104)&gt;COUNT(Dong2),0,OFFSET('Q4-VND'!I$1,SMALL(Dong2,ROWS($1:104)),)),IF($M$6="Q11",IF(ROWS($1:104)&gt;COUNT(Dong),0,OFFSET('Q11-VND'!I$1,SMALL(Dong,ROWS($1:104)),)),IF(ROWS($1:104)&gt;COUNT(Dong),IF(ROWS($1:104)&gt;COUNT(Dong,Dong2),0,OFFSET('Q4-VND'!I$1,SMALL(Dong2,ROWS($1:104)-COUNT(Dong)),)),OFFSET('Q11-VND'!I$1,SMALL(Dong,ROWS($1:104)),))))</f>
        <v>0</v>
      </c>
      <c r="H115" s="304" t="str">
        <f t="shared" ca="1" si="4"/>
        <v/>
      </c>
      <c r="I115" s="304"/>
      <c r="J115" s="335"/>
    </row>
    <row r="116" spans="1:15" s="287" customFormat="1" ht="21" customHeight="1">
      <c r="A116" s="300" t="str">
        <f ca="1">IF($M$6="Q4",IF(ROWS($1:105)&gt;COUNT(Dong2),"",OFFSET('Q4-VND'!B$1,SMALL(Dong2,ROWS($1:105)),)),IF($M$6="Q11",IF(ROWS($1:105)&gt;COUNT(Dong),"",OFFSET('Q11-VND'!B$1,SMALL(Dong,ROWS($1:105)),)),IF(ROWS($1:105)&gt;COUNT(Dong),IF(ROWS($1:105)&gt;COUNT(Dong,Dong2),"",OFFSET('Q4-VND'!B$1,SMALL(Dong2,ROWS($1:105)-COUNT(Dong)),)),OFFSET('Q11-VND'!B$1,SMALL(Dong,ROWS($1:105)),))))</f>
        <v/>
      </c>
      <c r="B116" s="300" t="str">
        <f ca="1">IF($M$6="Q4",IF(ROWS($1:105)&gt;COUNT(Dong2),"",OFFSET('Q4-VND'!C$1,SMALL(Dong2,ROWS($1:105)),)),IF($M$6="Q11",IF(ROWS($1:105)&gt;COUNT(Dong),"",OFFSET('Q11-VND'!C$1,SMALL(Dong,ROWS($1:105)),)),IF(ROWS($1:105)&gt;COUNT(Dong),IF(ROWS($1:105)&gt;COUNT(Dong,Dong2),"",OFFSET('Q4-VND'!C$1,SMALL(Dong2,ROWS($1:105)-COUNT(Dong)),)),OFFSET('Q11-VND'!C$1,SMALL(Dong,ROWS($1:105)),))))</f>
        <v/>
      </c>
      <c r="C116" s="300" t="str">
        <f ca="1">IF($M$6="Q4",IF(ROWS($1:105)&gt;COUNT(Dong2),"",OFFSET('Q4-VND'!D$1,SMALL(Dong2,ROWS($1:105)),)),IF($M$6="Q11",IF(ROWS($1:105)&gt;COUNT(Dong),"",OFFSET('Q11-VND'!D$1,SMALL(Dong,ROWS($1:105)),)),IF(ROWS($1:105)&gt;COUNT(Dong),IF(ROWS($1:105)&gt;COUNT(Dong,Dong2),"",OFFSET('Q4-VND'!D$1,SMALL(Dong2,ROWS($1:105)-COUNT(Dong)),)),OFFSET('Q11-VND'!D$1,SMALL(Dong,ROWS($1:105)),))))</f>
        <v/>
      </c>
      <c r="D116" s="301" t="str">
        <f ca="1">IF($M$6="Q4",IF(ROWS($1:105)&gt;COUNT(Dong2),"",OFFSET('Q4-VND'!E$1,SMALL(Dong2,ROWS($1:105)),)),IF($M$6="Q11",IF(ROWS($1:105)&gt;COUNT(Dong),"",OFFSET('Q11-VND'!E$1,SMALL(Dong,ROWS($1:105)),)),IF(ROWS($1:105)&gt;COUNT(Dong),IF(ROWS($1:105)&gt;COUNT(Dong,Dong2),"","Q4 - "&amp;OFFSET('Q4-VND'!E$1,SMALL(Dong2,ROWS($1:105)-COUNT(Dong)),)),"Q11 - "&amp;OFFSET('Q11-VND'!E$1,SMALL(Dong,ROWS($1:105)),))))</f>
        <v/>
      </c>
      <c r="E116" s="302" t="str">
        <f ca="1">IF($M$6="Q4",IF(ROWS($1:105)&gt;COUNT(Dong2),"",OFFSET('Q4-VND'!G$1,SMALL(Dong2,ROWS($1:105)),)),IF($M$6="Q11",IF(ROWS($1:105)&gt;COUNT(Dong),"",OFFSET('Q11-VND'!G$1,SMALL(Dong,ROWS($1:105)),)),IF(ROWS($1:105)&gt;COUNT(Dong),IF(ROWS($1:105)&gt;COUNT(Dong,Dong2),"",OFFSET('Q4-VND'!G$1,SMALL(Dong2,ROWS($1:105)-COUNT(Dong)),)),OFFSET('Q11-VND'!G$1,SMALL(Dong,ROWS($1:105)),))))</f>
        <v/>
      </c>
      <c r="F116" s="303">
        <f ca="1">IF($M$6="Q4",IF(ROWS($1:105)&gt;COUNT(Dong2),0,OFFSET('Q4-VND'!H$1,SMALL(Dong2,ROWS($1:105)),)),IF($M$6="Q11",IF(ROWS($1:105)&gt;COUNT(Dong),0,OFFSET('Q11-VND'!H$1,SMALL(Dong,ROWS($1:105)),)),IF(ROWS($1:105)&gt;COUNT(Dong),IF(ROWS($1:105)&gt;COUNT(Dong,Dong2),0,OFFSET('Q4-VND'!H$1,SMALL(Dong2,ROWS($1:105)-COUNT(Dong)),)),OFFSET('Q11-VND'!H$1,SMALL(Dong,ROWS($1:105)),))))</f>
        <v>0</v>
      </c>
      <c r="G116" s="303">
        <f ca="1">IF($M$6="Q4",IF(ROWS($1:105)&gt;COUNT(Dong2),0,OFFSET('Q4-VND'!I$1,SMALL(Dong2,ROWS($1:105)),)),IF($M$6="Q11",IF(ROWS($1:105)&gt;COUNT(Dong),0,OFFSET('Q11-VND'!I$1,SMALL(Dong,ROWS($1:105)),)),IF(ROWS($1:105)&gt;COUNT(Dong),IF(ROWS($1:105)&gt;COUNT(Dong,Dong2),0,OFFSET('Q4-VND'!I$1,SMALL(Dong2,ROWS($1:105)-COUNT(Dong)),)),OFFSET('Q11-VND'!I$1,SMALL(Dong,ROWS($1:105)),))))</f>
        <v>0</v>
      </c>
      <c r="H116" s="304" t="str">
        <f t="shared" ca="1" si="4"/>
        <v/>
      </c>
      <c r="I116" s="304"/>
      <c r="J116" s="335"/>
    </row>
    <row r="117" spans="1:15" s="287" customFormat="1" ht="21" customHeight="1">
      <c r="A117" s="300" t="str">
        <f ca="1">IF($M$6="Q4",IF(ROWS($1:106)&gt;COUNT(Dong2),"",OFFSET('Q4-VND'!B$1,SMALL(Dong2,ROWS($1:106)),)),IF($M$6="Q11",IF(ROWS($1:106)&gt;COUNT(Dong),"",OFFSET('Q11-VND'!B$1,SMALL(Dong,ROWS($1:106)),)),IF(ROWS($1:106)&gt;COUNT(Dong),IF(ROWS($1:106)&gt;COUNT(Dong,Dong2),"",OFFSET('Q4-VND'!B$1,SMALL(Dong2,ROWS($1:106)-COUNT(Dong)),)),OFFSET('Q11-VND'!B$1,SMALL(Dong,ROWS($1:106)),))))</f>
        <v/>
      </c>
      <c r="B117" s="300" t="str">
        <f ca="1">IF($M$6="Q4",IF(ROWS($1:106)&gt;COUNT(Dong2),"",OFFSET('Q4-VND'!C$1,SMALL(Dong2,ROWS($1:106)),)),IF($M$6="Q11",IF(ROWS($1:106)&gt;COUNT(Dong),"",OFFSET('Q11-VND'!C$1,SMALL(Dong,ROWS($1:106)),)),IF(ROWS($1:106)&gt;COUNT(Dong),IF(ROWS($1:106)&gt;COUNT(Dong,Dong2),"",OFFSET('Q4-VND'!C$1,SMALL(Dong2,ROWS($1:106)-COUNT(Dong)),)),OFFSET('Q11-VND'!C$1,SMALL(Dong,ROWS($1:106)),))))</f>
        <v/>
      </c>
      <c r="C117" s="300" t="str">
        <f ca="1">IF($M$6="Q4",IF(ROWS($1:106)&gt;COUNT(Dong2),"",OFFSET('Q4-VND'!D$1,SMALL(Dong2,ROWS($1:106)),)),IF($M$6="Q11",IF(ROWS($1:106)&gt;COUNT(Dong),"",OFFSET('Q11-VND'!D$1,SMALL(Dong,ROWS($1:106)),)),IF(ROWS($1:106)&gt;COUNT(Dong),IF(ROWS($1:106)&gt;COUNT(Dong,Dong2),"",OFFSET('Q4-VND'!D$1,SMALL(Dong2,ROWS($1:106)-COUNT(Dong)),)),OFFSET('Q11-VND'!D$1,SMALL(Dong,ROWS($1:106)),))))</f>
        <v/>
      </c>
      <c r="D117" s="301" t="str">
        <f ca="1">IF($M$6="Q4",IF(ROWS($1:106)&gt;COUNT(Dong2),"",OFFSET('Q4-VND'!E$1,SMALL(Dong2,ROWS($1:106)),)),IF($M$6="Q11",IF(ROWS($1:106)&gt;COUNT(Dong),"",OFFSET('Q11-VND'!E$1,SMALL(Dong,ROWS($1:106)),)),IF(ROWS($1:106)&gt;COUNT(Dong),IF(ROWS($1:106)&gt;COUNT(Dong,Dong2),"","Q4 - "&amp;OFFSET('Q4-VND'!E$1,SMALL(Dong2,ROWS($1:106)-COUNT(Dong)),)),"Q11 - "&amp;OFFSET('Q11-VND'!E$1,SMALL(Dong,ROWS($1:106)),))))</f>
        <v/>
      </c>
      <c r="E117" s="302" t="str">
        <f ca="1">IF($M$6="Q4",IF(ROWS($1:106)&gt;COUNT(Dong2),"",OFFSET('Q4-VND'!G$1,SMALL(Dong2,ROWS($1:106)),)),IF($M$6="Q11",IF(ROWS($1:106)&gt;COUNT(Dong),"",OFFSET('Q11-VND'!G$1,SMALL(Dong,ROWS($1:106)),)),IF(ROWS($1:106)&gt;COUNT(Dong),IF(ROWS($1:106)&gt;COUNT(Dong,Dong2),"",OFFSET('Q4-VND'!G$1,SMALL(Dong2,ROWS($1:106)-COUNT(Dong)),)),OFFSET('Q11-VND'!G$1,SMALL(Dong,ROWS($1:106)),))))</f>
        <v/>
      </c>
      <c r="F117" s="303">
        <f ca="1">IF($M$6="Q4",IF(ROWS($1:106)&gt;COUNT(Dong2),0,OFFSET('Q4-VND'!H$1,SMALL(Dong2,ROWS($1:106)),)),IF($M$6="Q11",IF(ROWS($1:106)&gt;COUNT(Dong),0,OFFSET('Q11-VND'!H$1,SMALL(Dong,ROWS($1:106)),)),IF(ROWS($1:106)&gt;COUNT(Dong),IF(ROWS($1:106)&gt;COUNT(Dong,Dong2),0,OFFSET('Q4-VND'!H$1,SMALL(Dong2,ROWS($1:106)-COUNT(Dong)),)),OFFSET('Q11-VND'!H$1,SMALL(Dong,ROWS($1:106)),))))</f>
        <v>0</v>
      </c>
      <c r="G117" s="303">
        <f ca="1">IF($M$6="Q4",IF(ROWS($1:106)&gt;COUNT(Dong2),0,OFFSET('Q4-VND'!I$1,SMALL(Dong2,ROWS($1:106)),)),IF($M$6="Q11",IF(ROWS($1:106)&gt;COUNT(Dong),0,OFFSET('Q11-VND'!I$1,SMALL(Dong,ROWS($1:106)),)),IF(ROWS($1:106)&gt;COUNT(Dong),IF(ROWS($1:106)&gt;COUNT(Dong,Dong2),0,OFFSET('Q4-VND'!I$1,SMALL(Dong2,ROWS($1:106)-COUNT(Dong)),)),OFFSET('Q11-VND'!I$1,SMALL(Dong,ROWS($1:106)),))))</f>
        <v>0</v>
      </c>
      <c r="H117" s="304" t="str">
        <f t="shared" ca="1" si="4"/>
        <v/>
      </c>
      <c r="I117" s="304"/>
      <c r="J117" s="335"/>
    </row>
    <row r="118" spans="1:15" s="287" customFormat="1" ht="21" customHeight="1">
      <c r="A118" s="300"/>
      <c r="B118" s="300"/>
      <c r="C118" s="300"/>
      <c r="D118" s="301"/>
      <c r="E118" s="302"/>
      <c r="F118" s="303"/>
      <c r="G118" s="303"/>
      <c r="H118" s="399"/>
      <c r="I118" s="304"/>
      <c r="J118" s="335"/>
    </row>
    <row r="119" spans="1:15" s="287" customFormat="1" ht="21" customHeight="1">
      <c r="A119" s="305"/>
      <c r="B119" s="306"/>
      <c r="C119" s="305"/>
      <c r="D119" s="299" t="s">
        <v>29</v>
      </c>
      <c r="E119" s="307"/>
      <c r="F119" s="308">
        <f ca="1">SUM(F12:F118)</f>
        <v>10071816252</v>
      </c>
      <c r="G119" s="308">
        <f ca="1">SUM(G12:G118)</f>
        <v>9953279489</v>
      </c>
      <c r="H119" s="308">
        <f ca="1">H11+F119-G119</f>
        <v>121165825</v>
      </c>
      <c r="I119" s="309"/>
      <c r="J119" s="336"/>
      <c r="O119" s="398"/>
    </row>
    <row r="120" spans="1:15" s="287" customFormat="1" ht="21" customHeight="1">
      <c r="A120" s="305"/>
      <c r="B120" s="306"/>
      <c r="C120" s="305"/>
      <c r="D120" s="299" t="s">
        <v>161</v>
      </c>
      <c r="E120" s="307"/>
      <c r="F120" s="299"/>
      <c r="G120" s="299"/>
      <c r="H120" s="308">
        <f ca="1">H119</f>
        <v>121165825</v>
      </c>
      <c r="I120" s="309"/>
      <c r="J120" s="336"/>
    </row>
    <row r="121" spans="1:15" s="275" customFormat="1" ht="22.5" customHeight="1">
      <c r="A121" s="310" t="s">
        <v>162</v>
      </c>
      <c r="B121" s="311"/>
      <c r="C121" s="271"/>
      <c r="D121" s="272"/>
      <c r="E121" s="273"/>
      <c r="F121" s="312"/>
      <c r="G121" s="312"/>
    </row>
    <row r="122" spans="1:15" s="275" customFormat="1" ht="15">
      <c r="A122" s="313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2 tháng 7 năm 2013</v>
      </c>
      <c r="B122" s="276"/>
      <c r="C122" s="271"/>
      <c r="D122" s="272"/>
      <c r="E122" s="273"/>
    </row>
    <row r="123" spans="1:15" s="275" customFormat="1" ht="15">
      <c r="A123" s="314"/>
      <c r="B123" s="270"/>
      <c r="C123" s="315"/>
      <c r="D123" s="272"/>
      <c r="E123" s="273"/>
      <c r="G123" s="463" t="str">
        <f>IF(OR($K$6=1,$K$6=4,$K$6=6,$K$6=9,$K$6=11),"Ngày  30  tháng  "&amp;$K$6&amp;"  năm 2015",IF(OR($K$6=3,$K$6=5,$K$6=7,$K$6=8,$K$6=10,$K$6=12),"Ngày  31  tháng  "&amp;$K$6&amp;"  năm 2015","Ngày  29  tháng  "&amp;$K$6&amp;"  năm 2015"))</f>
        <v>Ngày  31  tháng  7  năm 2015</v>
      </c>
      <c r="H123" s="463"/>
      <c r="I123" s="463"/>
      <c r="J123" s="331"/>
    </row>
    <row r="124" spans="1:15" s="275" customFormat="1" ht="17.25" customHeight="1">
      <c r="A124" s="454" t="s">
        <v>33</v>
      </c>
      <c r="B124" s="454"/>
      <c r="C124" s="316"/>
      <c r="D124" s="272"/>
      <c r="E124" s="317" t="s">
        <v>13</v>
      </c>
      <c r="F124" s="274"/>
      <c r="G124" s="270"/>
      <c r="H124" s="318" t="s">
        <v>14</v>
      </c>
      <c r="I124" s="318"/>
      <c r="J124" s="318"/>
    </row>
    <row r="125" spans="1:15" s="275" customFormat="1" ht="15">
      <c r="A125" s="448" t="s">
        <v>15</v>
      </c>
      <c r="B125" s="448"/>
      <c r="C125" s="319"/>
      <c r="D125" s="272"/>
      <c r="E125" s="320" t="s">
        <v>15</v>
      </c>
      <c r="F125" s="276"/>
      <c r="G125" s="448" t="s">
        <v>16</v>
      </c>
      <c r="H125" s="448"/>
      <c r="I125" s="448"/>
      <c r="J125" s="276"/>
    </row>
    <row r="136" spans="6:6">
      <c r="F136" s="325">
        <f>ROWS($1:41)</f>
        <v>41</v>
      </c>
    </row>
  </sheetData>
  <sheetProtection autoFilter="0"/>
  <autoFilter ref="A10:I100">
    <filterColumn colId="4"/>
    <filterColumn colId="6"/>
  </autoFilter>
  <mergeCells count="18">
    <mergeCell ref="A2:D3"/>
    <mergeCell ref="F1:I1"/>
    <mergeCell ref="F2:I2"/>
    <mergeCell ref="F3:I3"/>
    <mergeCell ref="G123:I123"/>
    <mergeCell ref="G125:I125"/>
    <mergeCell ref="A4:I4"/>
    <mergeCell ref="A5:I5"/>
    <mergeCell ref="A8:A9"/>
    <mergeCell ref="B8:C8"/>
    <mergeCell ref="A124:B124"/>
    <mergeCell ref="A125:B125"/>
    <mergeCell ref="F8:H8"/>
    <mergeCell ref="I8:I9"/>
    <mergeCell ref="E8:E9"/>
    <mergeCell ref="A6:D6"/>
    <mergeCell ref="E6:F6"/>
    <mergeCell ref="D8:D9"/>
  </mergeCells>
  <phoneticPr fontId="55" type="noConversion"/>
  <dataValidations count="2">
    <dataValidation type="list" allowBlank="1" showInputMessage="1" showErrorMessage="1" sqref="K6">
      <formula1>"1,2,3,4,5,6,7,8,9,10,11,12"</formula1>
    </dataValidation>
    <dataValidation type="list" allowBlank="1" showInputMessage="1" showErrorMessage="1" sqref="M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34" enableFormatConditionsCalculation="0">
    <tabColor indexed="47"/>
  </sheetPr>
  <dimension ref="A1:O97"/>
  <sheetViews>
    <sheetView topLeftCell="A4" zoomScale="90" workbookViewId="0">
      <pane ySplit="8" topLeftCell="A12" activePane="bottomLeft" state="frozen"/>
      <selection activeCell="A4" sqref="A4"/>
      <selection pane="bottomLeft" activeCell="D23" sqref="D23"/>
    </sheetView>
  </sheetViews>
  <sheetFormatPr defaultRowHeight="15.75"/>
  <cols>
    <col min="1" max="1" width="8.140625" style="321" customWidth="1"/>
    <col min="2" max="2" width="6" style="322" customWidth="1"/>
    <col min="3" max="3" width="8.5703125" style="321" customWidth="1"/>
    <col min="4" max="4" width="34.85546875" style="323" customWidth="1"/>
    <col min="5" max="5" width="6.42578125" style="324" customWidth="1"/>
    <col min="6" max="6" width="7.85546875" style="324" customWidth="1"/>
    <col min="7" max="7" width="14" style="324" customWidth="1"/>
    <col min="8" max="10" width="13.140625" style="325" customWidth="1"/>
    <col min="11" max="11" width="6.42578125" style="325" customWidth="1"/>
    <col min="12" max="12" width="2" style="325" customWidth="1"/>
    <col min="13" max="13" width="5.7109375" style="325" customWidth="1"/>
    <col min="14" max="14" width="1.7109375" style="325" customWidth="1"/>
    <col min="15" max="15" width="7.28515625" style="325" customWidth="1"/>
    <col min="16" max="16" width="3.140625" style="325" customWidth="1"/>
    <col min="17" max="16384" width="9.140625" style="325"/>
  </cols>
  <sheetData>
    <row r="1" spans="1:15" s="275" customFormat="1" ht="16.5" customHeight="1">
      <c r="A1" s="269" t="s">
        <v>127</v>
      </c>
      <c r="B1" s="270"/>
      <c r="C1" s="271"/>
      <c r="D1" s="272"/>
      <c r="E1" s="273"/>
      <c r="F1" s="273"/>
      <c r="G1" s="273"/>
      <c r="H1" s="462" t="s">
        <v>173</v>
      </c>
      <c r="I1" s="462"/>
      <c r="J1" s="462"/>
      <c r="K1" s="462"/>
      <c r="L1" s="274"/>
    </row>
    <row r="2" spans="1:15" s="275" customFormat="1" ht="16.5" customHeight="1">
      <c r="A2" s="461" t="s">
        <v>129</v>
      </c>
      <c r="B2" s="461"/>
      <c r="C2" s="461"/>
      <c r="D2" s="461"/>
      <c r="E2" s="273"/>
      <c r="F2" s="273"/>
      <c r="G2" s="273"/>
      <c r="H2" s="448" t="s">
        <v>174</v>
      </c>
      <c r="I2" s="448"/>
      <c r="J2" s="448"/>
      <c r="K2" s="448"/>
      <c r="L2" s="276"/>
    </row>
    <row r="3" spans="1:15" s="275" customFormat="1" ht="16.5" customHeight="1">
      <c r="A3" s="461"/>
      <c r="B3" s="461"/>
      <c r="C3" s="461"/>
      <c r="D3" s="461"/>
      <c r="E3" s="273"/>
      <c r="F3" s="273"/>
      <c r="G3" s="273"/>
      <c r="H3" s="448" t="s">
        <v>113</v>
      </c>
      <c r="I3" s="448"/>
      <c r="J3" s="448"/>
      <c r="K3" s="448"/>
      <c r="L3" s="276"/>
    </row>
    <row r="4" spans="1:15" s="275" customFormat="1" ht="19.5" customHeight="1">
      <c r="A4" s="449" t="s">
        <v>132</v>
      </c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297"/>
    </row>
    <row r="5" spans="1:15" s="275" customFormat="1" ht="15">
      <c r="A5" s="448" t="s">
        <v>133</v>
      </c>
      <c r="B5" s="448"/>
      <c r="C5" s="448"/>
      <c r="D5" s="448"/>
      <c r="E5" s="448"/>
      <c r="F5" s="448"/>
      <c r="G5" s="448"/>
      <c r="H5" s="448"/>
      <c r="I5" s="448"/>
      <c r="J5" s="448"/>
      <c r="K5" s="448"/>
      <c r="L5" s="276"/>
      <c r="M5" s="274" t="s">
        <v>114</v>
      </c>
    </row>
    <row r="6" spans="1:15" s="275" customFormat="1" ht="15">
      <c r="A6" s="460" t="s">
        <v>175</v>
      </c>
      <c r="B6" s="460"/>
      <c r="C6" s="460"/>
      <c r="D6" s="460"/>
      <c r="E6" s="448" t="str">
        <f>IF($O$6="Q11","1015 148 5100 9193",IF($O$6="Q4","1402 148 5100 9479",""))</f>
        <v/>
      </c>
      <c r="F6" s="448"/>
      <c r="G6" s="448"/>
      <c r="H6" s="448"/>
      <c r="I6" s="277" t="s">
        <v>176</v>
      </c>
      <c r="K6" s="337"/>
      <c r="L6" s="278"/>
      <c r="M6" s="279">
        <v>7</v>
      </c>
      <c r="N6" s="280"/>
      <c r="O6" s="281" t="s">
        <v>186</v>
      </c>
    </row>
    <row r="7" spans="1:15" s="275" customFormat="1" ht="5.25" customHeight="1">
      <c r="A7" s="282"/>
      <c r="B7" s="276"/>
      <c r="C7" s="282"/>
      <c r="D7" s="283"/>
      <c r="E7" s="284"/>
      <c r="F7" s="284"/>
      <c r="G7" s="284"/>
      <c r="H7" s="276"/>
      <c r="I7" s="276"/>
      <c r="J7" s="276"/>
      <c r="K7" s="276"/>
      <c r="L7" s="276"/>
    </row>
    <row r="8" spans="1:15" s="287" customFormat="1" ht="17.25" customHeight="1">
      <c r="A8" s="450" t="s">
        <v>135</v>
      </c>
      <c r="B8" s="452" t="s">
        <v>136</v>
      </c>
      <c r="C8" s="453"/>
      <c r="D8" s="456" t="s">
        <v>3</v>
      </c>
      <c r="E8" s="458" t="s">
        <v>22</v>
      </c>
      <c r="F8" s="464" t="s">
        <v>165</v>
      </c>
      <c r="G8" s="465" t="s">
        <v>177</v>
      </c>
      <c r="H8" s="455" t="s">
        <v>66</v>
      </c>
      <c r="I8" s="452"/>
      <c r="J8" s="453"/>
      <c r="K8" s="456" t="s">
        <v>4</v>
      </c>
      <c r="L8" s="332"/>
    </row>
    <row r="9" spans="1:15" s="287" customFormat="1" ht="21.75" customHeight="1">
      <c r="A9" s="451"/>
      <c r="B9" s="285" t="s">
        <v>137</v>
      </c>
      <c r="C9" s="288" t="s">
        <v>138</v>
      </c>
      <c r="D9" s="457"/>
      <c r="E9" s="459"/>
      <c r="F9" s="464"/>
      <c r="G9" s="466"/>
      <c r="H9" s="286" t="s">
        <v>139</v>
      </c>
      <c r="I9" s="286" t="s">
        <v>140</v>
      </c>
      <c r="J9" s="286" t="s">
        <v>141</v>
      </c>
      <c r="K9" s="457"/>
      <c r="L9" s="332"/>
    </row>
    <row r="10" spans="1:15" s="292" customFormat="1" ht="12">
      <c r="A10" s="289" t="s">
        <v>7</v>
      </c>
      <c r="B10" s="290" t="s">
        <v>8</v>
      </c>
      <c r="C10" s="289" t="s">
        <v>9</v>
      </c>
      <c r="D10" s="290" t="s">
        <v>10</v>
      </c>
      <c r="E10" s="291" t="s">
        <v>11</v>
      </c>
      <c r="F10" s="291"/>
      <c r="G10" s="291"/>
      <c r="H10" s="290">
        <v>1</v>
      </c>
      <c r="I10" s="290">
        <v>2</v>
      </c>
      <c r="J10" s="290">
        <v>3</v>
      </c>
      <c r="K10" s="290" t="s">
        <v>27</v>
      </c>
      <c r="L10" s="333"/>
    </row>
    <row r="11" spans="1:15" s="287" customFormat="1" ht="15" customHeight="1">
      <c r="A11" s="293"/>
      <c r="B11" s="294"/>
      <c r="C11" s="293"/>
      <c r="D11" s="295" t="s">
        <v>142</v>
      </c>
      <c r="E11" s="296"/>
      <c r="F11" s="296"/>
      <c r="G11" s="296"/>
      <c r="H11" s="298"/>
      <c r="I11" s="299"/>
      <c r="J11" s="326">
        <f ca="1">IF($O$6="Q11",funtion1,IF($O$6="Q4",funtion2,funtion1+funtion2))</f>
        <v>11.319999999986386</v>
      </c>
      <c r="K11" s="299"/>
      <c r="L11" s="334"/>
    </row>
    <row r="12" spans="1:15" s="287" customFormat="1" ht="17.25" customHeight="1">
      <c r="A12" s="300">
        <f ca="1">IF($O$6="Q4",IF(ROWS($1:1)&gt;COUNT(Dong1),"",OFFSET('Q4-USD'!B$1,SMALL(Dong1,ROWS($1:1)),)),IF($O$6="Q11",IF(ROWS($1:1)&gt;COUNT(Dong3),"",OFFSET('Q11-USD'!B$1,SMALL(Dong3,ROWS($1:1)),)),IF(ROWS($1:1)&gt;COUNT(Dong3),IF(ROWS($1:1)&gt;COUNT(Dong3,Dong1),"",OFFSET('Q4-USD'!B$1,SMALL(Dong1,ROWS($1:1)-COUNT(Dong3)),)),OFFSET('Q11-USD'!B$1,SMALL(Dong3,ROWS($1:1)),))))</f>
        <v>41457</v>
      </c>
      <c r="B12" s="300" t="str">
        <f ca="1">IF($O$6="Q4",IF(ROWS($1:1)&gt;COUNT(Dong1),"",OFFSET('Q4-USD'!C$1,SMALL(Dong1,ROWS($1:1)),)),IF($O$6="Q11",IF(ROWS($1:1)&gt;COUNT(Dong3),"",OFFSET('Q11-USD'!C$1,SMALL(Dong3,ROWS($1:1)),)),IF(ROWS($1:1)&gt;COUNT(Dong3),IF(ROWS($1:1)&gt;COUNT(Dong3,Dong1),"",OFFSET('Q4-USD'!C$1,SMALL(Dong1,ROWS($1:1)-COUNT(Dong3)),)),OFFSET('Q11-USD'!C$1,SMALL(Dong3,ROWS($1:1)),))))</f>
        <v>GBC</v>
      </c>
      <c r="C12" s="300">
        <f ca="1">IF($O$6="Q4",IF(ROWS($1:1)&gt;COUNT(Dong1),"",OFFSET('Q4-USD'!D$1,SMALL(Dong1,ROWS($1:1)),)),IF($O$6="Q11",IF(ROWS($1:1)&gt;COUNT(Dong3),"",OFFSET('Q11-USD'!D$1,SMALL(Dong3,ROWS($1:1)),)),IF(ROWS($1:1)&gt;COUNT(Dong3),IF(ROWS($1:1)&gt;COUNT(Dong3,Dong1),"",OFFSET('Q4-USD'!D$1,SMALL(Dong1,ROWS($1:1)-COUNT(Dong3)),)),OFFSET('Q11-USD'!D$1,SMALL(Dong3,ROWS($1:1)),))))</f>
        <v>41457</v>
      </c>
      <c r="D12" s="301" t="str">
        <f ca="1">IF($O$6="Q4",IF(ROWS($1:1)&gt;COUNT(Dong1),"",OFFSET('Q4-USD'!E$1,SMALL(Dong1,ROWS($1:1)),)),IF($O$6="Q11",IF(ROWS($1:1)&gt;COUNT(Dong3),"",OFFSET('Q11-USD'!E$1,SMALL(Dong3,ROWS($1:1)),)),IF(ROWS($1:1)&gt;COUNT(Dong3),IF(ROWS($1:1)&gt;COUNT(Dong3,Dong1),"","Q4 - "&amp;OFFSET('Q4-USD'!E$1,SMALL(Dong1,ROWS($1:1)-COUNT(Dong3)),)),"Q11 - "&amp;OFFSET('Q11-USD'!E$1,SMALL(Dong3,ROWS($1:1)),))))</f>
        <v>Q11 - Thu tiền L/C</v>
      </c>
      <c r="E12" s="302" t="str">
        <f ca="1">IF($O$6="Q4",IF(ROWS($1:1)&gt;COUNT(Dong1),"",OFFSET('Q4-USD'!G$1,SMALL(Dong1,ROWS($1:1)),)),IF($O$6="Q11",IF(ROWS($1:1)&gt;COUNT(Dong3),"",OFFSET('Q11-USD'!G$1,SMALL(Dong3,ROWS($1:1)),)),IF(ROWS($1:1)&gt;COUNT(Dong3),IF(ROWS($1:1)&gt;COUNT(Dong3,Dong1),"",OFFSET('Q4-USD'!G$1,SMALL(Dong1,ROWS($1:1)-COUNT(Dong3)),)),OFFSET('Q11-USD'!G$1,SMALL(Dong3,ROWS($1:1)),))))</f>
        <v>131</v>
      </c>
      <c r="F12" s="303">
        <f ca="1">IF($O$6="Q4",IF(ROWS($1:1)&gt;COUNT(Dong1),"",OFFSET('Q4-USD'!H$1,SMALL(Dong1,ROWS($1:1)),)),IF($O$6="Q11",IF(ROWS($1:1)&gt;COUNT(Dong3),"",OFFSET('Q11-USD'!H$1,SMALL(Dong3,ROWS($1:1)),)),IF(ROWS($1:1)&gt;COUNT(Dong3),IF(ROWS($1:1)&gt;COUNT(Dong3,Dong1),"",OFFSET('Q4-USD'!H$1,SMALL(Dong1,ROWS($1:1)-COUNT(Dong3)),)),OFFSET('Q11-USD'!H$1,SMALL(Dong3,ROWS($1:1)),))))</f>
        <v>21190</v>
      </c>
      <c r="G12" s="303">
        <f t="shared" ref="G12:G50" ca="1" si="0">IF(D12="","",ROUND(F12*(H12+I12),0))</f>
        <v>39907551</v>
      </c>
      <c r="H12" s="327">
        <f ca="1">IF($O$6="Q4",IF(ROWS($1:1)&gt;COUNT(Dong1),"",OFFSET('Q4-USD'!I$1,SMALL(Dong1,ROWS($1:1)),)),IF($O$6="Q11",IF(ROWS($1:1)&gt;COUNT(Dong3),"",OFFSET('Q11-USD'!I$1,SMALL(Dong3,ROWS($1:1)),)),IF(ROWS($1:1)&gt;COUNT(Dong3),IF(ROWS($1:1)&gt;COUNT(Dong3,Dong1),"",OFFSET('Q4-USD'!I$1,SMALL(Dong1,ROWS($1:1)-COUNT(Dong3)),)),OFFSET('Q11-USD'!I$1,SMALL(Dong3,ROWS($1:1)),))))</f>
        <v>1883.32</v>
      </c>
      <c r="I12" s="327">
        <f ca="1">IF($O$6="Q4",IF(ROWS($1:1)&gt;COUNT(Dong1),"",OFFSET('Q4-USD'!J$1,SMALL(Dong1,ROWS($1:1)),)),IF($O$6="Q11",IF(ROWS($1:1)&gt;COUNT(Dong3),"",OFFSET('Q11-USD'!J$1,SMALL(Dong3,ROWS($1:1)),)),IF(ROWS($1:1)&gt;COUNT(Dong3),IF(ROWS($1:1)&gt;COUNT(Dong3,Dong1),"",OFFSET('Q4-USD'!J$1,SMALL(Dong1,ROWS($1:1)-COUNT(Dong3)),)),OFFSET('Q11-USD'!J$1,SMALL(Dong3,ROWS($1:1)),))))</f>
        <v>0</v>
      </c>
      <c r="J12" s="328">
        <f t="shared" ref="J12:J50" ca="1" si="1">IF(A12&lt;&gt;"",ROUND(J11+H12-I12,2),"")</f>
        <v>1894.64</v>
      </c>
      <c r="K12" s="304"/>
      <c r="L12" s="335"/>
    </row>
    <row r="13" spans="1:15" s="287" customFormat="1" ht="17.25" customHeight="1">
      <c r="A13" s="300">
        <f ca="1">IF($O$6="Q4",IF(ROWS($1:2)&gt;COUNT(Dong1),"",OFFSET('Q4-USD'!B$1,SMALL(Dong1,ROWS($1:2)),)),IF($O$6="Q11",IF(ROWS($1:2)&gt;COUNT(Dong3),"",OFFSET('Q11-USD'!B$1,SMALL(Dong3,ROWS($1:2)),)),IF(ROWS($1:2)&gt;COUNT(Dong3),IF(ROWS($1:2)&gt;COUNT(Dong3,Dong1),"",OFFSET('Q4-USD'!B$1,SMALL(Dong1,ROWS($1:2)-COUNT(Dong3)),)),OFFSET('Q11-USD'!B$1,SMALL(Dong3,ROWS($1:2)),))))</f>
        <v>41461</v>
      </c>
      <c r="B13" s="300" t="str">
        <f ca="1">IF($O$6="Q4",IF(ROWS($1:2)&gt;COUNT(Dong1),"",OFFSET('Q4-USD'!C$1,SMALL(Dong1,ROWS($1:2)),)),IF($O$6="Q11",IF(ROWS($1:2)&gt;COUNT(Dong3),"",OFFSET('Q11-USD'!C$1,SMALL(Dong3,ROWS($1:2)),)),IF(ROWS($1:2)&gt;COUNT(Dong3),IF(ROWS($1:2)&gt;COUNT(Dong3,Dong1),"",OFFSET('Q4-USD'!C$1,SMALL(Dong1,ROWS($1:2)-COUNT(Dong3)),)),OFFSET('Q11-USD'!C$1,SMALL(Dong3,ROWS($1:2)),))))</f>
        <v>GBC</v>
      </c>
      <c r="C13" s="300">
        <f ca="1">IF($O$6="Q4",IF(ROWS($1:2)&gt;COUNT(Dong1),"",OFFSET('Q4-USD'!D$1,SMALL(Dong1,ROWS($1:2)),)),IF($O$6="Q11",IF(ROWS($1:2)&gt;COUNT(Dong3),"",OFFSET('Q11-USD'!D$1,SMALL(Dong3,ROWS($1:2)),)),IF(ROWS($1:2)&gt;COUNT(Dong3),IF(ROWS($1:2)&gt;COUNT(Dong3,Dong1),"",OFFSET('Q4-USD'!D$1,SMALL(Dong1,ROWS($1:2)-COUNT(Dong3)),)),OFFSET('Q11-USD'!D$1,SMALL(Dong3,ROWS($1:2)),))))</f>
        <v>41461</v>
      </c>
      <c r="D13" s="301" t="str">
        <f ca="1">IF($O$6="Q4",IF(ROWS($1:2)&gt;COUNT(Dong1),"",OFFSET('Q4-USD'!E$1,SMALL(Dong1,ROWS($1:2)),)),IF($O$6="Q11",IF(ROWS($1:2)&gt;COUNT(Dong3),"",OFFSET('Q11-USD'!E$1,SMALL(Dong3,ROWS($1:2)),)),IF(ROWS($1:2)&gt;COUNT(Dong3),IF(ROWS($1:2)&gt;COUNT(Dong3,Dong1),"","Q4 - "&amp;OFFSET('Q4-USD'!E$1,SMALL(Dong1,ROWS($1:2)-COUNT(Dong3)),)),"Q11 - "&amp;OFFSET('Q11-USD'!E$1,SMALL(Dong3,ROWS($1:2)),))))</f>
        <v>Q11 - Thu tiền L/C</v>
      </c>
      <c r="E13" s="302" t="str">
        <f ca="1">IF($O$6="Q4",IF(ROWS($1:2)&gt;COUNT(Dong1),"",OFFSET('Q4-USD'!G$1,SMALL(Dong1,ROWS($1:2)),)),IF($O$6="Q11",IF(ROWS($1:2)&gt;COUNT(Dong3),"",OFFSET('Q11-USD'!G$1,SMALL(Dong3,ROWS($1:2)),)),IF(ROWS($1:2)&gt;COUNT(Dong3),IF(ROWS($1:2)&gt;COUNT(Dong3,Dong1),"",OFFSET('Q4-USD'!G$1,SMALL(Dong1,ROWS($1:2)-COUNT(Dong3)),)),OFFSET('Q11-USD'!G$1,SMALL(Dong3,ROWS($1:2)),))))</f>
        <v>131</v>
      </c>
      <c r="F13" s="303">
        <f ca="1">IF($O$6="Q4",IF(ROWS($1:2)&gt;COUNT(Dong1),"",OFFSET('Q4-USD'!H$1,SMALL(Dong1,ROWS($1:2)),)),IF($O$6="Q11",IF(ROWS($1:2)&gt;COUNT(Dong3),"",OFFSET('Q11-USD'!H$1,SMALL(Dong3,ROWS($1:2)),)),IF(ROWS($1:2)&gt;COUNT(Dong3),IF(ROWS($1:2)&gt;COUNT(Dong3,Dong1),"",OFFSET('Q4-USD'!H$1,SMALL(Dong1,ROWS($1:2)-COUNT(Dong3)),)),OFFSET('Q11-USD'!H$1,SMALL(Dong3,ROWS($1:2)),))))</f>
        <v>21220</v>
      </c>
      <c r="G13" s="303">
        <f t="shared" ca="1" si="0"/>
        <v>12746217</v>
      </c>
      <c r="H13" s="327">
        <f ca="1">IF($O$6="Q4",IF(ROWS($1:2)&gt;COUNT(Dong1),"",OFFSET('Q4-USD'!I$1,SMALL(Dong1,ROWS($1:2)),)),IF($O$6="Q11",IF(ROWS($1:2)&gt;COUNT(Dong3),"",OFFSET('Q11-USD'!I$1,SMALL(Dong3,ROWS($1:2)),)),IF(ROWS($1:2)&gt;COUNT(Dong3),IF(ROWS($1:2)&gt;COUNT(Dong3,Dong1),"",OFFSET('Q4-USD'!I$1,SMALL(Dong1,ROWS($1:2)-COUNT(Dong3)),)),OFFSET('Q11-USD'!I$1,SMALL(Dong3,ROWS($1:2)),))))</f>
        <v>600.66999999999996</v>
      </c>
      <c r="I13" s="327">
        <f ca="1">IF($O$6="Q4",IF(ROWS($1:2)&gt;COUNT(Dong1),"",OFFSET('Q4-USD'!J$1,SMALL(Dong1,ROWS($1:2)),)),IF($O$6="Q11",IF(ROWS($1:2)&gt;COUNT(Dong3),"",OFFSET('Q11-USD'!J$1,SMALL(Dong3,ROWS($1:2)),)),IF(ROWS($1:2)&gt;COUNT(Dong3),IF(ROWS($1:2)&gt;COUNT(Dong3,Dong1),"",OFFSET('Q4-USD'!J$1,SMALL(Dong1,ROWS($1:2)-COUNT(Dong3)),)),OFFSET('Q11-USD'!J$1,SMALL(Dong3,ROWS($1:2)),))))</f>
        <v>0</v>
      </c>
      <c r="J13" s="328">
        <f t="shared" ca="1" si="1"/>
        <v>2495.31</v>
      </c>
      <c r="K13" s="304"/>
      <c r="L13" s="335"/>
    </row>
    <row r="14" spans="1:15" s="287" customFormat="1" ht="17.25" customHeight="1">
      <c r="A14" s="300">
        <f ca="1">IF($O$6="Q4",IF(ROWS($1:3)&gt;COUNT(Dong1),"",OFFSET('Q4-USD'!B$1,SMALL(Dong1,ROWS($1:3)),)),IF($O$6="Q11",IF(ROWS($1:3)&gt;COUNT(Dong3),"",OFFSET('Q11-USD'!B$1,SMALL(Dong3,ROWS($1:3)),)),IF(ROWS($1:3)&gt;COUNT(Dong3),IF(ROWS($1:3)&gt;COUNT(Dong3,Dong1),"",OFFSET('Q4-USD'!B$1,SMALL(Dong1,ROWS($1:3)-COUNT(Dong3)),)),OFFSET('Q11-USD'!B$1,SMALL(Dong3,ROWS($1:3)),))))</f>
        <v>41461</v>
      </c>
      <c r="B14" s="300" t="str">
        <f ca="1">IF($O$6="Q4",IF(ROWS($1:3)&gt;COUNT(Dong1),"",OFFSET('Q4-USD'!C$1,SMALL(Dong1,ROWS($1:3)),)),IF($O$6="Q11",IF(ROWS($1:3)&gt;COUNT(Dong3),"",OFFSET('Q11-USD'!C$1,SMALL(Dong3,ROWS($1:3)),)),IF(ROWS($1:3)&gt;COUNT(Dong3),IF(ROWS($1:3)&gt;COUNT(Dong3,Dong1),"",OFFSET('Q4-USD'!C$1,SMALL(Dong1,ROWS($1:3)-COUNT(Dong3)),)),OFFSET('Q11-USD'!C$1,SMALL(Dong3,ROWS($1:3)),))))</f>
        <v>GBN</v>
      </c>
      <c r="C14" s="300">
        <f ca="1">IF($O$6="Q4",IF(ROWS($1:3)&gt;COUNT(Dong1),"",OFFSET('Q4-USD'!D$1,SMALL(Dong1,ROWS($1:3)),)),IF($O$6="Q11",IF(ROWS($1:3)&gt;COUNT(Dong3),"",OFFSET('Q11-USD'!D$1,SMALL(Dong3,ROWS($1:3)),)),IF(ROWS($1:3)&gt;COUNT(Dong3),IF(ROWS($1:3)&gt;COUNT(Dong3,Dong1),"",OFFSET('Q4-USD'!D$1,SMALL(Dong1,ROWS($1:3)-COUNT(Dong3)),)),OFFSET('Q11-USD'!D$1,SMALL(Dong3,ROWS($1:3)),))))</f>
        <v>41461</v>
      </c>
      <c r="D14" s="301" t="str">
        <f ca="1">IF($O$6="Q4",IF(ROWS($1:3)&gt;COUNT(Dong1),"",OFFSET('Q4-USD'!E$1,SMALL(Dong1,ROWS($1:3)),)),IF($O$6="Q11",IF(ROWS($1:3)&gt;COUNT(Dong3),"",OFFSET('Q11-USD'!E$1,SMALL(Dong3,ROWS($1:3)),)),IF(ROWS($1:3)&gt;COUNT(Dong3),IF(ROWS($1:3)&gt;COUNT(Dong3,Dong1),"","Q4 - "&amp;OFFSET('Q4-USD'!E$1,SMALL(Dong1,ROWS($1:3)-COUNT(Dong3)),)),"Q11 - "&amp;OFFSET('Q11-USD'!E$1,SMALL(Dong3,ROWS($1:3)),))))</f>
        <v xml:space="preserve">Q11 - Thu lãi  06/06 đến 05/07/2013 KU 1012LDS201000102  </v>
      </c>
      <c r="E14" s="302" t="str">
        <f ca="1">IF($O$6="Q4",IF(ROWS($1:3)&gt;COUNT(Dong1),"",OFFSET('Q4-USD'!G$1,SMALL(Dong1,ROWS($1:3)),)),IF($O$6="Q11",IF(ROWS($1:3)&gt;COUNT(Dong3),"",OFFSET('Q11-USD'!G$1,SMALL(Dong3,ROWS($1:3)),)),IF(ROWS($1:3)&gt;COUNT(Dong3),IF(ROWS($1:3)&gt;COUNT(Dong3,Dong1),"",OFFSET('Q4-USD'!G$1,SMALL(Dong1,ROWS($1:3)-COUNT(Dong3)),)),OFFSET('Q11-USD'!G$1,SMALL(Dong3,ROWS($1:3)),))))</f>
        <v>635</v>
      </c>
      <c r="F14" s="303">
        <f ca="1">IF($O$6="Q4",IF(ROWS($1:3)&gt;COUNT(Dong1),"",OFFSET('Q4-USD'!H$1,SMALL(Dong1,ROWS($1:3)),)),IF($O$6="Q11",IF(ROWS($1:3)&gt;COUNT(Dong3),"",OFFSET('Q11-USD'!H$1,SMALL(Dong3,ROWS($1:3)),)),IF(ROWS($1:3)&gt;COUNT(Dong3),IF(ROWS($1:3)&gt;COUNT(Dong3,Dong1),"",OFFSET('Q4-USD'!H$1,SMALL(Dong1,ROWS($1:3)-COUNT(Dong3)),)),OFFSET('Q11-USD'!H$1,SMALL(Dong3,ROWS($1:3)),))))</f>
        <v>21220</v>
      </c>
      <c r="G14" s="303">
        <f t="shared" ca="1" si="0"/>
        <v>5238794</v>
      </c>
      <c r="H14" s="327">
        <f ca="1">IF($O$6="Q4",IF(ROWS($1:3)&gt;COUNT(Dong1),"",OFFSET('Q4-USD'!I$1,SMALL(Dong1,ROWS($1:3)),)),IF($O$6="Q11",IF(ROWS($1:3)&gt;COUNT(Dong3),"",OFFSET('Q11-USD'!I$1,SMALL(Dong3,ROWS($1:3)),)),IF(ROWS($1:3)&gt;COUNT(Dong3),IF(ROWS($1:3)&gt;COUNT(Dong3,Dong1),"",OFFSET('Q4-USD'!I$1,SMALL(Dong1,ROWS($1:3)-COUNT(Dong3)),)),OFFSET('Q11-USD'!I$1,SMALL(Dong3,ROWS($1:3)),))))</f>
        <v>0</v>
      </c>
      <c r="I14" s="327">
        <f ca="1">IF($O$6="Q4",IF(ROWS($1:3)&gt;COUNT(Dong1),"",OFFSET('Q4-USD'!J$1,SMALL(Dong1,ROWS($1:3)),)),IF($O$6="Q11",IF(ROWS($1:3)&gt;COUNT(Dong3),"",OFFSET('Q11-USD'!J$1,SMALL(Dong3,ROWS($1:3)),)),IF(ROWS($1:3)&gt;COUNT(Dong3),IF(ROWS($1:3)&gt;COUNT(Dong3,Dong1),"",OFFSET('Q4-USD'!J$1,SMALL(Dong1,ROWS($1:3)-COUNT(Dong3)),)),OFFSET('Q11-USD'!J$1,SMALL(Dong3,ROWS($1:3)),))))</f>
        <v>246.88</v>
      </c>
      <c r="J14" s="328">
        <f t="shared" ca="1" si="1"/>
        <v>2248.4299999999998</v>
      </c>
      <c r="K14" s="304"/>
      <c r="L14" s="335"/>
    </row>
    <row r="15" spans="1:15" s="287" customFormat="1" ht="17.25" customHeight="1">
      <c r="A15" s="300">
        <f ca="1">IF($O$6="Q4",IF(ROWS($1:4)&gt;COUNT(Dong1),"",OFFSET('Q4-USD'!B$1,SMALL(Dong1,ROWS($1:4)),)),IF($O$6="Q11",IF(ROWS($1:4)&gt;COUNT(Dong3),"",OFFSET('Q11-USD'!B$1,SMALL(Dong3,ROWS($1:4)),)),IF(ROWS($1:4)&gt;COUNT(Dong3),IF(ROWS($1:4)&gt;COUNT(Dong3,Dong1),"",OFFSET('Q4-USD'!B$1,SMALL(Dong1,ROWS($1:4)-COUNT(Dong3)),)),OFFSET('Q11-USD'!B$1,SMALL(Dong3,ROWS($1:4)),))))</f>
        <v>41461</v>
      </c>
      <c r="B15" s="300" t="str">
        <f ca="1">IF($O$6="Q4",IF(ROWS($1:4)&gt;COUNT(Dong1),"",OFFSET('Q4-USD'!C$1,SMALL(Dong1,ROWS($1:4)),)),IF($O$6="Q11",IF(ROWS($1:4)&gt;COUNT(Dong3),"",OFFSET('Q11-USD'!C$1,SMALL(Dong3,ROWS($1:4)),)),IF(ROWS($1:4)&gt;COUNT(Dong3),IF(ROWS($1:4)&gt;COUNT(Dong3,Dong1),"",OFFSET('Q4-USD'!C$1,SMALL(Dong1,ROWS($1:4)-COUNT(Dong3)),)),OFFSET('Q11-USD'!C$1,SMALL(Dong3,ROWS($1:4)),))))</f>
        <v>GBN</v>
      </c>
      <c r="C15" s="300">
        <f ca="1">IF($O$6="Q4",IF(ROWS($1:4)&gt;COUNT(Dong1),"",OFFSET('Q4-USD'!D$1,SMALL(Dong1,ROWS($1:4)),)),IF($O$6="Q11",IF(ROWS($1:4)&gt;COUNT(Dong3),"",OFFSET('Q11-USD'!D$1,SMALL(Dong3,ROWS($1:4)),)),IF(ROWS($1:4)&gt;COUNT(Dong3),IF(ROWS($1:4)&gt;COUNT(Dong3,Dong1),"",OFFSET('Q4-USD'!D$1,SMALL(Dong1,ROWS($1:4)-COUNT(Dong3)),)),OFFSET('Q11-USD'!D$1,SMALL(Dong3,ROWS($1:4)),))))</f>
        <v>41461</v>
      </c>
      <c r="D15" s="301" t="str">
        <f ca="1">IF($O$6="Q4",IF(ROWS($1:4)&gt;COUNT(Dong1),"",OFFSET('Q4-USD'!E$1,SMALL(Dong1,ROWS($1:4)),)),IF($O$6="Q11",IF(ROWS($1:4)&gt;COUNT(Dong3),"",OFFSET('Q11-USD'!E$1,SMALL(Dong3,ROWS($1:4)),)),IF(ROWS($1:4)&gt;COUNT(Dong3),IF(ROWS($1:4)&gt;COUNT(Dong3,Dong1),"","Q4 - "&amp;OFFSET('Q4-USD'!E$1,SMALL(Dong1,ROWS($1:4)-COUNT(Dong3)),)),"Q11 - "&amp;OFFSET('Q11-USD'!E$1,SMALL(Dong3,ROWS($1:4)),))))</f>
        <v xml:space="preserve">Q11 - Thu lãi  06/06 đến 05/07/2013 KU 1012LDS201100376 </v>
      </c>
      <c r="E15" s="302" t="str">
        <f ca="1">IF($O$6="Q4",IF(ROWS($1:4)&gt;COUNT(Dong1),"",OFFSET('Q4-USD'!G$1,SMALL(Dong1,ROWS($1:4)),)),IF($O$6="Q11",IF(ROWS($1:4)&gt;COUNT(Dong3),"",OFFSET('Q11-USD'!G$1,SMALL(Dong3,ROWS($1:4)),)),IF(ROWS($1:4)&gt;COUNT(Dong3),IF(ROWS($1:4)&gt;COUNT(Dong3,Dong1),"",OFFSET('Q4-USD'!G$1,SMALL(Dong1,ROWS($1:4)-COUNT(Dong3)),)),OFFSET('Q11-USD'!G$1,SMALL(Dong3,ROWS($1:4)),))))</f>
        <v>635</v>
      </c>
      <c r="F15" s="303">
        <f ca="1">IF($O$6="Q4",IF(ROWS($1:4)&gt;COUNT(Dong1),"",OFFSET('Q4-USD'!H$1,SMALL(Dong1,ROWS($1:4)),)),IF($O$6="Q11",IF(ROWS($1:4)&gt;COUNT(Dong3),"",OFFSET('Q11-USD'!H$1,SMALL(Dong3,ROWS($1:4)),)),IF(ROWS($1:4)&gt;COUNT(Dong3),IF(ROWS($1:4)&gt;COUNT(Dong3,Dong1),"",OFFSET('Q4-USD'!H$1,SMALL(Dong1,ROWS($1:4)-COUNT(Dong3)),)),OFFSET('Q11-USD'!H$1,SMALL(Dong3,ROWS($1:4)),))))</f>
        <v>21220</v>
      </c>
      <c r="G15" s="303">
        <f t="shared" ca="1" si="0"/>
        <v>16991066</v>
      </c>
      <c r="H15" s="327">
        <f ca="1">IF($O$6="Q4",IF(ROWS($1:4)&gt;COUNT(Dong1),"",OFFSET('Q4-USD'!I$1,SMALL(Dong1,ROWS($1:4)),)),IF($O$6="Q11",IF(ROWS($1:4)&gt;COUNT(Dong3),"",OFFSET('Q11-USD'!I$1,SMALL(Dong3,ROWS($1:4)),)),IF(ROWS($1:4)&gt;COUNT(Dong3),IF(ROWS($1:4)&gt;COUNT(Dong3,Dong1),"",OFFSET('Q4-USD'!I$1,SMALL(Dong1,ROWS($1:4)-COUNT(Dong3)),)),OFFSET('Q11-USD'!I$1,SMALL(Dong3,ROWS($1:4)),))))</f>
        <v>0</v>
      </c>
      <c r="I15" s="327">
        <f ca="1">IF($O$6="Q4",IF(ROWS($1:4)&gt;COUNT(Dong1),"",OFFSET('Q4-USD'!J$1,SMALL(Dong1,ROWS($1:4)),)),IF($O$6="Q11",IF(ROWS($1:4)&gt;COUNT(Dong3),"",OFFSET('Q11-USD'!J$1,SMALL(Dong3,ROWS($1:4)),)),IF(ROWS($1:4)&gt;COUNT(Dong3),IF(ROWS($1:4)&gt;COUNT(Dong3,Dong1),"",OFFSET('Q4-USD'!J$1,SMALL(Dong1,ROWS($1:4)-COUNT(Dong3)),)),OFFSET('Q11-USD'!J$1,SMALL(Dong3,ROWS($1:4)),))))</f>
        <v>800.71</v>
      </c>
      <c r="J15" s="328">
        <f t="shared" ca="1" si="1"/>
        <v>1447.72</v>
      </c>
      <c r="K15" s="304"/>
      <c r="L15" s="335"/>
    </row>
    <row r="16" spans="1:15" s="287" customFormat="1" ht="17.25" customHeight="1">
      <c r="A16" s="300">
        <f ca="1">IF($O$6="Q4",IF(ROWS($1:5)&gt;COUNT(Dong1),"",OFFSET('Q4-USD'!B$1,SMALL(Dong1,ROWS($1:5)),)),IF($O$6="Q11",IF(ROWS($1:5)&gt;COUNT(Dong3),"",OFFSET('Q11-USD'!B$1,SMALL(Dong3,ROWS($1:5)),)),IF(ROWS($1:5)&gt;COUNT(Dong3),IF(ROWS($1:5)&gt;COUNT(Dong3,Dong1),"",OFFSET('Q4-USD'!B$1,SMALL(Dong1,ROWS($1:5)-COUNT(Dong3)),)),OFFSET('Q11-USD'!B$1,SMALL(Dong3,ROWS($1:5)),))))</f>
        <v>41461</v>
      </c>
      <c r="B16" s="300" t="str">
        <f ca="1">IF($O$6="Q4",IF(ROWS($1:5)&gt;COUNT(Dong1),"",OFFSET('Q4-USD'!C$1,SMALL(Dong1,ROWS($1:5)),)),IF($O$6="Q11",IF(ROWS($1:5)&gt;COUNT(Dong3),"",OFFSET('Q11-USD'!C$1,SMALL(Dong3,ROWS($1:5)),)),IF(ROWS($1:5)&gt;COUNT(Dong3),IF(ROWS($1:5)&gt;COUNT(Dong3,Dong1),"",OFFSET('Q4-USD'!C$1,SMALL(Dong1,ROWS($1:5)-COUNT(Dong3)),)),OFFSET('Q11-USD'!C$1,SMALL(Dong3,ROWS($1:5)),))))</f>
        <v>GBN</v>
      </c>
      <c r="C16" s="300">
        <f ca="1">IF($O$6="Q4",IF(ROWS($1:5)&gt;COUNT(Dong1),"",OFFSET('Q4-USD'!D$1,SMALL(Dong1,ROWS($1:5)),)),IF($O$6="Q11",IF(ROWS($1:5)&gt;COUNT(Dong3),"",OFFSET('Q11-USD'!D$1,SMALL(Dong3,ROWS($1:5)),)),IF(ROWS($1:5)&gt;COUNT(Dong3),IF(ROWS($1:5)&gt;COUNT(Dong3,Dong1),"",OFFSET('Q4-USD'!D$1,SMALL(Dong1,ROWS($1:5)-COUNT(Dong3)),)),OFFSET('Q11-USD'!D$1,SMALL(Dong3,ROWS($1:5)),))))</f>
        <v>41461</v>
      </c>
      <c r="D16" s="301" t="str">
        <f ca="1">IF($O$6="Q4",IF(ROWS($1:5)&gt;COUNT(Dong1),"",OFFSET('Q4-USD'!E$1,SMALL(Dong1,ROWS($1:5)),)),IF($O$6="Q11",IF(ROWS($1:5)&gt;COUNT(Dong3),"",OFFSET('Q11-USD'!E$1,SMALL(Dong3,ROWS($1:5)),)),IF(ROWS($1:5)&gt;COUNT(Dong3),IF(ROWS($1:5)&gt;COUNT(Dong3,Dong1),"","Q4 - "&amp;OFFSET('Q4-USD'!E$1,SMALL(Dong1,ROWS($1:5)-COUNT(Dong3)),)),"Q11 - "&amp;OFFSET('Q11-USD'!E$1,SMALL(Dong3,ROWS($1:5)),))))</f>
        <v xml:space="preserve">Q11 - Thu lãi  06/06 đến 05/07/2013 KU 1012LDS201100377 </v>
      </c>
      <c r="E16" s="302" t="str">
        <f ca="1">IF($O$6="Q4",IF(ROWS($1:5)&gt;COUNT(Dong1),"",OFFSET('Q4-USD'!G$1,SMALL(Dong1,ROWS($1:5)),)),IF($O$6="Q11",IF(ROWS($1:5)&gt;COUNT(Dong3),"",OFFSET('Q11-USD'!G$1,SMALL(Dong3,ROWS($1:5)),)),IF(ROWS($1:5)&gt;COUNT(Dong3),IF(ROWS($1:5)&gt;COUNT(Dong3,Dong1),"",OFFSET('Q4-USD'!G$1,SMALL(Dong1,ROWS($1:5)-COUNT(Dong3)),)),OFFSET('Q11-USD'!G$1,SMALL(Dong3,ROWS($1:5)),))))</f>
        <v>635</v>
      </c>
      <c r="F16" s="303">
        <f ca="1">IF($O$6="Q4",IF(ROWS($1:5)&gt;COUNT(Dong1),"",OFFSET('Q4-USD'!H$1,SMALL(Dong1,ROWS($1:5)),)),IF($O$6="Q11",IF(ROWS($1:5)&gt;COUNT(Dong3),"",OFFSET('Q11-USD'!H$1,SMALL(Dong3,ROWS($1:5)),)),IF(ROWS($1:5)&gt;COUNT(Dong3),IF(ROWS($1:5)&gt;COUNT(Dong3,Dong1),"",OFFSET('Q4-USD'!H$1,SMALL(Dong1,ROWS($1:5)-COUNT(Dong3)),)),OFFSET('Q11-USD'!H$1,SMALL(Dong3,ROWS($1:5)),))))</f>
        <v>21220</v>
      </c>
      <c r="G16" s="303">
        <f t="shared" ca="1" si="0"/>
        <v>10610212</v>
      </c>
      <c r="H16" s="327">
        <f ca="1">IF($O$6="Q4",IF(ROWS($1:5)&gt;COUNT(Dong1),"",OFFSET('Q4-USD'!I$1,SMALL(Dong1,ROWS($1:5)),)),IF($O$6="Q11",IF(ROWS($1:5)&gt;COUNT(Dong3),"",OFFSET('Q11-USD'!I$1,SMALL(Dong3,ROWS($1:5)),)),IF(ROWS($1:5)&gt;COUNT(Dong3),IF(ROWS($1:5)&gt;COUNT(Dong3,Dong1),"",OFFSET('Q4-USD'!I$1,SMALL(Dong1,ROWS($1:5)-COUNT(Dong3)),)),OFFSET('Q11-USD'!I$1,SMALL(Dong3,ROWS($1:5)),))))</f>
        <v>0</v>
      </c>
      <c r="I16" s="327">
        <f ca="1">IF($O$6="Q4",IF(ROWS($1:5)&gt;COUNT(Dong1),"",OFFSET('Q4-USD'!J$1,SMALL(Dong1,ROWS($1:5)),)),IF($O$6="Q11",IF(ROWS($1:5)&gt;COUNT(Dong3),"",OFFSET('Q11-USD'!J$1,SMALL(Dong3,ROWS($1:5)),)),IF(ROWS($1:5)&gt;COUNT(Dong3),IF(ROWS($1:5)&gt;COUNT(Dong3,Dong1),"",OFFSET('Q4-USD'!J$1,SMALL(Dong1,ROWS($1:5)-COUNT(Dong3)),)),OFFSET('Q11-USD'!J$1,SMALL(Dong3,ROWS($1:5)),))))</f>
        <v>500.01</v>
      </c>
      <c r="J16" s="328">
        <f t="shared" ca="1" si="1"/>
        <v>947.71</v>
      </c>
      <c r="K16" s="304"/>
      <c r="L16" s="335"/>
    </row>
    <row r="17" spans="1:12" s="287" customFormat="1" ht="17.25" customHeight="1">
      <c r="A17" s="300">
        <f ca="1">IF($O$6="Q4",IF(ROWS($1:6)&gt;COUNT(Dong1),"",OFFSET('Q4-USD'!B$1,SMALL(Dong1,ROWS($1:6)),)),IF($O$6="Q11",IF(ROWS($1:6)&gt;COUNT(Dong3),"",OFFSET('Q11-USD'!B$1,SMALL(Dong3,ROWS($1:6)),)),IF(ROWS($1:6)&gt;COUNT(Dong3),IF(ROWS($1:6)&gt;COUNT(Dong3,Dong1),"",OFFSET('Q4-USD'!B$1,SMALL(Dong1,ROWS($1:6)-COUNT(Dong3)),)),OFFSET('Q11-USD'!B$1,SMALL(Dong3,ROWS($1:6)),))))</f>
        <v>41461</v>
      </c>
      <c r="B17" s="300" t="str">
        <f ca="1">IF($O$6="Q4",IF(ROWS($1:6)&gt;COUNT(Dong1),"",OFFSET('Q4-USD'!C$1,SMALL(Dong1,ROWS($1:6)),)),IF($O$6="Q11",IF(ROWS($1:6)&gt;COUNT(Dong3),"",OFFSET('Q11-USD'!C$1,SMALL(Dong3,ROWS($1:6)),)),IF(ROWS($1:6)&gt;COUNT(Dong3),IF(ROWS($1:6)&gt;COUNT(Dong3,Dong1),"",OFFSET('Q4-USD'!C$1,SMALL(Dong1,ROWS($1:6)-COUNT(Dong3)),)),OFFSET('Q11-USD'!C$1,SMALL(Dong3,ROWS($1:6)),))))</f>
        <v>GBN</v>
      </c>
      <c r="C17" s="300">
        <f ca="1">IF($O$6="Q4",IF(ROWS($1:6)&gt;COUNT(Dong1),"",OFFSET('Q4-USD'!D$1,SMALL(Dong1,ROWS($1:6)),)),IF($O$6="Q11",IF(ROWS($1:6)&gt;COUNT(Dong3),"",OFFSET('Q11-USD'!D$1,SMALL(Dong3,ROWS($1:6)),)),IF(ROWS($1:6)&gt;COUNT(Dong3),IF(ROWS($1:6)&gt;COUNT(Dong3,Dong1),"",OFFSET('Q4-USD'!D$1,SMALL(Dong1,ROWS($1:6)-COUNT(Dong3)),)),OFFSET('Q11-USD'!D$1,SMALL(Dong3,ROWS($1:6)),))))</f>
        <v>41461</v>
      </c>
      <c r="D17" s="301" t="str">
        <f ca="1">IF($O$6="Q4",IF(ROWS($1:6)&gt;COUNT(Dong1),"",OFFSET('Q4-USD'!E$1,SMALL(Dong1,ROWS($1:6)),)),IF($O$6="Q11",IF(ROWS($1:6)&gt;COUNT(Dong3),"",OFFSET('Q11-USD'!E$1,SMALL(Dong3,ROWS($1:6)),)),IF(ROWS($1:6)&gt;COUNT(Dong3),IF(ROWS($1:6)&gt;COUNT(Dong3,Dong1),"","Q4 - "&amp;OFFSET('Q4-USD'!E$1,SMALL(Dong1,ROWS($1:6)-COUNT(Dong3)),)),"Q11 - "&amp;OFFSET('Q11-USD'!E$1,SMALL(Dong3,ROWS($1:6)),))))</f>
        <v>Q11 -  Thu lãi  06/06 đến 05/07/2013 KU 1012LDS201100378</v>
      </c>
      <c r="E17" s="302" t="str">
        <f ca="1">IF($O$6="Q4",IF(ROWS($1:6)&gt;COUNT(Dong1),"",OFFSET('Q4-USD'!G$1,SMALL(Dong1,ROWS($1:6)),)),IF($O$6="Q11",IF(ROWS($1:6)&gt;COUNT(Dong3),"",OFFSET('Q11-USD'!G$1,SMALL(Dong3,ROWS($1:6)),)),IF(ROWS($1:6)&gt;COUNT(Dong3),IF(ROWS($1:6)&gt;COUNT(Dong3,Dong1),"",OFFSET('Q4-USD'!G$1,SMALL(Dong1,ROWS($1:6)-COUNT(Dong3)),)),OFFSET('Q11-USD'!G$1,SMALL(Dong3,ROWS($1:6)),))))</f>
        <v>635</v>
      </c>
      <c r="F17" s="303">
        <f ca="1">IF($O$6="Q4",IF(ROWS($1:6)&gt;COUNT(Dong1),"",OFFSET('Q4-USD'!H$1,SMALL(Dong1,ROWS($1:6)),)),IF($O$6="Q11",IF(ROWS($1:6)&gt;COUNT(Dong3),"",OFFSET('Q11-USD'!H$1,SMALL(Dong3,ROWS($1:6)),)),IF(ROWS($1:6)&gt;COUNT(Dong3),IF(ROWS($1:6)&gt;COUNT(Dong3,Dong1),"",OFFSET('Q4-USD'!H$1,SMALL(Dong1,ROWS($1:6)-COUNT(Dong3)),)),OFFSET('Q11-USD'!H$1,SMALL(Dong3,ROWS($1:6)),))))</f>
        <v>21220</v>
      </c>
      <c r="G17" s="303">
        <f t="shared" ca="1" si="0"/>
        <v>14853363</v>
      </c>
      <c r="H17" s="327">
        <f ca="1">IF($O$6="Q4",IF(ROWS($1:6)&gt;COUNT(Dong1),"",OFFSET('Q4-USD'!I$1,SMALL(Dong1,ROWS($1:6)),)),IF($O$6="Q11",IF(ROWS($1:6)&gt;COUNT(Dong3),"",OFFSET('Q11-USD'!I$1,SMALL(Dong3,ROWS($1:6)),)),IF(ROWS($1:6)&gt;COUNT(Dong3),IF(ROWS($1:6)&gt;COUNT(Dong3,Dong1),"",OFFSET('Q4-USD'!I$1,SMALL(Dong1,ROWS($1:6)-COUNT(Dong3)),)),OFFSET('Q11-USD'!I$1,SMALL(Dong3,ROWS($1:6)),))))</f>
        <v>0</v>
      </c>
      <c r="I17" s="327">
        <f ca="1">IF($O$6="Q4",IF(ROWS($1:6)&gt;COUNT(Dong1),"",OFFSET('Q4-USD'!J$1,SMALL(Dong1,ROWS($1:6)),)),IF($O$6="Q11",IF(ROWS($1:6)&gt;COUNT(Dong3),"",OFFSET('Q11-USD'!J$1,SMALL(Dong3,ROWS($1:6)),)),IF(ROWS($1:6)&gt;COUNT(Dong3),IF(ROWS($1:6)&gt;COUNT(Dong3,Dong1),"",OFFSET('Q4-USD'!J$1,SMALL(Dong1,ROWS($1:6)-COUNT(Dong3)),)),OFFSET('Q11-USD'!J$1,SMALL(Dong3,ROWS($1:6)),))))</f>
        <v>699.97</v>
      </c>
      <c r="J17" s="328">
        <f t="shared" ca="1" si="1"/>
        <v>247.74</v>
      </c>
      <c r="K17" s="304"/>
      <c r="L17" s="335"/>
    </row>
    <row r="18" spans="1:12" s="287" customFormat="1" ht="17.25" customHeight="1">
      <c r="A18" s="300">
        <f ca="1">IF($O$6="Q4",IF(ROWS($1:7)&gt;COUNT(Dong1),"",OFFSET('Q4-USD'!B$1,SMALL(Dong1,ROWS($1:7)),)),IF($O$6="Q11",IF(ROWS($1:7)&gt;COUNT(Dong3),"",OFFSET('Q11-USD'!B$1,SMALL(Dong3,ROWS($1:7)),)),IF(ROWS($1:7)&gt;COUNT(Dong3),IF(ROWS($1:7)&gt;COUNT(Dong3,Dong1),"",OFFSET('Q4-USD'!B$1,SMALL(Dong1,ROWS($1:7)-COUNT(Dong3)),)),OFFSET('Q11-USD'!B$1,SMALL(Dong3,ROWS($1:7)),))))</f>
        <v>41463</v>
      </c>
      <c r="B18" s="300" t="str">
        <f ca="1">IF($O$6="Q4",IF(ROWS($1:7)&gt;COUNT(Dong1),"",OFFSET('Q4-USD'!C$1,SMALL(Dong1,ROWS($1:7)),)),IF($O$6="Q11",IF(ROWS($1:7)&gt;COUNT(Dong3),"",OFFSET('Q11-USD'!C$1,SMALL(Dong3,ROWS($1:7)),)),IF(ROWS($1:7)&gt;COUNT(Dong3),IF(ROWS($1:7)&gt;COUNT(Dong3,Dong1),"",OFFSET('Q4-USD'!C$1,SMALL(Dong1,ROWS($1:7)-COUNT(Dong3)),)),OFFSET('Q11-USD'!C$1,SMALL(Dong3,ROWS($1:7)),))))</f>
        <v>GBC</v>
      </c>
      <c r="C18" s="300">
        <f ca="1">IF($O$6="Q4",IF(ROWS($1:7)&gt;COUNT(Dong1),"",OFFSET('Q4-USD'!D$1,SMALL(Dong1,ROWS($1:7)),)),IF($O$6="Q11",IF(ROWS($1:7)&gt;COUNT(Dong3),"",OFFSET('Q11-USD'!D$1,SMALL(Dong3,ROWS($1:7)),)),IF(ROWS($1:7)&gt;COUNT(Dong3),IF(ROWS($1:7)&gt;COUNT(Dong3,Dong1),"",OFFSET('Q4-USD'!D$1,SMALL(Dong1,ROWS($1:7)-COUNT(Dong3)),)),OFFSET('Q11-USD'!D$1,SMALL(Dong3,ROWS($1:7)),))))</f>
        <v>41463</v>
      </c>
      <c r="D18" s="301" t="str">
        <f ca="1">IF($O$6="Q4",IF(ROWS($1:7)&gt;COUNT(Dong1),"",OFFSET('Q4-USD'!E$1,SMALL(Dong1,ROWS($1:7)),)),IF($O$6="Q11",IF(ROWS($1:7)&gt;COUNT(Dong3),"",OFFSET('Q11-USD'!E$1,SMALL(Dong3,ROWS($1:7)),)),IF(ROWS($1:7)&gt;COUNT(Dong3),IF(ROWS($1:7)&gt;COUNT(Dong3,Dong1),"","Q4 - "&amp;OFFSET('Q4-USD'!E$1,SMALL(Dong1,ROWS($1:7)-COUNT(Dong3)),)),"Q11 - "&amp;OFFSET('Q11-USD'!E$1,SMALL(Dong3,ROWS($1:7)),))))</f>
        <v>Q11 - Mua NT trả nợ vay</v>
      </c>
      <c r="E18" s="302" t="str">
        <f ca="1">IF($O$6="Q4",IF(ROWS($1:7)&gt;COUNT(Dong1),"",OFFSET('Q4-USD'!G$1,SMALL(Dong1,ROWS($1:7)),)),IF($O$6="Q11",IF(ROWS($1:7)&gt;COUNT(Dong3),"",OFFSET('Q11-USD'!G$1,SMALL(Dong3,ROWS($1:7)),)),IF(ROWS($1:7)&gt;COUNT(Dong3),IF(ROWS($1:7)&gt;COUNT(Dong3,Dong1),"",OFFSET('Q4-USD'!G$1,SMALL(Dong1,ROWS($1:7)-COUNT(Dong3)),)),OFFSET('Q11-USD'!G$1,SMALL(Dong3,ROWS($1:7)),))))</f>
        <v>1121</v>
      </c>
      <c r="F18" s="303">
        <f ca="1">IF($O$6="Q4",IF(ROWS($1:7)&gt;COUNT(Dong1),"",OFFSET('Q4-USD'!H$1,SMALL(Dong1,ROWS($1:7)),)),IF($O$6="Q11",IF(ROWS($1:7)&gt;COUNT(Dong3),"",OFFSET('Q11-USD'!H$1,SMALL(Dong3,ROWS($1:7)),)),IF(ROWS($1:7)&gt;COUNT(Dong3),IF(ROWS($1:7)&gt;COUNT(Dong3,Dong1),"",OFFSET('Q4-USD'!H$1,SMALL(Dong1,ROWS($1:7)-COUNT(Dong3)),)),OFFSET('Q11-USD'!H$1,SMALL(Dong3,ROWS($1:7)),))))</f>
        <v>21246</v>
      </c>
      <c r="G18" s="303">
        <f t="shared" ca="1" si="0"/>
        <v>2134266930</v>
      </c>
      <c r="H18" s="327">
        <f ca="1">IF($O$6="Q4",IF(ROWS($1:7)&gt;COUNT(Dong1),"",OFFSET('Q4-USD'!I$1,SMALL(Dong1,ROWS($1:7)),)),IF($O$6="Q11",IF(ROWS($1:7)&gt;COUNT(Dong3),"",OFFSET('Q11-USD'!I$1,SMALL(Dong3,ROWS($1:7)),)),IF(ROWS($1:7)&gt;COUNT(Dong3),IF(ROWS($1:7)&gt;COUNT(Dong3,Dong1),"",OFFSET('Q4-USD'!I$1,SMALL(Dong1,ROWS($1:7)-COUNT(Dong3)),)),OFFSET('Q11-USD'!I$1,SMALL(Dong3,ROWS($1:7)),))))</f>
        <v>100455</v>
      </c>
      <c r="I18" s="327">
        <f ca="1">IF($O$6="Q4",IF(ROWS($1:7)&gt;COUNT(Dong1),"",OFFSET('Q4-USD'!J$1,SMALL(Dong1,ROWS($1:7)),)),IF($O$6="Q11",IF(ROWS($1:7)&gt;COUNT(Dong3),"",OFFSET('Q11-USD'!J$1,SMALL(Dong3,ROWS($1:7)),)),IF(ROWS($1:7)&gt;COUNT(Dong3),IF(ROWS($1:7)&gt;COUNT(Dong3,Dong1),"",OFFSET('Q4-USD'!J$1,SMALL(Dong1,ROWS($1:7)-COUNT(Dong3)),)),OFFSET('Q11-USD'!J$1,SMALL(Dong3,ROWS($1:7)),))))</f>
        <v>0</v>
      </c>
      <c r="J18" s="328">
        <f t="shared" ca="1" si="1"/>
        <v>100702.74</v>
      </c>
      <c r="K18" s="304"/>
      <c r="L18" s="335"/>
    </row>
    <row r="19" spans="1:12" s="287" customFormat="1" ht="17.25" customHeight="1">
      <c r="A19" s="300">
        <f ca="1">IF($O$6="Q4",IF(ROWS($1:8)&gt;COUNT(Dong1),"",OFFSET('Q4-USD'!B$1,SMALL(Dong1,ROWS($1:8)),)),IF($O$6="Q11",IF(ROWS($1:8)&gt;COUNT(Dong3),"",OFFSET('Q11-USD'!B$1,SMALL(Dong3,ROWS($1:8)),)),IF(ROWS($1:8)&gt;COUNT(Dong3),IF(ROWS($1:8)&gt;COUNT(Dong3,Dong1),"",OFFSET('Q4-USD'!B$1,SMALL(Dong1,ROWS($1:8)-COUNT(Dong3)),)),OFFSET('Q11-USD'!B$1,SMALL(Dong3,ROWS($1:8)),))))</f>
        <v>41463</v>
      </c>
      <c r="B19" s="300" t="str">
        <f ca="1">IF($O$6="Q4",IF(ROWS($1:8)&gt;COUNT(Dong1),"",OFFSET('Q4-USD'!C$1,SMALL(Dong1,ROWS($1:8)),)),IF($O$6="Q11",IF(ROWS($1:8)&gt;COUNT(Dong3),"",OFFSET('Q11-USD'!C$1,SMALL(Dong3,ROWS($1:8)),)),IF(ROWS($1:8)&gt;COUNT(Dong3),IF(ROWS($1:8)&gt;COUNT(Dong3,Dong1),"",OFFSET('Q4-USD'!C$1,SMALL(Dong1,ROWS($1:8)-COUNT(Dong3)),)),OFFSET('Q11-USD'!C$1,SMALL(Dong3,ROWS($1:8)),))))</f>
        <v>GBC</v>
      </c>
      <c r="C19" s="300">
        <f ca="1">IF($O$6="Q4",IF(ROWS($1:8)&gt;COUNT(Dong1),"",OFFSET('Q4-USD'!D$1,SMALL(Dong1,ROWS($1:8)),)),IF($O$6="Q11",IF(ROWS($1:8)&gt;COUNT(Dong3),"",OFFSET('Q11-USD'!D$1,SMALL(Dong3,ROWS($1:8)),)),IF(ROWS($1:8)&gt;COUNT(Dong3),IF(ROWS($1:8)&gt;COUNT(Dong3,Dong1),"",OFFSET('Q4-USD'!D$1,SMALL(Dong1,ROWS($1:8)-COUNT(Dong3)),)),OFFSET('Q11-USD'!D$1,SMALL(Dong3,ROWS($1:8)),))))</f>
        <v>41463</v>
      </c>
      <c r="D19" s="301" t="str">
        <f ca="1">IF($O$6="Q4",IF(ROWS($1:8)&gt;COUNT(Dong1),"",OFFSET('Q4-USD'!E$1,SMALL(Dong1,ROWS($1:8)),)),IF($O$6="Q11",IF(ROWS($1:8)&gt;COUNT(Dong3),"",OFFSET('Q11-USD'!E$1,SMALL(Dong3,ROWS($1:8)),)),IF(ROWS($1:8)&gt;COUNT(Dong3),IF(ROWS($1:8)&gt;COUNT(Dong3,Dong1),"","Q4 - "&amp;OFFSET('Q4-USD'!E$1,SMALL(Dong1,ROWS($1:8)-COUNT(Dong3)),)),"Q11 - "&amp;OFFSET('Q11-USD'!E$1,SMALL(Dong3,ROWS($1:8)),))))</f>
        <v>Q11 - Trả nợ vay KU 1015LDS201300014</v>
      </c>
      <c r="E19" s="302" t="str">
        <f ca="1">IF($O$6="Q4",IF(ROWS($1:8)&gt;COUNT(Dong1),"",OFFSET('Q4-USD'!G$1,SMALL(Dong1,ROWS($1:8)),)),IF($O$6="Q11",IF(ROWS($1:8)&gt;COUNT(Dong3),"",OFFSET('Q11-USD'!G$1,SMALL(Dong3,ROWS($1:8)),)),IF(ROWS($1:8)&gt;COUNT(Dong3),IF(ROWS($1:8)&gt;COUNT(Dong3,Dong1),"",OFFSET('Q4-USD'!G$1,SMALL(Dong1,ROWS($1:8)-COUNT(Dong3)),)),OFFSET('Q11-USD'!G$1,SMALL(Dong3,ROWS($1:8)),))))</f>
        <v>311</v>
      </c>
      <c r="F19" s="303">
        <f ca="1">IF($O$6="Q4",IF(ROWS($1:8)&gt;COUNT(Dong1),"",OFFSET('Q4-USD'!H$1,SMALL(Dong1,ROWS($1:8)),)),IF($O$6="Q11",IF(ROWS($1:8)&gt;COUNT(Dong3),"",OFFSET('Q11-USD'!H$1,SMALL(Dong3,ROWS($1:8)),)),IF(ROWS($1:8)&gt;COUNT(Dong3),IF(ROWS($1:8)&gt;COUNT(Dong3,Dong1),"",OFFSET('Q4-USD'!H$1,SMALL(Dong1,ROWS($1:8)-COUNT(Dong3)),)),OFFSET('Q11-USD'!H$1,SMALL(Dong3,ROWS($1:8)),))))</f>
        <v>21246</v>
      </c>
      <c r="G19" s="303">
        <f t="shared" ca="1" si="0"/>
        <v>2134266930</v>
      </c>
      <c r="H19" s="327">
        <f ca="1">IF($O$6="Q4",IF(ROWS($1:8)&gt;COUNT(Dong1),"",OFFSET('Q4-USD'!I$1,SMALL(Dong1,ROWS($1:8)),)),IF($O$6="Q11",IF(ROWS($1:8)&gt;COUNT(Dong3),"",OFFSET('Q11-USD'!I$1,SMALL(Dong3,ROWS($1:8)),)),IF(ROWS($1:8)&gt;COUNT(Dong3),IF(ROWS($1:8)&gt;COUNT(Dong3,Dong1),"",OFFSET('Q4-USD'!I$1,SMALL(Dong1,ROWS($1:8)-COUNT(Dong3)),)),OFFSET('Q11-USD'!I$1,SMALL(Dong3,ROWS($1:8)),))))</f>
        <v>0</v>
      </c>
      <c r="I19" s="327">
        <f ca="1">IF($O$6="Q4",IF(ROWS($1:8)&gt;COUNT(Dong1),"",OFFSET('Q4-USD'!J$1,SMALL(Dong1,ROWS($1:8)),)),IF($O$6="Q11",IF(ROWS($1:8)&gt;COUNT(Dong3),"",OFFSET('Q11-USD'!J$1,SMALL(Dong3,ROWS($1:8)),)),IF(ROWS($1:8)&gt;COUNT(Dong3),IF(ROWS($1:8)&gt;COUNT(Dong3,Dong1),"",OFFSET('Q4-USD'!J$1,SMALL(Dong1,ROWS($1:8)-COUNT(Dong3)),)),OFFSET('Q11-USD'!J$1,SMALL(Dong3,ROWS($1:8)),))))</f>
        <v>100455</v>
      </c>
      <c r="J19" s="328">
        <f t="shared" ca="1" si="1"/>
        <v>247.74</v>
      </c>
      <c r="K19" s="304"/>
      <c r="L19" s="335"/>
    </row>
    <row r="20" spans="1:12" s="287" customFormat="1" ht="17.25" customHeight="1">
      <c r="A20" s="300">
        <f ca="1">IF($O$6="Q4",IF(ROWS($1:9)&gt;COUNT(Dong1),"",OFFSET('Q4-USD'!B$1,SMALL(Dong1,ROWS($1:9)),)),IF($O$6="Q11",IF(ROWS($1:9)&gt;COUNT(Dong3),"",OFFSET('Q11-USD'!B$1,SMALL(Dong3,ROWS($1:9)),)),IF(ROWS($1:9)&gt;COUNT(Dong3),IF(ROWS($1:9)&gt;COUNT(Dong3,Dong1),"",OFFSET('Q4-USD'!B$1,SMALL(Dong1,ROWS($1:9)-COUNT(Dong3)),)),OFFSET('Q11-USD'!B$1,SMALL(Dong3,ROWS($1:9)),))))</f>
        <v>41464</v>
      </c>
      <c r="B20" s="300" t="str">
        <f ca="1">IF($O$6="Q4",IF(ROWS($1:9)&gt;COUNT(Dong1),"",OFFSET('Q4-USD'!C$1,SMALL(Dong1,ROWS($1:9)),)),IF($O$6="Q11",IF(ROWS($1:9)&gt;COUNT(Dong3),"",OFFSET('Q11-USD'!C$1,SMALL(Dong3,ROWS($1:9)),)),IF(ROWS($1:9)&gt;COUNT(Dong3),IF(ROWS($1:9)&gt;COUNT(Dong3,Dong1),"",OFFSET('Q4-USD'!C$1,SMALL(Dong1,ROWS($1:9)-COUNT(Dong3)),)),OFFSET('Q11-USD'!C$1,SMALL(Dong3,ROWS($1:9)),))))</f>
        <v>GBC</v>
      </c>
      <c r="C20" s="300">
        <f ca="1">IF($O$6="Q4",IF(ROWS($1:9)&gt;COUNT(Dong1),"",OFFSET('Q4-USD'!D$1,SMALL(Dong1,ROWS($1:9)),)),IF($O$6="Q11",IF(ROWS($1:9)&gt;COUNT(Dong3),"",OFFSET('Q11-USD'!D$1,SMALL(Dong3,ROWS($1:9)),)),IF(ROWS($1:9)&gt;COUNT(Dong3),IF(ROWS($1:9)&gt;COUNT(Dong3,Dong1),"",OFFSET('Q4-USD'!D$1,SMALL(Dong1,ROWS($1:9)-COUNT(Dong3)),)),OFFSET('Q11-USD'!D$1,SMALL(Dong3,ROWS($1:9)),))))</f>
        <v>41464</v>
      </c>
      <c r="D20" s="301" t="str">
        <f ca="1">IF($O$6="Q4",IF(ROWS($1:9)&gt;COUNT(Dong1),"",OFFSET('Q4-USD'!E$1,SMALL(Dong1,ROWS($1:9)),)),IF($O$6="Q11",IF(ROWS($1:9)&gt;COUNT(Dong3),"",OFFSET('Q11-USD'!E$1,SMALL(Dong3,ROWS($1:9)),)),IF(ROWS($1:9)&gt;COUNT(Dong3),IF(ROWS($1:9)&gt;COUNT(Dong3,Dong1),"","Q4 - "&amp;OFFSET('Q4-USD'!E$1,SMALL(Dong1,ROWS($1:9)-COUNT(Dong3)),)),"Q11 - "&amp;OFFSET('Q11-USD'!E$1,SMALL(Dong3,ROWS($1:9)),))))</f>
        <v>Q11 - Vay NT ngân hàng</v>
      </c>
      <c r="E20" s="302" t="str">
        <f ca="1">IF($O$6="Q4",IF(ROWS($1:9)&gt;COUNT(Dong1),"",OFFSET('Q4-USD'!G$1,SMALL(Dong1,ROWS($1:9)),)),IF($O$6="Q11",IF(ROWS($1:9)&gt;COUNT(Dong3),"",OFFSET('Q11-USD'!G$1,SMALL(Dong3,ROWS($1:9)),)),IF(ROWS($1:9)&gt;COUNT(Dong3),IF(ROWS($1:9)&gt;COUNT(Dong3,Dong1),"",OFFSET('Q4-USD'!G$1,SMALL(Dong1,ROWS($1:9)-COUNT(Dong3)),)),OFFSET('Q11-USD'!G$1,SMALL(Dong3,ROWS($1:9)),))))</f>
        <v>311</v>
      </c>
      <c r="F20" s="303">
        <f ca="1">IF($O$6="Q4",IF(ROWS($1:9)&gt;COUNT(Dong1),"",OFFSET('Q4-USD'!H$1,SMALL(Dong1,ROWS($1:9)),)),IF($O$6="Q11",IF(ROWS($1:9)&gt;COUNT(Dong3),"",OFFSET('Q11-USD'!H$1,SMALL(Dong3,ROWS($1:9)),)),IF(ROWS($1:9)&gt;COUNT(Dong3),IF(ROWS($1:9)&gt;COUNT(Dong3,Dong1),"",OFFSET('Q4-USD'!H$1,SMALL(Dong1,ROWS($1:9)-COUNT(Dong3)),)),OFFSET('Q11-USD'!H$1,SMALL(Dong3,ROWS($1:9)),))))</f>
        <v>21246</v>
      </c>
      <c r="G20" s="303">
        <f t="shared" ca="1" si="0"/>
        <v>1965255000</v>
      </c>
      <c r="H20" s="327">
        <f ca="1">IF($O$6="Q4",IF(ROWS($1:9)&gt;COUNT(Dong1),"",OFFSET('Q4-USD'!I$1,SMALL(Dong1,ROWS($1:9)),)),IF($O$6="Q11",IF(ROWS($1:9)&gt;COUNT(Dong3),"",OFFSET('Q11-USD'!I$1,SMALL(Dong3,ROWS($1:9)),)),IF(ROWS($1:9)&gt;COUNT(Dong3),IF(ROWS($1:9)&gt;COUNT(Dong3,Dong1),"",OFFSET('Q4-USD'!I$1,SMALL(Dong1,ROWS($1:9)-COUNT(Dong3)),)),OFFSET('Q11-USD'!I$1,SMALL(Dong3,ROWS($1:9)),))))</f>
        <v>92500</v>
      </c>
      <c r="I20" s="327">
        <f ca="1">IF($O$6="Q4",IF(ROWS($1:9)&gt;COUNT(Dong1),"",OFFSET('Q4-USD'!J$1,SMALL(Dong1,ROWS($1:9)),)),IF($O$6="Q11",IF(ROWS($1:9)&gt;COUNT(Dong3),"",OFFSET('Q11-USD'!J$1,SMALL(Dong3,ROWS($1:9)),)),IF(ROWS($1:9)&gt;COUNT(Dong3),IF(ROWS($1:9)&gt;COUNT(Dong3,Dong1),"",OFFSET('Q4-USD'!J$1,SMALL(Dong1,ROWS($1:9)-COUNT(Dong3)),)),OFFSET('Q11-USD'!J$1,SMALL(Dong3,ROWS($1:9)),))))</f>
        <v>0</v>
      </c>
      <c r="J20" s="328">
        <f t="shared" ca="1" si="1"/>
        <v>92747.74</v>
      </c>
      <c r="K20" s="304"/>
      <c r="L20" s="335"/>
    </row>
    <row r="21" spans="1:12" s="287" customFormat="1" ht="17.25" customHeight="1">
      <c r="A21" s="300">
        <f ca="1">IF($O$6="Q4",IF(ROWS($1:10)&gt;COUNT(Dong1),"",OFFSET('Q4-USD'!B$1,SMALL(Dong1,ROWS($1:10)),)),IF($O$6="Q11",IF(ROWS($1:10)&gt;COUNT(Dong3),"",OFFSET('Q11-USD'!B$1,SMALL(Dong3,ROWS($1:10)),)),IF(ROWS($1:10)&gt;COUNT(Dong3),IF(ROWS($1:10)&gt;COUNT(Dong3,Dong1),"",OFFSET('Q4-USD'!B$1,SMALL(Dong1,ROWS($1:10)-COUNT(Dong3)),)),OFFSET('Q11-USD'!B$1,SMALL(Dong3,ROWS($1:10)),))))</f>
        <v>41470</v>
      </c>
      <c r="B21" s="300" t="str">
        <f ca="1">IF($O$6="Q4",IF(ROWS($1:10)&gt;COUNT(Dong1),"",OFFSET('Q4-USD'!C$1,SMALL(Dong1,ROWS($1:10)),)),IF($O$6="Q11",IF(ROWS($1:10)&gt;COUNT(Dong3),"",OFFSET('Q11-USD'!C$1,SMALL(Dong3,ROWS($1:10)),)),IF(ROWS($1:10)&gt;COUNT(Dong3),IF(ROWS($1:10)&gt;COUNT(Dong3,Dong1),"",OFFSET('Q4-USD'!C$1,SMALL(Dong1,ROWS($1:10)-COUNT(Dong3)),)),OFFSET('Q11-USD'!C$1,SMALL(Dong3,ROWS($1:10)),))))</f>
        <v>GBN</v>
      </c>
      <c r="C21" s="300">
        <f ca="1">IF($O$6="Q4",IF(ROWS($1:10)&gt;COUNT(Dong1),"",OFFSET('Q4-USD'!D$1,SMALL(Dong1,ROWS($1:10)),)),IF($O$6="Q11",IF(ROWS($1:10)&gt;COUNT(Dong3),"",OFFSET('Q11-USD'!D$1,SMALL(Dong3,ROWS($1:10)),)),IF(ROWS($1:10)&gt;COUNT(Dong3),IF(ROWS($1:10)&gt;COUNT(Dong3,Dong1),"",OFFSET('Q4-USD'!D$1,SMALL(Dong1,ROWS($1:10)-COUNT(Dong3)),)),OFFSET('Q11-USD'!D$1,SMALL(Dong3,ROWS($1:10)),))))</f>
        <v>41470</v>
      </c>
      <c r="D21" s="301" t="str">
        <f ca="1">IF($O$6="Q4",IF(ROWS($1:10)&gt;COUNT(Dong1),"",OFFSET('Q4-USD'!E$1,SMALL(Dong1,ROWS($1:10)),)),IF($O$6="Q11",IF(ROWS($1:10)&gt;COUNT(Dong3),"",OFFSET('Q11-USD'!E$1,SMALL(Dong3,ROWS($1:10)),)),IF(ROWS($1:10)&gt;COUNT(Dong3),IF(ROWS($1:10)&gt;COUNT(Dong3,Dong1),"","Q4 - "&amp;OFFSET('Q4-USD'!E$1,SMALL(Dong1,ROWS($1:10)-COUNT(Dong3)),)),"Q11 - "&amp;OFFSET('Q11-USD'!E$1,SMALL(Dong3,ROWS($1:10)),))))</f>
        <v>Q11 - Phí thông báo tu chỉnh L/C</v>
      </c>
      <c r="E21" s="302" t="str">
        <f ca="1">IF($O$6="Q4",IF(ROWS($1:10)&gt;COUNT(Dong1),"",OFFSET('Q4-USD'!G$1,SMALL(Dong1,ROWS($1:10)),)),IF($O$6="Q11",IF(ROWS($1:10)&gt;COUNT(Dong3),"",OFFSET('Q11-USD'!G$1,SMALL(Dong3,ROWS($1:10)),)),IF(ROWS($1:10)&gt;COUNT(Dong3),IF(ROWS($1:10)&gt;COUNT(Dong3,Dong1),"",OFFSET('Q4-USD'!G$1,SMALL(Dong1,ROWS($1:10)-COUNT(Dong3)),)),OFFSET('Q11-USD'!G$1,SMALL(Dong3,ROWS($1:10)),))))</f>
        <v>6422</v>
      </c>
      <c r="F21" s="303">
        <f ca="1">IF($O$6="Q4",IF(ROWS($1:10)&gt;COUNT(Dong1),"",OFFSET('Q4-USD'!H$1,SMALL(Dong1,ROWS($1:10)),)),IF($O$6="Q11",IF(ROWS($1:10)&gt;COUNT(Dong3),"",OFFSET('Q11-USD'!H$1,SMALL(Dong3,ROWS($1:10)),)),IF(ROWS($1:10)&gt;COUNT(Dong3),IF(ROWS($1:10)&gt;COUNT(Dong3,Dong1),"",OFFSET('Q4-USD'!H$1,SMALL(Dong1,ROWS($1:10)-COUNT(Dong3)),)),OFFSET('Q11-USD'!H$1,SMALL(Dong3,ROWS($1:10)),))))</f>
        <v>21220</v>
      </c>
      <c r="G21" s="303">
        <f t="shared" ca="1" si="0"/>
        <v>106100</v>
      </c>
      <c r="H21" s="327">
        <f ca="1">IF($O$6="Q4",IF(ROWS($1:10)&gt;COUNT(Dong1),"",OFFSET('Q4-USD'!I$1,SMALL(Dong1,ROWS($1:10)),)),IF($O$6="Q11",IF(ROWS($1:10)&gt;COUNT(Dong3),"",OFFSET('Q11-USD'!I$1,SMALL(Dong3,ROWS($1:10)),)),IF(ROWS($1:10)&gt;COUNT(Dong3),IF(ROWS($1:10)&gt;COUNT(Dong3,Dong1),"",OFFSET('Q4-USD'!I$1,SMALL(Dong1,ROWS($1:10)-COUNT(Dong3)),)),OFFSET('Q11-USD'!I$1,SMALL(Dong3,ROWS($1:10)),))))</f>
        <v>0</v>
      </c>
      <c r="I21" s="327">
        <f ca="1">IF($O$6="Q4",IF(ROWS($1:10)&gt;COUNT(Dong1),"",OFFSET('Q4-USD'!J$1,SMALL(Dong1,ROWS($1:10)),)),IF($O$6="Q11",IF(ROWS($1:10)&gt;COUNT(Dong3),"",OFFSET('Q11-USD'!J$1,SMALL(Dong3,ROWS($1:10)),)),IF(ROWS($1:10)&gt;COUNT(Dong3),IF(ROWS($1:10)&gt;COUNT(Dong3,Dong1),"",OFFSET('Q4-USD'!J$1,SMALL(Dong1,ROWS($1:10)-COUNT(Dong3)),)),OFFSET('Q11-USD'!J$1,SMALL(Dong3,ROWS($1:10)),))))</f>
        <v>5</v>
      </c>
      <c r="J21" s="328">
        <f t="shared" ca="1" si="1"/>
        <v>92742.74</v>
      </c>
      <c r="K21" s="304"/>
      <c r="L21" s="335"/>
    </row>
    <row r="22" spans="1:12" s="287" customFormat="1" ht="17.25" customHeight="1">
      <c r="A22" s="300">
        <f ca="1">IF($O$6="Q4",IF(ROWS($1:11)&gt;COUNT(Dong1),"",OFFSET('Q4-USD'!B$1,SMALL(Dong1,ROWS($1:11)),)),IF($O$6="Q11",IF(ROWS($1:11)&gt;COUNT(Dong3),"",OFFSET('Q11-USD'!B$1,SMALL(Dong3,ROWS($1:11)),)),IF(ROWS($1:11)&gt;COUNT(Dong3),IF(ROWS($1:11)&gt;COUNT(Dong3,Dong1),"",OFFSET('Q4-USD'!B$1,SMALL(Dong1,ROWS($1:11)-COUNT(Dong3)),)),OFFSET('Q11-USD'!B$1,SMALL(Dong3,ROWS($1:11)),))))</f>
        <v>41470</v>
      </c>
      <c r="B22" s="300" t="str">
        <f ca="1">IF($O$6="Q4",IF(ROWS($1:11)&gt;COUNT(Dong1),"",OFFSET('Q4-USD'!C$1,SMALL(Dong1,ROWS($1:11)),)),IF($O$6="Q11",IF(ROWS($1:11)&gt;COUNT(Dong3),"",OFFSET('Q11-USD'!C$1,SMALL(Dong3,ROWS($1:11)),)),IF(ROWS($1:11)&gt;COUNT(Dong3),IF(ROWS($1:11)&gt;COUNT(Dong3,Dong1),"",OFFSET('Q4-USD'!C$1,SMALL(Dong1,ROWS($1:11)-COUNT(Dong3)),)),OFFSET('Q11-USD'!C$1,SMALL(Dong3,ROWS($1:11)),))))</f>
        <v>GBN</v>
      </c>
      <c r="C22" s="300">
        <f ca="1">IF($O$6="Q4",IF(ROWS($1:11)&gt;COUNT(Dong1),"",OFFSET('Q4-USD'!D$1,SMALL(Dong1,ROWS($1:11)),)),IF($O$6="Q11",IF(ROWS($1:11)&gt;COUNT(Dong3),"",OFFSET('Q11-USD'!D$1,SMALL(Dong3,ROWS($1:11)),)),IF(ROWS($1:11)&gt;COUNT(Dong3),IF(ROWS($1:11)&gt;COUNT(Dong3,Dong1),"",OFFSET('Q4-USD'!D$1,SMALL(Dong1,ROWS($1:11)-COUNT(Dong3)),)),OFFSET('Q11-USD'!D$1,SMALL(Dong3,ROWS($1:11)),))))</f>
        <v>41470</v>
      </c>
      <c r="D22" s="301" t="str">
        <f ca="1">IF($O$6="Q4",IF(ROWS($1:11)&gt;COUNT(Dong1),"",OFFSET('Q4-USD'!E$1,SMALL(Dong1,ROWS($1:11)),)),IF($O$6="Q11",IF(ROWS($1:11)&gt;COUNT(Dong3),"",OFFSET('Q11-USD'!E$1,SMALL(Dong3,ROWS($1:11)),)),IF(ROWS($1:11)&gt;COUNT(Dong3),IF(ROWS($1:11)&gt;COUNT(Dong3,Dong1),"","Q4 - "&amp;OFFSET('Q4-USD'!E$1,SMALL(Dong1,ROWS($1:11)-COUNT(Dong3)),)),"Q11 - "&amp;OFFSET('Q11-USD'!E$1,SMALL(Dong3,ROWS($1:11)),))))</f>
        <v>Q11 - VAT Phí thông báo tu chỉnh L/C</v>
      </c>
      <c r="E22" s="302" t="str">
        <f ca="1">IF($O$6="Q4",IF(ROWS($1:11)&gt;COUNT(Dong1),"",OFFSET('Q4-USD'!G$1,SMALL(Dong1,ROWS($1:11)),)),IF($O$6="Q11",IF(ROWS($1:11)&gt;COUNT(Dong3),"",OFFSET('Q11-USD'!G$1,SMALL(Dong3,ROWS($1:11)),)),IF(ROWS($1:11)&gt;COUNT(Dong3),IF(ROWS($1:11)&gt;COUNT(Dong3,Dong1),"",OFFSET('Q4-USD'!G$1,SMALL(Dong1,ROWS($1:11)-COUNT(Dong3)),)),OFFSET('Q11-USD'!G$1,SMALL(Dong3,ROWS($1:11)),))))</f>
        <v>1331</v>
      </c>
      <c r="F22" s="303">
        <f ca="1">IF($O$6="Q4",IF(ROWS($1:11)&gt;COUNT(Dong1),"",OFFSET('Q4-USD'!H$1,SMALL(Dong1,ROWS($1:11)),)),IF($O$6="Q11",IF(ROWS($1:11)&gt;COUNT(Dong3),"",OFFSET('Q11-USD'!H$1,SMALL(Dong3,ROWS($1:11)),)),IF(ROWS($1:11)&gt;COUNT(Dong3),IF(ROWS($1:11)&gt;COUNT(Dong3,Dong1),"",OFFSET('Q4-USD'!H$1,SMALL(Dong1,ROWS($1:11)-COUNT(Dong3)),)),OFFSET('Q11-USD'!H$1,SMALL(Dong3,ROWS($1:11)),))))</f>
        <v>21220</v>
      </c>
      <c r="G22" s="303">
        <f t="shared" ca="1" si="0"/>
        <v>10610</v>
      </c>
      <c r="H22" s="327">
        <f ca="1">IF($O$6="Q4",IF(ROWS($1:11)&gt;COUNT(Dong1),"",OFFSET('Q4-USD'!I$1,SMALL(Dong1,ROWS($1:11)),)),IF($O$6="Q11",IF(ROWS($1:11)&gt;COUNT(Dong3),"",OFFSET('Q11-USD'!I$1,SMALL(Dong3,ROWS($1:11)),)),IF(ROWS($1:11)&gt;COUNT(Dong3),IF(ROWS($1:11)&gt;COUNT(Dong3,Dong1),"",OFFSET('Q4-USD'!I$1,SMALL(Dong1,ROWS($1:11)-COUNT(Dong3)),)),OFFSET('Q11-USD'!I$1,SMALL(Dong3,ROWS($1:11)),))))</f>
        <v>0</v>
      </c>
      <c r="I22" s="327">
        <f ca="1">IF($O$6="Q4",IF(ROWS($1:11)&gt;COUNT(Dong1),"",OFFSET('Q4-USD'!J$1,SMALL(Dong1,ROWS($1:11)),)),IF($O$6="Q11",IF(ROWS($1:11)&gt;COUNT(Dong3),"",OFFSET('Q11-USD'!J$1,SMALL(Dong3,ROWS($1:11)),)),IF(ROWS($1:11)&gt;COUNT(Dong3),IF(ROWS($1:11)&gt;COUNT(Dong3,Dong1),"",OFFSET('Q4-USD'!J$1,SMALL(Dong1,ROWS($1:11)-COUNT(Dong3)),)),OFFSET('Q11-USD'!J$1,SMALL(Dong3,ROWS($1:11)),))))</f>
        <v>0.5</v>
      </c>
      <c r="J22" s="328">
        <f t="shared" ca="1" si="1"/>
        <v>92742.24</v>
      </c>
      <c r="K22" s="304"/>
      <c r="L22" s="335"/>
    </row>
    <row r="23" spans="1:12" s="287" customFormat="1" ht="17.25" customHeight="1">
      <c r="A23" s="300">
        <f ca="1">IF($O$6="Q4",IF(ROWS($1:12)&gt;COUNT(Dong1),"",OFFSET('Q4-USD'!B$1,SMALL(Dong1,ROWS($1:12)),)),IF($O$6="Q11",IF(ROWS($1:12)&gt;COUNT(Dong3),"",OFFSET('Q11-USD'!B$1,SMALL(Dong3,ROWS($1:12)),)),IF(ROWS($1:12)&gt;COUNT(Dong3),IF(ROWS($1:12)&gt;COUNT(Dong3,Dong1),"",OFFSET('Q4-USD'!B$1,SMALL(Dong1,ROWS($1:12)-COUNT(Dong3)),)),OFFSET('Q11-USD'!B$1,SMALL(Dong3,ROWS($1:12)),))))</f>
        <v>41471</v>
      </c>
      <c r="B23" s="300" t="str">
        <f ca="1">IF($O$6="Q4",IF(ROWS($1:12)&gt;COUNT(Dong1),"",OFFSET('Q4-USD'!C$1,SMALL(Dong1,ROWS($1:12)),)),IF($O$6="Q11",IF(ROWS($1:12)&gt;COUNT(Dong3),"",OFFSET('Q11-USD'!C$1,SMALL(Dong3,ROWS($1:12)),)),IF(ROWS($1:12)&gt;COUNT(Dong3),IF(ROWS($1:12)&gt;COUNT(Dong3,Dong1),"",OFFSET('Q4-USD'!C$1,SMALL(Dong1,ROWS($1:12)-COUNT(Dong3)),)),OFFSET('Q11-USD'!C$1,SMALL(Dong3,ROWS($1:12)),))))</f>
        <v>GBC</v>
      </c>
      <c r="C23" s="300">
        <f ca="1">IF($O$6="Q4",IF(ROWS($1:12)&gt;COUNT(Dong1),"",OFFSET('Q4-USD'!D$1,SMALL(Dong1,ROWS($1:12)),)),IF($O$6="Q11",IF(ROWS($1:12)&gt;COUNT(Dong3),"",OFFSET('Q11-USD'!D$1,SMALL(Dong3,ROWS($1:12)),)),IF(ROWS($1:12)&gt;COUNT(Dong3),IF(ROWS($1:12)&gt;COUNT(Dong3,Dong1),"",OFFSET('Q4-USD'!D$1,SMALL(Dong1,ROWS($1:12)-COUNT(Dong3)),)),OFFSET('Q11-USD'!D$1,SMALL(Dong3,ROWS($1:12)),))))</f>
        <v>41471</v>
      </c>
      <c r="D23" s="301" t="str">
        <f ca="1">IF($O$6="Q4",IF(ROWS($1:12)&gt;COUNT(Dong1),"",OFFSET('Q4-USD'!E$1,SMALL(Dong1,ROWS($1:12)),)),IF($O$6="Q11",IF(ROWS($1:12)&gt;COUNT(Dong3),"",OFFSET('Q11-USD'!E$1,SMALL(Dong3,ROWS($1:12)),)),IF(ROWS($1:12)&gt;COUNT(Dong3),IF(ROWS($1:12)&gt;COUNT(Dong3,Dong1),"","Q4 - "&amp;OFFSET('Q4-USD'!E$1,SMALL(Dong1,ROWS($1:12)-COUNT(Dong3)),)),"Q11 - "&amp;OFFSET('Q11-USD'!E$1,SMALL(Dong3,ROWS($1:12)),))))</f>
        <v>Q11 - vay KU 1015LDS201301388</v>
      </c>
      <c r="E23" s="302" t="str">
        <f ca="1">IF($O$6="Q4",IF(ROWS($1:12)&gt;COUNT(Dong1),"",OFFSET('Q4-USD'!G$1,SMALL(Dong1,ROWS($1:12)),)),IF($O$6="Q11",IF(ROWS($1:12)&gt;COUNT(Dong3),"",OFFSET('Q11-USD'!G$1,SMALL(Dong3,ROWS($1:12)),)),IF(ROWS($1:12)&gt;COUNT(Dong3),IF(ROWS($1:12)&gt;COUNT(Dong3,Dong1),"",OFFSET('Q4-USD'!G$1,SMALL(Dong1,ROWS($1:12)-COUNT(Dong3)),)),OFFSET('Q11-USD'!G$1,SMALL(Dong3,ROWS($1:12)),))))</f>
        <v>311</v>
      </c>
      <c r="F23" s="303">
        <f ca="1">IF($O$6="Q4",IF(ROWS($1:12)&gt;COUNT(Dong1),"",OFFSET('Q4-USD'!H$1,SMALL(Dong1,ROWS($1:12)),)),IF($O$6="Q11",IF(ROWS($1:12)&gt;COUNT(Dong3),"",OFFSET('Q11-USD'!H$1,SMALL(Dong3,ROWS($1:12)),)),IF(ROWS($1:12)&gt;COUNT(Dong3),IF(ROWS($1:12)&gt;COUNT(Dong3,Dong1),"",OFFSET('Q4-USD'!H$1,SMALL(Dong1,ROWS($1:12)-COUNT(Dong3)),)),OFFSET('Q11-USD'!H$1,SMALL(Dong3,ROWS($1:12)),))))</f>
        <v>21220</v>
      </c>
      <c r="G23" s="303">
        <f t="shared" ca="1" si="0"/>
        <v>2015900000</v>
      </c>
      <c r="H23" s="327">
        <f ca="1">IF($O$6="Q4",IF(ROWS($1:12)&gt;COUNT(Dong1),"",OFFSET('Q4-USD'!I$1,SMALL(Dong1,ROWS($1:12)),)),IF($O$6="Q11",IF(ROWS($1:12)&gt;COUNT(Dong3),"",OFFSET('Q11-USD'!I$1,SMALL(Dong3,ROWS($1:12)),)),IF(ROWS($1:12)&gt;COUNT(Dong3),IF(ROWS($1:12)&gt;COUNT(Dong3,Dong1),"",OFFSET('Q4-USD'!I$1,SMALL(Dong1,ROWS($1:12)-COUNT(Dong3)),)),OFFSET('Q11-USD'!I$1,SMALL(Dong3,ROWS($1:12)),))))</f>
        <v>95000</v>
      </c>
      <c r="I23" s="327">
        <f ca="1">IF($O$6="Q4",IF(ROWS($1:12)&gt;COUNT(Dong1),"",OFFSET('Q4-USD'!J$1,SMALL(Dong1,ROWS($1:12)),)),IF($O$6="Q11",IF(ROWS($1:12)&gt;COUNT(Dong3),"",OFFSET('Q11-USD'!J$1,SMALL(Dong3,ROWS($1:12)),)),IF(ROWS($1:12)&gt;COUNT(Dong3),IF(ROWS($1:12)&gt;COUNT(Dong3,Dong1),"",OFFSET('Q4-USD'!J$1,SMALL(Dong1,ROWS($1:12)-COUNT(Dong3)),)),OFFSET('Q11-USD'!J$1,SMALL(Dong3,ROWS($1:12)),))))</f>
        <v>0</v>
      </c>
      <c r="J23" s="328">
        <f t="shared" ca="1" si="1"/>
        <v>187742.24</v>
      </c>
      <c r="K23" s="304"/>
      <c r="L23" s="335"/>
    </row>
    <row r="24" spans="1:12" s="287" customFormat="1" ht="17.25" customHeight="1">
      <c r="A24" s="300">
        <f ca="1">IF($O$6="Q4",IF(ROWS($1:13)&gt;COUNT(Dong1),"",OFFSET('Q4-USD'!B$1,SMALL(Dong1,ROWS($1:13)),)),IF($O$6="Q11",IF(ROWS($1:13)&gt;COUNT(Dong3),"",OFFSET('Q11-USD'!B$1,SMALL(Dong3,ROWS($1:13)),)),IF(ROWS($1:13)&gt;COUNT(Dong3),IF(ROWS($1:13)&gt;COUNT(Dong3,Dong1),"",OFFSET('Q4-USD'!B$1,SMALL(Dong1,ROWS($1:13)-COUNT(Dong3)),)),OFFSET('Q11-USD'!B$1,SMALL(Dong3,ROWS($1:13)),))))</f>
        <v>41471</v>
      </c>
      <c r="B24" s="300" t="str">
        <f ca="1">IF($O$6="Q4",IF(ROWS($1:13)&gt;COUNT(Dong1),"",OFFSET('Q4-USD'!C$1,SMALL(Dong1,ROWS($1:13)),)),IF($O$6="Q11",IF(ROWS($1:13)&gt;COUNT(Dong3),"",OFFSET('Q11-USD'!C$1,SMALL(Dong3,ROWS($1:13)),)),IF(ROWS($1:13)&gt;COUNT(Dong3),IF(ROWS($1:13)&gt;COUNT(Dong3,Dong1),"",OFFSET('Q4-USD'!C$1,SMALL(Dong1,ROWS($1:13)-COUNT(Dong3)),)),OFFSET('Q11-USD'!C$1,SMALL(Dong3,ROWS($1:13)),))))</f>
        <v>GBN</v>
      </c>
      <c r="C24" s="300">
        <f ca="1">IF($O$6="Q4",IF(ROWS($1:13)&gt;COUNT(Dong1),"",OFFSET('Q4-USD'!D$1,SMALL(Dong1,ROWS($1:13)),)),IF($O$6="Q11",IF(ROWS($1:13)&gt;COUNT(Dong3),"",OFFSET('Q11-USD'!D$1,SMALL(Dong3,ROWS($1:13)),)),IF(ROWS($1:13)&gt;COUNT(Dong3),IF(ROWS($1:13)&gt;COUNT(Dong3,Dong1),"",OFFSET('Q4-USD'!D$1,SMALL(Dong1,ROWS($1:13)-COUNT(Dong3)),)),OFFSET('Q11-USD'!D$1,SMALL(Dong3,ROWS($1:13)),))))</f>
        <v>41471</v>
      </c>
      <c r="D24" s="301" t="str">
        <f ca="1">IF($O$6="Q4",IF(ROWS($1:13)&gt;COUNT(Dong1),"",OFFSET('Q4-USD'!E$1,SMALL(Dong1,ROWS($1:13)),)),IF($O$6="Q11",IF(ROWS($1:13)&gt;COUNT(Dong3),"",OFFSET('Q11-USD'!E$1,SMALL(Dong3,ROWS($1:13)),)),IF(ROWS($1:13)&gt;COUNT(Dong3),IF(ROWS($1:13)&gt;COUNT(Dong3,Dong1),"","Q4 - "&amp;OFFSET('Q4-USD'!E$1,SMALL(Dong1,ROWS($1:13)-COUNT(Dong3)),)),"Q11 - "&amp;OFFSET('Q11-USD'!E$1,SMALL(Dong3,ROWS($1:13)),))))</f>
        <v>Q11 - Phí thông báo L/C</v>
      </c>
      <c r="E24" s="302" t="str">
        <f ca="1">IF($O$6="Q4",IF(ROWS($1:13)&gt;COUNT(Dong1),"",OFFSET('Q4-USD'!G$1,SMALL(Dong1,ROWS($1:13)),)),IF($O$6="Q11",IF(ROWS($1:13)&gt;COUNT(Dong3),"",OFFSET('Q11-USD'!G$1,SMALL(Dong3,ROWS($1:13)),)),IF(ROWS($1:13)&gt;COUNT(Dong3),IF(ROWS($1:13)&gt;COUNT(Dong3,Dong1),"",OFFSET('Q4-USD'!G$1,SMALL(Dong1,ROWS($1:13)-COUNT(Dong3)),)),OFFSET('Q11-USD'!G$1,SMALL(Dong3,ROWS($1:13)),))))</f>
        <v>6422</v>
      </c>
      <c r="F24" s="303">
        <f ca="1">IF($O$6="Q4",IF(ROWS($1:13)&gt;COUNT(Dong1),"",OFFSET('Q4-USD'!H$1,SMALL(Dong1,ROWS($1:13)),)),IF($O$6="Q11",IF(ROWS($1:13)&gt;COUNT(Dong3),"",OFFSET('Q11-USD'!H$1,SMALL(Dong3,ROWS($1:13)),)),IF(ROWS($1:13)&gt;COUNT(Dong3),IF(ROWS($1:13)&gt;COUNT(Dong3,Dong1),"",OFFSET('Q4-USD'!H$1,SMALL(Dong1,ROWS($1:13)-COUNT(Dong3)),)),OFFSET('Q11-USD'!H$1,SMALL(Dong3,ROWS($1:13)),))))</f>
        <v>21220</v>
      </c>
      <c r="G24" s="303">
        <f t="shared" ca="1" si="0"/>
        <v>318300</v>
      </c>
      <c r="H24" s="327">
        <f ca="1">IF($O$6="Q4",IF(ROWS($1:13)&gt;COUNT(Dong1),"",OFFSET('Q4-USD'!I$1,SMALL(Dong1,ROWS($1:13)),)),IF($O$6="Q11",IF(ROWS($1:13)&gt;COUNT(Dong3),"",OFFSET('Q11-USD'!I$1,SMALL(Dong3,ROWS($1:13)),)),IF(ROWS($1:13)&gt;COUNT(Dong3),IF(ROWS($1:13)&gt;COUNT(Dong3,Dong1),"",OFFSET('Q4-USD'!I$1,SMALL(Dong1,ROWS($1:13)-COUNT(Dong3)),)),OFFSET('Q11-USD'!I$1,SMALL(Dong3,ROWS($1:13)),))))</f>
        <v>0</v>
      </c>
      <c r="I24" s="327">
        <f ca="1">IF($O$6="Q4",IF(ROWS($1:13)&gt;COUNT(Dong1),"",OFFSET('Q4-USD'!J$1,SMALL(Dong1,ROWS($1:13)),)),IF($O$6="Q11",IF(ROWS($1:13)&gt;COUNT(Dong3),"",OFFSET('Q11-USD'!J$1,SMALL(Dong3,ROWS($1:13)),)),IF(ROWS($1:13)&gt;COUNT(Dong3),IF(ROWS($1:13)&gt;COUNT(Dong3,Dong1),"",OFFSET('Q4-USD'!J$1,SMALL(Dong1,ROWS($1:13)-COUNT(Dong3)),)),OFFSET('Q11-USD'!J$1,SMALL(Dong3,ROWS($1:13)),))))</f>
        <v>15</v>
      </c>
      <c r="J24" s="328">
        <f t="shared" ca="1" si="1"/>
        <v>187727.24</v>
      </c>
      <c r="K24" s="304"/>
      <c r="L24" s="335"/>
    </row>
    <row r="25" spans="1:12" s="287" customFormat="1" ht="17.25" customHeight="1">
      <c r="A25" s="300">
        <f ca="1">IF($O$6="Q4",IF(ROWS($1:14)&gt;COUNT(Dong1),"",OFFSET('Q4-USD'!B$1,SMALL(Dong1,ROWS($1:14)),)),IF($O$6="Q11",IF(ROWS($1:14)&gt;COUNT(Dong3),"",OFFSET('Q11-USD'!B$1,SMALL(Dong3,ROWS($1:14)),)),IF(ROWS($1:14)&gt;COUNT(Dong3),IF(ROWS($1:14)&gt;COUNT(Dong3,Dong1),"",OFFSET('Q4-USD'!B$1,SMALL(Dong1,ROWS($1:14)-COUNT(Dong3)),)),OFFSET('Q11-USD'!B$1,SMALL(Dong3,ROWS($1:14)),))))</f>
        <v>41471</v>
      </c>
      <c r="B25" s="300" t="str">
        <f ca="1">IF($O$6="Q4",IF(ROWS($1:14)&gt;COUNT(Dong1),"",OFFSET('Q4-USD'!C$1,SMALL(Dong1,ROWS($1:14)),)),IF($O$6="Q11",IF(ROWS($1:14)&gt;COUNT(Dong3),"",OFFSET('Q11-USD'!C$1,SMALL(Dong3,ROWS($1:14)),)),IF(ROWS($1:14)&gt;COUNT(Dong3),IF(ROWS($1:14)&gt;COUNT(Dong3,Dong1),"",OFFSET('Q4-USD'!C$1,SMALL(Dong1,ROWS($1:14)-COUNT(Dong3)),)),OFFSET('Q11-USD'!C$1,SMALL(Dong3,ROWS($1:14)),))))</f>
        <v>GBN</v>
      </c>
      <c r="C25" s="300">
        <f ca="1">IF($O$6="Q4",IF(ROWS($1:14)&gt;COUNT(Dong1),"",OFFSET('Q4-USD'!D$1,SMALL(Dong1,ROWS($1:14)),)),IF($O$6="Q11",IF(ROWS($1:14)&gt;COUNT(Dong3),"",OFFSET('Q11-USD'!D$1,SMALL(Dong3,ROWS($1:14)),)),IF(ROWS($1:14)&gt;COUNT(Dong3),IF(ROWS($1:14)&gt;COUNT(Dong3,Dong1),"",OFFSET('Q4-USD'!D$1,SMALL(Dong1,ROWS($1:14)-COUNT(Dong3)),)),OFFSET('Q11-USD'!D$1,SMALL(Dong3,ROWS($1:14)),))))</f>
        <v>41471</v>
      </c>
      <c r="D25" s="301" t="str">
        <f ca="1">IF($O$6="Q4",IF(ROWS($1:14)&gt;COUNT(Dong1),"",OFFSET('Q4-USD'!E$1,SMALL(Dong1,ROWS($1:14)),)),IF($O$6="Q11",IF(ROWS($1:14)&gt;COUNT(Dong3),"",OFFSET('Q11-USD'!E$1,SMALL(Dong3,ROWS($1:14)),)),IF(ROWS($1:14)&gt;COUNT(Dong3),IF(ROWS($1:14)&gt;COUNT(Dong3,Dong1),"","Q4 - "&amp;OFFSET('Q4-USD'!E$1,SMALL(Dong1,ROWS($1:14)-COUNT(Dong3)),)),"Q11 - "&amp;OFFSET('Q11-USD'!E$1,SMALL(Dong3,ROWS($1:14)),))))</f>
        <v>Q11 - VAT Phí thông báo L/C</v>
      </c>
      <c r="E25" s="302" t="str">
        <f ca="1">IF($O$6="Q4",IF(ROWS($1:14)&gt;COUNT(Dong1),"",OFFSET('Q4-USD'!G$1,SMALL(Dong1,ROWS($1:14)),)),IF($O$6="Q11",IF(ROWS($1:14)&gt;COUNT(Dong3),"",OFFSET('Q11-USD'!G$1,SMALL(Dong3,ROWS($1:14)),)),IF(ROWS($1:14)&gt;COUNT(Dong3),IF(ROWS($1:14)&gt;COUNT(Dong3,Dong1),"",OFFSET('Q4-USD'!G$1,SMALL(Dong1,ROWS($1:14)-COUNT(Dong3)),)),OFFSET('Q11-USD'!G$1,SMALL(Dong3,ROWS($1:14)),))))</f>
        <v>1331</v>
      </c>
      <c r="F25" s="303">
        <f ca="1">IF($O$6="Q4",IF(ROWS($1:14)&gt;COUNT(Dong1),"",OFFSET('Q4-USD'!H$1,SMALL(Dong1,ROWS($1:14)),)),IF($O$6="Q11",IF(ROWS($1:14)&gt;COUNT(Dong3),"",OFFSET('Q11-USD'!H$1,SMALL(Dong3,ROWS($1:14)),)),IF(ROWS($1:14)&gt;COUNT(Dong3),IF(ROWS($1:14)&gt;COUNT(Dong3,Dong1),"",OFFSET('Q4-USD'!H$1,SMALL(Dong1,ROWS($1:14)-COUNT(Dong3)),)),OFFSET('Q11-USD'!H$1,SMALL(Dong3,ROWS($1:14)),))))</f>
        <v>21220</v>
      </c>
      <c r="G25" s="303">
        <f t="shared" ca="1" si="0"/>
        <v>31830</v>
      </c>
      <c r="H25" s="327">
        <f ca="1">IF($O$6="Q4",IF(ROWS($1:14)&gt;COUNT(Dong1),"",OFFSET('Q4-USD'!I$1,SMALL(Dong1,ROWS($1:14)),)),IF($O$6="Q11",IF(ROWS($1:14)&gt;COUNT(Dong3),"",OFFSET('Q11-USD'!I$1,SMALL(Dong3,ROWS($1:14)),)),IF(ROWS($1:14)&gt;COUNT(Dong3),IF(ROWS($1:14)&gt;COUNT(Dong3,Dong1),"",OFFSET('Q4-USD'!I$1,SMALL(Dong1,ROWS($1:14)-COUNT(Dong3)),)),OFFSET('Q11-USD'!I$1,SMALL(Dong3,ROWS($1:14)),))))</f>
        <v>0</v>
      </c>
      <c r="I25" s="327">
        <f ca="1">IF($O$6="Q4",IF(ROWS($1:14)&gt;COUNT(Dong1),"",OFFSET('Q4-USD'!J$1,SMALL(Dong1,ROWS($1:14)),)),IF($O$6="Q11",IF(ROWS($1:14)&gt;COUNT(Dong3),"",OFFSET('Q11-USD'!J$1,SMALL(Dong3,ROWS($1:14)),)),IF(ROWS($1:14)&gt;COUNT(Dong3),IF(ROWS($1:14)&gt;COUNT(Dong3,Dong1),"",OFFSET('Q4-USD'!J$1,SMALL(Dong1,ROWS($1:14)-COUNT(Dong3)),)),OFFSET('Q11-USD'!J$1,SMALL(Dong3,ROWS($1:14)),))))</f>
        <v>1.5</v>
      </c>
      <c r="J25" s="328">
        <f t="shared" ca="1" si="1"/>
        <v>187725.74</v>
      </c>
      <c r="K25" s="304"/>
      <c r="L25" s="335"/>
    </row>
    <row r="26" spans="1:12" s="287" customFormat="1" ht="17.25" customHeight="1">
      <c r="A26" s="300">
        <f ca="1">IF($O$6="Q4",IF(ROWS($1:15)&gt;COUNT(Dong1),"",OFFSET('Q4-USD'!B$1,SMALL(Dong1,ROWS($1:15)),)),IF($O$6="Q11",IF(ROWS($1:15)&gt;COUNT(Dong3),"",OFFSET('Q11-USD'!B$1,SMALL(Dong3,ROWS($1:15)),)),IF(ROWS($1:15)&gt;COUNT(Dong3),IF(ROWS($1:15)&gt;COUNT(Dong3,Dong1),"",OFFSET('Q4-USD'!B$1,SMALL(Dong1,ROWS($1:15)-COUNT(Dong3)),)),OFFSET('Q11-USD'!B$1,SMALL(Dong3,ROWS($1:15)),))))</f>
        <v>41471</v>
      </c>
      <c r="B26" s="300" t="str">
        <f ca="1">IF($O$6="Q4",IF(ROWS($1:15)&gt;COUNT(Dong1),"",OFFSET('Q4-USD'!C$1,SMALL(Dong1,ROWS($1:15)),)),IF($O$6="Q11",IF(ROWS($1:15)&gt;COUNT(Dong3),"",OFFSET('Q11-USD'!C$1,SMALL(Dong3,ROWS($1:15)),)),IF(ROWS($1:15)&gt;COUNT(Dong3),IF(ROWS($1:15)&gt;COUNT(Dong3,Dong1),"",OFFSET('Q4-USD'!C$1,SMALL(Dong1,ROWS($1:15)-COUNT(Dong3)),)),OFFSET('Q11-USD'!C$1,SMALL(Dong3,ROWS($1:15)),))))</f>
        <v>GBN</v>
      </c>
      <c r="C26" s="300">
        <f ca="1">IF($O$6="Q4",IF(ROWS($1:15)&gt;COUNT(Dong1),"",OFFSET('Q4-USD'!D$1,SMALL(Dong1,ROWS($1:15)),)),IF($O$6="Q11",IF(ROWS($1:15)&gt;COUNT(Dong3),"",OFFSET('Q11-USD'!D$1,SMALL(Dong3,ROWS($1:15)),)),IF(ROWS($1:15)&gt;COUNT(Dong3),IF(ROWS($1:15)&gt;COUNT(Dong3,Dong1),"",OFFSET('Q4-USD'!D$1,SMALL(Dong1,ROWS($1:15)-COUNT(Dong3)),)),OFFSET('Q11-USD'!D$1,SMALL(Dong3,ROWS($1:15)),))))</f>
        <v>41471</v>
      </c>
      <c r="D26" s="301" t="str">
        <f ca="1">IF($O$6="Q4",IF(ROWS($1:15)&gt;COUNT(Dong1),"",OFFSET('Q4-USD'!E$1,SMALL(Dong1,ROWS($1:15)),)),IF($O$6="Q11",IF(ROWS($1:15)&gt;COUNT(Dong3),"",OFFSET('Q11-USD'!E$1,SMALL(Dong3,ROWS($1:15)),)),IF(ROWS($1:15)&gt;COUNT(Dong3),IF(ROWS($1:15)&gt;COUNT(Dong3,Dong1),"","Q4 - "&amp;OFFSET('Q4-USD'!E$1,SMALL(Dong1,ROWS($1:15)-COUNT(Dong3)),)),"Q11 - "&amp;OFFSET('Q11-USD'!E$1,SMALL(Dong3,ROWS($1:15)),))))</f>
        <v>Q11 - Bán ngoại tệ</v>
      </c>
      <c r="E26" s="302" t="str">
        <f ca="1">IF($O$6="Q4",IF(ROWS($1:15)&gt;COUNT(Dong1),"",OFFSET('Q4-USD'!G$1,SMALL(Dong1,ROWS($1:15)),)),IF($O$6="Q11",IF(ROWS($1:15)&gt;COUNT(Dong3),"",OFFSET('Q11-USD'!G$1,SMALL(Dong3,ROWS($1:15)),)),IF(ROWS($1:15)&gt;COUNT(Dong3),IF(ROWS($1:15)&gt;COUNT(Dong3,Dong1),"",OFFSET('Q4-USD'!G$1,SMALL(Dong1,ROWS($1:15)-COUNT(Dong3)),)),OFFSET('Q11-USD'!G$1,SMALL(Dong3,ROWS($1:15)),))))</f>
        <v>1121</v>
      </c>
      <c r="F26" s="303">
        <f ca="1">IF($O$6="Q4",IF(ROWS($1:15)&gt;COUNT(Dong1),"",OFFSET('Q4-USD'!H$1,SMALL(Dong1,ROWS($1:15)),)),IF($O$6="Q11",IF(ROWS($1:15)&gt;COUNT(Dong3),"",OFFSET('Q11-USD'!H$1,SMALL(Dong3,ROWS($1:15)),)),IF(ROWS($1:15)&gt;COUNT(Dong3),IF(ROWS($1:15)&gt;COUNT(Dong3,Dong1),"",OFFSET('Q4-USD'!H$1,SMALL(Dong1,ROWS($1:15)-COUNT(Dong3)),)),OFFSET('Q11-USD'!H$1,SMALL(Dong3,ROWS($1:15)),))))</f>
        <v>21220</v>
      </c>
      <c r="G26" s="303">
        <f t="shared" ca="1" si="0"/>
        <v>2015900000</v>
      </c>
      <c r="H26" s="327">
        <f ca="1">IF($O$6="Q4",IF(ROWS($1:15)&gt;COUNT(Dong1),"",OFFSET('Q4-USD'!I$1,SMALL(Dong1,ROWS($1:15)),)),IF($O$6="Q11",IF(ROWS($1:15)&gt;COUNT(Dong3),"",OFFSET('Q11-USD'!I$1,SMALL(Dong3,ROWS($1:15)),)),IF(ROWS($1:15)&gt;COUNT(Dong3),IF(ROWS($1:15)&gt;COUNT(Dong3,Dong1),"",OFFSET('Q4-USD'!I$1,SMALL(Dong1,ROWS($1:15)-COUNT(Dong3)),)),OFFSET('Q11-USD'!I$1,SMALL(Dong3,ROWS($1:15)),))))</f>
        <v>0</v>
      </c>
      <c r="I26" s="327">
        <f ca="1">IF($O$6="Q4",IF(ROWS($1:15)&gt;COUNT(Dong1),"",OFFSET('Q4-USD'!J$1,SMALL(Dong1,ROWS($1:15)),)),IF($O$6="Q11",IF(ROWS($1:15)&gt;COUNT(Dong3),"",OFFSET('Q11-USD'!J$1,SMALL(Dong3,ROWS($1:15)),)),IF(ROWS($1:15)&gt;COUNT(Dong3),IF(ROWS($1:15)&gt;COUNT(Dong3,Dong1),"",OFFSET('Q4-USD'!J$1,SMALL(Dong1,ROWS($1:15)-COUNT(Dong3)),)),OFFSET('Q11-USD'!J$1,SMALL(Dong3,ROWS($1:15)),))))</f>
        <v>95000</v>
      </c>
      <c r="J26" s="328">
        <f t="shared" ca="1" si="1"/>
        <v>92725.74</v>
      </c>
      <c r="K26" s="304"/>
      <c r="L26" s="335"/>
    </row>
    <row r="27" spans="1:12" s="287" customFormat="1" ht="17.25" customHeight="1">
      <c r="A27" s="300">
        <f ca="1">IF($O$6="Q4",IF(ROWS($1:16)&gt;COUNT(Dong1),"",OFFSET('Q4-USD'!B$1,SMALL(Dong1,ROWS($1:16)),)),IF($O$6="Q11",IF(ROWS($1:16)&gt;COUNT(Dong3),"",OFFSET('Q11-USD'!B$1,SMALL(Dong3,ROWS($1:16)),)),IF(ROWS($1:16)&gt;COUNT(Dong3),IF(ROWS($1:16)&gt;COUNT(Dong3,Dong1),"",OFFSET('Q4-USD'!B$1,SMALL(Dong1,ROWS($1:16)-COUNT(Dong3)),)),OFFSET('Q11-USD'!B$1,SMALL(Dong3,ROWS($1:16)),))))</f>
        <v>41471</v>
      </c>
      <c r="B27" s="300" t="str">
        <f ca="1">IF($O$6="Q4",IF(ROWS($1:16)&gt;COUNT(Dong1),"",OFFSET('Q4-USD'!C$1,SMALL(Dong1,ROWS($1:16)),)),IF($O$6="Q11",IF(ROWS($1:16)&gt;COUNT(Dong3),"",OFFSET('Q11-USD'!C$1,SMALL(Dong3,ROWS($1:16)),)),IF(ROWS($1:16)&gt;COUNT(Dong3),IF(ROWS($1:16)&gt;COUNT(Dong3,Dong1),"",OFFSET('Q4-USD'!C$1,SMALL(Dong1,ROWS($1:16)-COUNT(Dong3)),)),OFFSET('Q11-USD'!C$1,SMALL(Dong3,ROWS($1:16)),))))</f>
        <v>GBC</v>
      </c>
      <c r="C27" s="300">
        <f ca="1">IF($O$6="Q4",IF(ROWS($1:16)&gt;COUNT(Dong1),"",OFFSET('Q4-USD'!D$1,SMALL(Dong1,ROWS($1:16)),)),IF($O$6="Q11",IF(ROWS($1:16)&gt;COUNT(Dong3),"",OFFSET('Q11-USD'!D$1,SMALL(Dong3,ROWS($1:16)),)),IF(ROWS($1:16)&gt;COUNT(Dong3),IF(ROWS($1:16)&gt;COUNT(Dong3,Dong1),"",OFFSET('Q4-USD'!D$1,SMALL(Dong1,ROWS($1:16)-COUNT(Dong3)),)),OFFSET('Q11-USD'!D$1,SMALL(Dong3,ROWS($1:16)),))))</f>
        <v>41471</v>
      </c>
      <c r="D27" s="301" t="str">
        <f ca="1">IF($O$6="Q4",IF(ROWS($1:16)&gt;COUNT(Dong1),"",OFFSET('Q4-USD'!E$1,SMALL(Dong1,ROWS($1:16)),)),IF($O$6="Q11",IF(ROWS($1:16)&gt;COUNT(Dong3),"",OFFSET('Q11-USD'!E$1,SMALL(Dong3,ROWS($1:16)),)),IF(ROWS($1:16)&gt;COUNT(Dong3),IF(ROWS($1:16)&gt;COUNT(Dong3,Dong1),"","Q4 - "&amp;OFFSET('Q4-USD'!E$1,SMALL(Dong1,ROWS($1:16)-COUNT(Dong3)),)),"Q11 - "&amp;OFFSET('Q11-USD'!E$1,SMALL(Dong3,ROWS($1:16)),))))</f>
        <v>Q11 - Bán ngoại tệ</v>
      </c>
      <c r="E27" s="302" t="str">
        <f ca="1">IF($O$6="Q4",IF(ROWS($1:16)&gt;COUNT(Dong1),"",OFFSET('Q4-USD'!G$1,SMALL(Dong1,ROWS($1:16)),)),IF($O$6="Q11",IF(ROWS($1:16)&gt;COUNT(Dong3),"",OFFSET('Q11-USD'!G$1,SMALL(Dong3,ROWS($1:16)),)),IF(ROWS($1:16)&gt;COUNT(Dong3),IF(ROWS($1:16)&gt;COUNT(Dong3,Dong1),"",OFFSET('Q4-USD'!G$1,SMALL(Dong1,ROWS($1:16)-COUNT(Dong3)),)),OFFSET('Q11-USD'!G$1,SMALL(Dong3,ROWS($1:16)),))))</f>
        <v>1121</v>
      </c>
      <c r="F27" s="303">
        <f ca="1">IF($O$6="Q4",IF(ROWS($1:16)&gt;COUNT(Dong1),"",OFFSET('Q4-USD'!H$1,SMALL(Dong1,ROWS($1:16)),)),IF($O$6="Q11",IF(ROWS($1:16)&gt;COUNT(Dong3),"",OFFSET('Q11-USD'!H$1,SMALL(Dong3,ROWS($1:16)),)),IF(ROWS($1:16)&gt;COUNT(Dong3),IF(ROWS($1:16)&gt;COUNT(Dong3,Dong1),"",OFFSET('Q4-USD'!H$1,SMALL(Dong1,ROWS($1:16)-COUNT(Dong3)),)),OFFSET('Q11-USD'!H$1,SMALL(Dong3,ROWS($1:16)),))))</f>
        <v>21246</v>
      </c>
      <c r="G27" s="303">
        <f t="shared" ca="1" si="0"/>
        <v>1965255000</v>
      </c>
      <c r="H27" s="327">
        <f ca="1">IF($O$6="Q4",IF(ROWS($1:16)&gt;COUNT(Dong1),"",OFFSET('Q4-USD'!I$1,SMALL(Dong1,ROWS($1:16)),)),IF($O$6="Q11",IF(ROWS($1:16)&gt;COUNT(Dong3),"",OFFSET('Q11-USD'!I$1,SMALL(Dong3,ROWS($1:16)),)),IF(ROWS($1:16)&gt;COUNT(Dong3),IF(ROWS($1:16)&gt;COUNT(Dong3,Dong1),"",OFFSET('Q4-USD'!I$1,SMALL(Dong1,ROWS($1:16)-COUNT(Dong3)),)),OFFSET('Q11-USD'!I$1,SMALL(Dong3,ROWS($1:16)),))))</f>
        <v>0</v>
      </c>
      <c r="I27" s="327">
        <f ca="1">IF($O$6="Q4",IF(ROWS($1:16)&gt;COUNT(Dong1),"",OFFSET('Q4-USD'!J$1,SMALL(Dong1,ROWS($1:16)),)),IF($O$6="Q11",IF(ROWS($1:16)&gt;COUNT(Dong3),"",OFFSET('Q11-USD'!J$1,SMALL(Dong3,ROWS($1:16)),)),IF(ROWS($1:16)&gt;COUNT(Dong3),IF(ROWS($1:16)&gt;COUNT(Dong3,Dong1),"",OFFSET('Q4-USD'!J$1,SMALL(Dong1,ROWS($1:16)-COUNT(Dong3)),)),OFFSET('Q11-USD'!J$1,SMALL(Dong3,ROWS($1:16)),))))</f>
        <v>92500</v>
      </c>
      <c r="J27" s="328">
        <f t="shared" ca="1" si="1"/>
        <v>225.74</v>
      </c>
      <c r="K27" s="304"/>
      <c r="L27" s="335"/>
    </row>
    <row r="28" spans="1:12" s="287" customFormat="1" ht="17.25" customHeight="1">
      <c r="A28" s="300">
        <f ca="1">IF($O$6="Q4",IF(ROWS($1:17)&gt;COUNT(Dong1),"",OFFSET('Q4-USD'!B$1,SMALL(Dong1,ROWS($1:17)),)),IF($O$6="Q11",IF(ROWS($1:17)&gt;COUNT(Dong3),"",OFFSET('Q11-USD'!B$1,SMALL(Dong3,ROWS($1:17)),)),IF(ROWS($1:17)&gt;COUNT(Dong3),IF(ROWS($1:17)&gt;COUNT(Dong3,Dong1),"",OFFSET('Q4-USD'!B$1,SMALL(Dong1,ROWS($1:17)-COUNT(Dong3)),)),OFFSET('Q11-USD'!B$1,SMALL(Dong3,ROWS($1:17)),))))</f>
        <v>41472</v>
      </c>
      <c r="B28" s="300" t="str">
        <f ca="1">IF($O$6="Q4",IF(ROWS($1:17)&gt;COUNT(Dong1),"",OFFSET('Q4-USD'!C$1,SMALL(Dong1,ROWS($1:17)),)),IF($O$6="Q11",IF(ROWS($1:17)&gt;COUNT(Dong3),"",OFFSET('Q11-USD'!C$1,SMALL(Dong3,ROWS($1:17)),)),IF(ROWS($1:17)&gt;COUNT(Dong3),IF(ROWS($1:17)&gt;COUNT(Dong3,Dong1),"",OFFSET('Q4-USD'!C$1,SMALL(Dong1,ROWS($1:17)-COUNT(Dong3)),)),OFFSET('Q11-USD'!C$1,SMALL(Dong3,ROWS($1:17)),))))</f>
        <v>GBC</v>
      </c>
      <c r="C28" s="300">
        <f ca="1">IF($O$6="Q4",IF(ROWS($1:17)&gt;COUNT(Dong1),"",OFFSET('Q4-USD'!D$1,SMALL(Dong1,ROWS($1:17)),)),IF($O$6="Q11",IF(ROWS($1:17)&gt;COUNT(Dong3),"",OFFSET('Q11-USD'!D$1,SMALL(Dong3,ROWS($1:17)),)),IF(ROWS($1:17)&gt;COUNT(Dong3),IF(ROWS($1:17)&gt;COUNT(Dong3,Dong1),"",OFFSET('Q4-USD'!D$1,SMALL(Dong1,ROWS($1:17)-COUNT(Dong3)),)),OFFSET('Q11-USD'!D$1,SMALL(Dong3,ROWS($1:17)),))))</f>
        <v>41472</v>
      </c>
      <c r="D28" s="301" t="str">
        <f ca="1">IF($O$6="Q4",IF(ROWS($1:17)&gt;COUNT(Dong1),"",OFFSET('Q4-USD'!E$1,SMALL(Dong1,ROWS($1:17)),)),IF($O$6="Q11",IF(ROWS($1:17)&gt;COUNT(Dong3),"",OFFSET('Q11-USD'!E$1,SMALL(Dong3,ROWS($1:17)),)),IF(ROWS($1:17)&gt;COUNT(Dong3),IF(ROWS($1:17)&gt;COUNT(Dong3,Dong1),"","Q4 - "&amp;OFFSET('Q4-USD'!E$1,SMALL(Dong1,ROWS($1:17)-COUNT(Dong3)),)),"Q11 - "&amp;OFFSET('Q11-USD'!E$1,SMALL(Dong3,ROWS($1:17)),))))</f>
        <v>Q11 - Chiết khấu bộ chứng từ</v>
      </c>
      <c r="E28" s="302" t="str">
        <f ca="1">IF($O$6="Q4",IF(ROWS($1:17)&gt;COUNT(Dong1),"",OFFSET('Q4-USD'!G$1,SMALL(Dong1,ROWS($1:17)),)),IF($O$6="Q11",IF(ROWS($1:17)&gt;COUNT(Dong3),"",OFFSET('Q11-USD'!G$1,SMALL(Dong3,ROWS($1:17)),)),IF(ROWS($1:17)&gt;COUNT(Dong3),IF(ROWS($1:17)&gt;COUNT(Dong3,Dong1),"",OFFSET('Q4-USD'!G$1,SMALL(Dong1,ROWS($1:17)-COUNT(Dong3)),)),OFFSET('Q11-USD'!G$1,SMALL(Dong3,ROWS($1:17)),))))</f>
        <v>131</v>
      </c>
      <c r="F28" s="303">
        <f ca="1">IF($O$6="Q4",IF(ROWS($1:17)&gt;COUNT(Dong1),"",OFFSET('Q4-USD'!H$1,SMALL(Dong1,ROWS($1:17)),)),IF($O$6="Q11",IF(ROWS($1:17)&gt;COUNT(Dong3),"",OFFSET('Q11-USD'!H$1,SMALL(Dong3,ROWS($1:17)),)),IF(ROWS($1:17)&gt;COUNT(Dong3),IF(ROWS($1:17)&gt;COUNT(Dong3,Dong1),"",OFFSET('Q4-USD'!H$1,SMALL(Dong1,ROWS($1:17)-COUNT(Dong3)),)),OFFSET('Q11-USD'!H$1,SMALL(Dong3,ROWS($1:17)),))))</f>
        <v>21246</v>
      </c>
      <c r="G28" s="303">
        <f t="shared" ca="1" si="0"/>
        <v>837092400</v>
      </c>
      <c r="H28" s="327">
        <f ca="1">IF($O$6="Q4",IF(ROWS($1:17)&gt;COUNT(Dong1),"",OFFSET('Q4-USD'!I$1,SMALL(Dong1,ROWS($1:17)),)),IF($O$6="Q11",IF(ROWS($1:17)&gt;COUNT(Dong3),"",OFFSET('Q11-USD'!I$1,SMALL(Dong3,ROWS($1:17)),)),IF(ROWS($1:17)&gt;COUNT(Dong3),IF(ROWS($1:17)&gt;COUNT(Dong3,Dong1),"",OFFSET('Q4-USD'!I$1,SMALL(Dong1,ROWS($1:17)-COUNT(Dong3)),)),OFFSET('Q11-USD'!I$1,SMALL(Dong3,ROWS($1:17)),))))</f>
        <v>39400</v>
      </c>
      <c r="I28" s="327">
        <f ca="1">IF($O$6="Q4",IF(ROWS($1:17)&gt;COUNT(Dong1),"",OFFSET('Q4-USD'!J$1,SMALL(Dong1,ROWS($1:17)),)),IF($O$6="Q11",IF(ROWS($1:17)&gt;COUNT(Dong3),"",OFFSET('Q11-USD'!J$1,SMALL(Dong3,ROWS($1:17)),)),IF(ROWS($1:17)&gt;COUNT(Dong3),IF(ROWS($1:17)&gt;COUNT(Dong3,Dong1),"",OFFSET('Q4-USD'!J$1,SMALL(Dong1,ROWS($1:17)-COUNT(Dong3)),)),OFFSET('Q11-USD'!J$1,SMALL(Dong3,ROWS($1:17)),))))</f>
        <v>0</v>
      </c>
      <c r="J28" s="328">
        <f t="shared" ca="1" si="1"/>
        <v>39625.74</v>
      </c>
      <c r="K28" s="304"/>
      <c r="L28" s="335"/>
    </row>
    <row r="29" spans="1:12" s="287" customFormat="1" ht="17.25" customHeight="1">
      <c r="A29" s="300">
        <f ca="1">IF($O$6="Q4",IF(ROWS($1:18)&gt;COUNT(Dong1),"",OFFSET('Q4-USD'!B$1,SMALL(Dong1,ROWS($1:18)),)),IF($O$6="Q11",IF(ROWS($1:18)&gt;COUNT(Dong3),"",OFFSET('Q11-USD'!B$1,SMALL(Dong3,ROWS($1:18)),)),IF(ROWS($1:18)&gt;COUNT(Dong3),IF(ROWS($1:18)&gt;COUNT(Dong3,Dong1),"",OFFSET('Q4-USD'!B$1,SMALL(Dong1,ROWS($1:18)-COUNT(Dong3)),)),OFFSET('Q11-USD'!B$1,SMALL(Dong3,ROWS($1:18)),))))</f>
        <v>41472</v>
      </c>
      <c r="B29" s="300" t="str">
        <f ca="1">IF($O$6="Q4",IF(ROWS($1:18)&gt;COUNT(Dong1),"",OFFSET('Q4-USD'!C$1,SMALL(Dong1,ROWS($1:18)),)),IF($O$6="Q11",IF(ROWS($1:18)&gt;COUNT(Dong3),"",OFFSET('Q11-USD'!C$1,SMALL(Dong3,ROWS($1:18)),)),IF(ROWS($1:18)&gt;COUNT(Dong3),IF(ROWS($1:18)&gt;COUNT(Dong3,Dong1),"",OFFSET('Q4-USD'!C$1,SMALL(Dong1,ROWS($1:18)-COUNT(Dong3)),)),OFFSET('Q11-USD'!C$1,SMALL(Dong3,ROWS($1:18)),))))</f>
        <v>GBN</v>
      </c>
      <c r="C29" s="300">
        <f ca="1">IF($O$6="Q4",IF(ROWS($1:18)&gt;COUNT(Dong1),"",OFFSET('Q4-USD'!D$1,SMALL(Dong1,ROWS($1:18)),)),IF($O$6="Q11",IF(ROWS($1:18)&gt;COUNT(Dong3),"",OFFSET('Q11-USD'!D$1,SMALL(Dong3,ROWS($1:18)),)),IF(ROWS($1:18)&gt;COUNT(Dong3),IF(ROWS($1:18)&gt;COUNT(Dong3,Dong1),"",OFFSET('Q4-USD'!D$1,SMALL(Dong1,ROWS($1:18)-COUNT(Dong3)),)),OFFSET('Q11-USD'!D$1,SMALL(Dong3,ROWS($1:18)),))))</f>
        <v>41472</v>
      </c>
      <c r="D29" s="301" t="str">
        <f ca="1">IF($O$6="Q4",IF(ROWS($1:18)&gt;COUNT(Dong1),"",OFFSET('Q4-USD'!E$1,SMALL(Dong1,ROWS($1:18)),)),IF($O$6="Q11",IF(ROWS($1:18)&gt;COUNT(Dong3),"",OFFSET('Q11-USD'!E$1,SMALL(Dong3,ROWS($1:18)),)),IF(ROWS($1:18)&gt;COUNT(Dong3),IF(ROWS($1:18)&gt;COUNT(Dong3,Dong1),"","Q4 - "&amp;OFFSET('Q4-USD'!E$1,SMALL(Dong1,ROWS($1:18)-COUNT(Dong3)),)),"Q11 - "&amp;OFFSET('Q11-USD'!E$1,SMALL(Dong3,ROWS($1:18)),))))</f>
        <v>Q11 - Bán ngoại tệ</v>
      </c>
      <c r="E29" s="302" t="str">
        <f ca="1">IF($O$6="Q4",IF(ROWS($1:18)&gt;COUNT(Dong1),"",OFFSET('Q4-USD'!G$1,SMALL(Dong1,ROWS($1:18)),)),IF($O$6="Q11",IF(ROWS($1:18)&gt;COUNT(Dong3),"",OFFSET('Q11-USD'!G$1,SMALL(Dong3,ROWS($1:18)),)),IF(ROWS($1:18)&gt;COUNT(Dong3),IF(ROWS($1:18)&gt;COUNT(Dong3,Dong1),"",OFFSET('Q4-USD'!G$1,SMALL(Dong1,ROWS($1:18)-COUNT(Dong3)),)),OFFSET('Q11-USD'!G$1,SMALL(Dong3,ROWS($1:18)),))))</f>
        <v>1121</v>
      </c>
      <c r="F29" s="303">
        <f ca="1">IF($O$6="Q4",IF(ROWS($1:18)&gt;COUNT(Dong1),"",OFFSET('Q4-USD'!H$1,SMALL(Dong1,ROWS($1:18)),)),IF($O$6="Q11",IF(ROWS($1:18)&gt;COUNT(Dong3),"",OFFSET('Q11-USD'!H$1,SMALL(Dong3,ROWS($1:18)),)),IF(ROWS($1:18)&gt;COUNT(Dong3),IF(ROWS($1:18)&gt;COUNT(Dong3,Dong1),"",OFFSET('Q4-USD'!H$1,SMALL(Dong1,ROWS($1:18)-COUNT(Dong3)),)),OFFSET('Q11-USD'!H$1,SMALL(Dong3,ROWS($1:18)),))))</f>
        <v>21230</v>
      </c>
      <c r="G29" s="303">
        <f t="shared" ca="1" si="0"/>
        <v>838585000</v>
      </c>
      <c r="H29" s="327">
        <f ca="1">IF($O$6="Q4",IF(ROWS($1:18)&gt;COUNT(Dong1),"",OFFSET('Q4-USD'!I$1,SMALL(Dong1,ROWS($1:18)),)),IF($O$6="Q11",IF(ROWS($1:18)&gt;COUNT(Dong3),"",OFFSET('Q11-USD'!I$1,SMALL(Dong3,ROWS($1:18)),)),IF(ROWS($1:18)&gt;COUNT(Dong3),IF(ROWS($1:18)&gt;COUNT(Dong3,Dong1),"",OFFSET('Q4-USD'!I$1,SMALL(Dong1,ROWS($1:18)-COUNT(Dong3)),)),OFFSET('Q11-USD'!I$1,SMALL(Dong3,ROWS($1:18)),))))</f>
        <v>0</v>
      </c>
      <c r="I29" s="327">
        <f ca="1">IF($O$6="Q4",IF(ROWS($1:18)&gt;COUNT(Dong1),"",OFFSET('Q4-USD'!J$1,SMALL(Dong1,ROWS($1:18)),)),IF($O$6="Q11",IF(ROWS($1:18)&gt;COUNT(Dong3),"",OFFSET('Q11-USD'!J$1,SMALL(Dong3,ROWS($1:18)),)),IF(ROWS($1:18)&gt;COUNT(Dong3),IF(ROWS($1:18)&gt;COUNT(Dong3,Dong1),"",OFFSET('Q4-USD'!J$1,SMALL(Dong1,ROWS($1:18)-COUNT(Dong3)),)),OFFSET('Q11-USD'!J$1,SMALL(Dong3,ROWS($1:18)),))))</f>
        <v>39500</v>
      </c>
      <c r="J29" s="328">
        <f t="shared" ca="1" si="1"/>
        <v>125.74</v>
      </c>
      <c r="K29" s="304"/>
      <c r="L29" s="335"/>
    </row>
    <row r="30" spans="1:12" s="287" customFormat="1" ht="17.25" customHeight="1">
      <c r="A30" s="300">
        <f ca="1">IF($O$6="Q4",IF(ROWS($1:19)&gt;COUNT(Dong1),"",OFFSET('Q4-USD'!B$1,SMALL(Dong1,ROWS($1:19)),)),IF($O$6="Q11",IF(ROWS($1:19)&gt;COUNT(Dong3),"",OFFSET('Q11-USD'!B$1,SMALL(Dong3,ROWS($1:19)),)),IF(ROWS($1:19)&gt;COUNT(Dong3),IF(ROWS($1:19)&gt;COUNT(Dong3,Dong1),"",OFFSET('Q4-USD'!B$1,SMALL(Dong1,ROWS($1:19)-COUNT(Dong3)),)),OFFSET('Q11-USD'!B$1,SMALL(Dong3,ROWS($1:19)),))))</f>
        <v>41472</v>
      </c>
      <c r="B30" s="300" t="str">
        <f ca="1">IF($O$6="Q4",IF(ROWS($1:19)&gt;COUNT(Dong1),"",OFFSET('Q4-USD'!C$1,SMALL(Dong1,ROWS($1:19)),)),IF($O$6="Q11",IF(ROWS($1:19)&gt;COUNT(Dong3),"",OFFSET('Q11-USD'!C$1,SMALL(Dong3,ROWS($1:19)),)),IF(ROWS($1:19)&gt;COUNT(Dong3),IF(ROWS($1:19)&gt;COUNT(Dong3,Dong1),"",OFFSET('Q4-USD'!C$1,SMALL(Dong1,ROWS($1:19)-COUNT(Dong3)),)),OFFSET('Q11-USD'!C$1,SMALL(Dong3,ROWS($1:19)),))))</f>
        <v>GBN</v>
      </c>
      <c r="C30" s="300">
        <f ca="1">IF($O$6="Q4",IF(ROWS($1:19)&gt;COUNT(Dong1),"",OFFSET('Q4-USD'!D$1,SMALL(Dong1,ROWS($1:19)),)),IF($O$6="Q11",IF(ROWS($1:19)&gt;COUNT(Dong3),"",OFFSET('Q11-USD'!D$1,SMALL(Dong3,ROWS($1:19)),)),IF(ROWS($1:19)&gt;COUNT(Dong3),IF(ROWS($1:19)&gt;COUNT(Dong3,Dong1),"",OFFSET('Q4-USD'!D$1,SMALL(Dong1,ROWS($1:19)-COUNT(Dong3)),)),OFFSET('Q11-USD'!D$1,SMALL(Dong3,ROWS($1:19)),))))</f>
        <v>41472</v>
      </c>
      <c r="D30" s="301" t="str">
        <f ca="1">IF($O$6="Q4",IF(ROWS($1:19)&gt;COUNT(Dong1),"",OFFSET('Q4-USD'!E$1,SMALL(Dong1,ROWS($1:19)),)),IF($O$6="Q11",IF(ROWS($1:19)&gt;COUNT(Dong3),"",OFFSET('Q11-USD'!E$1,SMALL(Dong3,ROWS($1:19)),)),IF(ROWS($1:19)&gt;COUNT(Dong3),IF(ROWS($1:19)&gt;COUNT(Dong3,Dong1),"","Q4 - "&amp;OFFSET('Q4-USD'!E$1,SMALL(Dong1,ROWS($1:19)-COUNT(Dong3)),)),"Q11 - "&amp;OFFSET('Q11-USD'!E$1,SMALL(Dong3,ROWS($1:19)),))))</f>
        <v>Q11 - Phí thương lượng chứng từ</v>
      </c>
      <c r="E30" s="302" t="str">
        <f ca="1">IF($O$6="Q4",IF(ROWS($1:19)&gt;COUNT(Dong1),"",OFFSET('Q4-USD'!G$1,SMALL(Dong1,ROWS($1:19)),)),IF($O$6="Q11",IF(ROWS($1:19)&gt;COUNT(Dong3),"",OFFSET('Q11-USD'!G$1,SMALL(Dong3,ROWS($1:19)),)),IF(ROWS($1:19)&gt;COUNT(Dong3),IF(ROWS($1:19)&gt;COUNT(Dong3,Dong1),"",OFFSET('Q4-USD'!G$1,SMALL(Dong1,ROWS($1:19)-COUNT(Dong3)),)),OFFSET('Q11-USD'!G$1,SMALL(Dong3,ROWS($1:19)),))))</f>
        <v>6422</v>
      </c>
      <c r="F30" s="303">
        <f ca="1">IF($O$6="Q4",IF(ROWS($1:19)&gt;COUNT(Dong1),"",OFFSET('Q4-USD'!H$1,SMALL(Dong1,ROWS($1:19)),)),IF($O$6="Q11",IF(ROWS($1:19)&gt;COUNT(Dong3),"",OFFSET('Q11-USD'!H$1,SMALL(Dong3,ROWS($1:19)),)),IF(ROWS($1:19)&gt;COUNT(Dong3),IF(ROWS($1:19)&gt;COUNT(Dong3,Dong1),"",OFFSET('Q4-USD'!H$1,SMALL(Dong1,ROWS($1:19)-COUNT(Dong3)),)),OFFSET('Q11-USD'!H$1,SMALL(Dong3,ROWS($1:19)),))))</f>
        <v>21230</v>
      </c>
      <c r="G30" s="303">
        <f t="shared" ca="1" si="0"/>
        <v>1188880</v>
      </c>
      <c r="H30" s="327">
        <f ca="1">IF($O$6="Q4",IF(ROWS($1:19)&gt;COUNT(Dong1),"",OFFSET('Q4-USD'!I$1,SMALL(Dong1,ROWS($1:19)),)),IF($O$6="Q11",IF(ROWS($1:19)&gt;COUNT(Dong3),"",OFFSET('Q11-USD'!I$1,SMALL(Dong3,ROWS($1:19)),)),IF(ROWS($1:19)&gt;COUNT(Dong3),IF(ROWS($1:19)&gt;COUNT(Dong3,Dong1),"",OFFSET('Q4-USD'!I$1,SMALL(Dong1,ROWS($1:19)-COUNT(Dong3)),)),OFFSET('Q11-USD'!I$1,SMALL(Dong3,ROWS($1:19)),))))</f>
        <v>0</v>
      </c>
      <c r="I30" s="327">
        <f ca="1">IF($O$6="Q4",IF(ROWS($1:19)&gt;COUNT(Dong1),"",OFFSET('Q4-USD'!J$1,SMALL(Dong1,ROWS($1:19)),)),IF($O$6="Q11",IF(ROWS($1:19)&gt;COUNT(Dong3),"",OFFSET('Q11-USD'!J$1,SMALL(Dong3,ROWS($1:19)),)),IF(ROWS($1:19)&gt;COUNT(Dong3),IF(ROWS($1:19)&gt;COUNT(Dong3,Dong1),"",OFFSET('Q4-USD'!J$1,SMALL(Dong1,ROWS($1:19)-COUNT(Dong3)),)),OFFSET('Q11-USD'!J$1,SMALL(Dong3,ROWS($1:19)),))))</f>
        <v>56</v>
      </c>
      <c r="J30" s="328">
        <f t="shared" ca="1" si="1"/>
        <v>69.739999999999995</v>
      </c>
      <c r="K30" s="304"/>
      <c r="L30" s="335"/>
    </row>
    <row r="31" spans="1:12" s="287" customFormat="1" ht="17.25" customHeight="1">
      <c r="A31" s="300">
        <f ca="1">IF($O$6="Q4",IF(ROWS($1:20)&gt;COUNT(Dong1),"",OFFSET('Q4-USD'!B$1,SMALL(Dong1,ROWS($1:20)),)),IF($O$6="Q11",IF(ROWS($1:20)&gt;COUNT(Dong3),"",OFFSET('Q11-USD'!B$1,SMALL(Dong3,ROWS($1:20)),)),IF(ROWS($1:20)&gt;COUNT(Dong3),IF(ROWS($1:20)&gt;COUNT(Dong3,Dong1),"",OFFSET('Q4-USD'!B$1,SMALL(Dong1,ROWS($1:20)-COUNT(Dong3)),)),OFFSET('Q11-USD'!B$1,SMALL(Dong3,ROWS($1:20)),))))</f>
        <v>41472</v>
      </c>
      <c r="B31" s="300" t="str">
        <f ca="1">IF($O$6="Q4",IF(ROWS($1:20)&gt;COUNT(Dong1),"",OFFSET('Q4-USD'!C$1,SMALL(Dong1,ROWS($1:20)),)),IF($O$6="Q11",IF(ROWS($1:20)&gt;COUNT(Dong3),"",OFFSET('Q11-USD'!C$1,SMALL(Dong3,ROWS($1:20)),)),IF(ROWS($1:20)&gt;COUNT(Dong3),IF(ROWS($1:20)&gt;COUNT(Dong3,Dong1),"",OFFSET('Q4-USD'!C$1,SMALL(Dong1,ROWS($1:20)-COUNT(Dong3)),)),OFFSET('Q11-USD'!C$1,SMALL(Dong3,ROWS($1:20)),))))</f>
        <v>GBN</v>
      </c>
      <c r="C31" s="300">
        <f ca="1">IF($O$6="Q4",IF(ROWS($1:20)&gt;COUNT(Dong1),"",OFFSET('Q4-USD'!D$1,SMALL(Dong1,ROWS($1:20)),)),IF($O$6="Q11",IF(ROWS($1:20)&gt;COUNT(Dong3),"",OFFSET('Q11-USD'!D$1,SMALL(Dong3,ROWS($1:20)),)),IF(ROWS($1:20)&gt;COUNT(Dong3),IF(ROWS($1:20)&gt;COUNT(Dong3,Dong1),"",OFFSET('Q4-USD'!D$1,SMALL(Dong1,ROWS($1:20)-COUNT(Dong3)),)),OFFSET('Q11-USD'!D$1,SMALL(Dong3,ROWS($1:20)),))))</f>
        <v>41472</v>
      </c>
      <c r="D31" s="301" t="str">
        <f ca="1">IF($O$6="Q4",IF(ROWS($1:20)&gt;COUNT(Dong1),"",OFFSET('Q4-USD'!E$1,SMALL(Dong1,ROWS($1:20)),)),IF($O$6="Q11",IF(ROWS($1:20)&gt;COUNT(Dong3),"",OFFSET('Q11-USD'!E$1,SMALL(Dong3,ROWS($1:20)),)),IF(ROWS($1:20)&gt;COUNT(Dong3),IF(ROWS($1:20)&gt;COUNT(Dong3,Dong1),"","Q4 - "&amp;OFFSET('Q4-USD'!E$1,SMALL(Dong1,ROWS($1:20)-COUNT(Dong3)),)),"Q11 - "&amp;OFFSET('Q11-USD'!E$1,SMALL(Dong3,ROWS($1:20)),))))</f>
        <v>Q11 - VAT Phí thương lượng chứng từ</v>
      </c>
      <c r="E31" s="302" t="str">
        <f ca="1">IF($O$6="Q4",IF(ROWS($1:20)&gt;COUNT(Dong1),"",OFFSET('Q4-USD'!G$1,SMALL(Dong1,ROWS($1:20)),)),IF($O$6="Q11",IF(ROWS($1:20)&gt;COUNT(Dong3),"",OFFSET('Q11-USD'!G$1,SMALL(Dong3,ROWS($1:20)),)),IF(ROWS($1:20)&gt;COUNT(Dong3),IF(ROWS($1:20)&gt;COUNT(Dong3,Dong1),"",OFFSET('Q4-USD'!G$1,SMALL(Dong1,ROWS($1:20)-COUNT(Dong3)),)),OFFSET('Q11-USD'!G$1,SMALL(Dong3,ROWS($1:20)),))))</f>
        <v>1331</v>
      </c>
      <c r="F31" s="303">
        <f ca="1">IF($O$6="Q4",IF(ROWS($1:20)&gt;COUNT(Dong1),"",OFFSET('Q4-USD'!H$1,SMALL(Dong1,ROWS($1:20)),)),IF($O$6="Q11",IF(ROWS($1:20)&gt;COUNT(Dong3),"",OFFSET('Q11-USD'!H$1,SMALL(Dong3,ROWS($1:20)),)),IF(ROWS($1:20)&gt;COUNT(Dong3),IF(ROWS($1:20)&gt;COUNT(Dong3,Dong1),"",OFFSET('Q4-USD'!H$1,SMALL(Dong1,ROWS($1:20)-COUNT(Dong3)),)),OFFSET('Q11-USD'!H$1,SMALL(Dong3,ROWS($1:20)),))))</f>
        <v>21230</v>
      </c>
      <c r="G31" s="303">
        <f t="shared" ca="1" si="0"/>
        <v>118888</v>
      </c>
      <c r="H31" s="327">
        <f ca="1">IF($O$6="Q4",IF(ROWS($1:20)&gt;COUNT(Dong1),"",OFFSET('Q4-USD'!I$1,SMALL(Dong1,ROWS($1:20)),)),IF($O$6="Q11",IF(ROWS($1:20)&gt;COUNT(Dong3),"",OFFSET('Q11-USD'!I$1,SMALL(Dong3,ROWS($1:20)),)),IF(ROWS($1:20)&gt;COUNT(Dong3),IF(ROWS($1:20)&gt;COUNT(Dong3,Dong1),"",OFFSET('Q4-USD'!I$1,SMALL(Dong1,ROWS($1:20)-COUNT(Dong3)),)),OFFSET('Q11-USD'!I$1,SMALL(Dong3,ROWS($1:20)),))))</f>
        <v>0</v>
      </c>
      <c r="I31" s="327">
        <f ca="1">IF($O$6="Q4",IF(ROWS($1:20)&gt;COUNT(Dong1),"",OFFSET('Q4-USD'!J$1,SMALL(Dong1,ROWS($1:20)),)),IF($O$6="Q11",IF(ROWS($1:20)&gt;COUNT(Dong3),"",OFFSET('Q11-USD'!J$1,SMALL(Dong3,ROWS($1:20)),)),IF(ROWS($1:20)&gt;COUNT(Dong3),IF(ROWS($1:20)&gt;COUNT(Dong3,Dong1),"",OFFSET('Q4-USD'!J$1,SMALL(Dong1,ROWS($1:20)-COUNT(Dong3)),)),OFFSET('Q11-USD'!J$1,SMALL(Dong3,ROWS($1:20)),))))</f>
        <v>5.6</v>
      </c>
      <c r="J31" s="328">
        <f t="shared" ca="1" si="1"/>
        <v>64.14</v>
      </c>
      <c r="K31" s="304"/>
      <c r="L31" s="335"/>
    </row>
    <row r="32" spans="1:12" s="287" customFormat="1" ht="17.25" customHeight="1">
      <c r="A32" s="300">
        <f ca="1">IF($O$6="Q4",IF(ROWS($1:21)&gt;COUNT(Dong1),"",OFFSET('Q4-USD'!B$1,SMALL(Dong1,ROWS($1:21)),)),IF($O$6="Q11",IF(ROWS($1:21)&gt;COUNT(Dong3),"",OFFSET('Q11-USD'!B$1,SMALL(Dong3,ROWS($1:21)),)),IF(ROWS($1:21)&gt;COUNT(Dong3),IF(ROWS($1:21)&gt;COUNT(Dong3,Dong1),"",OFFSET('Q4-USD'!B$1,SMALL(Dong1,ROWS($1:21)-COUNT(Dong3)),)),OFFSET('Q11-USD'!B$1,SMALL(Dong3,ROWS($1:21)),))))</f>
        <v>41472</v>
      </c>
      <c r="B32" s="300" t="str">
        <f ca="1">IF($O$6="Q4",IF(ROWS($1:21)&gt;COUNT(Dong1),"",OFFSET('Q4-USD'!C$1,SMALL(Dong1,ROWS($1:21)),)),IF($O$6="Q11",IF(ROWS($1:21)&gt;COUNT(Dong3),"",OFFSET('Q11-USD'!C$1,SMALL(Dong3,ROWS($1:21)),)),IF(ROWS($1:21)&gt;COUNT(Dong3),IF(ROWS($1:21)&gt;COUNT(Dong3,Dong1),"",OFFSET('Q4-USD'!C$1,SMALL(Dong1,ROWS($1:21)-COUNT(Dong3)),)),OFFSET('Q11-USD'!C$1,SMALL(Dong3,ROWS($1:21)),))))</f>
        <v>GBN</v>
      </c>
      <c r="C32" s="300">
        <f ca="1">IF($O$6="Q4",IF(ROWS($1:21)&gt;COUNT(Dong1),"",OFFSET('Q4-USD'!D$1,SMALL(Dong1,ROWS($1:21)),)),IF($O$6="Q11",IF(ROWS($1:21)&gt;COUNT(Dong3),"",OFFSET('Q11-USD'!D$1,SMALL(Dong3,ROWS($1:21)),)),IF(ROWS($1:21)&gt;COUNT(Dong3),IF(ROWS($1:21)&gt;COUNT(Dong3,Dong1),"",OFFSET('Q4-USD'!D$1,SMALL(Dong1,ROWS($1:21)-COUNT(Dong3)),)),OFFSET('Q11-USD'!D$1,SMALL(Dong3,ROWS($1:21)),))))</f>
        <v>41472</v>
      </c>
      <c r="D32" s="301" t="str">
        <f ca="1">IF($O$6="Q4",IF(ROWS($1:21)&gt;COUNT(Dong1),"",OFFSET('Q4-USD'!E$1,SMALL(Dong1,ROWS($1:21)),)),IF($O$6="Q11",IF(ROWS($1:21)&gt;COUNT(Dong3),"",OFFSET('Q11-USD'!E$1,SMALL(Dong3,ROWS($1:21)),)),IF(ROWS($1:21)&gt;COUNT(Dong3),IF(ROWS($1:21)&gt;COUNT(Dong3,Dong1),"","Q4 - "&amp;OFFSET('Q4-USD'!E$1,SMALL(Dong1,ROWS($1:21)-COUNT(Dong3)),)),"Q11 - "&amp;OFFSET('Q11-USD'!E$1,SMALL(Dong3,ROWS($1:21)),))))</f>
        <v>Q11 - Phí DHL</v>
      </c>
      <c r="E32" s="302" t="str">
        <f ca="1">IF($O$6="Q4",IF(ROWS($1:21)&gt;COUNT(Dong1),"",OFFSET('Q4-USD'!G$1,SMALL(Dong1,ROWS($1:21)),)),IF($O$6="Q11",IF(ROWS($1:21)&gt;COUNT(Dong3),"",OFFSET('Q11-USD'!G$1,SMALL(Dong3,ROWS($1:21)),)),IF(ROWS($1:21)&gt;COUNT(Dong3),IF(ROWS($1:21)&gt;COUNT(Dong3,Dong1),"",OFFSET('Q4-USD'!G$1,SMALL(Dong1,ROWS($1:21)-COUNT(Dong3)),)),OFFSET('Q11-USD'!G$1,SMALL(Dong3,ROWS($1:21)),))))</f>
        <v>6422</v>
      </c>
      <c r="F32" s="303">
        <f ca="1">IF($O$6="Q4",IF(ROWS($1:21)&gt;COUNT(Dong1),"",OFFSET('Q4-USD'!H$1,SMALL(Dong1,ROWS($1:21)),)),IF($O$6="Q11",IF(ROWS($1:21)&gt;COUNT(Dong3),"",OFFSET('Q11-USD'!H$1,SMALL(Dong3,ROWS($1:21)),)),IF(ROWS($1:21)&gt;COUNT(Dong3),IF(ROWS($1:21)&gt;COUNT(Dong3,Dong1),"",OFFSET('Q4-USD'!H$1,SMALL(Dong1,ROWS($1:21)-COUNT(Dong3)),)),OFFSET('Q11-USD'!H$1,SMALL(Dong3,ROWS($1:21)),))))</f>
        <v>21230</v>
      </c>
      <c r="G32" s="303">
        <f t="shared" ca="1" si="0"/>
        <v>586373</v>
      </c>
      <c r="H32" s="327">
        <f ca="1">IF($O$6="Q4",IF(ROWS($1:21)&gt;COUNT(Dong1),"",OFFSET('Q4-USD'!I$1,SMALL(Dong1,ROWS($1:21)),)),IF($O$6="Q11",IF(ROWS($1:21)&gt;COUNT(Dong3),"",OFFSET('Q11-USD'!I$1,SMALL(Dong3,ROWS($1:21)),)),IF(ROWS($1:21)&gt;COUNT(Dong3),IF(ROWS($1:21)&gt;COUNT(Dong3,Dong1),"",OFFSET('Q4-USD'!I$1,SMALL(Dong1,ROWS($1:21)-COUNT(Dong3)),)),OFFSET('Q11-USD'!I$1,SMALL(Dong3,ROWS($1:21)),))))</f>
        <v>0</v>
      </c>
      <c r="I32" s="327">
        <f ca="1">IF($O$6="Q4",IF(ROWS($1:21)&gt;COUNT(Dong1),"",OFFSET('Q4-USD'!J$1,SMALL(Dong1,ROWS($1:21)),)),IF($O$6="Q11",IF(ROWS($1:21)&gt;COUNT(Dong3),"",OFFSET('Q11-USD'!J$1,SMALL(Dong3,ROWS($1:21)),)),IF(ROWS($1:21)&gt;COUNT(Dong3),IF(ROWS($1:21)&gt;COUNT(Dong3,Dong1),"",OFFSET('Q4-USD'!J$1,SMALL(Dong1,ROWS($1:21)-COUNT(Dong3)),)),OFFSET('Q11-USD'!J$1,SMALL(Dong3,ROWS($1:21)),))))</f>
        <v>27.62</v>
      </c>
      <c r="J32" s="328">
        <f t="shared" ca="1" si="1"/>
        <v>36.520000000000003</v>
      </c>
      <c r="K32" s="304"/>
      <c r="L32" s="335"/>
    </row>
    <row r="33" spans="1:12" s="287" customFormat="1" ht="17.25" customHeight="1">
      <c r="A33" s="300">
        <f ca="1">IF($O$6="Q4",IF(ROWS($1:22)&gt;COUNT(Dong1),"",OFFSET('Q4-USD'!B$1,SMALL(Dong1,ROWS($1:22)),)),IF($O$6="Q11",IF(ROWS($1:22)&gt;COUNT(Dong3),"",OFFSET('Q11-USD'!B$1,SMALL(Dong3,ROWS($1:22)),)),IF(ROWS($1:22)&gt;COUNT(Dong3),IF(ROWS($1:22)&gt;COUNT(Dong3,Dong1),"",OFFSET('Q4-USD'!B$1,SMALL(Dong1,ROWS($1:22)-COUNT(Dong3)),)),OFFSET('Q11-USD'!B$1,SMALL(Dong3,ROWS($1:22)),))))</f>
        <v>41472</v>
      </c>
      <c r="B33" s="300" t="str">
        <f ca="1">IF($O$6="Q4",IF(ROWS($1:22)&gt;COUNT(Dong1),"",OFFSET('Q4-USD'!C$1,SMALL(Dong1,ROWS($1:22)),)),IF($O$6="Q11",IF(ROWS($1:22)&gt;COUNT(Dong3),"",OFFSET('Q11-USD'!C$1,SMALL(Dong3,ROWS($1:22)),)),IF(ROWS($1:22)&gt;COUNT(Dong3),IF(ROWS($1:22)&gt;COUNT(Dong3,Dong1),"",OFFSET('Q4-USD'!C$1,SMALL(Dong1,ROWS($1:22)-COUNT(Dong3)),)),OFFSET('Q11-USD'!C$1,SMALL(Dong3,ROWS($1:22)),))))</f>
        <v>GBN</v>
      </c>
      <c r="C33" s="300">
        <f ca="1">IF($O$6="Q4",IF(ROWS($1:22)&gt;COUNT(Dong1),"",OFFSET('Q4-USD'!D$1,SMALL(Dong1,ROWS($1:22)),)),IF($O$6="Q11",IF(ROWS($1:22)&gt;COUNT(Dong3),"",OFFSET('Q11-USD'!D$1,SMALL(Dong3,ROWS($1:22)),)),IF(ROWS($1:22)&gt;COUNT(Dong3),IF(ROWS($1:22)&gt;COUNT(Dong3,Dong1),"",OFFSET('Q4-USD'!D$1,SMALL(Dong1,ROWS($1:22)-COUNT(Dong3)),)),OFFSET('Q11-USD'!D$1,SMALL(Dong3,ROWS($1:22)),))))</f>
        <v>41472</v>
      </c>
      <c r="D33" s="301" t="str">
        <f ca="1">IF($O$6="Q4",IF(ROWS($1:22)&gt;COUNT(Dong1),"",OFFSET('Q4-USD'!E$1,SMALL(Dong1,ROWS($1:22)),)),IF($O$6="Q11",IF(ROWS($1:22)&gt;COUNT(Dong3),"",OFFSET('Q11-USD'!E$1,SMALL(Dong3,ROWS($1:22)),)),IF(ROWS($1:22)&gt;COUNT(Dong3),IF(ROWS($1:22)&gt;COUNT(Dong3,Dong1),"","Q4 - "&amp;OFFSET('Q4-USD'!E$1,SMALL(Dong1,ROWS($1:22)-COUNT(Dong3)),)),"Q11 - "&amp;OFFSET('Q11-USD'!E$1,SMALL(Dong3,ROWS($1:22)),))))</f>
        <v>Q11 - VAT Phí DHL</v>
      </c>
      <c r="E33" s="302" t="str">
        <f ca="1">IF($O$6="Q4",IF(ROWS($1:22)&gt;COUNT(Dong1),"",OFFSET('Q4-USD'!G$1,SMALL(Dong1,ROWS($1:22)),)),IF($O$6="Q11",IF(ROWS($1:22)&gt;COUNT(Dong3),"",OFFSET('Q11-USD'!G$1,SMALL(Dong3,ROWS($1:22)),)),IF(ROWS($1:22)&gt;COUNT(Dong3),IF(ROWS($1:22)&gt;COUNT(Dong3,Dong1),"",OFFSET('Q4-USD'!G$1,SMALL(Dong1,ROWS($1:22)-COUNT(Dong3)),)),OFFSET('Q11-USD'!G$1,SMALL(Dong3,ROWS($1:22)),))))</f>
        <v>1331</v>
      </c>
      <c r="F33" s="303">
        <f ca="1">IF($O$6="Q4",IF(ROWS($1:22)&gt;COUNT(Dong1),"",OFFSET('Q4-USD'!H$1,SMALL(Dong1,ROWS($1:22)),)),IF($O$6="Q11",IF(ROWS($1:22)&gt;COUNT(Dong3),"",OFFSET('Q11-USD'!H$1,SMALL(Dong3,ROWS($1:22)),)),IF(ROWS($1:22)&gt;COUNT(Dong3),IF(ROWS($1:22)&gt;COUNT(Dong3,Dong1),"",OFFSET('Q4-USD'!H$1,SMALL(Dong1,ROWS($1:22)-COUNT(Dong3)),)),OFFSET('Q11-USD'!H$1,SMALL(Dong3,ROWS($1:22)),))))</f>
        <v>21230</v>
      </c>
      <c r="G33" s="303">
        <f t="shared" ca="1" si="0"/>
        <v>58595</v>
      </c>
      <c r="H33" s="327">
        <f ca="1">IF($O$6="Q4",IF(ROWS($1:22)&gt;COUNT(Dong1),"",OFFSET('Q4-USD'!I$1,SMALL(Dong1,ROWS($1:22)),)),IF($O$6="Q11",IF(ROWS($1:22)&gt;COUNT(Dong3),"",OFFSET('Q11-USD'!I$1,SMALL(Dong3,ROWS($1:22)),)),IF(ROWS($1:22)&gt;COUNT(Dong3),IF(ROWS($1:22)&gt;COUNT(Dong3,Dong1),"",OFFSET('Q4-USD'!I$1,SMALL(Dong1,ROWS($1:22)-COUNT(Dong3)),)),OFFSET('Q11-USD'!I$1,SMALL(Dong3,ROWS($1:22)),))))</f>
        <v>0</v>
      </c>
      <c r="I33" s="327">
        <f ca="1">IF($O$6="Q4",IF(ROWS($1:22)&gt;COUNT(Dong1),"",OFFSET('Q4-USD'!J$1,SMALL(Dong1,ROWS($1:22)),)),IF($O$6="Q11",IF(ROWS($1:22)&gt;COUNT(Dong3),"",OFFSET('Q11-USD'!J$1,SMALL(Dong3,ROWS($1:22)),)),IF(ROWS($1:22)&gt;COUNT(Dong3),IF(ROWS($1:22)&gt;COUNT(Dong3,Dong1),"",OFFSET('Q4-USD'!J$1,SMALL(Dong1,ROWS($1:22)-COUNT(Dong3)),)),OFFSET('Q11-USD'!J$1,SMALL(Dong3,ROWS($1:22)),))))</f>
        <v>2.76</v>
      </c>
      <c r="J33" s="328">
        <f t="shared" ca="1" si="1"/>
        <v>33.76</v>
      </c>
      <c r="K33" s="304"/>
      <c r="L33" s="335"/>
    </row>
    <row r="34" spans="1:12" s="287" customFormat="1" ht="17.25" customHeight="1">
      <c r="A34" s="300">
        <f ca="1">IF($O$6="Q4",IF(ROWS($1:23)&gt;COUNT(Dong1),"",OFFSET('Q4-USD'!B$1,SMALL(Dong1,ROWS($1:23)),)),IF($O$6="Q11",IF(ROWS($1:23)&gt;COUNT(Dong3),"",OFFSET('Q11-USD'!B$1,SMALL(Dong3,ROWS($1:23)),)),IF(ROWS($1:23)&gt;COUNT(Dong3),IF(ROWS($1:23)&gt;COUNT(Dong3,Dong1),"",OFFSET('Q4-USD'!B$1,SMALL(Dong1,ROWS($1:23)-COUNT(Dong3)),)),OFFSET('Q11-USD'!B$1,SMALL(Dong3,ROWS($1:23)),))))</f>
        <v>41475</v>
      </c>
      <c r="B34" s="300" t="str">
        <f ca="1">IF($O$6="Q4",IF(ROWS($1:23)&gt;COUNT(Dong1),"",OFFSET('Q4-USD'!C$1,SMALL(Dong1,ROWS($1:23)),)),IF($O$6="Q11",IF(ROWS($1:23)&gt;COUNT(Dong3),"",OFFSET('Q11-USD'!C$1,SMALL(Dong3,ROWS($1:23)),)),IF(ROWS($1:23)&gt;COUNT(Dong3),IF(ROWS($1:23)&gt;COUNT(Dong3,Dong1),"",OFFSET('Q4-USD'!C$1,SMALL(Dong1,ROWS($1:23)-COUNT(Dong3)),)),OFFSET('Q11-USD'!C$1,SMALL(Dong3,ROWS($1:23)),))))</f>
        <v>GBN</v>
      </c>
      <c r="C34" s="300">
        <f ca="1">IF($O$6="Q4",IF(ROWS($1:23)&gt;COUNT(Dong1),"",OFFSET('Q4-USD'!D$1,SMALL(Dong1,ROWS($1:23)),)),IF($O$6="Q11",IF(ROWS($1:23)&gt;COUNT(Dong3),"",OFFSET('Q11-USD'!D$1,SMALL(Dong3,ROWS($1:23)),)),IF(ROWS($1:23)&gt;COUNT(Dong3),IF(ROWS($1:23)&gt;COUNT(Dong3,Dong1),"",OFFSET('Q4-USD'!D$1,SMALL(Dong1,ROWS($1:23)-COUNT(Dong3)),)),OFFSET('Q11-USD'!D$1,SMALL(Dong3,ROWS($1:23)),))))</f>
        <v>41475</v>
      </c>
      <c r="D34" s="301" t="str">
        <f ca="1">IF($O$6="Q4",IF(ROWS($1:23)&gt;COUNT(Dong1),"",OFFSET('Q4-USD'!E$1,SMALL(Dong1,ROWS($1:23)),)),IF($O$6="Q11",IF(ROWS($1:23)&gt;COUNT(Dong3),"",OFFSET('Q11-USD'!E$1,SMALL(Dong3,ROWS($1:23)),)),IF(ROWS($1:23)&gt;COUNT(Dong3),IF(ROWS($1:23)&gt;COUNT(Dong3,Dong1),"","Q4 - "&amp;OFFSET('Q4-USD'!E$1,SMALL(Dong1,ROWS($1:23)-COUNT(Dong3)),)),"Q11 - "&amp;OFFSET('Q11-USD'!E$1,SMALL(Dong3,ROWS($1:23)),))))</f>
        <v>Q11 - Phí thông báo L/C</v>
      </c>
      <c r="E34" s="302" t="str">
        <f ca="1">IF($O$6="Q4",IF(ROWS($1:23)&gt;COUNT(Dong1),"",OFFSET('Q4-USD'!G$1,SMALL(Dong1,ROWS($1:23)),)),IF($O$6="Q11",IF(ROWS($1:23)&gt;COUNT(Dong3),"",OFFSET('Q11-USD'!G$1,SMALL(Dong3,ROWS($1:23)),)),IF(ROWS($1:23)&gt;COUNT(Dong3),IF(ROWS($1:23)&gt;COUNT(Dong3,Dong1),"",OFFSET('Q4-USD'!G$1,SMALL(Dong1,ROWS($1:23)-COUNT(Dong3)),)),OFFSET('Q11-USD'!G$1,SMALL(Dong3,ROWS($1:23)),))))</f>
        <v>6422</v>
      </c>
      <c r="F34" s="303">
        <f ca="1">IF($O$6="Q4",IF(ROWS($1:23)&gt;COUNT(Dong1),"",OFFSET('Q4-USD'!H$1,SMALL(Dong1,ROWS($1:23)),)),IF($O$6="Q11",IF(ROWS($1:23)&gt;COUNT(Dong3),"",OFFSET('Q11-USD'!H$1,SMALL(Dong3,ROWS($1:23)),)),IF(ROWS($1:23)&gt;COUNT(Dong3),IF(ROWS($1:23)&gt;COUNT(Dong3,Dong1),"",OFFSET('Q4-USD'!H$1,SMALL(Dong1,ROWS($1:23)-COUNT(Dong3)),)),OFFSET('Q11-USD'!H$1,SMALL(Dong3,ROWS($1:23)),))))</f>
        <v>21200</v>
      </c>
      <c r="G34" s="303">
        <f t="shared" ca="1" si="0"/>
        <v>318000</v>
      </c>
      <c r="H34" s="327">
        <f ca="1">IF($O$6="Q4",IF(ROWS($1:23)&gt;COUNT(Dong1),"",OFFSET('Q4-USD'!I$1,SMALL(Dong1,ROWS($1:23)),)),IF($O$6="Q11",IF(ROWS($1:23)&gt;COUNT(Dong3),"",OFFSET('Q11-USD'!I$1,SMALL(Dong3,ROWS($1:23)),)),IF(ROWS($1:23)&gt;COUNT(Dong3),IF(ROWS($1:23)&gt;COUNT(Dong3,Dong1),"",OFFSET('Q4-USD'!I$1,SMALL(Dong1,ROWS($1:23)-COUNT(Dong3)),)),OFFSET('Q11-USD'!I$1,SMALL(Dong3,ROWS($1:23)),))))</f>
        <v>0</v>
      </c>
      <c r="I34" s="327">
        <f ca="1">IF($O$6="Q4",IF(ROWS($1:23)&gt;COUNT(Dong1),"",OFFSET('Q4-USD'!J$1,SMALL(Dong1,ROWS($1:23)),)),IF($O$6="Q11",IF(ROWS($1:23)&gt;COUNT(Dong3),"",OFFSET('Q11-USD'!J$1,SMALL(Dong3,ROWS($1:23)),)),IF(ROWS($1:23)&gt;COUNT(Dong3),IF(ROWS($1:23)&gt;COUNT(Dong3,Dong1),"",OFFSET('Q4-USD'!J$1,SMALL(Dong1,ROWS($1:23)-COUNT(Dong3)),)),OFFSET('Q11-USD'!J$1,SMALL(Dong3,ROWS($1:23)),))))</f>
        <v>15</v>
      </c>
      <c r="J34" s="328">
        <f t="shared" ca="1" si="1"/>
        <v>18.760000000000002</v>
      </c>
      <c r="K34" s="304"/>
      <c r="L34" s="335"/>
    </row>
    <row r="35" spans="1:12" s="287" customFormat="1" ht="17.25" customHeight="1">
      <c r="A35" s="300">
        <f ca="1">IF($O$6="Q4",IF(ROWS($1:24)&gt;COUNT(Dong1),"",OFFSET('Q4-USD'!B$1,SMALL(Dong1,ROWS($1:24)),)),IF($O$6="Q11",IF(ROWS($1:24)&gt;COUNT(Dong3),"",OFFSET('Q11-USD'!B$1,SMALL(Dong3,ROWS($1:24)),)),IF(ROWS($1:24)&gt;COUNT(Dong3),IF(ROWS($1:24)&gt;COUNT(Dong3,Dong1),"",OFFSET('Q4-USD'!B$1,SMALL(Dong1,ROWS($1:24)-COUNT(Dong3)),)),OFFSET('Q11-USD'!B$1,SMALL(Dong3,ROWS($1:24)),))))</f>
        <v>41475</v>
      </c>
      <c r="B35" s="300" t="str">
        <f ca="1">IF($O$6="Q4",IF(ROWS($1:24)&gt;COUNT(Dong1),"",OFFSET('Q4-USD'!C$1,SMALL(Dong1,ROWS($1:24)),)),IF($O$6="Q11",IF(ROWS($1:24)&gt;COUNT(Dong3),"",OFFSET('Q11-USD'!C$1,SMALL(Dong3,ROWS($1:24)),)),IF(ROWS($1:24)&gt;COUNT(Dong3),IF(ROWS($1:24)&gt;COUNT(Dong3,Dong1),"",OFFSET('Q4-USD'!C$1,SMALL(Dong1,ROWS($1:24)-COUNT(Dong3)),)),OFFSET('Q11-USD'!C$1,SMALL(Dong3,ROWS($1:24)),))))</f>
        <v>GBN</v>
      </c>
      <c r="C35" s="300">
        <f ca="1">IF($O$6="Q4",IF(ROWS($1:24)&gt;COUNT(Dong1),"",OFFSET('Q4-USD'!D$1,SMALL(Dong1,ROWS($1:24)),)),IF($O$6="Q11",IF(ROWS($1:24)&gt;COUNT(Dong3),"",OFFSET('Q11-USD'!D$1,SMALL(Dong3,ROWS($1:24)),)),IF(ROWS($1:24)&gt;COUNT(Dong3),IF(ROWS($1:24)&gt;COUNT(Dong3,Dong1),"",OFFSET('Q4-USD'!D$1,SMALL(Dong1,ROWS($1:24)-COUNT(Dong3)),)),OFFSET('Q11-USD'!D$1,SMALL(Dong3,ROWS($1:24)),))))</f>
        <v>41475</v>
      </c>
      <c r="D35" s="301" t="str">
        <f ca="1">IF($O$6="Q4",IF(ROWS($1:24)&gt;COUNT(Dong1),"",OFFSET('Q4-USD'!E$1,SMALL(Dong1,ROWS($1:24)),)),IF($O$6="Q11",IF(ROWS($1:24)&gt;COUNT(Dong3),"",OFFSET('Q11-USD'!E$1,SMALL(Dong3,ROWS($1:24)),)),IF(ROWS($1:24)&gt;COUNT(Dong3),IF(ROWS($1:24)&gt;COUNT(Dong3,Dong1),"","Q4 - "&amp;OFFSET('Q4-USD'!E$1,SMALL(Dong1,ROWS($1:24)-COUNT(Dong3)),)),"Q11 - "&amp;OFFSET('Q11-USD'!E$1,SMALL(Dong3,ROWS($1:24)),))))</f>
        <v>Q11 - VAT Phí thông báo L/C</v>
      </c>
      <c r="E35" s="302" t="str">
        <f ca="1">IF($O$6="Q4",IF(ROWS($1:24)&gt;COUNT(Dong1),"",OFFSET('Q4-USD'!G$1,SMALL(Dong1,ROWS($1:24)),)),IF($O$6="Q11",IF(ROWS($1:24)&gt;COUNT(Dong3),"",OFFSET('Q11-USD'!G$1,SMALL(Dong3,ROWS($1:24)),)),IF(ROWS($1:24)&gt;COUNT(Dong3),IF(ROWS($1:24)&gt;COUNT(Dong3,Dong1),"",OFFSET('Q4-USD'!G$1,SMALL(Dong1,ROWS($1:24)-COUNT(Dong3)),)),OFFSET('Q11-USD'!G$1,SMALL(Dong3,ROWS($1:24)),))))</f>
        <v>1331</v>
      </c>
      <c r="F35" s="303">
        <f ca="1">IF($O$6="Q4",IF(ROWS($1:24)&gt;COUNT(Dong1),"",OFFSET('Q4-USD'!H$1,SMALL(Dong1,ROWS($1:24)),)),IF($O$6="Q11",IF(ROWS($1:24)&gt;COUNT(Dong3),"",OFFSET('Q11-USD'!H$1,SMALL(Dong3,ROWS($1:24)),)),IF(ROWS($1:24)&gt;COUNT(Dong3),IF(ROWS($1:24)&gt;COUNT(Dong3,Dong1),"",OFFSET('Q4-USD'!H$1,SMALL(Dong1,ROWS($1:24)-COUNT(Dong3)),)),OFFSET('Q11-USD'!H$1,SMALL(Dong3,ROWS($1:24)),))))</f>
        <v>21200</v>
      </c>
      <c r="G35" s="303">
        <f t="shared" ca="1" si="0"/>
        <v>31800</v>
      </c>
      <c r="H35" s="327">
        <f ca="1">IF($O$6="Q4",IF(ROWS($1:24)&gt;COUNT(Dong1),"",OFFSET('Q4-USD'!I$1,SMALL(Dong1,ROWS($1:24)),)),IF($O$6="Q11",IF(ROWS($1:24)&gt;COUNT(Dong3),"",OFFSET('Q11-USD'!I$1,SMALL(Dong3,ROWS($1:24)),)),IF(ROWS($1:24)&gt;COUNT(Dong3),IF(ROWS($1:24)&gt;COUNT(Dong3,Dong1),"",OFFSET('Q4-USD'!I$1,SMALL(Dong1,ROWS($1:24)-COUNT(Dong3)),)),OFFSET('Q11-USD'!I$1,SMALL(Dong3,ROWS($1:24)),))))</f>
        <v>0</v>
      </c>
      <c r="I35" s="327">
        <f ca="1">IF($O$6="Q4",IF(ROWS($1:24)&gt;COUNT(Dong1),"",OFFSET('Q4-USD'!J$1,SMALL(Dong1,ROWS($1:24)),)),IF($O$6="Q11",IF(ROWS($1:24)&gt;COUNT(Dong3),"",OFFSET('Q11-USD'!J$1,SMALL(Dong3,ROWS($1:24)),)),IF(ROWS($1:24)&gt;COUNT(Dong3),IF(ROWS($1:24)&gt;COUNT(Dong3,Dong1),"",OFFSET('Q4-USD'!J$1,SMALL(Dong1,ROWS($1:24)-COUNT(Dong3)),)),OFFSET('Q11-USD'!J$1,SMALL(Dong3,ROWS($1:24)),))))</f>
        <v>1.5</v>
      </c>
      <c r="J35" s="328">
        <f t="shared" ca="1" si="1"/>
        <v>17.260000000000002</v>
      </c>
      <c r="K35" s="304"/>
      <c r="L35" s="335"/>
    </row>
    <row r="36" spans="1:12" s="287" customFormat="1" ht="17.25" customHeight="1">
      <c r="A36" s="300">
        <f ca="1">IF($O$6="Q4",IF(ROWS($1:25)&gt;COUNT(Dong1),"",OFFSET('Q4-USD'!B$1,SMALL(Dong1,ROWS($1:25)),)),IF($O$6="Q11",IF(ROWS($1:25)&gt;COUNT(Dong3),"",OFFSET('Q11-USD'!B$1,SMALL(Dong3,ROWS($1:25)),)),IF(ROWS($1:25)&gt;COUNT(Dong3),IF(ROWS($1:25)&gt;COUNT(Dong3,Dong1),"",OFFSET('Q4-USD'!B$1,SMALL(Dong1,ROWS($1:25)-COUNT(Dong3)),)),OFFSET('Q11-USD'!B$1,SMALL(Dong3,ROWS($1:25)),))))</f>
        <v>41484</v>
      </c>
      <c r="B36" s="300" t="str">
        <f ca="1">IF($O$6="Q4",IF(ROWS($1:25)&gt;COUNT(Dong1),"",OFFSET('Q4-USD'!C$1,SMALL(Dong1,ROWS($1:25)),)),IF($O$6="Q11",IF(ROWS($1:25)&gt;COUNT(Dong3),"",OFFSET('Q11-USD'!C$1,SMALL(Dong3,ROWS($1:25)),)),IF(ROWS($1:25)&gt;COUNT(Dong3),IF(ROWS($1:25)&gt;COUNT(Dong3,Dong1),"",OFFSET('Q4-USD'!C$1,SMALL(Dong1,ROWS($1:25)-COUNT(Dong3)),)),OFFSET('Q11-USD'!C$1,SMALL(Dong3,ROWS($1:25)),))))</f>
        <v>GBC</v>
      </c>
      <c r="C36" s="300">
        <f ca="1">IF($O$6="Q4",IF(ROWS($1:25)&gt;COUNT(Dong1),"",OFFSET('Q4-USD'!D$1,SMALL(Dong1,ROWS($1:25)),)),IF($O$6="Q11",IF(ROWS($1:25)&gt;COUNT(Dong3),"",OFFSET('Q11-USD'!D$1,SMALL(Dong3,ROWS($1:25)),)),IF(ROWS($1:25)&gt;COUNT(Dong3),IF(ROWS($1:25)&gt;COUNT(Dong3,Dong1),"",OFFSET('Q4-USD'!D$1,SMALL(Dong1,ROWS($1:25)-COUNT(Dong3)),)),OFFSET('Q11-USD'!D$1,SMALL(Dong3,ROWS($1:25)),))))</f>
        <v>41484</v>
      </c>
      <c r="D36" s="301" t="str">
        <f ca="1">IF($O$6="Q4",IF(ROWS($1:25)&gt;COUNT(Dong1),"",OFFSET('Q4-USD'!E$1,SMALL(Dong1,ROWS($1:25)),)),IF($O$6="Q11",IF(ROWS($1:25)&gt;COUNT(Dong3),"",OFFSET('Q11-USD'!E$1,SMALL(Dong3,ROWS($1:25)),)),IF(ROWS($1:25)&gt;COUNT(Dong3),IF(ROWS($1:25)&gt;COUNT(Dong3,Dong1),"","Q4 - "&amp;OFFSET('Q4-USD'!E$1,SMALL(Dong1,ROWS($1:25)-COUNT(Dong3)),)),"Q11 - "&amp;OFFSET('Q11-USD'!E$1,SMALL(Dong3,ROWS($1:25)),))))</f>
        <v>Q11 - Thu tiền L/C</v>
      </c>
      <c r="E36" s="302" t="str">
        <f ca="1">IF($O$6="Q4",IF(ROWS($1:25)&gt;COUNT(Dong1),"",OFFSET('Q4-USD'!G$1,SMALL(Dong1,ROWS($1:25)),)),IF($O$6="Q11",IF(ROWS($1:25)&gt;COUNT(Dong3),"",OFFSET('Q11-USD'!G$1,SMALL(Dong3,ROWS($1:25)),)),IF(ROWS($1:25)&gt;COUNT(Dong3),IF(ROWS($1:25)&gt;COUNT(Dong3,Dong1),"",OFFSET('Q4-USD'!G$1,SMALL(Dong1,ROWS($1:25)-COUNT(Dong3)),)),OFFSET('Q11-USD'!G$1,SMALL(Dong3,ROWS($1:25)),))))</f>
        <v>131</v>
      </c>
      <c r="F36" s="303">
        <f ca="1">IF($O$6="Q4",IF(ROWS($1:25)&gt;COUNT(Dong1),"",OFFSET('Q4-USD'!H$1,SMALL(Dong1,ROWS($1:25)),)),IF($O$6="Q11",IF(ROWS($1:25)&gt;COUNT(Dong3),"",OFFSET('Q11-USD'!H$1,SMALL(Dong3,ROWS($1:25)),)),IF(ROWS($1:25)&gt;COUNT(Dong3),IF(ROWS($1:25)&gt;COUNT(Dong3,Dong1),"",OFFSET('Q4-USD'!H$1,SMALL(Dong1,ROWS($1:25)-COUNT(Dong3)),)),OFFSET('Q11-USD'!H$1,SMALL(Dong3,ROWS($1:25)),))))</f>
        <v>21180</v>
      </c>
      <c r="G36" s="303">
        <f t="shared" ca="1" si="0"/>
        <v>38851109</v>
      </c>
      <c r="H36" s="327">
        <f ca="1">IF($O$6="Q4",IF(ROWS($1:25)&gt;COUNT(Dong1),"",OFFSET('Q4-USD'!I$1,SMALL(Dong1,ROWS($1:25)),)),IF($O$6="Q11",IF(ROWS($1:25)&gt;COUNT(Dong3),"",OFFSET('Q11-USD'!I$1,SMALL(Dong3,ROWS($1:25)),)),IF(ROWS($1:25)&gt;COUNT(Dong3),IF(ROWS($1:25)&gt;COUNT(Dong3,Dong1),"",OFFSET('Q4-USD'!I$1,SMALL(Dong1,ROWS($1:25)-COUNT(Dong3)),)),OFFSET('Q11-USD'!I$1,SMALL(Dong3,ROWS($1:25)),))))</f>
        <v>1834.33</v>
      </c>
      <c r="I36" s="327">
        <f ca="1">IF($O$6="Q4",IF(ROWS($1:25)&gt;COUNT(Dong1),"",OFFSET('Q4-USD'!J$1,SMALL(Dong1,ROWS($1:25)),)),IF($O$6="Q11",IF(ROWS($1:25)&gt;COUNT(Dong3),"",OFFSET('Q11-USD'!J$1,SMALL(Dong3,ROWS($1:25)),)),IF(ROWS($1:25)&gt;COUNT(Dong3),IF(ROWS($1:25)&gt;COUNT(Dong3,Dong1),"",OFFSET('Q4-USD'!J$1,SMALL(Dong1,ROWS($1:25)-COUNT(Dong3)),)),OFFSET('Q11-USD'!J$1,SMALL(Dong3,ROWS($1:25)),))))</f>
        <v>0</v>
      </c>
      <c r="J36" s="328">
        <f t="shared" ca="1" si="1"/>
        <v>1851.59</v>
      </c>
      <c r="K36" s="304"/>
      <c r="L36" s="335"/>
    </row>
    <row r="37" spans="1:12" s="287" customFormat="1" ht="17.25" customHeight="1">
      <c r="A37" s="300" t="str">
        <f ca="1">IF($O$6="Q4",IF(ROWS($1:26)&gt;COUNT(Dong1),"",OFFSET('Q4-USD'!B$1,SMALL(Dong1,ROWS($1:26)),)),IF($O$6="Q11",IF(ROWS($1:26)&gt;COUNT(Dong3),"",OFFSET('Q11-USD'!B$1,SMALL(Dong3,ROWS($1:26)),)),IF(ROWS($1:26)&gt;COUNT(Dong3),IF(ROWS($1:26)&gt;COUNT(Dong3,Dong1),"",OFFSET('Q4-USD'!B$1,SMALL(Dong1,ROWS($1:26)-COUNT(Dong3)),)),OFFSET('Q11-USD'!B$1,SMALL(Dong3,ROWS($1:26)),))))</f>
        <v/>
      </c>
      <c r="B37" s="300" t="str">
        <f ca="1">IF($O$6="Q4",IF(ROWS($1:26)&gt;COUNT(Dong1),"",OFFSET('Q4-USD'!C$1,SMALL(Dong1,ROWS($1:26)),)),IF($O$6="Q11",IF(ROWS($1:26)&gt;COUNT(Dong3),"",OFFSET('Q11-USD'!C$1,SMALL(Dong3,ROWS($1:26)),)),IF(ROWS($1:26)&gt;COUNT(Dong3),IF(ROWS($1:26)&gt;COUNT(Dong3,Dong1),"",OFFSET('Q4-USD'!C$1,SMALL(Dong1,ROWS($1:26)-COUNT(Dong3)),)),OFFSET('Q11-USD'!C$1,SMALL(Dong3,ROWS($1:26)),))))</f>
        <v/>
      </c>
      <c r="C37" s="300" t="str">
        <f ca="1">IF($O$6="Q4",IF(ROWS($1:26)&gt;COUNT(Dong1),"",OFFSET('Q4-USD'!D$1,SMALL(Dong1,ROWS($1:26)),)),IF($O$6="Q11",IF(ROWS($1:26)&gt;COUNT(Dong3),"",OFFSET('Q11-USD'!D$1,SMALL(Dong3,ROWS($1:26)),)),IF(ROWS($1:26)&gt;COUNT(Dong3),IF(ROWS($1:26)&gt;COUNT(Dong3,Dong1),"",OFFSET('Q4-USD'!D$1,SMALL(Dong1,ROWS($1:26)-COUNT(Dong3)),)),OFFSET('Q11-USD'!D$1,SMALL(Dong3,ROWS($1:26)),))))</f>
        <v/>
      </c>
      <c r="D37" s="301" t="str">
        <f ca="1">IF($O$6="Q4",IF(ROWS($1:26)&gt;COUNT(Dong1),"",OFFSET('Q4-USD'!E$1,SMALL(Dong1,ROWS($1:26)),)),IF($O$6="Q11",IF(ROWS($1:26)&gt;COUNT(Dong3),"",OFFSET('Q11-USD'!E$1,SMALL(Dong3,ROWS($1:26)),)),IF(ROWS($1:26)&gt;COUNT(Dong3),IF(ROWS($1:26)&gt;COUNT(Dong3,Dong1),"","Q4 - "&amp;OFFSET('Q4-USD'!E$1,SMALL(Dong1,ROWS($1:26)-COUNT(Dong3)),)),"Q11 - "&amp;OFFSET('Q11-USD'!E$1,SMALL(Dong3,ROWS($1:26)),))))</f>
        <v/>
      </c>
      <c r="E37" s="302" t="str">
        <f ca="1">IF($O$6="Q4",IF(ROWS($1:26)&gt;COUNT(Dong1),"",OFFSET('Q4-USD'!G$1,SMALL(Dong1,ROWS($1:26)),)),IF($O$6="Q11",IF(ROWS($1:26)&gt;COUNT(Dong3),"",OFFSET('Q11-USD'!G$1,SMALL(Dong3,ROWS($1:26)),)),IF(ROWS($1:26)&gt;COUNT(Dong3),IF(ROWS($1:26)&gt;COUNT(Dong3,Dong1),"",OFFSET('Q4-USD'!G$1,SMALL(Dong1,ROWS($1:26)-COUNT(Dong3)),)),OFFSET('Q11-USD'!G$1,SMALL(Dong3,ROWS($1:26)),))))</f>
        <v/>
      </c>
      <c r="F37" s="303" t="str">
        <f ca="1">IF($O$6="Q4",IF(ROWS($1:26)&gt;COUNT(Dong1),"",OFFSET('Q4-USD'!H$1,SMALL(Dong1,ROWS($1:26)),)),IF($O$6="Q11",IF(ROWS($1:26)&gt;COUNT(Dong3),"",OFFSET('Q11-USD'!H$1,SMALL(Dong3,ROWS($1:26)),)),IF(ROWS($1:26)&gt;COUNT(Dong3),IF(ROWS($1:26)&gt;COUNT(Dong3,Dong1),"",OFFSET('Q4-USD'!H$1,SMALL(Dong1,ROWS($1:26)-COUNT(Dong3)),)),OFFSET('Q11-USD'!H$1,SMALL(Dong3,ROWS($1:26)),))))</f>
        <v/>
      </c>
      <c r="G37" s="303" t="str">
        <f t="shared" ca="1" si="0"/>
        <v/>
      </c>
      <c r="H37" s="327" t="str">
        <f ca="1">IF($O$6="Q4",IF(ROWS($1:26)&gt;COUNT(Dong1),"",OFFSET('Q4-USD'!I$1,SMALL(Dong1,ROWS($1:26)),)),IF($O$6="Q11",IF(ROWS($1:26)&gt;COUNT(Dong3),"",OFFSET('Q11-USD'!I$1,SMALL(Dong3,ROWS($1:26)),)),IF(ROWS($1:26)&gt;COUNT(Dong3),IF(ROWS($1:26)&gt;COUNT(Dong3,Dong1),"",OFFSET('Q4-USD'!I$1,SMALL(Dong1,ROWS($1:26)-COUNT(Dong3)),)),OFFSET('Q11-USD'!I$1,SMALL(Dong3,ROWS($1:26)),))))</f>
        <v/>
      </c>
      <c r="I37" s="327" t="str">
        <f ca="1">IF($O$6="Q4",IF(ROWS($1:26)&gt;COUNT(Dong1),"",OFFSET('Q4-USD'!J$1,SMALL(Dong1,ROWS($1:26)),)),IF($O$6="Q11",IF(ROWS($1:26)&gt;COUNT(Dong3),"",OFFSET('Q11-USD'!J$1,SMALL(Dong3,ROWS($1:26)),)),IF(ROWS($1:26)&gt;COUNT(Dong3),IF(ROWS($1:26)&gt;COUNT(Dong3,Dong1),"",OFFSET('Q4-USD'!J$1,SMALL(Dong1,ROWS($1:26)-COUNT(Dong3)),)),OFFSET('Q11-USD'!J$1,SMALL(Dong3,ROWS($1:26)),))))</f>
        <v/>
      </c>
      <c r="J37" s="328" t="str">
        <f t="shared" ca="1" si="1"/>
        <v/>
      </c>
      <c r="K37" s="304"/>
      <c r="L37" s="335"/>
    </row>
    <row r="38" spans="1:12" s="287" customFormat="1" ht="17.25" customHeight="1">
      <c r="A38" s="300" t="str">
        <f ca="1">IF($O$6="Q4",IF(ROWS($1:27)&gt;COUNT(Dong1),"",OFFSET('Q4-USD'!B$1,SMALL(Dong1,ROWS($1:27)),)),IF($O$6="Q11",IF(ROWS($1:27)&gt;COUNT(Dong3),"",OFFSET('Q11-USD'!B$1,SMALL(Dong3,ROWS($1:27)),)),IF(ROWS($1:27)&gt;COUNT(Dong3),IF(ROWS($1:27)&gt;COUNT(Dong3,Dong1),"",OFFSET('Q4-USD'!B$1,SMALL(Dong1,ROWS($1:27)-COUNT(Dong3)),)),OFFSET('Q11-USD'!B$1,SMALL(Dong3,ROWS($1:27)),))))</f>
        <v/>
      </c>
      <c r="B38" s="300" t="str">
        <f ca="1">IF($O$6="Q4",IF(ROWS($1:27)&gt;COUNT(Dong1),"",OFFSET('Q4-USD'!C$1,SMALL(Dong1,ROWS($1:27)),)),IF($O$6="Q11",IF(ROWS($1:27)&gt;COUNT(Dong3),"",OFFSET('Q11-USD'!C$1,SMALL(Dong3,ROWS($1:27)),)),IF(ROWS($1:27)&gt;COUNT(Dong3),IF(ROWS($1:27)&gt;COUNT(Dong3,Dong1),"",OFFSET('Q4-USD'!C$1,SMALL(Dong1,ROWS($1:27)-COUNT(Dong3)),)),OFFSET('Q11-USD'!C$1,SMALL(Dong3,ROWS($1:27)),))))</f>
        <v/>
      </c>
      <c r="C38" s="300" t="str">
        <f ca="1">IF($O$6="Q4",IF(ROWS($1:27)&gt;COUNT(Dong1),"",OFFSET('Q4-USD'!D$1,SMALL(Dong1,ROWS($1:27)),)),IF($O$6="Q11",IF(ROWS($1:27)&gt;COUNT(Dong3),"",OFFSET('Q11-USD'!D$1,SMALL(Dong3,ROWS($1:27)),)),IF(ROWS($1:27)&gt;COUNT(Dong3),IF(ROWS($1:27)&gt;COUNT(Dong3,Dong1),"",OFFSET('Q4-USD'!D$1,SMALL(Dong1,ROWS($1:27)-COUNT(Dong3)),)),OFFSET('Q11-USD'!D$1,SMALL(Dong3,ROWS($1:27)),))))</f>
        <v/>
      </c>
      <c r="D38" s="301" t="str">
        <f ca="1">IF($O$6="Q4",IF(ROWS($1:27)&gt;COUNT(Dong1),"",OFFSET('Q4-USD'!E$1,SMALL(Dong1,ROWS($1:27)),)),IF($O$6="Q11",IF(ROWS($1:27)&gt;COUNT(Dong3),"",OFFSET('Q11-USD'!E$1,SMALL(Dong3,ROWS($1:27)),)),IF(ROWS($1:27)&gt;COUNT(Dong3),IF(ROWS($1:27)&gt;COUNT(Dong3,Dong1),"","Q4 - "&amp;OFFSET('Q4-USD'!E$1,SMALL(Dong1,ROWS($1:27)-COUNT(Dong3)),)),"Q11 - "&amp;OFFSET('Q11-USD'!E$1,SMALL(Dong3,ROWS($1:27)),))))</f>
        <v/>
      </c>
      <c r="E38" s="302" t="str">
        <f ca="1">IF($O$6="Q4",IF(ROWS($1:27)&gt;COUNT(Dong1),"",OFFSET('Q4-USD'!G$1,SMALL(Dong1,ROWS($1:27)),)),IF($O$6="Q11",IF(ROWS($1:27)&gt;COUNT(Dong3),"",OFFSET('Q11-USD'!G$1,SMALL(Dong3,ROWS($1:27)),)),IF(ROWS($1:27)&gt;COUNT(Dong3),IF(ROWS($1:27)&gt;COUNT(Dong3,Dong1),"",OFFSET('Q4-USD'!G$1,SMALL(Dong1,ROWS($1:27)-COUNT(Dong3)),)),OFFSET('Q11-USD'!G$1,SMALL(Dong3,ROWS($1:27)),))))</f>
        <v/>
      </c>
      <c r="F38" s="303" t="str">
        <f ca="1">IF($O$6="Q4",IF(ROWS($1:27)&gt;COUNT(Dong1),"",OFFSET('Q4-USD'!H$1,SMALL(Dong1,ROWS($1:27)),)),IF($O$6="Q11",IF(ROWS($1:27)&gt;COUNT(Dong3),"",OFFSET('Q11-USD'!H$1,SMALL(Dong3,ROWS($1:27)),)),IF(ROWS($1:27)&gt;COUNT(Dong3),IF(ROWS($1:27)&gt;COUNT(Dong3,Dong1),"",OFFSET('Q4-USD'!H$1,SMALL(Dong1,ROWS($1:27)-COUNT(Dong3)),)),OFFSET('Q11-USD'!H$1,SMALL(Dong3,ROWS($1:27)),))))</f>
        <v/>
      </c>
      <c r="G38" s="303" t="str">
        <f t="shared" ca="1" si="0"/>
        <v/>
      </c>
      <c r="H38" s="327" t="str">
        <f ca="1">IF($O$6="Q4",IF(ROWS($1:27)&gt;COUNT(Dong1),"",OFFSET('Q4-USD'!I$1,SMALL(Dong1,ROWS($1:27)),)),IF($O$6="Q11",IF(ROWS($1:27)&gt;COUNT(Dong3),"",OFFSET('Q11-USD'!I$1,SMALL(Dong3,ROWS($1:27)),)),IF(ROWS($1:27)&gt;COUNT(Dong3),IF(ROWS($1:27)&gt;COUNT(Dong3,Dong1),"",OFFSET('Q4-USD'!I$1,SMALL(Dong1,ROWS($1:27)-COUNT(Dong3)),)),OFFSET('Q11-USD'!I$1,SMALL(Dong3,ROWS($1:27)),))))</f>
        <v/>
      </c>
      <c r="I38" s="327" t="str">
        <f ca="1">IF($O$6="Q4",IF(ROWS($1:27)&gt;COUNT(Dong1),"",OFFSET('Q4-USD'!J$1,SMALL(Dong1,ROWS($1:27)),)),IF($O$6="Q11",IF(ROWS($1:27)&gt;COUNT(Dong3),"",OFFSET('Q11-USD'!J$1,SMALL(Dong3,ROWS($1:27)),)),IF(ROWS($1:27)&gt;COUNT(Dong3),IF(ROWS($1:27)&gt;COUNT(Dong3,Dong1),"",OFFSET('Q4-USD'!J$1,SMALL(Dong1,ROWS($1:27)-COUNT(Dong3)),)),OFFSET('Q11-USD'!J$1,SMALL(Dong3,ROWS($1:27)),))))</f>
        <v/>
      </c>
      <c r="J38" s="328" t="str">
        <f t="shared" ca="1" si="1"/>
        <v/>
      </c>
      <c r="K38" s="304"/>
      <c r="L38" s="335"/>
    </row>
    <row r="39" spans="1:12" s="287" customFormat="1" ht="17.25" customHeight="1">
      <c r="A39" s="300" t="str">
        <f ca="1">IF($O$6="Q4",IF(ROWS($1:28)&gt;COUNT(Dong1),"",OFFSET('Q4-USD'!B$1,SMALL(Dong1,ROWS($1:28)),)),IF($O$6="Q11",IF(ROWS($1:28)&gt;COUNT(Dong3),"",OFFSET('Q11-USD'!B$1,SMALL(Dong3,ROWS($1:28)),)),IF(ROWS($1:28)&gt;COUNT(Dong3),IF(ROWS($1:28)&gt;COUNT(Dong3,Dong1),"",OFFSET('Q4-USD'!B$1,SMALL(Dong1,ROWS($1:28)-COUNT(Dong3)),)),OFFSET('Q11-USD'!B$1,SMALL(Dong3,ROWS($1:28)),))))</f>
        <v/>
      </c>
      <c r="B39" s="300" t="str">
        <f ca="1">IF($O$6="Q4",IF(ROWS($1:28)&gt;COUNT(Dong1),"",OFFSET('Q4-USD'!C$1,SMALL(Dong1,ROWS($1:28)),)),IF($O$6="Q11",IF(ROWS($1:28)&gt;COUNT(Dong3),"",OFFSET('Q11-USD'!C$1,SMALL(Dong3,ROWS($1:28)),)),IF(ROWS($1:28)&gt;COUNT(Dong3),IF(ROWS($1:28)&gt;COUNT(Dong3,Dong1),"",OFFSET('Q4-USD'!C$1,SMALL(Dong1,ROWS($1:28)-COUNT(Dong3)),)),OFFSET('Q11-USD'!C$1,SMALL(Dong3,ROWS($1:28)),))))</f>
        <v/>
      </c>
      <c r="C39" s="300" t="str">
        <f ca="1">IF($O$6="Q4",IF(ROWS($1:28)&gt;COUNT(Dong1),"",OFFSET('Q4-USD'!D$1,SMALL(Dong1,ROWS($1:28)),)),IF($O$6="Q11",IF(ROWS($1:28)&gt;COUNT(Dong3),"",OFFSET('Q11-USD'!D$1,SMALL(Dong3,ROWS($1:28)),)),IF(ROWS($1:28)&gt;COUNT(Dong3),IF(ROWS($1:28)&gt;COUNT(Dong3,Dong1),"",OFFSET('Q4-USD'!D$1,SMALL(Dong1,ROWS($1:28)-COUNT(Dong3)),)),OFFSET('Q11-USD'!D$1,SMALL(Dong3,ROWS($1:28)),))))</f>
        <v/>
      </c>
      <c r="D39" s="301" t="str">
        <f ca="1">IF($O$6="Q4",IF(ROWS($1:28)&gt;COUNT(Dong1),"",OFFSET('Q4-USD'!E$1,SMALL(Dong1,ROWS($1:28)),)),IF($O$6="Q11",IF(ROWS($1:28)&gt;COUNT(Dong3),"",OFFSET('Q11-USD'!E$1,SMALL(Dong3,ROWS($1:28)),)),IF(ROWS($1:28)&gt;COUNT(Dong3),IF(ROWS($1:28)&gt;COUNT(Dong3,Dong1),"","Q4 - "&amp;OFFSET('Q4-USD'!E$1,SMALL(Dong1,ROWS($1:28)-COUNT(Dong3)),)),"Q11 - "&amp;OFFSET('Q11-USD'!E$1,SMALL(Dong3,ROWS($1:28)),))))</f>
        <v/>
      </c>
      <c r="E39" s="302" t="str">
        <f ca="1">IF($O$6="Q4",IF(ROWS($1:28)&gt;COUNT(Dong1),"",OFFSET('Q4-USD'!G$1,SMALL(Dong1,ROWS($1:28)),)),IF($O$6="Q11",IF(ROWS($1:28)&gt;COUNT(Dong3),"",OFFSET('Q11-USD'!G$1,SMALL(Dong3,ROWS($1:28)),)),IF(ROWS($1:28)&gt;COUNT(Dong3),IF(ROWS($1:28)&gt;COUNT(Dong3,Dong1),"",OFFSET('Q4-USD'!G$1,SMALL(Dong1,ROWS($1:28)-COUNT(Dong3)),)),OFFSET('Q11-USD'!G$1,SMALL(Dong3,ROWS($1:28)),))))</f>
        <v/>
      </c>
      <c r="F39" s="303" t="str">
        <f ca="1">IF($O$6="Q4",IF(ROWS($1:28)&gt;COUNT(Dong1),"",OFFSET('Q4-USD'!H$1,SMALL(Dong1,ROWS($1:28)),)),IF($O$6="Q11",IF(ROWS($1:28)&gt;COUNT(Dong3),"",OFFSET('Q11-USD'!H$1,SMALL(Dong3,ROWS($1:28)),)),IF(ROWS($1:28)&gt;COUNT(Dong3),IF(ROWS($1:28)&gt;COUNT(Dong3,Dong1),"",OFFSET('Q4-USD'!H$1,SMALL(Dong1,ROWS($1:28)-COUNT(Dong3)),)),OFFSET('Q11-USD'!H$1,SMALL(Dong3,ROWS($1:28)),))))</f>
        <v/>
      </c>
      <c r="G39" s="303" t="str">
        <f t="shared" ca="1" si="0"/>
        <v/>
      </c>
      <c r="H39" s="327" t="str">
        <f ca="1">IF($O$6="Q4",IF(ROWS($1:28)&gt;COUNT(Dong1),"",OFFSET('Q4-USD'!I$1,SMALL(Dong1,ROWS($1:28)),)),IF($O$6="Q11",IF(ROWS($1:28)&gt;COUNT(Dong3),"",OFFSET('Q11-USD'!I$1,SMALL(Dong3,ROWS($1:28)),)),IF(ROWS($1:28)&gt;COUNT(Dong3),IF(ROWS($1:28)&gt;COUNT(Dong3,Dong1),"",OFFSET('Q4-USD'!I$1,SMALL(Dong1,ROWS($1:28)-COUNT(Dong3)),)),OFFSET('Q11-USD'!I$1,SMALL(Dong3,ROWS($1:28)),))))</f>
        <v/>
      </c>
      <c r="I39" s="327" t="str">
        <f ca="1">IF($O$6="Q4",IF(ROWS($1:28)&gt;COUNT(Dong1),"",OFFSET('Q4-USD'!J$1,SMALL(Dong1,ROWS($1:28)),)),IF($O$6="Q11",IF(ROWS($1:28)&gt;COUNT(Dong3),"",OFFSET('Q11-USD'!J$1,SMALL(Dong3,ROWS($1:28)),)),IF(ROWS($1:28)&gt;COUNT(Dong3),IF(ROWS($1:28)&gt;COUNT(Dong3,Dong1),"",OFFSET('Q4-USD'!J$1,SMALL(Dong1,ROWS($1:28)-COUNT(Dong3)),)),OFFSET('Q11-USD'!J$1,SMALL(Dong3,ROWS($1:28)),))))</f>
        <v/>
      </c>
      <c r="J39" s="328" t="str">
        <f t="shared" ca="1" si="1"/>
        <v/>
      </c>
      <c r="K39" s="304"/>
      <c r="L39" s="335"/>
    </row>
    <row r="40" spans="1:12" s="287" customFormat="1" ht="17.25" customHeight="1">
      <c r="A40" s="300" t="str">
        <f ca="1">IF($O$6="Q4",IF(ROWS($1:29)&gt;COUNT(Dong1),"",OFFSET('Q4-USD'!B$1,SMALL(Dong1,ROWS($1:29)),)),IF($O$6="Q11",IF(ROWS($1:29)&gt;COUNT(Dong3),"",OFFSET('Q11-USD'!B$1,SMALL(Dong3,ROWS($1:29)),)),IF(ROWS($1:29)&gt;COUNT(Dong3),IF(ROWS($1:29)&gt;COUNT(Dong3,Dong1),"",OFFSET('Q4-USD'!B$1,SMALL(Dong1,ROWS($1:29)-COUNT(Dong3)),)),OFFSET('Q11-USD'!B$1,SMALL(Dong3,ROWS($1:29)),))))</f>
        <v/>
      </c>
      <c r="B40" s="300" t="str">
        <f ca="1">IF($O$6="Q4",IF(ROWS($1:29)&gt;COUNT(Dong1),"",OFFSET('Q4-USD'!C$1,SMALL(Dong1,ROWS($1:29)),)),IF($O$6="Q11",IF(ROWS($1:29)&gt;COUNT(Dong3),"",OFFSET('Q11-USD'!C$1,SMALL(Dong3,ROWS($1:29)),)),IF(ROWS($1:29)&gt;COUNT(Dong3),IF(ROWS($1:29)&gt;COUNT(Dong3,Dong1),"",OFFSET('Q4-USD'!C$1,SMALL(Dong1,ROWS($1:29)-COUNT(Dong3)),)),OFFSET('Q11-USD'!C$1,SMALL(Dong3,ROWS($1:29)),))))</f>
        <v/>
      </c>
      <c r="C40" s="300" t="str">
        <f ca="1">IF($O$6="Q4",IF(ROWS($1:29)&gt;COUNT(Dong1),"",OFFSET('Q4-USD'!D$1,SMALL(Dong1,ROWS($1:29)),)),IF($O$6="Q11",IF(ROWS($1:29)&gt;COUNT(Dong3),"",OFFSET('Q11-USD'!D$1,SMALL(Dong3,ROWS($1:29)),)),IF(ROWS($1:29)&gt;COUNT(Dong3),IF(ROWS($1:29)&gt;COUNT(Dong3,Dong1),"",OFFSET('Q4-USD'!D$1,SMALL(Dong1,ROWS($1:29)-COUNT(Dong3)),)),OFFSET('Q11-USD'!D$1,SMALL(Dong3,ROWS($1:29)),))))</f>
        <v/>
      </c>
      <c r="D40" s="301" t="str">
        <f ca="1">IF($O$6="Q4",IF(ROWS($1:29)&gt;COUNT(Dong1),"",OFFSET('Q4-USD'!E$1,SMALL(Dong1,ROWS($1:29)),)),IF($O$6="Q11",IF(ROWS($1:29)&gt;COUNT(Dong3),"",OFFSET('Q11-USD'!E$1,SMALL(Dong3,ROWS($1:29)),)),IF(ROWS($1:29)&gt;COUNT(Dong3),IF(ROWS($1:29)&gt;COUNT(Dong3,Dong1),"","Q4 - "&amp;OFFSET('Q4-USD'!E$1,SMALL(Dong1,ROWS($1:29)-COUNT(Dong3)),)),"Q11 - "&amp;OFFSET('Q11-USD'!E$1,SMALL(Dong3,ROWS($1:29)),))))</f>
        <v/>
      </c>
      <c r="E40" s="302" t="str">
        <f ca="1">IF($O$6="Q4",IF(ROWS($1:29)&gt;COUNT(Dong1),"",OFFSET('Q4-USD'!G$1,SMALL(Dong1,ROWS($1:29)),)),IF($O$6="Q11",IF(ROWS($1:29)&gt;COUNT(Dong3),"",OFFSET('Q11-USD'!G$1,SMALL(Dong3,ROWS($1:29)),)),IF(ROWS($1:29)&gt;COUNT(Dong3),IF(ROWS($1:29)&gt;COUNT(Dong3,Dong1),"",OFFSET('Q4-USD'!G$1,SMALL(Dong1,ROWS($1:29)-COUNT(Dong3)),)),OFFSET('Q11-USD'!G$1,SMALL(Dong3,ROWS($1:29)),))))</f>
        <v/>
      </c>
      <c r="F40" s="303" t="str">
        <f ca="1">IF($O$6="Q4",IF(ROWS($1:29)&gt;COUNT(Dong1),"",OFFSET('Q4-USD'!H$1,SMALL(Dong1,ROWS($1:29)),)),IF($O$6="Q11",IF(ROWS($1:29)&gt;COUNT(Dong3),"",OFFSET('Q11-USD'!H$1,SMALL(Dong3,ROWS($1:29)),)),IF(ROWS($1:29)&gt;COUNT(Dong3),IF(ROWS($1:29)&gt;COUNT(Dong3,Dong1),"",OFFSET('Q4-USD'!H$1,SMALL(Dong1,ROWS($1:29)-COUNT(Dong3)),)),OFFSET('Q11-USD'!H$1,SMALL(Dong3,ROWS($1:29)),))))</f>
        <v/>
      </c>
      <c r="G40" s="303" t="str">
        <f t="shared" ca="1" si="0"/>
        <v/>
      </c>
      <c r="H40" s="327" t="str">
        <f ca="1">IF($O$6="Q4",IF(ROWS($1:29)&gt;COUNT(Dong1),"",OFFSET('Q4-USD'!I$1,SMALL(Dong1,ROWS($1:29)),)),IF($O$6="Q11",IF(ROWS($1:29)&gt;COUNT(Dong3),"",OFFSET('Q11-USD'!I$1,SMALL(Dong3,ROWS($1:29)),)),IF(ROWS($1:29)&gt;COUNT(Dong3),IF(ROWS($1:29)&gt;COUNT(Dong3,Dong1),"",OFFSET('Q4-USD'!I$1,SMALL(Dong1,ROWS($1:29)-COUNT(Dong3)),)),OFFSET('Q11-USD'!I$1,SMALL(Dong3,ROWS($1:29)),))))</f>
        <v/>
      </c>
      <c r="I40" s="327" t="str">
        <f ca="1">IF($O$6="Q4",IF(ROWS($1:29)&gt;COUNT(Dong1),"",OFFSET('Q4-USD'!J$1,SMALL(Dong1,ROWS($1:29)),)),IF($O$6="Q11",IF(ROWS($1:29)&gt;COUNT(Dong3),"",OFFSET('Q11-USD'!J$1,SMALL(Dong3,ROWS($1:29)),)),IF(ROWS($1:29)&gt;COUNT(Dong3),IF(ROWS($1:29)&gt;COUNT(Dong3,Dong1),"",OFFSET('Q4-USD'!J$1,SMALL(Dong1,ROWS($1:29)-COUNT(Dong3)),)),OFFSET('Q11-USD'!J$1,SMALL(Dong3,ROWS($1:29)),))))</f>
        <v/>
      </c>
      <c r="J40" s="328" t="str">
        <f t="shared" ca="1" si="1"/>
        <v/>
      </c>
      <c r="K40" s="304"/>
      <c r="L40" s="335"/>
    </row>
    <row r="41" spans="1:12" s="287" customFormat="1" ht="17.25" customHeight="1">
      <c r="A41" s="300" t="str">
        <f ca="1">IF($O$6="Q4",IF(ROWS($1:30)&gt;COUNT(Dong1),"",OFFSET('Q4-USD'!B$1,SMALL(Dong1,ROWS($1:30)),)),IF($O$6="Q11",IF(ROWS($1:30)&gt;COUNT(Dong3),"",OFFSET('Q11-USD'!B$1,SMALL(Dong3,ROWS($1:30)),)),IF(ROWS($1:30)&gt;COUNT(Dong3),IF(ROWS($1:30)&gt;COUNT(Dong3,Dong1),"",OFFSET('Q4-USD'!B$1,SMALL(Dong1,ROWS($1:30)-COUNT(Dong3)),)),OFFSET('Q11-USD'!B$1,SMALL(Dong3,ROWS($1:30)),))))</f>
        <v/>
      </c>
      <c r="B41" s="300" t="str">
        <f ca="1">IF($O$6="Q4",IF(ROWS($1:30)&gt;COUNT(Dong1),"",OFFSET('Q4-USD'!C$1,SMALL(Dong1,ROWS($1:30)),)),IF($O$6="Q11",IF(ROWS($1:30)&gt;COUNT(Dong3),"",OFFSET('Q11-USD'!C$1,SMALL(Dong3,ROWS($1:30)),)),IF(ROWS($1:30)&gt;COUNT(Dong3),IF(ROWS($1:30)&gt;COUNT(Dong3,Dong1),"",OFFSET('Q4-USD'!C$1,SMALL(Dong1,ROWS($1:30)-COUNT(Dong3)),)),OFFSET('Q11-USD'!C$1,SMALL(Dong3,ROWS($1:30)),))))</f>
        <v/>
      </c>
      <c r="C41" s="300" t="str">
        <f ca="1">IF($O$6="Q4",IF(ROWS($1:30)&gt;COUNT(Dong1),"",OFFSET('Q4-USD'!D$1,SMALL(Dong1,ROWS($1:30)),)),IF($O$6="Q11",IF(ROWS($1:30)&gt;COUNT(Dong3),"",OFFSET('Q11-USD'!D$1,SMALL(Dong3,ROWS($1:30)),)),IF(ROWS($1:30)&gt;COUNT(Dong3),IF(ROWS($1:30)&gt;COUNT(Dong3,Dong1),"",OFFSET('Q4-USD'!D$1,SMALL(Dong1,ROWS($1:30)-COUNT(Dong3)),)),OFFSET('Q11-USD'!D$1,SMALL(Dong3,ROWS($1:30)),))))</f>
        <v/>
      </c>
      <c r="D41" s="301" t="str">
        <f ca="1">IF($O$6="Q4",IF(ROWS($1:30)&gt;COUNT(Dong1),"",OFFSET('Q4-USD'!E$1,SMALL(Dong1,ROWS($1:30)),)),IF($O$6="Q11",IF(ROWS($1:30)&gt;COUNT(Dong3),"",OFFSET('Q11-USD'!E$1,SMALL(Dong3,ROWS($1:30)),)),IF(ROWS($1:30)&gt;COUNT(Dong3),IF(ROWS($1:30)&gt;COUNT(Dong3,Dong1),"","Q4 - "&amp;OFFSET('Q4-USD'!E$1,SMALL(Dong1,ROWS($1:30)-COUNT(Dong3)),)),"Q11 - "&amp;OFFSET('Q11-USD'!E$1,SMALL(Dong3,ROWS($1:30)),))))</f>
        <v/>
      </c>
      <c r="E41" s="302" t="str">
        <f ca="1">IF($O$6="Q4",IF(ROWS($1:30)&gt;COUNT(Dong1),"",OFFSET('Q4-USD'!G$1,SMALL(Dong1,ROWS($1:30)),)),IF($O$6="Q11",IF(ROWS($1:30)&gt;COUNT(Dong3),"",OFFSET('Q11-USD'!G$1,SMALL(Dong3,ROWS($1:30)),)),IF(ROWS($1:30)&gt;COUNT(Dong3),IF(ROWS($1:30)&gt;COUNT(Dong3,Dong1),"",OFFSET('Q4-USD'!G$1,SMALL(Dong1,ROWS($1:30)-COUNT(Dong3)),)),OFFSET('Q11-USD'!G$1,SMALL(Dong3,ROWS($1:30)),))))</f>
        <v/>
      </c>
      <c r="F41" s="303" t="str">
        <f ca="1">IF($O$6="Q4",IF(ROWS($1:30)&gt;COUNT(Dong1),"",OFFSET('Q4-USD'!H$1,SMALL(Dong1,ROWS($1:30)),)),IF($O$6="Q11",IF(ROWS($1:30)&gt;COUNT(Dong3),"",OFFSET('Q11-USD'!H$1,SMALL(Dong3,ROWS($1:30)),)),IF(ROWS($1:30)&gt;COUNT(Dong3),IF(ROWS($1:30)&gt;COUNT(Dong3,Dong1),"",OFFSET('Q4-USD'!H$1,SMALL(Dong1,ROWS($1:30)-COUNT(Dong3)),)),OFFSET('Q11-USD'!H$1,SMALL(Dong3,ROWS($1:30)),))))</f>
        <v/>
      </c>
      <c r="G41" s="303" t="str">
        <f t="shared" ca="1" si="0"/>
        <v/>
      </c>
      <c r="H41" s="327" t="str">
        <f ca="1">IF($O$6="Q4",IF(ROWS($1:30)&gt;COUNT(Dong1),"",OFFSET('Q4-USD'!I$1,SMALL(Dong1,ROWS($1:30)),)),IF($O$6="Q11",IF(ROWS($1:30)&gt;COUNT(Dong3),"",OFFSET('Q11-USD'!I$1,SMALL(Dong3,ROWS($1:30)),)),IF(ROWS($1:30)&gt;COUNT(Dong3),IF(ROWS($1:30)&gt;COUNT(Dong3,Dong1),"",OFFSET('Q4-USD'!I$1,SMALL(Dong1,ROWS($1:30)-COUNT(Dong3)),)),OFFSET('Q11-USD'!I$1,SMALL(Dong3,ROWS($1:30)),))))</f>
        <v/>
      </c>
      <c r="I41" s="327" t="str">
        <f ca="1">IF($O$6="Q4",IF(ROWS($1:30)&gt;COUNT(Dong1),"",OFFSET('Q4-USD'!J$1,SMALL(Dong1,ROWS($1:30)),)),IF($O$6="Q11",IF(ROWS($1:30)&gt;COUNT(Dong3),"",OFFSET('Q11-USD'!J$1,SMALL(Dong3,ROWS($1:30)),)),IF(ROWS($1:30)&gt;COUNT(Dong3),IF(ROWS($1:30)&gt;COUNT(Dong3,Dong1),"",OFFSET('Q4-USD'!J$1,SMALL(Dong1,ROWS($1:30)-COUNT(Dong3)),)),OFFSET('Q11-USD'!J$1,SMALL(Dong3,ROWS($1:30)),))))</f>
        <v/>
      </c>
      <c r="J41" s="328" t="str">
        <f t="shared" ca="1" si="1"/>
        <v/>
      </c>
      <c r="K41" s="304"/>
      <c r="L41" s="335"/>
    </row>
    <row r="42" spans="1:12" s="287" customFormat="1" ht="17.25" customHeight="1">
      <c r="A42" s="300" t="str">
        <f ca="1">IF($O$6="Q4",IF(ROWS($1:31)&gt;COUNT(Dong1),"",OFFSET('Q4-USD'!B$1,SMALL(Dong1,ROWS($1:31)),)),IF($O$6="Q11",IF(ROWS($1:31)&gt;COUNT(Dong3),"",OFFSET('Q11-USD'!B$1,SMALL(Dong3,ROWS($1:31)),)),IF(ROWS($1:31)&gt;COUNT(Dong3),IF(ROWS($1:31)&gt;COUNT(Dong3,Dong1),"",OFFSET('Q4-USD'!B$1,SMALL(Dong1,ROWS($1:31)-COUNT(Dong3)),)),OFFSET('Q11-USD'!B$1,SMALL(Dong3,ROWS($1:31)),))))</f>
        <v/>
      </c>
      <c r="B42" s="300" t="str">
        <f ca="1">IF($O$6="Q4",IF(ROWS($1:31)&gt;COUNT(Dong1),"",OFFSET('Q4-USD'!C$1,SMALL(Dong1,ROWS($1:31)),)),IF($O$6="Q11",IF(ROWS($1:31)&gt;COUNT(Dong3),"",OFFSET('Q11-USD'!C$1,SMALL(Dong3,ROWS($1:31)),)),IF(ROWS($1:31)&gt;COUNT(Dong3),IF(ROWS($1:31)&gt;COUNT(Dong3,Dong1),"",OFFSET('Q4-USD'!C$1,SMALL(Dong1,ROWS($1:31)-COUNT(Dong3)),)),OFFSET('Q11-USD'!C$1,SMALL(Dong3,ROWS($1:31)),))))</f>
        <v/>
      </c>
      <c r="C42" s="300" t="str">
        <f ca="1">IF($O$6="Q4",IF(ROWS($1:31)&gt;COUNT(Dong1),"",OFFSET('Q4-USD'!D$1,SMALL(Dong1,ROWS($1:31)),)),IF($O$6="Q11",IF(ROWS($1:31)&gt;COUNT(Dong3),"",OFFSET('Q11-USD'!D$1,SMALL(Dong3,ROWS($1:31)),)),IF(ROWS($1:31)&gt;COUNT(Dong3),IF(ROWS($1:31)&gt;COUNT(Dong3,Dong1),"",OFFSET('Q4-USD'!D$1,SMALL(Dong1,ROWS($1:31)-COUNT(Dong3)),)),OFFSET('Q11-USD'!D$1,SMALL(Dong3,ROWS($1:31)),))))</f>
        <v/>
      </c>
      <c r="D42" s="301" t="str">
        <f ca="1">IF($O$6="Q4",IF(ROWS($1:31)&gt;COUNT(Dong1),"",OFFSET('Q4-USD'!E$1,SMALL(Dong1,ROWS($1:31)),)),IF($O$6="Q11",IF(ROWS($1:31)&gt;COUNT(Dong3),"",OFFSET('Q11-USD'!E$1,SMALL(Dong3,ROWS($1:31)),)),IF(ROWS($1:31)&gt;COUNT(Dong3),IF(ROWS($1:31)&gt;COUNT(Dong3,Dong1),"","Q4 - "&amp;OFFSET('Q4-USD'!E$1,SMALL(Dong1,ROWS($1:31)-COUNT(Dong3)),)),"Q11 - "&amp;OFFSET('Q11-USD'!E$1,SMALL(Dong3,ROWS($1:31)),))))</f>
        <v/>
      </c>
      <c r="E42" s="302" t="str">
        <f ca="1">IF($O$6="Q4",IF(ROWS($1:31)&gt;COUNT(Dong1),"",OFFSET('Q4-USD'!G$1,SMALL(Dong1,ROWS($1:31)),)),IF($O$6="Q11",IF(ROWS($1:31)&gt;COUNT(Dong3),"",OFFSET('Q11-USD'!G$1,SMALL(Dong3,ROWS($1:31)),)),IF(ROWS($1:31)&gt;COUNT(Dong3),IF(ROWS($1:31)&gt;COUNT(Dong3,Dong1),"",OFFSET('Q4-USD'!G$1,SMALL(Dong1,ROWS($1:31)-COUNT(Dong3)),)),OFFSET('Q11-USD'!G$1,SMALL(Dong3,ROWS($1:31)),))))</f>
        <v/>
      </c>
      <c r="F42" s="303" t="str">
        <f ca="1">IF($O$6="Q4",IF(ROWS($1:31)&gt;COUNT(Dong1),"",OFFSET('Q4-USD'!H$1,SMALL(Dong1,ROWS($1:31)),)),IF($O$6="Q11",IF(ROWS($1:31)&gt;COUNT(Dong3),"",OFFSET('Q11-USD'!H$1,SMALL(Dong3,ROWS($1:31)),)),IF(ROWS($1:31)&gt;COUNT(Dong3),IF(ROWS($1:31)&gt;COUNT(Dong3,Dong1),"",OFFSET('Q4-USD'!H$1,SMALL(Dong1,ROWS($1:31)-COUNT(Dong3)),)),OFFSET('Q11-USD'!H$1,SMALL(Dong3,ROWS($1:31)),))))</f>
        <v/>
      </c>
      <c r="G42" s="303" t="str">
        <f t="shared" ca="1" si="0"/>
        <v/>
      </c>
      <c r="H42" s="327" t="str">
        <f ca="1">IF($O$6="Q4",IF(ROWS($1:31)&gt;COUNT(Dong1),"",OFFSET('Q4-USD'!I$1,SMALL(Dong1,ROWS($1:31)),)),IF($O$6="Q11",IF(ROWS($1:31)&gt;COUNT(Dong3),"",OFFSET('Q11-USD'!I$1,SMALL(Dong3,ROWS($1:31)),)),IF(ROWS($1:31)&gt;COUNT(Dong3),IF(ROWS($1:31)&gt;COUNT(Dong3,Dong1),"",OFFSET('Q4-USD'!I$1,SMALL(Dong1,ROWS($1:31)-COUNT(Dong3)),)),OFFSET('Q11-USD'!I$1,SMALL(Dong3,ROWS($1:31)),))))</f>
        <v/>
      </c>
      <c r="I42" s="327" t="str">
        <f ca="1">IF($O$6="Q4",IF(ROWS($1:31)&gt;COUNT(Dong1),"",OFFSET('Q4-USD'!J$1,SMALL(Dong1,ROWS($1:31)),)),IF($O$6="Q11",IF(ROWS($1:31)&gt;COUNT(Dong3),"",OFFSET('Q11-USD'!J$1,SMALL(Dong3,ROWS($1:31)),)),IF(ROWS($1:31)&gt;COUNT(Dong3),IF(ROWS($1:31)&gt;COUNT(Dong3,Dong1),"",OFFSET('Q4-USD'!J$1,SMALL(Dong1,ROWS($1:31)-COUNT(Dong3)),)),OFFSET('Q11-USD'!J$1,SMALL(Dong3,ROWS($1:31)),))))</f>
        <v/>
      </c>
      <c r="J42" s="328" t="str">
        <f ca="1">IF(A42&lt;&gt;"",ROUND(J41+H42-I42,2),"")</f>
        <v/>
      </c>
      <c r="K42" s="304"/>
      <c r="L42" s="335"/>
    </row>
    <row r="43" spans="1:12" s="287" customFormat="1" ht="17.25" customHeight="1">
      <c r="A43" s="300" t="str">
        <f ca="1">IF($O$6="Q4",IF(ROWS($1:32)&gt;COUNT(Dong1),"",OFFSET('Q4-USD'!B$1,SMALL(Dong1,ROWS($1:32)),)),IF($O$6="Q11",IF(ROWS($1:32)&gt;COUNT(Dong3),"",OFFSET('Q11-USD'!B$1,SMALL(Dong3,ROWS($1:32)),)),IF(ROWS($1:32)&gt;COUNT(Dong3),IF(ROWS($1:32)&gt;COUNT(Dong3,Dong1),"",OFFSET('Q4-USD'!B$1,SMALL(Dong1,ROWS($1:32)-COUNT(Dong3)),)),OFFSET('Q11-USD'!B$1,SMALL(Dong3,ROWS($1:32)),))))</f>
        <v/>
      </c>
      <c r="B43" s="300" t="str">
        <f ca="1">IF($O$6="Q4",IF(ROWS($1:32)&gt;COUNT(Dong1),"",OFFSET('Q4-USD'!C$1,SMALL(Dong1,ROWS($1:32)),)),IF($O$6="Q11",IF(ROWS($1:32)&gt;COUNT(Dong3),"",OFFSET('Q11-USD'!C$1,SMALL(Dong3,ROWS($1:32)),)),IF(ROWS($1:32)&gt;COUNT(Dong3),IF(ROWS($1:32)&gt;COUNT(Dong3,Dong1),"",OFFSET('Q4-USD'!C$1,SMALL(Dong1,ROWS($1:32)-COUNT(Dong3)),)),OFFSET('Q11-USD'!C$1,SMALL(Dong3,ROWS($1:32)),))))</f>
        <v/>
      </c>
      <c r="C43" s="300" t="str">
        <f ca="1">IF($O$6="Q4",IF(ROWS($1:32)&gt;COUNT(Dong1),"",OFFSET('Q4-USD'!D$1,SMALL(Dong1,ROWS($1:32)),)),IF($O$6="Q11",IF(ROWS($1:32)&gt;COUNT(Dong3),"",OFFSET('Q11-USD'!D$1,SMALL(Dong3,ROWS($1:32)),)),IF(ROWS($1:32)&gt;COUNT(Dong3),IF(ROWS($1:32)&gt;COUNT(Dong3,Dong1),"",OFFSET('Q4-USD'!D$1,SMALL(Dong1,ROWS($1:32)-COUNT(Dong3)),)),OFFSET('Q11-USD'!D$1,SMALL(Dong3,ROWS($1:32)),))))</f>
        <v/>
      </c>
      <c r="D43" s="301" t="str">
        <f ca="1">IF($O$6="Q4",IF(ROWS($1:32)&gt;COUNT(Dong1),"",OFFSET('Q4-USD'!E$1,SMALL(Dong1,ROWS($1:32)),)),IF($O$6="Q11",IF(ROWS($1:32)&gt;COUNT(Dong3),"",OFFSET('Q11-USD'!E$1,SMALL(Dong3,ROWS($1:32)),)),IF(ROWS($1:32)&gt;COUNT(Dong3),IF(ROWS($1:32)&gt;COUNT(Dong3,Dong1),"","Q4 - "&amp;OFFSET('Q4-USD'!E$1,SMALL(Dong1,ROWS($1:32)-COUNT(Dong3)),)),"Q11 - "&amp;OFFSET('Q11-USD'!E$1,SMALL(Dong3,ROWS($1:32)),))))</f>
        <v/>
      </c>
      <c r="E43" s="302" t="str">
        <f ca="1">IF($O$6="Q4",IF(ROWS($1:32)&gt;COUNT(Dong1),"",OFFSET('Q4-USD'!G$1,SMALL(Dong1,ROWS($1:32)),)),IF($O$6="Q11",IF(ROWS($1:32)&gt;COUNT(Dong3),"",OFFSET('Q11-USD'!G$1,SMALL(Dong3,ROWS($1:32)),)),IF(ROWS($1:32)&gt;COUNT(Dong3),IF(ROWS($1:32)&gt;COUNT(Dong3,Dong1),"",OFFSET('Q4-USD'!G$1,SMALL(Dong1,ROWS($1:32)-COUNT(Dong3)),)),OFFSET('Q11-USD'!G$1,SMALL(Dong3,ROWS($1:32)),))))</f>
        <v/>
      </c>
      <c r="F43" s="303" t="str">
        <f ca="1">IF($O$6="Q4",IF(ROWS($1:32)&gt;COUNT(Dong1),"",OFFSET('Q4-USD'!H$1,SMALL(Dong1,ROWS($1:32)),)),IF($O$6="Q11",IF(ROWS($1:32)&gt;COUNT(Dong3),"",OFFSET('Q11-USD'!H$1,SMALL(Dong3,ROWS($1:32)),)),IF(ROWS($1:32)&gt;COUNT(Dong3),IF(ROWS($1:32)&gt;COUNT(Dong3,Dong1),"",OFFSET('Q4-USD'!H$1,SMALL(Dong1,ROWS($1:32)-COUNT(Dong3)),)),OFFSET('Q11-USD'!H$1,SMALL(Dong3,ROWS($1:32)),))))</f>
        <v/>
      </c>
      <c r="G43" s="303" t="str">
        <f t="shared" ca="1" si="0"/>
        <v/>
      </c>
      <c r="H43" s="327" t="str">
        <f ca="1">IF($O$6="Q4",IF(ROWS($1:32)&gt;COUNT(Dong1),"",OFFSET('Q4-USD'!I$1,SMALL(Dong1,ROWS($1:32)),)),IF($O$6="Q11",IF(ROWS($1:32)&gt;COUNT(Dong3),"",OFFSET('Q11-USD'!I$1,SMALL(Dong3,ROWS($1:32)),)),IF(ROWS($1:32)&gt;COUNT(Dong3),IF(ROWS($1:32)&gt;COUNT(Dong3,Dong1),"",OFFSET('Q4-USD'!I$1,SMALL(Dong1,ROWS($1:32)-COUNT(Dong3)),)),OFFSET('Q11-USD'!I$1,SMALL(Dong3,ROWS($1:32)),))))</f>
        <v/>
      </c>
      <c r="I43" s="327" t="str">
        <f ca="1">IF($O$6="Q4",IF(ROWS($1:32)&gt;COUNT(Dong1),"",OFFSET('Q4-USD'!J$1,SMALL(Dong1,ROWS($1:32)),)),IF($O$6="Q11",IF(ROWS($1:32)&gt;COUNT(Dong3),"",OFFSET('Q11-USD'!J$1,SMALL(Dong3,ROWS($1:32)),)),IF(ROWS($1:32)&gt;COUNT(Dong3),IF(ROWS($1:32)&gt;COUNT(Dong3,Dong1),"",OFFSET('Q4-USD'!J$1,SMALL(Dong1,ROWS($1:32)-COUNT(Dong3)),)),OFFSET('Q11-USD'!J$1,SMALL(Dong3,ROWS($1:32)),))))</f>
        <v/>
      </c>
      <c r="J43" s="328" t="str">
        <f t="shared" ca="1" si="1"/>
        <v/>
      </c>
      <c r="K43" s="304"/>
      <c r="L43" s="335"/>
    </row>
    <row r="44" spans="1:12" s="287" customFormat="1" ht="17.25" customHeight="1">
      <c r="A44" s="300" t="str">
        <f ca="1">IF($O$6="Q4",IF(ROWS($1:33)&gt;COUNT(Dong1),"",OFFSET('Q4-USD'!B$1,SMALL(Dong1,ROWS($1:33)),)),IF($O$6="Q11",IF(ROWS($1:33)&gt;COUNT(Dong3),"",OFFSET('Q11-USD'!B$1,SMALL(Dong3,ROWS($1:33)),)),IF(ROWS($1:33)&gt;COUNT(Dong3),IF(ROWS($1:33)&gt;COUNT(Dong3,Dong1),"",OFFSET('Q4-USD'!B$1,SMALL(Dong1,ROWS($1:33)-COUNT(Dong3)),)),OFFSET('Q11-USD'!B$1,SMALL(Dong3,ROWS($1:33)),))))</f>
        <v/>
      </c>
      <c r="B44" s="300" t="str">
        <f ca="1">IF($O$6="Q4",IF(ROWS($1:33)&gt;COUNT(Dong1),"",OFFSET('Q4-USD'!C$1,SMALL(Dong1,ROWS($1:33)),)),IF($O$6="Q11",IF(ROWS($1:33)&gt;COUNT(Dong3),"",OFFSET('Q11-USD'!C$1,SMALL(Dong3,ROWS($1:33)),)),IF(ROWS($1:33)&gt;COUNT(Dong3),IF(ROWS($1:33)&gt;COUNT(Dong3,Dong1),"",OFFSET('Q4-USD'!C$1,SMALL(Dong1,ROWS($1:33)-COUNT(Dong3)),)),OFFSET('Q11-USD'!C$1,SMALL(Dong3,ROWS($1:33)),))))</f>
        <v/>
      </c>
      <c r="C44" s="300" t="str">
        <f ca="1">IF($O$6="Q4",IF(ROWS($1:33)&gt;COUNT(Dong1),"",OFFSET('Q4-USD'!D$1,SMALL(Dong1,ROWS($1:33)),)),IF($O$6="Q11",IF(ROWS($1:33)&gt;COUNT(Dong3),"",OFFSET('Q11-USD'!D$1,SMALL(Dong3,ROWS($1:33)),)),IF(ROWS($1:33)&gt;COUNT(Dong3),IF(ROWS($1:33)&gt;COUNT(Dong3,Dong1),"",OFFSET('Q4-USD'!D$1,SMALL(Dong1,ROWS($1:33)-COUNT(Dong3)),)),OFFSET('Q11-USD'!D$1,SMALL(Dong3,ROWS($1:33)),))))</f>
        <v/>
      </c>
      <c r="D44" s="301" t="str">
        <f ca="1">IF($O$6="Q4",IF(ROWS($1:33)&gt;COUNT(Dong1),"",OFFSET('Q4-USD'!E$1,SMALL(Dong1,ROWS($1:33)),)),IF($O$6="Q11",IF(ROWS($1:33)&gt;COUNT(Dong3),"",OFFSET('Q11-USD'!E$1,SMALL(Dong3,ROWS($1:33)),)),IF(ROWS($1:33)&gt;COUNT(Dong3),IF(ROWS($1:33)&gt;COUNT(Dong3,Dong1),"","Q4 - "&amp;OFFSET('Q4-USD'!E$1,SMALL(Dong1,ROWS($1:33)-COUNT(Dong3)),)),"Q11 - "&amp;OFFSET('Q11-USD'!E$1,SMALL(Dong3,ROWS($1:33)),))))</f>
        <v/>
      </c>
      <c r="E44" s="302" t="str">
        <f ca="1">IF($O$6="Q4",IF(ROWS($1:33)&gt;COUNT(Dong1),"",OFFSET('Q4-USD'!G$1,SMALL(Dong1,ROWS($1:33)),)),IF($O$6="Q11",IF(ROWS($1:33)&gt;COUNT(Dong3),"",OFFSET('Q11-USD'!G$1,SMALL(Dong3,ROWS($1:33)),)),IF(ROWS($1:33)&gt;COUNT(Dong3),IF(ROWS($1:33)&gt;COUNT(Dong3,Dong1),"",OFFSET('Q4-USD'!G$1,SMALL(Dong1,ROWS($1:33)-COUNT(Dong3)),)),OFFSET('Q11-USD'!G$1,SMALL(Dong3,ROWS($1:33)),))))</f>
        <v/>
      </c>
      <c r="F44" s="303" t="str">
        <f ca="1">IF($O$6="Q4",IF(ROWS($1:33)&gt;COUNT(Dong1),"",OFFSET('Q4-USD'!H$1,SMALL(Dong1,ROWS($1:33)),)),IF($O$6="Q11",IF(ROWS($1:33)&gt;COUNT(Dong3),"",OFFSET('Q11-USD'!H$1,SMALL(Dong3,ROWS($1:33)),)),IF(ROWS($1:33)&gt;COUNT(Dong3),IF(ROWS($1:33)&gt;COUNT(Dong3,Dong1),"",OFFSET('Q4-USD'!H$1,SMALL(Dong1,ROWS($1:33)-COUNT(Dong3)),)),OFFSET('Q11-USD'!H$1,SMALL(Dong3,ROWS($1:33)),))))</f>
        <v/>
      </c>
      <c r="G44" s="303" t="str">
        <f t="shared" ca="1" si="0"/>
        <v/>
      </c>
      <c r="H44" s="327" t="str">
        <f ca="1">IF($O$6="Q4",IF(ROWS($1:33)&gt;COUNT(Dong1),"",OFFSET('Q4-USD'!I$1,SMALL(Dong1,ROWS($1:33)),)),IF($O$6="Q11",IF(ROWS($1:33)&gt;COUNT(Dong3),"",OFFSET('Q11-USD'!I$1,SMALL(Dong3,ROWS($1:33)),)),IF(ROWS($1:33)&gt;COUNT(Dong3),IF(ROWS($1:33)&gt;COUNT(Dong3,Dong1),"",OFFSET('Q4-USD'!I$1,SMALL(Dong1,ROWS($1:33)-COUNT(Dong3)),)),OFFSET('Q11-USD'!I$1,SMALL(Dong3,ROWS($1:33)),))))</f>
        <v/>
      </c>
      <c r="I44" s="327" t="str">
        <f ca="1">IF($O$6="Q4",IF(ROWS($1:33)&gt;COUNT(Dong1),"",OFFSET('Q4-USD'!J$1,SMALL(Dong1,ROWS($1:33)),)),IF($O$6="Q11",IF(ROWS($1:33)&gt;COUNT(Dong3),"",OFFSET('Q11-USD'!J$1,SMALL(Dong3,ROWS($1:33)),)),IF(ROWS($1:33)&gt;COUNT(Dong3),IF(ROWS($1:33)&gt;COUNT(Dong3,Dong1),"",OFFSET('Q4-USD'!J$1,SMALL(Dong1,ROWS($1:33)-COUNT(Dong3)),)),OFFSET('Q11-USD'!J$1,SMALL(Dong3,ROWS($1:33)),))))</f>
        <v/>
      </c>
      <c r="J44" s="328" t="str">
        <f t="shared" ca="1" si="1"/>
        <v/>
      </c>
      <c r="K44" s="304"/>
      <c r="L44" s="335"/>
    </row>
    <row r="45" spans="1:12" s="287" customFormat="1" ht="17.25" customHeight="1">
      <c r="A45" s="300" t="str">
        <f ca="1">IF($O$6="Q4",IF(ROWS($1:34)&gt;COUNT(Dong1),"",OFFSET('Q4-USD'!B$1,SMALL(Dong1,ROWS($1:34)),)),IF($O$6="Q11",IF(ROWS($1:34)&gt;COUNT(Dong3),"",OFFSET('Q11-USD'!B$1,SMALL(Dong3,ROWS($1:34)),)),IF(ROWS($1:34)&gt;COUNT(Dong3),IF(ROWS($1:34)&gt;COUNT(Dong3,Dong1),"",OFFSET('Q4-USD'!B$1,SMALL(Dong1,ROWS($1:34)-COUNT(Dong3)),)),OFFSET('Q11-USD'!B$1,SMALL(Dong3,ROWS($1:34)),))))</f>
        <v/>
      </c>
      <c r="B45" s="300" t="str">
        <f ca="1">IF($O$6="Q4",IF(ROWS($1:34)&gt;COUNT(Dong1),"",OFFSET('Q4-USD'!C$1,SMALL(Dong1,ROWS($1:34)),)),IF($O$6="Q11",IF(ROWS($1:34)&gt;COUNT(Dong3),"",OFFSET('Q11-USD'!C$1,SMALL(Dong3,ROWS($1:34)),)),IF(ROWS($1:34)&gt;COUNT(Dong3),IF(ROWS($1:34)&gt;COUNT(Dong3,Dong1),"",OFFSET('Q4-USD'!C$1,SMALL(Dong1,ROWS($1:34)-COUNT(Dong3)),)),OFFSET('Q11-USD'!C$1,SMALL(Dong3,ROWS($1:34)),))))</f>
        <v/>
      </c>
      <c r="C45" s="300" t="str">
        <f ca="1">IF($O$6="Q4",IF(ROWS($1:34)&gt;COUNT(Dong1),"",OFFSET('Q4-USD'!D$1,SMALL(Dong1,ROWS($1:34)),)),IF($O$6="Q11",IF(ROWS($1:34)&gt;COUNT(Dong3),"",OFFSET('Q11-USD'!D$1,SMALL(Dong3,ROWS($1:34)),)),IF(ROWS($1:34)&gt;COUNT(Dong3),IF(ROWS($1:34)&gt;COUNT(Dong3,Dong1),"",OFFSET('Q4-USD'!D$1,SMALL(Dong1,ROWS($1:34)-COUNT(Dong3)),)),OFFSET('Q11-USD'!D$1,SMALL(Dong3,ROWS($1:34)),))))</f>
        <v/>
      </c>
      <c r="D45" s="301" t="str">
        <f ca="1">IF($O$6="Q4",IF(ROWS($1:34)&gt;COUNT(Dong1),"",OFFSET('Q4-USD'!E$1,SMALL(Dong1,ROWS($1:34)),)),IF($O$6="Q11",IF(ROWS($1:34)&gt;COUNT(Dong3),"",OFFSET('Q11-USD'!E$1,SMALL(Dong3,ROWS($1:34)),)),IF(ROWS($1:34)&gt;COUNT(Dong3),IF(ROWS($1:34)&gt;COUNT(Dong3,Dong1),"","Q4 - "&amp;OFFSET('Q4-USD'!E$1,SMALL(Dong1,ROWS($1:34)-COUNT(Dong3)),)),"Q11 - "&amp;OFFSET('Q11-USD'!E$1,SMALL(Dong3,ROWS($1:34)),))))</f>
        <v/>
      </c>
      <c r="E45" s="302" t="str">
        <f ca="1">IF($O$6="Q4",IF(ROWS($1:34)&gt;COUNT(Dong1),"",OFFSET('Q4-USD'!G$1,SMALL(Dong1,ROWS($1:34)),)),IF($O$6="Q11",IF(ROWS($1:34)&gt;COUNT(Dong3),"",OFFSET('Q11-USD'!G$1,SMALL(Dong3,ROWS($1:34)),)),IF(ROWS($1:34)&gt;COUNT(Dong3),IF(ROWS($1:34)&gt;COUNT(Dong3,Dong1),"",OFFSET('Q4-USD'!G$1,SMALL(Dong1,ROWS($1:34)-COUNT(Dong3)),)),OFFSET('Q11-USD'!G$1,SMALL(Dong3,ROWS($1:34)),))))</f>
        <v/>
      </c>
      <c r="F45" s="303" t="str">
        <f ca="1">IF($O$6="Q4",IF(ROWS($1:34)&gt;COUNT(Dong1),"",OFFSET('Q4-USD'!H$1,SMALL(Dong1,ROWS($1:34)),)),IF($O$6="Q11",IF(ROWS($1:34)&gt;COUNT(Dong3),"",OFFSET('Q11-USD'!H$1,SMALL(Dong3,ROWS($1:34)),)),IF(ROWS($1:34)&gt;COUNT(Dong3),IF(ROWS($1:34)&gt;COUNT(Dong3,Dong1),"",OFFSET('Q4-USD'!H$1,SMALL(Dong1,ROWS($1:34)-COUNT(Dong3)),)),OFFSET('Q11-USD'!H$1,SMALL(Dong3,ROWS($1:34)),))))</f>
        <v/>
      </c>
      <c r="G45" s="303" t="str">
        <f t="shared" ca="1" si="0"/>
        <v/>
      </c>
      <c r="H45" s="327" t="str">
        <f ca="1">IF($O$6="Q4",IF(ROWS($1:34)&gt;COUNT(Dong1),"",OFFSET('Q4-USD'!I$1,SMALL(Dong1,ROWS($1:34)),)),IF($O$6="Q11",IF(ROWS($1:34)&gt;COUNT(Dong3),"",OFFSET('Q11-USD'!I$1,SMALL(Dong3,ROWS($1:34)),)),IF(ROWS($1:34)&gt;COUNT(Dong3),IF(ROWS($1:34)&gt;COUNT(Dong3,Dong1),"",OFFSET('Q4-USD'!I$1,SMALL(Dong1,ROWS($1:34)-COUNT(Dong3)),)),OFFSET('Q11-USD'!I$1,SMALL(Dong3,ROWS($1:34)),))))</f>
        <v/>
      </c>
      <c r="I45" s="327" t="str">
        <f ca="1">IF($O$6="Q4",IF(ROWS($1:34)&gt;COUNT(Dong1),"",OFFSET('Q4-USD'!J$1,SMALL(Dong1,ROWS($1:34)),)),IF($O$6="Q11",IF(ROWS($1:34)&gt;COUNT(Dong3),"",OFFSET('Q11-USD'!J$1,SMALL(Dong3,ROWS($1:34)),)),IF(ROWS($1:34)&gt;COUNT(Dong3),IF(ROWS($1:34)&gt;COUNT(Dong3,Dong1),"",OFFSET('Q4-USD'!J$1,SMALL(Dong1,ROWS($1:34)-COUNT(Dong3)),)),OFFSET('Q11-USD'!J$1,SMALL(Dong3,ROWS($1:34)),))))</f>
        <v/>
      </c>
      <c r="J45" s="328" t="str">
        <f t="shared" ca="1" si="1"/>
        <v/>
      </c>
      <c r="K45" s="304"/>
      <c r="L45" s="335"/>
    </row>
    <row r="46" spans="1:12" s="287" customFormat="1" ht="17.25" customHeight="1">
      <c r="A46" s="300" t="str">
        <f ca="1">IF($O$6="Q4",IF(ROWS($1:35)&gt;COUNT(Dong1),"",OFFSET('Q4-USD'!B$1,SMALL(Dong1,ROWS($1:35)),)),IF($O$6="Q11",IF(ROWS($1:35)&gt;COUNT(Dong3),"",OFFSET('Q11-USD'!B$1,SMALL(Dong3,ROWS($1:35)),)),IF(ROWS($1:35)&gt;COUNT(Dong3),IF(ROWS($1:35)&gt;COUNT(Dong3,Dong1),"",OFFSET('Q4-USD'!B$1,SMALL(Dong1,ROWS($1:35)-COUNT(Dong3)),)),OFFSET('Q11-USD'!B$1,SMALL(Dong3,ROWS($1:35)),))))</f>
        <v/>
      </c>
      <c r="B46" s="300" t="str">
        <f ca="1">IF($O$6="Q4",IF(ROWS($1:35)&gt;COUNT(Dong1),"",OFFSET('Q4-USD'!C$1,SMALL(Dong1,ROWS($1:35)),)),IF($O$6="Q11",IF(ROWS($1:35)&gt;COUNT(Dong3),"",OFFSET('Q11-USD'!C$1,SMALL(Dong3,ROWS($1:35)),)),IF(ROWS($1:35)&gt;COUNT(Dong3),IF(ROWS($1:35)&gt;COUNT(Dong3,Dong1),"",OFFSET('Q4-USD'!C$1,SMALL(Dong1,ROWS($1:35)-COUNT(Dong3)),)),OFFSET('Q11-USD'!C$1,SMALL(Dong3,ROWS($1:35)),))))</f>
        <v/>
      </c>
      <c r="C46" s="300" t="str">
        <f ca="1">IF($O$6="Q4",IF(ROWS($1:35)&gt;COUNT(Dong1),"",OFFSET('Q4-USD'!D$1,SMALL(Dong1,ROWS($1:35)),)),IF($O$6="Q11",IF(ROWS($1:35)&gt;COUNT(Dong3),"",OFFSET('Q11-USD'!D$1,SMALL(Dong3,ROWS($1:35)),)),IF(ROWS($1:35)&gt;COUNT(Dong3),IF(ROWS($1:35)&gt;COUNT(Dong3,Dong1),"",OFFSET('Q4-USD'!D$1,SMALL(Dong1,ROWS($1:35)-COUNT(Dong3)),)),OFFSET('Q11-USD'!D$1,SMALL(Dong3,ROWS($1:35)),))))</f>
        <v/>
      </c>
      <c r="D46" s="301" t="str">
        <f ca="1">IF($O$6="Q4",IF(ROWS($1:35)&gt;COUNT(Dong1),"",OFFSET('Q4-USD'!E$1,SMALL(Dong1,ROWS($1:35)),)),IF($O$6="Q11",IF(ROWS($1:35)&gt;COUNT(Dong3),"",OFFSET('Q11-USD'!E$1,SMALL(Dong3,ROWS($1:35)),)),IF(ROWS($1:35)&gt;COUNT(Dong3),IF(ROWS($1:35)&gt;COUNT(Dong3,Dong1),"","Q4 - "&amp;OFFSET('Q4-USD'!E$1,SMALL(Dong1,ROWS($1:35)-COUNT(Dong3)),)),"Q11 - "&amp;OFFSET('Q11-USD'!E$1,SMALL(Dong3,ROWS($1:35)),))))</f>
        <v/>
      </c>
      <c r="E46" s="302" t="str">
        <f ca="1">IF($O$6="Q4",IF(ROWS($1:35)&gt;COUNT(Dong1),"",OFFSET('Q4-USD'!G$1,SMALL(Dong1,ROWS($1:35)),)),IF($O$6="Q11",IF(ROWS($1:35)&gt;COUNT(Dong3),"",OFFSET('Q11-USD'!G$1,SMALL(Dong3,ROWS($1:35)),)),IF(ROWS($1:35)&gt;COUNT(Dong3),IF(ROWS($1:35)&gt;COUNT(Dong3,Dong1),"",OFFSET('Q4-USD'!G$1,SMALL(Dong1,ROWS($1:35)-COUNT(Dong3)),)),OFFSET('Q11-USD'!G$1,SMALL(Dong3,ROWS($1:35)),))))</f>
        <v/>
      </c>
      <c r="F46" s="303" t="str">
        <f ca="1">IF($O$6="Q4",IF(ROWS($1:35)&gt;COUNT(Dong1),"",OFFSET('Q4-USD'!H$1,SMALL(Dong1,ROWS($1:35)),)),IF($O$6="Q11",IF(ROWS($1:35)&gt;COUNT(Dong3),"",OFFSET('Q11-USD'!H$1,SMALL(Dong3,ROWS($1:35)),)),IF(ROWS($1:35)&gt;COUNT(Dong3),IF(ROWS($1:35)&gt;COUNT(Dong3,Dong1),"",OFFSET('Q4-USD'!H$1,SMALL(Dong1,ROWS($1:35)-COUNT(Dong3)),)),OFFSET('Q11-USD'!H$1,SMALL(Dong3,ROWS($1:35)),))))</f>
        <v/>
      </c>
      <c r="G46" s="303" t="str">
        <f t="shared" ca="1" si="0"/>
        <v/>
      </c>
      <c r="H46" s="327" t="str">
        <f ca="1">IF($O$6="Q4",IF(ROWS($1:35)&gt;COUNT(Dong1),"",OFFSET('Q4-USD'!I$1,SMALL(Dong1,ROWS($1:35)),)),IF($O$6="Q11",IF(ROWS($1:35)&gt;COUNT(Dong3),"",OFFSET('Q11-USD'!I$1,SMALL(Dong3,ROWS($1:35)),)),IF(ROWS($1:35)&gt;COUNT(Dong3),IF(ROWS($1:35)&gt;COUNT(Dong3,Dong1),"",OFFSET('Q4-USD'!I$1,SMALL(Dong1,ROWS($1:35)-COUNT(Dong3)),)),OFFSET('Q11-USD'!I$1,SMALL(Dong3,ROWS($1:35)),))))</f>
        <v/>
      </c>
      <c r="I46" s="327" t="str">
        <f ca="1">IF($O$6="Q4",IF(ROWS($1:35)&gt;COUNT(Dong1),"",OFFSET('Q4-USD'!J$1,SMALL(Dong1,ROWS($1:35)),)),IF($O$6="Q11",IF(ROWS($1:35)&gt;COUNT(Dong3),"",OFFSET('Q11-USD'!J$1,SMALL(Dong3,ROWS($1:35)),)),IF(ROWS($1:35)&gt;COUNT(Dong3),IF(ROWS($1:35)&gt;COUNT(Dong3,Dong1),"",OFFSET('Q4-USD'!J$1,SMALL(Dong1,ROWS($1:35)-COUNT(Dong3)),)),OFFSET('Q11-USD'!J$1,SMALL(Dong3,ROWS($1:35)),))))</f>
        <v/>
      </c>
      <c r="J46" s="328" t="str">
        <f t="shared" ca="1" si="1"/>
        <v/>
      </c>
      <c r="K46" s="304"/>
      <c r="L46" s="335"/>
    </row>
    <row r="47" spans="1:12" s="287" customFormat="1" ht="17.25" customHeight="1">
      <c r="A47" s="300" t="str">
        <f ca="1">IF($O$6="Q4",IF(ROWS($1:36)&gt;COUNT(Dong1),"",OFFSET('Q4-USD'!B$1,SMALL(Dong1,ROWS($1:36)),)),IF($O$6="Q11",IF(ROWS($1:36)&gt;COUNT(Dong3),"",OFFSET('Q11-USD'!B$1,SMALL(Dong3,ROWS($1:36)),)),IF(ROWS($1:36)&gt;COUNT(Dong3),IF(ROWS($1:36)&gt;COUNT(Dong3,Dong1),"",OFFSET('Q4-USD'!B$1,SMALL(Dong1,ROWS($1:36)-COUNT(Dong3)),)),OFFSET('Q11-USD'!B$1,SMALL(Dong3,ROWS($1:36)),))))</f>
        <v/>
      </c>
      <c r="B47" s="300" t="str">
        <f ca="1">IF($O$6="Q4",IF(ROWS($1:36)&gt;COUNT(Dong1),"",OFFSET('Q4-USD'!C$1,SMALL(Dong1,ROWS($1:36)),)),IF($O$6="Q11",IF(ROWS($1:36)&gt;COUNT(Dong3),"",OFFSET('Q11-USD'!C$1,SMALL(Dong3,ROWS($1:36)),)),IF(ROWS($1:36)&gt;COUNT(Dong3),IF(ROWS($1:36)&gt;COUNT(Dong3,Dong1),"",OFFSET('Q4-USD'!C$1,SMALL(Dong1,ROWS($1:36)-COUNT(Dong3)),)),OFFSET('Q11-USD'!C$1,SMALL(Dong3,ROWS($1:36)),))))</f>
        <v/>
      </c>
      <c r="C47" s="300" t="str">
        <f ca="1">IF($O$6="Q4",IF(ROWS($1:36)&gt;COUNT(Dong1),"",OFFSET('Q4-USD'!D$1,SMALL(Dong1,ROWS($1:36)),)),IF($O$6="Q11",IF(ROWS($1:36)&gt;COUNT(Dong3),"",OFFSET('Q11-USD'!D$1,SMALL(Dong3,ROWS($1:36)),)),IF(ROWS($1:36)&gt;COUNT(Dong3),IF(ROWS($1:36)&gt;COUNT(Dong3,Dong1),"",OFFSET('Q4-USD'!D$1,SMALL(Dong1,ROWS($1:36)-COUNT(Dong3)),)),OFFSET('Q11-USD'!D$1,SMALL(Dong3,ROWS($1:36)),))))</f>
        <v/>
      </c>
      <c r="D47" s="301" t="str">
        <f ca="1">IF($O$6="Q4",IF(ROWS($1:36)&gt;COUNT(Dong1),"",OFFSET('Q4-USD'!E$1,SMALL(Dong1,ROWS($1:36)),)),IF($O$6="Q11",IF(ROWS($1:36)&gt;COUNT(Dong3),"",OFFSET('Q11-USD'!E$1,SMALL(Dong3,ROWS($1:36)),)),IF(ROWS($1:36)&gt;COUNT(Dong3),IF(ROWS($1:36)&gt;COUNT(Dong3,Dong1),"","Q4 - "&amp;OFFSET('Q4-USD'!E$1,SMALL(Dong1,ROWS($1:36)-COUNT(Dong3)),)),"Q11 - "&amp;OFFSET('Q11-USD'!E$1,SMALL(Dong3,ROWS($1:36)),))))</f>
        <v/>
      </c>
      <c r="E47" s="302" t="str">
        <f ca="1">IF($O$6="Q4",IF(ROWS($1:36)&gt;COUNT(Dong1),"",OFFSET('Q4-USD'!G$1,SMALL(Dong1,ROWS($1:36)),)),IF($O$6="Q11",IF(ROWS($1:36)&gt;COUNT(Dong3),"",OFFSET('Q11-USD'!G$1,SMALL(Dong3,ROWS($1:36)),)),IF(ROWS($1:36)&gt;COUNT(Dong3),IF(ROWS($1:36)&gt;COUNT(Dong3,Dong1),"",OFFSET('Q4-USD'!G$1,SMALL(Dong1,ROWS($1:36)-COUNT(Dong3)),)),OFFSET('Q11-USD'!G$1,SMALL(Dong3,ROWS($1:36)),))))</f>
        <v/>
      </c>
      <c r="F47" s="303" t="str">
        <f ca="1">IF($O$6="Q4",IF(ROWS($1:36)&gt;COUNT(Dong1),"",OFFSET('Q4-USD'!H$1,SMALL(Dong1,ROWS($1:36)),)),IF($O$6="Q11",IF(ROWS($1:36)&gt;COUNT(Dong3),"",OFFSET('Q11-USD'!H$1,SMALL(Dong3,ROWS($1:36)),)),IF(ROWS($1:36)&gt;COUNT(Dong3),IF(ROWS($1:36)&gt;COUNT(Dong3,Dong1),"",OFFSET('Q4-USD'!H$1,SMALL(Dong1,ROWS($1:36)-COUNT(Dong3)),)),OFFSET('Q11-USD'!H$1,SMALL(Dong3,ROWS($1:36)),))))</f>
        <v/>
      </c>
      <c r="G47" s="303" t="str">
        <f t="shared" ca="1" si="0"/>
        <v/>
      </c>
      <c r="H47" s="327" t="str">
        <f ca="1">IF($O$6="Q4",IF(ROWS($1:36)&gt;COUNT(Dong1),"",OFFSET('Q4-USD'!I$1,SMALL(Dong1,ROWS($1:36)),)),IF($O$6="Q11",IF(ROWS($1:36)&gt;COUNT(Dong3),"",OFFSET('Q11-USD'!I$1,SMALL(Dong3,ROWS($1:36)),)),IF(ROWS($1:36)&gt;COUNT(Dong3),IF(ROWS($1:36)&gt;COUNT(Dong3,Dong1),"",OFFSET('Q4-USD'!I$1,SMALL(Dong1,ROWS($1:36)-COUNT(Dong3)),)),OFFSET('Q11-USD'!I$1,SMALL(Dong3,ROWS($1:36)),))))</f>
        <v/>
      </c>
      <c r="I47" s="327" t="str">
        <f ca="1">IF($O$6="Q4",IF(ROWS($1:36)&gt;COUNT(Dong1),"",OFFSET('Q4-USD'!J$1,SMALL(Dong1,ROWS($1:36)),)),IF($O$6="Q11",IF(ROWS($1:36)&gt;COUNT(Dong3),"",OFFSET('Q11-USD'!J$1,SMALL(Dong3,ROWS($1:36)),)),IF(ROWS($1:36)&gt;COUNT(Dong3),IF(ROWS($1:36)&gt;COUNT(Dong3,Dong1),"",OFFSET('Q4-USD'!J$1,SMALL(Dong1,ROWS($1:36)-COUNT(Dong3)),)),OFFSET('Q11-USD'!J$1,SMALL(Dong3,ROWS($1:36)),))))</f>
        <v/>
      </c>
      <c r="J47" s="328" t="str">
        <f t="shared" ca="1" si="1"/>
        <v/>
      </c>
      <c r="K47" s="304"/>
      <c r="L47" s="335"/>
    </row>
    <row r="48" spans="1:12" s="287" customFormat="1" ht="17.25" customHeight="1">
      <c r="A48" s="300" t="str">
        <f ca="1">IF($O$6="Q4",IF(ROWS($1:37)&gt;COUNT(Dong1),"",OFFSET('Q4-USD'!B$1,SMALL(Dong1,ROWS($1:37)),)),IF($O$6="Q11",IF(ROWS($1:37)&gt;COUNT(Dong3),"",OFFSET('Q11-USD'!B$1,SMALL(Dong3,ROWS($1:37)),)),IF(ROWS($1:37)&gt;COUNT(Dong3),IF(ROWS($1:37)&gt;COUNT(Dong3,Dong1),"",OFFSET('Q4-USD'!B$1,SMALL(Dong1,ROWS($1:37)-COUNT(Dong3)),)),OFFSET('Q11-USD'!B$1,SMALL(Dong3,ROWS($1:37)),))))</f>
        <v/>
      </c>
      <c r="B48" s="300" t="str">
        <f ca="1">IF($O$6="Q4",IF(ROWS($1:37)&gt;COUNT(Dong1),"",OFFSET('Q4-USD'!C$1,SMALL(Dong1,ROWS($1:37)),)),IF($O$6="Q11",IF(ROWS($1:37)&gt;COUNT(Dong3),"",OFFSET('Q11-USD'!C$1,SMALL(Dong3,ROWS($1:37)),)),IF(ROWS($1:37)&gt;COUNT(Dong3),IF(ROWS($1:37)&gt;COUNT(Dong3,Dong1),"",OFFSET('Q4-USD'!C$1,SMALL(Dong1,ROWS($1:37)-COUNT(Dong3)),)),OFFSET('Q11-USD'!C$1,SMALL(Dong3,ROWS($1:37)),))))</f>
        <v/>
      </c>
      <c r="C48" s="300" t="str">
        <f ca="1">IF($O$6="Q4",IF(ROWS($1:37)&gt;COUNT(Dong1),"",OFFSET('Q4-USD'!D$1,SMALL(Dong1,ROWS($1:37)),)),IF($O$6="Q11",IF(ROWS($1:37)&gt;COUNT(Dong3),"",OFFSET('Q11-USD'!D$1,SMALL(Dong3,ROWS($1:37)),)),IF(ROWS($1:37)&gt;COUNT(Dong3),IF(ROWS($1:37)&gt;COUNT(Dong3,Dong1),"",OFFSET('Q4-USD'!D$1,SMALL(Dong1,ROWS($1:37)-COUNT(Dong3)),)),OFFSET('Q11-USD'!D$1,SMALL(Dong3,ROWS($1:37)),))))</f>
        <v/>
      </c>
      <c r="D48" s="301" t="str">
        <f ca="1">IF($O$6="Q4",IF(ROWS($1:37)&gt;COUNT(Dong1),"",OFFSET('Q4-USD'!E$1,SMALL(Dong1,ROWS($1:37)),)),IF($O$6="Q11",IF(ROWS($1:37)&gt;COUNT(Dong3),"",OFFSET('Q11-USD'!E$1,SMALL(Dong3,ROWS($1:37)),)),IF(ROWS($1:37)&gt;COUNT(Dong3),IF(ROWS($1:37)&gt;COUNT(Dong3,Dong1),"","Q4 - "&amp;OFFSET('Q4-USD'!E$1,SMALL(Dong1,ROWS($1:37)-COUNT(Dong3)),)),"Q11 - "&amp;OFFSET('Q11-USD'!E$1,SMALL(Dong3,ROWS($1:37)),))))</f>
        <v/>
      </c>
      <c r="E48" s="302" t="str">
        <f ca="1">IF($O$6="Q4",IF(ROWS($1:37)&gt;COUNT(Dong1),"",OFFSET('Q4-USD'!G$1,SMALL(Dong1,ROWS($1:37)),)),IF($O$6="Q11",IF(ROWS($1:37)&gt;COUNT(Dong3),"",OFFSET('Q11-USD'!G$1,SMALL(Dong3,ROWS($1:37)),)),IF(ROWS($1:37)&gt;COUNT(Dong3),IF(ROWS($1:37)&gt;COUNT(Dong3,Dong1),"",OFFSET('Q4-USD'!G$1,SMALL(Dong1,ROWS($1:37)-COUNT(Dong3)),)),OFFSET('Q11-USD'!G$1,SMALL(Dong3,ROWS($1:37)),))))</f>
        <v/>
      </c>
      <c r="F48" s="303" t="str">
        <f ca="1">IF($O$6="Q4",IF(ROWS($1:37)&gt;COUNT(Dong1),"",OFFSET('Q4-USD'!H$1,SMALL(Dong1,ROWS($1:37)),)),IF($O$6="Q11",IF(ROWS($1:37)&gt;COUNT(Dong3),"",OFFSET('Q11-USD'!H$1,SMALL(Dong3,ROWS($1:37)),)),IF(ROWS($1:37)&gt;COUNT(Dong3),IF(ROWS($1:37)&gt;COUNT(Dong3,Dong1),"",OFFSET('Q4-USD'!H$1,SMALL(Dong1,ROWS($1:37)-COUNT(Dong3)),)),OFFSET('Q11-USD'!H$1,SMALL(Dong3,ROWS($1:37)),))))</f>
        <v/>
      </c>
      <c r="G48" s="303" t="str">
        <f t="shared" ca="1" si="0"/>
        <v/>
      </c>
      <c r="H48" s="327" t="str">
        <f ca="1">IF($O$6="Q4",IF(ROWS($1:37)&gt;COUNT(Dong1),"",OFFSET('Q4-USD'!I$1,SMALL(Dong1,ROWS($1:37)),)),IF($O$6="Q11",IF(ROWS($1:37)&gt;COUNT(Dong3),"",OFFSET('Q11-USD'!I$1,SMALL(Dong3,ROWS($1:37)),)),IF(ROWS($1:37)&gt;COUNT(Dong3),IF(ROWS($1:37)&gt;COUNT(Dong3,Dong1),"",OFFSET('Q4-USD'!I$1,SMALL(Dong1,ROWS($1:37)-COUNT(Dong3)),)),OFFSET('Q11-USD'!I$1,SMALL(Dong3,ROWS($1:37)),))))</f>
        <v/>
      </c>
      <c r="I48" s="327" t="str">
        <f ca="1">IF($O$6="Q4",IF(ROWS($1:37)&gt;COUNT(Dong1),"",OFFSET('Q4-USD'!J$1,SMALL(Dong1,ROWS($1:37)),)),IF($O$6="Q11",IF(ROWS($1:37)&gt;COUNT(Dong3),"",OFFSET('Q11-USD'!J$1,SMALL(Dong3,ROWS($1:37)),)),IF(ROWS($1:37)&gt;COUNT(Dong3),IF(ROWS($1:37)&gt;COUNT(Dong3,Dong1),"",OFFSET('Q4-USD'!J$1,SMALL(Dong1,ROWS($1:37)-COUNT(Dong3)),)),OFFSET('Q11-USD'!J$1,SMALL(Dong3,ROWS($1:37)),))))</f>
        <v/>
      </c>
      <c r="J48" s="328" t="str">
        <f t="shared" ca="1" si="1"/>
        <v/>
      </c>
      <c r="K48" s="304"/>
      <c r="L48" s="335"/>
    </row>
    <row r="49" spans="1:12" s="287" customFormat="1" ht="17.25" customHeight="1">
      <c r="A49" s="300" t="str">
        <f ca="1">IF($O$6="Q4",IF(ROWS($1:38)&gt;COUNT(Dong1),"",OFFSET('Q4-USD'!B$1,SMALL(Dong1,ROWS($1:38)),)),IF($O$6="Q11",IF(ROWS($1:38)&gt;COUNT(Dong3),"",OFFSET('Q11-USD'!B$1,SMALL(Dong3,ROWS($1:38)),)),IF(ROWS($1:38)&gt;COUNT(Dong3),IF(ROWS($1:38)&gt;COUNT(Dong3,Dong1),"",OFFSET('Q4-USD'!B$1,SMALL(Dong1,ROWS($1:38)-COUNT(Dong3)),)),OFFSET('Q11-USD'!B$1,SMALL(Dong3,ROWS($1:38)),))))</f>
        <v/>
      </c>
      <c r="B49" s="300" t="str">
        <f ca="1">IF($O$6="Q4",IF(ROWS($1:38)&gt;COUNT(Dong1),"",OFFSET('Q4-USD'!C$1,SMALL(Dong1,ROWS($1:38)),)),IF($O$6="Q11",IF(ROWS($1:38)&gt;COUNT(Dong3),"",OFFSET('Q11-USD'!C$1,SMALL(Dong3,ROWS($1:38)),)),IF(ROWS($1:38)&gt;COUNT(Dong3),IF(ROWS($1:38)&gt;COUNT(Dong3,Dong1),"",OFFSET('Q4-USD'!C$1,SMALL(Dong1,ROWS($1:38)-COUNT(Dong3)),)),OFFSET('Q11-USD'!C$1,SMALL(Dong3,ROWS($1:38)),))))</f>
        <v/>
      </c>
      <c r="C49" s="300" t="str">
        <f ca="1">IF($O$6="Q4",IF(ROWS($1:38)&gt;COUNT(Dong1),"",OFFSET('Q4-USD'!D$1,SMALL(Dong1,ROWS($1:38)),)),IF($O$6="Q11",IF(ROWS($1:38)&gt;COUNT(Dong3),"",OFFSET('Q11-USD'!D$1,SMALL(Dong3,ROWS($1:38)),)),IF(ROWS($1:38)&gt;COUNT(Dong3),IF(ROWS($1:38)&gt;COUNT(Dong3,Dong1),"",OFFSET('Q4-USD'!D$1,SMALL(Dong1,ROWS($1:38)-COUNT(Dong3)),)),OFFSET('Q11-USD'!D$1,SMALL(Dong3,ROWS($1:38)),))))</f>
        <v/>
      </c>
      <c r="D49" s="301" t="str">
        <f ca="1">IF($O$6="Q4",IF(ROWS($1:38)&gt;COUNT(Dong1),"",OFFSET('Q4-USD'!E$1,SMALL(Dong1,ROWS($1:38)),)),IF($O$6="Q11",IF(ROWS($1:38)&gt;COUNT(Dong3),"",OFFSET('Q11-USD'!E$1,SMALL(Dong3,ROWS($1:38)),)),IF(ROWS($1:38)&gt;COUNT(Dong3),IF(ROWS($1:38)&gt;COUNT(Dong3,Dong1),"","Q4 - "&amp;OFFSET('Q4-USD'!E$1,SMALL(Dong1,ROWS($1:38)-COUNT(Dong3)),)),"Q11 - "&amp;OFFSET('Q11-USD'!E$1,SMALL(Dong3,ROWS($1:38)),))))</f>
        <v/>
      </c>
      <c r="E49" s="302" t="str">
        <f ca="1">IF($O$6="Q4",IF(ROWS($1:38)&gt;COUNT(Dong1),"",OFFSET('Q4-USD'!G$1,SMALL(Dong1,ROWS($1:38)),)),IF($O$6="Q11",IF(ROWS($1:38)&gt;COUNT(Dong3),"",OFFSET('Q11-USD'!G$1,SMALL(Dong3,ROWS($1:38)),)),IF(ROWS($1:38)&gt;COUNT(Dong3),IF(ROWS($1:38)&gt;COUNT(Dong3,Dong1),"",OFFSET('Q4-USD'!G$1,SMALL(Dong1,ROWS($1:38)-COUNT(Dong3)),)),OFFSET('Q11-USD'!G$1,SMALL(Dong3,ROWS($1:38)),))))</f>
        <v/>
      </c>
      <c r="F49" s="303" t="str">
        <f ca="1">IF($O$6="Q4",IF(ROWS($1:38)&gt;COUNT(Dong1),"",OFFSET('Q4-USD'!H$1,SMALL(Dong1,ROWS($1:38)),)),IF($O$6="Q11",IF(ROWS($1:38)&gt;COUNT(Dong3),"",OFFSET('Q11-USD'!H$1,SMALL(Dong3,ROWS($1:38)),)),IF(ROWS($1:38)&gt;COUNT(Dong3),IF(ROWS($1:38)&gt;COUNT(Dong3,Dong1),"",OFFSET('Q4-USD'!H$1,SMALL(Dong1,ROWS($1:38)-COUNT(Dong3)),)),OFFSET('Q11-USD'!H$1,SMALL(Dong3,ROWS($1:38)),))))</f>
        <v/>
      </c>
      <c r="G49" s="303" t="str">
        <f t="shared" ca="1" si="0"/>
        <v/>
      </c>
      <c r="H49" s="327" t="str">
        <f ca="1">IF($O$6="Q4",IF(ROWS($1:38)&gt;COUNT(Dong1),"",OFFSET('Q4-USD'!I$1,SMALL(Dong1,ROWS($1:38)),)),IF($O$6="Q11",IF(ROWS($1:38)&gt;COUNT(Dong3),"",OFFSET('Q11-USD'!I$1,SMALL(Dong3,ROWS($1:38)),)),IF(ROWS($1:38)&gt;COUNT(Dong3),IF(ROWS($1:38)&gt;COUNT(Dong3,Dong1),"",OFFSET('Q4-USD'!I$1,SMALL(Dong1,ROWS($1:38)-COUNT(Dong3)),)),OFFSET('Q11-USD'!I$1,SMALL(Dong3,ROWS($1:38)),))))</f>
        <v/>
      </c>
      <c r="I49" s="327" t="str">
        <f ca="1">IF($O$6="Q4",IF(ROWS($1:38)&gt;COUNT(Dong1),"",OFFSET('Q4-USD'!J$1,SMALL(Dong1,ROWS($1:38)),)),IF($O$6="Q11",IF(ROWS($1:38)&gt;COUNT(Dong3),"",OFFSET('Q11-USD'!J$1,SMALL(Dong3,ROWS($1:38)),)),IF(ROWS($1:38)&gt;COUNT(Dong3),IF(ROWS($1:38)&gt;COUNT(Dong3,Dong1),"",OFFSET('Q4-USD'!J$1,SMALL(Dong1,ROWS($1:38)-COUNT(Dong3)),)),OFFSET('Q11-USD'!J$1,SMALL(Dong3,ROWS($1:38)),))))</f>
        <v/>
      </c>
      <c r="J49" s="328" t="str">
        <f t="shared" ca="1" si="1"/>
        <v/>
      </c>
      <c r="K49" s="304"/>
      <c r="L49" s="335"/>
    </row>
    <row r="50" spans="1:12" s="287" customFormat="1" ht="17.25" customHeight="1">
      <c r="A50" s="300" t="str">
        <f ca="1">IF($O$6="Q4",IF(ROWS($1:39)&gt;COUNT(Dong1),"",OFFSET('Q4-USD'!B$1,SMALL(Dong1,ROWS($1:39)),)),IF($O$6="Q11",IF(ROWS($1:39)&gt;COUNT(Dong3),"",OFFSET('Q11-USD'!B$1,SMALL(Dong3,ROWS($1:39)),)),IF(ROWS($1:39)&gt;COUNT(Dong3),IF(ROWS($1:39)&gt;COUNT(Dong3,Dong1),"",OFFSET('Q4-USD'!B$1,SMALL(Dong1,ROWS($1:39)-COUNT(Dong3)),)),OFFSET('Q11-USD'!B$1,SMALL(Dong3,ROWS($1:39)),))))</f>
        <v/>
      </c>
      <c r="B50" s="300" t="str">
        <f ca="1">IF($O$6="Q4",IF(ROWS($1:39)&gt;COUNT(Dong1),"",OFFSET('Q4-USD'!C$1,SMALL(Dong1,ROWS($1:39)),)),IF($O$6="Q11",IF(ROWS($1:39)&gt;COUNT(Dong3),"",OFFSET('Q11-USD'!C$1,SMALL(Dong3,ROWS($1:39)),)),IF(ROWS($1:39)&gt;COUNT(Dong3),IF(ROWS($1:39)&gt;COUNT(Dong3,Dong1),"",OFFSET('Q4-USD'!C$1,SMALL(Dong1,ROWS($1:39)-COUNT(Dong3)),)),OFFSET('Q11-USD'!C$1,SMALL(Dong3,ROWS($1:39)),))))</f>
        <v/>
      </c>
      <c r="C50" s="300" t="str">
        <f ca="1">IF($O$6="Q4",IF(ROWS($1:39)&gt;COUNT(Dong1),"",OFFSET('Q4-USD'!D$1,SMALL(Dong1,ROWS($1:39)),)),IF($O$6="Q11",IF(ROWS($1:39)&gt;COUNT(Dong3),"",OFFSET('Q11-USD'!D$1,SMALL(Dong3,ROWS($1:39)),)),IF(ROWS($1:39)&gt;COUNT(Dong3),IF(ROWS($1:39)&gt;COUNT(Dong3,Dong1),"",OFFSET('Q4-USD'!D$1,SMALL(Dong1,ROWS($1:39)-COUNT(Dong3)),)),OFFSET('Q11-USD'!D$1,SMALL(Dong3,ROWS($1:39)),))))</f>
        <v/>
      </c>
      <c r="D50" s="301" t="str">
        <f ca="1">IF($O$6="Q4",IF(ROWS($1:39)&gt;COUNT(Dong1),"",OFFSET('Q4-USD'!E$1,SMALL(Dong1,ROWS($1:39)),)),IF($O$6="Q11",IF(ROWS($1:39)&gt;COUNT(Dong3),"",OFFSET('Q11-USD'!E$1,SMALL(Dong3,ROWS($1:39)),)),IF(ROWS($1:39)&gt;COUNT(Dong3),IF(ROWS($1:39)&gt;COUNT(Dong3,Dong1),"","Q4 - "&amp;OFFSET('Q4-USD'!E$1,SMALL(Dong1,ROWS($1:39)-COUNT(Dong3)),)),"Q11 - "&amp;OFFSET('Q11-USD'!E$1,SMALL(Dong3,ROWS($1:39)),))))</f>
        <v/>
      </c>
      <c r="E50" s="302" t="str">
        <f ca="1">IF($O$6="Q4",IF(ROWS($1:39)&gt;COUNT(Dong1),"",OFFSET('Q4-USD'!G$1,SMALL(Dong1,ROWS($1:39)),)),IF($O$6="Q11",IF(ROWS($1:39)&gt;COUNT(Dong3),"",OFFSET('Q11-USD'!G$1,SMALL(Dong3,ROWS($1:39)),)),IF(ROWS($1:39)&gt;COUNT(Dong3),IF(ROWS($1:39)&gt;COUNT(Dong3,Dong1),"",OFFSET('Q4-USD'!G$1,SMALL(Dong1,ROWS($1:39)-COUNT(Dong3)),)),OFFSET('Q11-USD'!G$1,SMALL(Dong3,ROWS($1:39)),))))</f>
        <v/>
      </c>
      <c r="F50" s="303" t="str">
        <f ca="1">IF($O$6="Q4",IF(ROWS($1:39)&gt;COUNT(Dong1),"",OFFSET('Q4-USD'!H$1,SMALL(Dong1,ROWS($1:39)),)),IF($O$6="Q11",IF(ROWS($1:39)&gt;COUNT(Dong3),"",OFFSET('Q11-USD'!H$1,SMALL(Dong3,ROWS($1:39)),)),IF(ROWS($1:39)&gt;COUNT(Dong3),IF(ROWS($1:39)&gt;COUNT(Dong3,Dong1),"",OFFSET('Q4-USD'!H$1,SMALL(Dong1,ROWS($1:39)-COUNT(Dong3)),)),OFFSET('Q11-USD'!H$1,SMALL(Dong3,ROWS($1:39)),))))</f>
        <v/>
      </c>
      <c r="G50" s="303" t="str">
        <f t="shared" ca="1" si="0"/>
        <v/>
      </c>
      <c r="H50" s="327" t="str">
        <f ca="1">IF($O$6="Q4",IF(ROWS($1:39)&gt;COUNT(Dong1),"",OFFSET('Q4-USD'!I$1,SMALL(Dong1,ROWS($1:39)),)),IF($O$6="Q11",IF(ROWS($1:39)&gt;COUNT(Dong3),"",OFFSET('Q11-USD'!I$1,SMALL(Dong3,ROWS($1:39)),)),IF(ROWS($1:39)&gt;COUNT(Dong3),IF(ROWS($1:39)&gt;COUNT(Dong3,Dong1),"",OFFSET('Q4-USD'!I$1,SMALL(Dong1,ROWS($1:39)-COUNT(Dong3)),)),OFFSET('Q11-USD'!I$1,SMALL(Dong3,ROWS($1:39)),))))</f>
        <v/>
      </c>
      <c r="I50" s="327" t="str">
        <f ca="1">IF($O$6="Q4",IF(ROWS($1:39)&gt;COUNT(Dong1),"",OFFSET('Q4-USD'!J$1,SMALL(Dong1,ROWS($1:39)),)),IF($O$6="Q11",IF(ROWS($1:39)&gt;COUNT(Dong3),"",OFFSET('Q11-USD'!J$1,SMALL(Dong3,ROWS($1:39)),)),IF(ROWS($1:39)&gt;COUNT(Dong3),IF(ROWS($1:39)&gt;COUNT(Dong3,Dong1),"",OFFSET('Q4-USD'!J$1,SMALL(Dong1,ROWS($1:39)-COUNT(Dong3)),)),OFFSET('Q11-USD'!J$1,SMALL(Dong3,ROWS($1:39)),))))</f>
        <v/>
      </c>
      <c r="J50" s="328" t="str">
        <f t="shared" ca="1" si="1"/>
        <v/>
      </c>
      <c r="K50" s="304"/>
      <c r="L50" s="335"/>
    </row>
    <row r="51" spans="1:12" s="287" customFormat="1" ht="17.25" customHeight="1">
      <c r="A51" s="300" t="str">
        <f ca="1">IF($O$6="Q4",IF(ROWS($1:40)&gt;COUNT(Dong1),"",OFFSET('Q4-USD'!B$1,SMALL(Dong1,ROWS($1:40)),)),IF($O$6="Q11",IF(ROWS($1:40)&gt;COUNT(Dong3),"",OFFSET('Q11-USD'!B$1,SMALL(Dong3,ROWS($1:40)),)),IF(ROWS($1:40)&gt;COUNT(Dong3),IF(ROWS($1:40)&gt;COUNT(Dong3,Dong1),"",OFFSET('Q4-USD'!B$1,SMALL(Dong1,ROWS($1:40)-COUNT(Dong3)),)),OFFSET('Q11-USD'!B$1,SMALL(Dong3,ROWS($1:40)),))))</f>
        <v/>
      </c>
      <c r="B51" s="300" t="str">
        <f ca="1">IF($O$6="Q4",IF(ROWS($1:40)&gt;COUNT(Dong1),"",OFFSET('Q4-USD'!C$1,SMALL(Dong1,ROWS($1:40)),)),IF($O$6="Q11",IF(ROWS($1:40)&gt;COUNT(Dong3),"",OFFSET('Q11-USD'!C$1,SMALL(Dong3,ROWS($1:40)),)),IF(ROWS($1:40)&gt;COUNT(Dong3),IF(ROWS($1:40)&gt;COUNT(Dong3,Dong1),"",OFFSET('Q4-USD'!C$1,SMALL(Dong1,ROWS($1:40)-COUNT(Dong3)),)),OFFSET('Q11-USD'!C$1,SMALL(Dong3,ROWS($1:40)),))))</f>
        <v/>
      </c>
      <c r="C51" s="300" t="str">
        <f ca="1">IF($O$6="Q4",IF(ROWS($1:40)&gt;COUNT(Dong1),"",OFFSET('Q4-USD'!D$1,SMALL(Dong1,ROWS($1:40)),)),IF($O$6="Q11",IF(ROWS($1:40)&gt;COUNT(Dong3),"",OFFSET('Q11-USD'!D$1,SMALL(Dong3,ROWS($1:40)),)),IF(ROWS($1:40)&gt;COUNT(Dong3),IF(ROWS($1:40)&gt;COUNT(Dong3,Dong1),"",OFFSET('Q4-USD'!D$1,SMALL(Dong1,ROWS($1:40)-COUNT(Dong3)),)),OFFSET('Q11-USD'!D$1,SMALL(Dong3,ROWS($1:40)),))))</f>
        <v/>
      </c>
      <c r="D51" s="301" t="str">
        <f ca="1">IF($O$6="Q4",IF(ROWS($1:40)&gt;COUNT(Dong1),"",OFFSET('Q4-USD'!E$1,SMALL(Dong1,ROWS($1:40)),)),IF($O$6="Q11",IF(ROWS($1:40)&gt;COUNT(Dong3),"",OFFSET('Q11-USD'!E$1,SMALL(Dong3,ROWS($1:40)),)),IF(ROWS($1:40)&gt;COUNT(Dong3),IF(ROWS($1:40)&gt;COUNT(Dong3,Dong1),"","Q4 - "&amp;OFFSET('Q4-USD'!E$1,SMALL(Dong1,ROWS($1:40)-COUNT(Dong3)),)),"Q11 - "&amp;OFFSET('Q11-USD'!E$1,SMALL(Dong3,ROWS($1:40)),))))</f>
        <v/>
      </c>
      <c r="E51" s="302" t="str">
        <f ca="1">IF($O$6="Q4",IF(ROWS($1:40)&gt;COUNT(Dong1),"",OFFSET('Q4-USD'!G$1,SMALL(Dong1,ROWS($1:40)),)),IF($O$6="Q11",IF(ROWS($1:40)&gt;COUNT(Dong3),"",OFFSET('Q11-USD'!G$1,SMALL(Dong3,ROWS($1:40)),)),IF(ROWS($1:40)&gt;COUNT(Dong3),IF(ROWS($1:40)&gt;COUNT(Dong3,Dong1),"",OFFSET('Q4-USD'!G$1,SMALL(Dong1,ROWS($1:40)-COUNT(Dong3)),)),OFFSET('Q11-USD'!G$1,SMALL(Dong3,ROWS($1:40)),))))</f>
        <v/>
      </c>
      <c r="F51" s="303" t="str">
        <f ca="1">IF($O$6="Q4",IF(ROWS($1:40)&gt;COUNT(Dong1),"",OFFSET('Q4-USD'!H$1,SMALL(Dong1,ROWS($1:40)),)),IF($O$6="Q11",IF(ROWS($1:40)&gt;COUNT(Dong3),"",OFFSET('Q11-USD'!H$1,SMALL(Dong3,ROWS($1:40)),)),IF(ROWS($1:40)&gt;COUNT(Dong3),IF(ROWS($1:40)&gt;COUNT(Dong3,Dong1),"",OFFSET('Q4-USD'!H$1,SMALL(Dong1,ROWS($1:40)-COUNT(Dong3)),)),OFFSET('Q11-USD'!H$1,SMALL(Dong3,ROWS($1:40)),))))</f>
        <v/>
      </c>
      <c r="G51" s="303" t="str">
        <f t="shared" ref="G51:G58" ca="1" si="2">IF(D51="","",ROUND(F51*(H51+I51),0))</f>
        <v/>
      </c>
      <c r="H51" s="327" t="str">
        <f ca="1">IF($O$6="Q4",IF(ROWS($1:40)&gt;COUNT(Dong1),"",OFFSET('Q4-USD'!I$1,SMALL(Dong1,ROWS($1:40)),)),IF($O$6="Q11",IF(ROWS($1:40)&gt;COUNT(Dong3),"",OFFSET('Q11-USD'!I$1,SMALL(Dong3,ROWS($1:40)),)),IF(ROWS($1:40)&gt;COUNT(Dong3),IF(ROWS($1:40)&gt;COUNT(Dong3,Dong1),"",OFFSET('Q4-USD'!I$1,SMALL(Dong1,ROWS($1:40)-COUNT(Dong3)),)),OFFSET('Q11-USD'!I$1,SMALL(Dong3,ROWS($1:40)),))))</f>
        <v/>
      </c>
      <c r="I51" s="327" t="str">
        <f ca="1">IF($O$6="Q4",IF(ROWS($1:40)&gt;COUNT(Dong1),"",OFFSET('Q4-USD'!J$1,SMALL(Dong1,ROWS($1:40)),)),IF($O$6="Q11",IF(ROWS($1:40)&gt;COUNT(Dong3),"",OFFSET('Q11-USD'!J$1,SMALL(Dong3,ROWS($1:40)),)),IF(ROWS($1:40)&gt;COUNT(Dong3),IF(ROWS($1:40)&gt;COUNT(Dong3,Dong1),"",OFFSET('Q4-USD'!J$1,SMALL(Dong1,ROWS($1:40)-COUNT(Dong3)),)),OFFSET('Q11-USD'!J$1,SMALL(Dong3,ROWS($1:40)),))))</f>
        <v/>
      </c>
      <c r="J51" s="328" t="str">
        <f t="shared" ref="J51:J58" ca="1" si="3">IF(A51&lt;&gt;"",ROUND(J50+H51-I51,2),"")</f>
        <v/>
      </c>
      <c r="K51" s="304"/>
      <c r="L51" s="335"/>
    </row>
    <row r="52" spans="1:12" s="287" customFormat="1" ht="17.25" customHeight="1">
      <c r="A52" s="300" t="str">
        <f ca="1">IF($O$6="Q4",IF(ROWS($1:41)&gt;COUNT(Dong1),"",OFFSET('Q4-USD'!B$1,SMALL(Dong1,ROWS($1:41)),)),IF($O$6="Q11",IF(ROWS($1:41)&gt;COUNT(Dong3),"",OFFSET('Q11-USD'!B$1,SMALL(Dong3,ROWS($1:41)),)),IF(ROWS($1:41)&gt;COUNT(Dong3),IF(ROWS($1:41)&gt;COUNT(Dong3,Dong1),"",OFFSET('Q4-USD'!B$1,SMALL(Dong1,ROWS($1:41)-COUNT(Dong3)),)),OFFSET('Q11-USD'!B$1,SMALL(Dong3,ROWS($1:41)),))))</f>
        <v/>
      </c>
      <c r="B52" s="300" t="str">
        <f ca="1">IF($O$6="Q4",IF(ROWS($1:41)&gt;COUNT(Dong1),"",OFFSET('Q4-USD'!C$1,SMALL(Dong1,ROWS($1:41)),)),IF($O$6="Q11",IF(ROWS($1:41)&gt;COUNT(Dong3),"",OFFSET('Q11-USD'!C$1,SMALL(Dong3,ROWS($1:41)),)),IF(ROWS($1:41)&gt;COUNT(Dong3),IF(ROWS($1:41)&gt;COUNT(Dong3,Dong1),"",OFFSET('Q4-USD'!C$1,SMALL(Dong1,ROWS($1:41)-COUNT(Dong3)),)),OFFSET('Q11-USD'!C$1,SMALL(Dong3,ROWS($1:41)),))))</f>
        <v/>
      </c>
      <c r="C52" s="300" t="str">
        <f ca="1">IF($O$6="Q4",IF(ROWS($1:41)&gt;COUNT(Dong1),"",OFFSET('Q4-USD'!D$1,SMALL(Dong1,ROWS($1:41)),)),IF($O$6="Q11",IF(ROWS($1:41)&gt;COUNT(Dong3),"",OFFSET('Q11-USD'!D$1,SMALL(Dong3,ROWS($1:41)),)),IF(ROWS($1:41)&gt;COUNT(Dong3),IF(ROWS($1:41)&gt;COUNT(Dong3,Dong1),"",OFFSET('Q4-USD'!D$1,SMALL(Dong1,ROWS($1:41)-COUNT(Dong3)),)),OFFSET('Q11-USD'!D$1,SMALL(Dong3,ROWS($1:41)),))))</f>
        <v/>
      </c>
      <c r="D52" s="301" t="str">
        <f ca="1">IF($O$6="Q4",IF(ROWS($1:41)&gt;COUNT(Dong1),"",OFFSET('Q4-USD'!E$1,SMALL(Dong1,ROWS($1:41)),)),IF($O$6="Q11",IF(ROWS($1:41)&gt;COUNT(Dong3),"",OFFSET('Q11-USD'!E$1,SMALL(Dong3,ROWS($1:41)),)),IF(ROWS($1:41)&gt;COUNT(Dong3),IF(ROWS($1:41)&gt;COUNT(Dong3,Dong1),"","Q4 - "&amp;OFFSET('Q4-USD'!E$1,SMALL(Dong1,ROWS($1:41)-COUNT(Dong3)),)),"Q11 - "&amp;OFFSET('Q11-USD'!E$1,SMALL(Dong3,ROWS($1:41)),))))</f>
        <v/>
      </c>
      <c r="E52" s="302" t="str">
        <f ca="1">IF($O$6="Q4",IF(ROWS($1:41)&gt;COUNT(Dong1),"",OFFSET('Q4-USD'!G$1,SMALL(Dong1,ROWS($1:41)),)),IF($O$6="Q11",IF(ROWS($1:41)&gt;COUNT(Dong3),"",OFFSET('Q11-USD'!G$1,SMALL(Dong3,ROWS($1:41)),)),IF(ROWS($1:41)&gt;COUNT(Dong3),IF(ROWS($1:41)&gt;COUNT(Dong3,Dong1),"",OFFSET('Q4-USD'!G$1,SMALL(Dong1,ROWS($1:41)-COUNT(Dong3)),)),OFFSET('Q11-USD'!G$1,SMALL(Dong3,ROWS($1:41)),))))</f>
        <v/>
      </c>
      <c r="F52" s="303" t="str">
        <f ca="1">IF($O$6="Q4",IF(ROWS($1:41)&gt;COUNT(Dong1),"",OFFSET('Q4-USD'!H$1,SMALL(Dong1,ROWS($1:41)),)),IF($O$6="Q11",IF(ROWS($1:41)&gt;COUNT(Dong3),"",OFFSET('Q11-USD'!H$1,SMALL(Dong3,ROWS($1:41)),)),IF(ROWS($1:41)&gt;COUNT(Dong3),IF(ROWS($1:41)&gt;COUNT(Dong3,Dong1),"",OFFSET('Q4-USD'!H$1,SMALL(Dong1,ROWS($1:41)-COUNT(Dong3)),)),OFFSET('Q11-USD'!H$1,SMALL(Dong3,ROWS($1:41)),))))</f>
        <v/>
      </c>
      <c r="G52" s="303" t="str">
        <f t="shared" ca="1" si="2"/>
        <v/>
      </c>
      <c r="H52" s="327" t="str">
        <f ca="1">IF($O$6="Q4",IF(ROWS($1:41)&gt;COUNT(Dong1),"",OFFSET('Q4-USD'!I$1,SMALL(Dong1,ROWS($1:41)),)),IF($O$6="Q11",IF(ROWS($1:41)&gt;COUNT(Dong3),"",OFFSET('Q11-USD'!I$1,SMALL(Dong3,ROWS($1:41)),)),IF(ROWS($1:41)&gt;COUNT(Dong3),IF(ROWS($1:41)&gt;COUNT(Dong3,Dong1),"",OFFSET('Q4-USD'!I$1,SMALL(Dong1,ROWS($1:41)-COUNT(Dong3)),)),OFFSET('Q11-USD'!I$1,SMALL(Dong3,ROWS($1:41)),))))</f>
        <v/>
      </c>
      <c r="I52" s="327" t="str">
        <f ca="1">IF($O$6="Q4",IF(ROWS($1:41)&gt;COUNT(Dong1),"",OFFSET('Q4-USD'!J$1,SMALL(Dong1,ROWS($1:41)),)),IF($O$6="Q11",IF(ROWS($1:41)&gt;COUNT(Dong3),"",OFFSET('Q11-USD'!J$1,SMALL(Dong3,ROWS($1:41)),)),IF(ROWS($1:41)&gt;COUNT(Dong3),IF(ROWS($1:41)&gt;COUNT(Dong3,Dong1),"",OFFSET('Q4-USD'!J$1,SMALL(Dong1,ROWS($1:41)-COUNT(Dong3)),)),OFFSET('Q11-USD'!J$1,SMALL(Dong3,ROWS($1:41)),))))</f>
        <v/>
      </c>
      <c r="J52" s="328" t="str">
        <f t="shared" ca="1" si="3"/>
        <v/>
      </c>
      <c r="K52" s="304"/>
      <c r="L52" s="335"/>
    </row>
    <row r="53" spans="1:12" s="287" customFormat="1" ht="17.25" customHeight="1">
      <c r="A53" s="300" t="str">
        <f ca="1">IF($O$6="Q4",IF(ROWS($1:42)&gt;COUNT(Dong1),"",OFFSET('Q4-USD'!B$1,SMALL(Dong1,ROWS($1:42)),)),IF($O$6="Q11",IF(ROWS($1:42)&gt;COUNT(Dong3),"",OFFSET('Q11-USD'!B$1,SMALL(Dong3,ROWS($1:42)),)),IF(ROWS($1:42)&gt;COUNT(Dong3),IF(ROWS($1:42)&gt;COUNT(Dong3,Dong1),"",OFFSET('Q4-USD'!B$1,SMALL(Dong1,ROWS($1:42)-COUNT(Dong3)),)),OFFSET('Q11-USD'!B$1,SMALL(Dong3,ROWS($1:42)),))))</f>
        <v/>
      </c>
      <c r="B53" s="300" t="str">
        <f ca="1">IF($O$6="Q4",IF(ROWS($1:42)&gt;COUNT(Dong1),"",OFFSET('Q4-USD'!C$1,SMALL(Dong1,ROWS($1:42)),)),IF($O$6="Q11",IF(ROWS($1:42)&gt;COUNT(Dong3),"",OFFSET('Q11-USD'!C$1,SMALL(Dong3,ROWS($1:42)),)),IF(ROWS($1:42)&gt;COUNT(Dong3),IF(ROWS($1:42)&gt;COUNT(Dong3,Dong1),"",OFFSET('Q4-USD'!C$1,SMALL(Dong1,ROWS($1:42)-COUNT(Dong3)),)),OFFSET('Q11-USD'!C$1,SMALL(Dong3,ROWS($1:42)),))))</f>
        <v/>
      </c>
      <c r="C53" s="300" t="str">
        <f ca="1">IF($O$6="Q4",IF(ROWS($1:42)&gt;COUNT(Dong1),"",OFFSET('Q4-USD'!D$1,SMALL(Dong1,ROWS($1:42)),)),IF($O$6="Q11",IF(ROWS($1:42)&gt;COUNT(Dong3),"",OFFSET('Q11-USD'!D$1,SMALL(Dong3,ROWS($1:42)),)),IF(ROWS($1:42)&gt;COUNT(Dong3),IF(ROWS($1:42)&gt;COUNT(Dong3,Dong1),"",OFFSET('Q4-USD'!D$1,SMALL(Dong1,ROWS($1:42)-COUNT(Dong3)),)),OFFSET('Q11-USD'!D$1,SMALL(Dong3,ROWS($1:42)),))))</f>
        <v/>
      </c>
      <c r="D53" s="301" t="str">
        <f ca="1">IF($O$6="Q4",IF(ROWS($1:42)&gt;COUNT(Dong1),"",OFFSET('Q4-USD'!E$1,SMALL(Dong1,ROWS($1:42)),)),IF($O$6="Q11",IF(ROWS($1:42)&gt;COUNT(Dong3),"",OFFSET('Q11-USD'!E$1,SMALL(Dong3,ROWS($1:42)),)),IF(ROWS($1:42)&gt;COUNT(Dong3),IF(ROWS($1:42)&gt;COUNT(Dong3,Dong1),"","Q4 - "&amp;OFFSET('Q4-USD'!E$1,SMALL(Dong1,ROWS($1:42)-COUNT(Dong3)),)),"Q11 - "&amp;OFFSET('Q11-USD'!E$1,SMALL(Dong3,ROWS($1:42)),))))</f>
        <v/>
      </c>
      <c r="E53" s="302" t="str">
        <f ca="1">IF($O$6="Q4",IF(ROWS($1:42)&gt;COUNT(Dong1),"",OFFSET('Q4-USD'!G$1,SMALL(Dong1,ROWS($1:42)),)),IF($O$6="Q11",IF(ROWS($1:42)&gt;COUNT(Dong3),"",OFFSET('Q11-USD'!G$1,SMALL(Dong3,ROWS($1:42)),)),IF(ROWS($1:42)&gt;COUNT(Dong3),IF(ROWS($1:42)&gt;COUNT(Dong3,Dong1),"",OFFSET('Q4-USD'!G$1,SMALL(Dong1,ROWS($1:42)-COUNT(Dong3)),)),OFFSET('Q11-USD'!G$1,SMALL(Dong3,ROWS($1:42)),))))</f>
        <v/>
      </c>
      <c r="F53" s="303" t="str">
        <f ca="1">IF($O$6="Q4",IF(ROWS($1:42)&gt;COUNT(Dong1),"",OFFSET('Q4-USD'!H$1,SMALL(Dong1,ROWS($1:42)),)),IF($O$6="Q11",IF(ROWS($1:42)&gt;COUNT(Dong3),"",OFFSET('Q11-USD'!H$1,SMALL(Dong3,ROWS($1:42)),)),IF(ROWS($1:42)&gt;COUNT(Dong3),IF(ROWS($1:42)&gt;COUNT(Dong3,Dong1),"",OFFSET('Q4-USD'!H$1,SMALL(Dong1,ROWS($1:42)-COUNT(Dong3)),)),OFFSET('Q11-USD'!H$1,SMALL(Dong3,ROWS($1:42)),))))</f>
        <v/>
      </c>
      <c r="G53" s="303" t="str">
        <f t="shared" ca="1" si="2"/>
        <v/>
      </c>
      <c r="H53" s="327" t="str">
        <f ca="1">IF($O$6="Q4",IF(ROWS($1:42)&gt;COUNT(Dong1),"",OFFSET('Q4-USD'!I$1,SMALL(Dong1,ROWS($1:42)),)),IF($O$6="Q11",IF(ROWS($1:42)&gt;COUNT(Dong3),"",OFFSET('Q11-USD'!I$1,SMALL(Dong3,ROWS($1:42)),)),IF(ROWS($1:42)&gt;COUNT(Dong3),IF(ROWS($1:42)&gt;COUNT(Dong3,Dong1),"",OFFSET('Q4-USD'!I$1,SMALL(Dong1,ROWS($1:42)-COUNT(Dong3)),)),OFFSET('Q11-USD'!I$1,SMALL(Dong3,ROWS($1:42)),))))</f>
        <v/>
      </c>
      <c r="I53" s="327" t="str">
        <f ca="1">IF($O$6="Q4",IF(ROWS($1:42)&gt;COUNT(Dong1),"",OFFSET('Q4-USD'!J$1,SMALL(Dong1,ROWS($1:42)),)),IF($O$6="Q11",IF(ROWS($1:42)&gt;COUNT(Dong3),"",OFFSET('Q11-USD'!J$1,SMALL(Dong3,ROWS($1:42)),)),IF(ROWS($1:42)&gt;COUNT(Dong3),IF(ROWS($1:42)&gt;COUNT(Dong3,Dong1),"",OFFSET('Q4-USD'!J$1,SMALL(Dong1,ROWS($1:42)-COUNT(Dong3)),)),OFFSET('Q11-USD'!J$1,SMALL(Dong3,ROWS($1:42)),))))</f>
        <v/>
      </c>
      <c r="J53" s="328" t="str">
        <f t="shared" ca="1" si="3"/>
        <v/>
      </c>
      <c r="K53" s="304"/>
      <c r="L53" s="335"/>
    </row>
    <row r="54" spans="1:12" s="287" customFormat="1" ht="17.25" customHeight="1">
      <c r="A54" s="300" t="str">
        <f ca="1">IF($O$6="Q4",IF(ROWS($1:43)&gt;COUNT(Dong1),"",OFFSET('Q4-USD'!B$1,SMALL(Dong1,ROWS($1:43)),)),IF($O$6="Q11",IF(ROWS($1:43)&gt;COUNT(Dong3),"",OFFSET('Q11-USD'!B$1,SMALL(Dong3,ROWS($1:43)),)),IF(ROWS($1:43)&gt;COUNT(Dong3),IF(ROWS($1:43)&gt;COUNT(Dong3,Dong1),"",OFFSET('Q4-USD'!B$1,SMALL(Dong1,ROWS($1:43)-COUNT(Dong3)),)),OFFSET('Q11-USD'!B$1,SMALL(Dong3,ROWS($1:43)),))))</f>
        <v/>
      </c>
      <c r="B54" s="300" t="str">
        <f ca="1">IF($O$6="Q4",IF(ROWS($1:43)&gt;COUNT(Dong1),"",OFFSET('Q4-USD'!C$1,SMALL(Dong1,ROWS($1:43)),)),IF($O$6="Q11",IF(ROWS($1:43)&gt;COUNT(Dong3),"",OFFSET('Q11-USD'!C$1,SMALL(Dong3,ROWS($1:43)),)),IF(ROWS($1:43)&gt;COUNT(Dong3),IF(ROWS($1:43)&gt;COUNT(Dong3,Dong1),"",OFFSET('Q4-USD'!C$1,SMALL(Dong1,ROWS($1:43)-COUNT(Dong3)),)),OFFSET('Q11-USD'!C$1,SMALL(Dong3,ROWS($1:43)),))))</f>
        <v/>
      </c>
      <c r="C54" s="300" t="str">
        <f ca="1">IF($O$6="Q4",IF(ROWS($1:43)&gt;COUNT(Dong1),"",OFFSET('Q4-USD'!D$1,SMALL(Dong1,ROWS($1:43)),)),IF($O$6="Q11",IF(ROWS($1:43)&gt;COUNT(Dong3),"",OFFSET('Q11-USD'!D$1,SMALL(Dong3,ROWS($1:43)),)),IF(ROWS($1:43)&gt;COUNT(Dong3),IF(ROWS($1:43)&gt;COUNT(Dong3,Dong1),"",OFFSET('Q4-USD'!D$1,SMALL(Dong1,ROWS($1:43)-COUNT(Dong3)),)),OFFSET('Q11-USD'!D$1,SMALL(Dong3,ROWS($1:43)),))))</f>
        <v/>
      </c>
      <c r="D54" s="301" t="str">
        <f ca="1">IF($O$6="Q4",IF(ROWS($1:43)&gt;COUNT(Dong1),"",OFFSET('Q4-USD'!E$1,SMALL(Dong1,ROWS($1:43)),)),IF($O$6="Q11",IF(ROWS($1:43)&gt;COUNT(Dong3),"",OFFSET('Q11-USD'!E$1,SMALL(Dong3,ROWS($1:43)),)),IF(ROWS($1:43)&gt;COUNT(Dong3),IF(ROWS($1:43)&gt;COUNT(Dong3,Dong1),"","Q4 - "&amp;OFFSET('Q4-USD'!E$1,SMALL(Dong1,ROWS($1:43)-COUNT(Dong3)),)),"Q11 - "&amp;OFFSET('Q11-USD'!E$1,SMALL(Dong3,ROWS($1:43)),))))</f>
        <v/>
      </c>
      <c r="E54" s="302" t="str">
        <f ca="1">IF($O$6="Q4",IF(ROWS($1:43)&gt;COUNT(Dong1),"",OFFSET('Q4-USD'!G$1,SMALL(Dong1,ROWS($1:43)),)),IF($O$6="Q11",IF(ROWS($1:43)&gt;COUNT(Dong3),"",OFFSET('Q11-USD'!G$1,SMALL(Dong3,ROWS($1:43)),)),IF(ROWS($1:43)&gt;COUNT(Dong3),IF(ROWS($1:43)&gt;COUNT(Dong3,Dong1),"",OFFSET('Q4-USD'!G$1,SMALL(Dong1,ROWS($1:43)-COUNT(Dong3)),)),OFFSET('Q11-USD'!G$1,SMALL(Dong3,ROWS($1:43)),))))</f>
        <v/>
      </c>
      <c r="F54" s="303" t="str">
        <f ca="1">IF($O$6="Q4",IF(ROWS($1:43)&gt;COUNT(Dong1),"",OFFSET('Q4-USD'!H$1,SMALL(Dong1,ROWS($1:43)),)),IF($O$6="Q11",IF(ROWS($1:43)&gt;COUNT(Dong3),"",OFFSET('Q11-USD'!H$1,SMALL(Dong3,ROWS($1:43)),)),IF(ROWS($1:43)&gt;COUNT(Dong3),IF(ROWS($1:43)&gt;COUNT(Dong3,Dong1),"",OFFSET('Q4-USD'!H$1,SMALL(Dong1,ROWS($1:43)-COUNT(Dong3)),)),OFFSET('Q11-USD'!H$1,SMALL(Dong3,ROWS($1:43)),))))</f>
        <v/>
      </c>
      <c r="G54" s="303" t="str">
        <f t="shared" ca="1" si="2"/>
        <v/>
      </c>
      <c r="H54" s="327" t="str">
        <f ca="1">IF($O$6="Q4",IF(ROWS($1:43)&gt;COUNT(Dong1),"",OFFSET('Q4-USD'!I$1,SMALL(Dong1,ROWS($1:43)),)),IF($O$6="Q11",IF(ROWS($1:43)&gt;COUNT(Dong3),"",OFFSET('Q11-USD'!I$1,SMALL(Dong3,ROWS($1:43)),)),IF(ROWS($1:43)&gt;COUNT(Dong3),IF(ROWS($1:43)&gt;COUNT(Dong3,Dong1),"",OFFSET('Q4-USD'!I$1,SMALL(Dong1,ROWS($1:43)-COUNT(Dong3)),)),OFFSET('Q11-USD'!I$1,SMALL(Dong3,ROWS($1:43)),))))</f>
        <v/>
      </c>
      <c r="I54" s="327" t="str">
        <f ca="1">IF($O$6="Q4",IF(ROWS($1:43)&gt;COUNT(Dong1),"",OFFSET('Q4-USD'!J$1,SMALL(Dong1,ROWS($1:43)),)),IF($O$6="Q11",IF(ROWS($1:43)&gt;COUNT(Dong3),"",OFFSET('Q11-USD'!J$1,SMALL(Dong3,ROWS($1:43)),)),IF(ROWS($1:43)&gt;COUNT(Dong3),IF(ROWS($1:43)&gt;COUNT(Dong3,Dong1),"",OFFSET('Q4-USD'!J$1,SMALL(Dong1,ROWS($1:43)-COUNT(Dong3)),)),OFFSET('Q11-USD'!J$1,SMALL(Dong3,ROWS($1:43)),))))</f>
        <v/>
      </c>
      <c r="J54" s="328" t="str">
        <f t="shared" ca="1" si="3"/>
        <v/>
      </c>
      <c r="K54" s="304"/>
      <c r="L54" s="335"/>
    </row>
    <row r="55" spans="1:12" s="287" customFormat="1" ht="17.25" customHeight="1">
      <c r="A55" s="300" t="str">
        <f ca="1">IF($O$6="Q4",IF(ROWS($1:44)&gt;COUNT(Dong1),"",OFFSET('Q4-USD'!B$1,SMALL(Dong1,ROWS($1:44)),)),IF($O$6="Q11",IF(ROWS($1:44)&gt;COUNT(Dong3),"",OFFSET('Q11-USD'!B$1,SMALL(Dong3,ROWS($1:44)),)),IF(ROWS($1:44)&gt;COUNT(Dong3),IF(ROWS($1:44)&gt;COUNT(Dong3,Dong1),"",OFFSET('Q4-USD'!B$1,SMALL(Dong1,ROWS($1:44)-COUNT(Dong3)),)),OFFSET('Q11-USD'!B$1,SMALL(Dong3,ROWS($1:44)),))))</f>
        <v/>
      </c>
      <c r="B55" s="300" t="str">
        <f ca="1">IF($O$6="Q4",IF(ROWS($1:44)&gt;COUNT(Dong1),"",OFFSET('Q4-USD'!C$1,SMALL(Dong1,ROWS($1:44)),)),IF($O$6="Q11",IF(ROWS($1:44)&gt;COUNT(Dong3),"",OFFSET('Q11-USD'!C$1,SMALL(Dong3,ROWS($1:44)),)),IF(ROWS($1:44)&gt;COUNT(Dong3),IF(ROWS($1:44)&gt;COUNT(Dong3,Dong1),"",OFFSET('Q4-USD'!C$1,SMALL(Dong1,ROWS($1:44)-COUNT(Dong3)),)),OFFSET('Q11-USD'!C$1,SMALL(Dong3,ROWS($1:44)),))))</f>
        <v/>
      </c>
      <c r="C55" s="300" t="str">
        <f ca="1">IF($O$6="Q4",IF(ROWS($1:44)&gt;COUNT(Dong1),"",OFFSET('Q4-USD'!D$1,SMALL(Dong1,ROWS($1:44)),)),IF($O$6="Q11",IF(ROWS($1:44)&gt;COUNT(Dong3),"",OFFSET('Q11-USD'!D$1,SMALL(Dong3,ROWS($1:44)),)),IF(ROWS($1:44)&gt;COUNT(Dong3),IF(ROWS($1:44)&gt;COUNT(Dong3,Dong1),"",OFFSET('Q4-USD'!D$1,SMALL(Dong1,ROWS($1:44)-COUNT(Dong3)),)),OFFSET('Q11-USD'!D$1,SMALL(Dong3,ROWS($1:44)),))))</f>
        <v/>
      </c>
      <c r="D55" s="301" t="str">
        <f ca="1">IF($O$6="Q4",IF(ROWS($1:44)&gt;COUNT(Dong1),"",OFFSET('Q4-USD'!E$1,SMALL(Dong1,ROWS($1:44)),)),IF($O$6="Q11",IF(ROWS($1:44)&gt;COUNT(Dong3),"",OFFSET('Q11-USD'!E$1,SMALL(Dong3,ROWS($1:44)),)),IF(ROWS($1:44)&gt;COUNT(Dong3),IF(ROWS($1:44)&gt;COUNT(Dong3,Dong1),"","Q4 - "&amp;OFFSET('Q4-USD'!E$1,SMALL(Dong1,ROWS($1:44)-COUNT(Dong3)),)),"Q11 - "&amp;OFFSET('Q11-USD'!E$1,SMALL(Dong3,ROWS($1:44)),))))</f>
        <v/>
      </c>
      <c r="E55" s="302" t="str">
        <f ca="1">IF($O$6="Q4",IF(ROWS($1:44)&gt;COUNT(Dong1),"",OFFSET('Q4-USD'!G$1,SMALL(Dong1,ROWS($1:44)),)),IF($O$6="Q11",IF(ROWS($1:44)&gt;COUNT(Dong3),"",OFFSET('Q11-USD'!G$1,SMALL(Dong3,ROWS($1:44)),)),IF(ROWS($1:44)&gt;COUNT(Dong3),IF(ROWS($1:44)&gt;COUNT(Dong3,Dong1),"",OFFSET('Q4-USD'!G$1,SMALL(Dong1,ROWS($1:44)-COUNT(Dong3)),)),OFFSET('Q11-USD'!G$1,SMALL(Dong3,ROWS($1:44)),))))</f>
        <v/>
      </c>
      <c r="F55" s="303" t="str">
        <f ca="1">IF($O$6="Q4",IF(ROWS($1:44)&gt;COUNT(Dong1),"",OFFSET('Q4-USD'!H$1,SMALL(Dong1,ROWS($1:44)),)),IF($O$6="Q11",IF(ROWS($1:44)&gt;COUNT(Dong3),"",OFFSET('Q11-USD'!H$1,SMALL(Dong3,ROWS($1:44)),)),IF(ROWS($1:44)&gt;COUNT(Dong3),IF(ROWS($1:44)&gt;COUNT(Dong3,Dong1),"",OFFSET('Q4-USD'!H$1,SMALL(Dong1,ROWS($1:44)-COUNT(Dong3)),)),OFFSET('Q11-USD'!H$1,SMALL(Dong3,ROWS($1:44)),))))</f>
        <v/>
      </c>
      <c r="G55" s="303" t="str">
        <f t="shared" ca="1" si="2"/>
        <v/>
      </c>
      <c r="H55" s="327" t="str">
        <f ca="1">IF($O$6="Q4",IF(ROWS($1:44)&gt;COUNT(Dong1),"",OFFSET('Q4-USD'!I$1,SMALL(Dong1,ROWS($1:44)),)),IF($O$6="Q11",IF(ROWS($1:44)&gt;COUNT(Dong3),"",OFFSET('Q11-USD'!I$1,SMALL(Dong3,ROWS($1:44)),)),IF(ROWS($1:44)&gt;COUNT(Dong3),IF(ROWS($1:44)&gt;COUNT(Dong3,Dong1),"",OFFSET('Q4-USD'!I$1,SMALL(Dong1,ROWS($1:44)-COUNT(Dong3)),)),OFFSET('Q11-USD'!I$1,SMALL(Dong3,ROWS($1:44)),))))</f>
        <v/>
      </c>
      <c r="I55" s="327" t="str">
        <f ca="1">IF($O$6="Q4",IF(ROWS($1:44)&gt;COUNT(Dong1),"",OFFSET('Q4-USD'!J$1,SMALL(Dong1,ROWS($1:44)),)),IF($O$6="Q11",IF(ROWS($1:44)&gt;COUNT(Dong3),"",OFFSET('Q11-USD'!J$1,SMALL(Dong3,ROWS($1:44)),)),IF(ROWS($1:44)&gt;COUNT(Dong3),IF(ROWS($1:44)&gt;COUNT(Dong3,Dong1),"",OFFSET('Q4-USD'!J$1,SMALL(Dong1,ROWS($1:44)-COUNT(Dong3)),)),OFFSET('Q11-USD'!J$1,SMALL(Dong3,ROWS($1:44)),))))</f>
        <v/>
      </c>
      <c r="J55" s="328" t="str">
        <f t="shared" ca="1" si="3"/>
        <v/>
      </c>
      <c r="K55" s="304"/>
      <c r="L55" s="335"/>
    </row>
    <row r="56" spans="1:12" s="287" customFormat="1" ht="17.25" customHeight="1">
      <c r="A56" s="300" t="str">
        <f ca="1">IF($O$6="Q4",IF(ROWS($1:45)&gt;COUNT(Dong1),"",OFFSET('Q4-USD'!B$1,SMALL(Dong1,ROWS($1:45)),)),IF($O$6="Q11",IF(ROWS($1:45)&gt;COUNT(Dong3),"",OFFSET('Q11-USD'!B$1,SMALL(Dong3,ROWS($1:45)),)),IF(ROWS($1:45)&gt;COUNT(Dong3),IF(ROWS($1:45)&gt;COUNT(Dong3,Dong1),"",OFFSET('Q4-USD'!B$1,SMALL(Dong1,ROWS($1:45)-COUNT(Dong3)),)),OFFSET('Q11-USD'!B$1,SMALL(Dong3,ROWS($1:45)),))))</f>
        <v/>
      </c>
      <c r="B56" s="300" t="str">
        <f ca="1">IF($O$6="Q4",IF(ROWS($1:45)&gt;COUNT(Dong1),"",OFFSET('Q4-USD'!C$1,SMALL(Dong1,ROWS($1:45)),)),IF($O$6="Q11",IF(ROWS($1:45)&gt;COUNT(Dong3),"",OFFSET('Q11-USD'!C$1,SMALL(Dong3,ROWS($1:45)),)),IF(ROWS($1:45)&gt;COUNT(Dong3),IF(ROWS($1:45)&gt;COUNT(Dong3,Dong1),"",OFFSET('Q4-USD'!C$1,SMALL(Dong1,ROWS($1:45)-COUNT(Dong3)),)),OFFSET('Q11-USD'!C$1,SMALL(Dong3,ROWS($1:45)),))))</f>
        <v/>
      </c>
      <c r="C56" s="300" t="str">
        <f ca="1">IF($O$6="Q4",IF(ROWS($1:45)&gt;COUNT(Dong1),"",OFFSET('Q4-USD'!D$1,SMALL(Dong1,ROWS($1:45)),)),IF($O$6="Q11",IF(ROWS($1:45)&gt;COUNT(Dong3),"",OFFSET('Q11-USD'!D$1,SMALL(Dong3,ROWS($1:45)),)),IF(ROWS($1:45)&gt;COUNT(Dong3),IF(ROWS($1:45)&gt;COUNT(Dong3,Dong1),"",OFFSET('Q4-USD'!D$1,SMALL(Dong1,ROWS($1:45)-COUNT(Dong3)),)),OFFSET('Q11-USD'!D$1,SMALL(Dong3,ROWS($1:45)),))))</f>
        <v/>
      </c>
      <c r="D56" s="301" t="str">
        <f ca="1">IF($O$6="Q4",IF(ROWS($1:45)&gt;COUNT(Dong1),"",OFFSET('Q4-USD'!E$1,SMALL(Dong1,ROWS($1:45)),)),IF($O$6="Q11",IF(ROWS($1:45)&gt;COUNT(Dong3),"",OFFSET('Q11-USD'!E$1,SMALL(Dong3,ROWS($1:45)),)),IF(ROWS($1:45)&gt;COUNT(Dong3),IF(ROWS($1:45)&gt;COUNT(Dong3,Dong1),"","Q4 - "&amp;OFFSET('Q4-USD'!E$1,SMALL(Dong1,ROWS($1:45)-COUNT(Dong3)),)),"Q11 - "&amp;OFFSET('Q11-USD'!E$1,SMALL(Dong3,ROWS($1:45)),))))</f>
        <v/>
      </c>
      <c r="E56" s="302" t="str">
        <f ca="1">IF($O$6="Q4",IF(ROWS($1:45)&gt;COUNT(Dong1),"",OFFSET('Q4-USD'!G$1,SMALL(Dong1,ROWS($1:45)),)),IF($O$6="Q11",IF(ROWS($1:45)&gt;COUNT(Dong3),"",OFFSET('Q11-USD'!G$1,SMALL(Dong3,ROWS($1:45)),)),IF(ROWS($1:45)&gt;COUNT(Dong3),IF(ROWS($1:45)&gt;COUNT(Dong3,Dong1),"",OFFSET('Q4-USD'!G$1,SMALL(Dong1,ROWS($1:45)-COUNT(Dong3)),)),OFFSET('Q11-USD'!G$1,SMALL(Dong3,ROWS($1:45)),))))</f>
        <v/>
      </c>
      <c r="F56" s="303" t="str">
        <f ca="1">IF($O$6="Q4",IF(ROWS($1:45)&gt;COUNT(Dong1),"",OFFSET('Q4-USD'!H$1,SMALL(Dong1,ROWS($1:45)),)),IF($O$6="Q11",IF(ROWS($1:45)&gt;COUNT(Dong3),"",OFFSET('Q11-USD'!H$1,SMALL(Dong3,ROWS($1:45)),)),IF(ROWS($1:45)&gt;COUNT(Dong3),IF(ROWS($1:45)&gt;COUNT(Dong3,Dong1),"",OFFSET('Q4-USD'!H$1,SMALL(Dong1,ROWS($1:45)-COUNT(Dong3)),)),OFFSET('Q11-USD'!H$1,SMALL(Dong3,ROWS($1:45)),))))</f>
        <v/>
      </c>
      <c r="G56" s="303" t="str">
        <f t="shared" ca="1" si="2"/>
        <v/>
      </c>
      <c r="H56" s="327" t="str">
        <f ca="1">IF($O$6="Q4",IF(ROWS($1:45)&gt;COUNT(Dong1),"",OFFSET('Q4-USD'!I$1,SMALL(Dong1,ROWS($1:45)),)),IF($O$6="Q11",IF(ROWS($1:45)&gt;COUNT(Dong3),"",OFFSET('Q11-USD'!I$1,SMALL(Dong3,ROWS($1:45)),)),IF(ROWS($1:45)&gt;COUNT(Dong3),IF(ROWS($1:45)&gt;COUNT(Dong3,Dong1),"",OFFSET('Q4-USD'!I$1,SMALL(Dong1,ROWS($1:45)-COUNT(Dong3)),)),OFFSET('Q11-USD'!I$1,SMALL(Dong3,ROWS($1:45)),))))</f>
        <v/>
      </c>
      <c r="I56" s="327" t="str">
        <f ca="1">IF($O$6="Q4",IF(ROWS($1:45)&gt;COUNT(Dong1),"",OFFSET('Q4-USD'!J$1,SMALL(Dong1,ROWS($1:45)),)),IF($O$6="Q11",IF(ROWS($1:45)&gt;COUNT(Dong3),"",OFFSET('Q11-USD'!J$1,SMALL(Dong3,ROWS($1:45)),)),IF(ROWS($1:45)&gt;COUNT(Dong3),IF(ROWS($1:45)&gt;COUNT(Dong3,Dong1),"",OFFSET('Q4-USD'!J$1,SMALL(Dong1,ROWS($1:45)-COUNT(Dong3)),)),OFFSET('Q11-USD'!J$1,SMALL(Dong3,ROWS($1:45)),))))</f>
        <v/>
      </c>
      <c r="J56" s="328" t="str">
        <f t="shared" ca="1" si="3"/>
        <v/>
      </c>
      <c r="K56" s="304"/>
      <c r="L56" s="335"/>
    </row>
    <row r="57" spans="1:12" s="287" customFormat="1" ht="17.25" customHeight="1">
      <c r="A57" s="300" t="str">
        <f ca="1">IF($O$6="Q4",IF(ROWS($1:46)&gt;COUNT(Dong1),"",OFFSET('Q4-USD'!B$1,SMALL(Dong1,ROWS($1:46)),)),IF($O$6="Q11",IF(ROWS($1:46)&gt;COUNT(Dong3),"",OFFSET('Q11-USD'!B$1,SMALL(Dong3,ROWS($1:46)),)),IF(ROWS($1:46)&gt;COUNT(Dong3),IF(ROWS($1:46)&gt;COUNT(Dong3,Dong1),"",OFFSET('Q4-USD'!B$1,SMALL(Dong1,ROWS($1:46)-COUNT(Dong3)),)),OFFSET('Q11-USD'!B$1,SMALL(Dong3,ROWS($1:46)),))))</f>
        <v/>
      </c>
      <c r="B57" s="300" t="str">
        <f ca="1">IF($O$6="Q4",IF(ROWS($1:46)&gt;COUNT(Dong1),"",OFFSET('Q4-USD'!C$1,SMALL(Dong1,ROWS($1:46)),)),IF($O$6="Q11",IF(ROWS($1:46)&gt;COUNT(Dong3),"",OFFSET('Q11-USD'!C$1,SMALL(Dong3,ROWS($1:46)),)),IF(ROWS($1:46)&gt;COUNT(Dong3),IF(ROWS($1:46)&gt;COUNT(Dong3,Dong1),"",OFFSET('Q4-USD'!C$1,SMALL(Dong1,ROWS($1:46)-COUNT(Dong3)),)),OFFSET('Q11-USD'!C$1,SMALL(Dong3,ROWS($1:46)),))))</f>
        <v/>
      </c>
      <c r="C57" s="300" t="str">
        <f ca="1">IF($O$6="Q4",IF(ROWS($1:46)&gt;COUNT(Dong1),"",OFFSET('Q4-USD'!D$1,SMALL(Dong1,ROWS($1:46)),)),IF($O$6="Q11",IF(ROWS($1:46)&gt;COUNT(Dong3),"",OFFSET('Q11-USD'!D$1,SMALL(Dong3,ROWS($1:46)),)),IF(ROWS($1:46)&gt;COUNT(Dong3),IF(ROWS($1:46)&gt;COUNT(Dong3,Dong1),"",OFFSET('Q4-USD'!D$1,SMALL(Dong1,ROWS($1:46)-COUNT(Dong3)),)),OFFSET('Q11-USD'!D$1,SMALL(Dong3,ROWS($1:46)),))))</f>
        <v/>
      </c>
      <c r="D57" s="301" t="str">
        <f ca="1">IF($O$6="Q4",IF(ROWS($1:46)&gt;COUNT(Dong1),"",OFFSET('Q4-USD'!E$1,SMALL(Dong1,ROWS($1:46)),)),IF($O$6="Q11",IF(ROWS($1:46)&gt;COUNT(Dong3),"",OFFSET('Q11-USD'!E$1,SMALL(Dong3,ROWS($1:46)),)),IF(ROWS($1:46)&gt;COUNT(Dong3),IF(ROWS($1:46)&gt;COUNT(Dong3,Dong1),"","Q4 - "&amp;OFFSET('Q4-USD'!E$1,SMALL(Dong1,ROWS($1:46)-COUNT(Dong3)),)),"Q11 - "&amp;OFFSET('Q11-USD'!E$1,SMALL(Dong3,ROWS($1:46)),))))</f>
        <v/>
      </c>
      <c r="E57" s="302" t="str">
        <f ca="1">IF($O$6="Q4",IF(ROWS($1:46)&gt;COUNT(Dong1),"",OFFSET('Q4-USD'!G$1,SMALL(Dong1,ROWS($1:46)),)),IF($O$6="Q11",IF(ROWS($1:46)&gt;COUNT(Dong3),"",OFFSET('Q11-USD'!G$1,SMALL(Dong3,ROWS($1:46)),)),IF(ROWS($1:46)&gt;COUNT(Dong3),IF(ROWS($1:46)&gt;COUNT(Dong3,Dong1),"",OFFSET('Q4-USD'!G$1,SMALL(Dong1,ROWS($1:46)-COUNT(Dong3)),)),OFFSET('Q11-USD'!G$1,SMALL(Dong3,ROWS($1:46)),))))</f>
        <v/>
      </c>
      <c r="F57" s="303" t="str">
        <f ca="1">IF($O$6="Q4",IF(ROWS($1:46)&gt;COUNT(Dong1),"",OFFSET('Q4-USD'!H$1,SMALL(Dong1,ROWS($1:46)),)),IF($O$6="Q11",IF(ROWS($1:46)&gt;COUNT(Dong3),"",OFFSET('Q11-USD'!H$1,SMALL(Dong3,ROWS($1:46)),)),IF(ROWS($1:46)&gt;COUNT(Dong3),IF(ROWS($1:46)&gt;COUNT(Dong3,Dong1),"",OFFSET('Q4-USD'!H$1,SMALL(Dong1,ROWS($1:46)-COUNT(Dong3)),)),OFFSET('Q11-USD'!H$1,SMALL(Dong3,ROWS($1:46)),))))</f>
        <v/>
      </c>
      <c r="G57" s="303" t="str">
        <f t="shared" ca="1" si="2"/>
        <v/>
      </c>
      <c r="H57" s="327" t="str">
        <f ca="1">IF($O$6="Q4",IF(ROWS($1:46)&gt;COUNT(Dong1),"",OFFSET('Q4-USD'!I$1,SMALL(Dong1,ROWS($1:46)),)),IF($O$6="Q11",IF(ROWS($1:46)&gt;COUNT(Dong3),"",OFFSET('Q11-USD'!I$1,SMALL(Dong3,ROWS($1:46)),)),IF(ROWS($1:46)&gt;COUNT(Dong3),IF(ROWS($1:46)&gt;COUNT(Dong3,Dong1),"",OFFSET('Q4-USD'!I$1,SMALL(Dong1,ROWS($1:46)-COUNT(Dong3)),)),OFFSET('Q11-USD'!I$1,SMALL(Dong3,ROWS($1:46)),))))</f>
        <v/>
      </c>
      <c r="I57" s="327" t="str">
        <f ca="1">IF($O$6="Q4",IF(ROWS($1:46)&gt;COUNT(Dong1),"",OFFSET('Q4-USD'!J$1,SMALL(Dong1,ROWS($1:46)),)),IF($O$6="Q11",IF(ROWS($1:46)&gt;COUNT(Dong3),"",OFFSET('Q11-USD'!J$1,SMALL(Dong3,ROWS($1:46)),)),IF(ROWS($1:46)&gt;COUNT(Dong3),IF(ROWS($1:46)&gt;COUNT(Dong3,Dong1),"",OFFSET('Q4-USD'!J$1,SMALL(Dong1,ROWS($1:46)-COUNT(Dong3)),)),OFFSET('Q11-USD'!J$1,SMALL(Dong3,ROWS($1:46)),))))</f>
        <v/>
      </c>
      <c r="J57" s="328" t="str">
        <f t="shared" ca="1" si="3"/>
        <v/>
      </c>
      <c r="K57" s="304"/>
      <c r="L57" s="335"/>
    </row>
    <row r="58" spans="1:12" s="287" customFormat="1" ht="17.25" customHeight="1">
      <c r="A58" s="300" t="str">
        <f ca="1">IF($O$6="Q4",IF(ROWS($1:47)&gt;COUNT(Dong1),"",OFFSET('Q4-USD'!B$1,SMALL(Dong1,ROWS($1:47)),)),IF($O$6="Q11",IF(ROWS($1:47)&gt;COUNT(Dong3),"",OFFSET('Q11-USD'!B$1,SMALL(Dong3,ROWS($1:47)),)),IF(ROWS($1:47)&gt;COUNT(Dong3),IF(ROWS($1:47)&gt;COUNT(Dong3,Dong1),"",OFFSET('Q4-USD'!B$1,SMALL(Dong1,ROWS($1:47)-COUNT(Dong3)),)),OFFSET('Q11-USD'!B$1,SMALL(Dong3,ROWS($1:47)),))))</f>
        <v/>
      </c>
      <c r="B58" s="300" t="str">
        <f ca="1">IF($O$6="Q4",IF(ROWS($1:47)&gt;COUNT(Dong1),"",OFFSET('Q4-USD'!C$1,SMALL(Dong1,ROWS($1:47)),)),IF($O$6="Q11",IF(ROWS($1:47)&gt;COUNT(Dong3),"",OFFSET('Q11-USD'!C$1,SMALL(Dong3,ROWS($1:47)),)),IF(ROWS($1:47)&gt;COUNT(Dong3),IF(ROWS($1:47)&gt;COUNT(Dong3,Dong1),"",OFFSET('Q4-USD'!C$1,SMALL(Dong1,ROWS($1:47)-COUNT(Dong3)),)),OFFSET('Q11-USD'!C$1,SMALL(Dong3,ROWS($1:47)),))))</f>
        <v/>
      </c>
      <c r="C58" s="300" t="str">
        <f ca="1">IF($O$6="Q4",IF(ROWS($1:47)&gt;COUNT(Dong1),"",OFFSET('Q4-USD'!D$1,SMALL(Dong1,ROWS($1:47)),)),IF($O$6="Q11",IF(ROWS($1:47)&gt;COUNT(Dong3),"",OFFSET('Q11-USD'!D$1,SMALL(Dong3,ROWS($1:47)),)),IF(ROWS($1:47)&gt;COUNT(Dong3),IF(ROWS($1:47)&gt;COUNT(Dong3,Dong1),"",OFFSET('Q4-USD'!D$1,SMALL(Dong1,ROWS($1:47)-COUNT(Dong3)),)),OFFSET('Q11-USD'!D$1,SMALL(Dong3,ROWS($1:47)),))))</f>
        <v/>
      </c>
      <c r="D58" s="301" t="str">
        <f ca="1">IF($O$6="Q4",IF(ROWS($1:47)&gt;COUNT(Dong1),"",OFFSET('Q4-USD'!E$1,SMALL(Dong1,ROWS($1:47)),)),IF($O$6="Q11",IF(ROWS($1:47)&gt;COUNT(Dong3),"",OFFSET('Q11-USD'!E$1,SMALL(Dong3,ROWS($1:47)),)),IF(ROWS($1:47)&gt;COUNT(Dong3),IF(ROWS($1:47)&gt;COUNT(Dong3,Dong1),"","Q4 - "&amp;OFFSET('Q4-USD'!E$1,SMALL(Dong1,ROWS($1:47)-COUNT(Dong3)),)),"Q11 - "&amp;OFFSET('Q11-USD'!E$1,SMALL(Dong3,ROWS($1:47)),))))</f>
        <v/>
      </c>
      <c r="E58" s="302" t="str">
        <f ca="1">IF($O$6="Q4",IF(ROWS($1:47)&gt;COUNT(Dong1),"",OFFSET('Q4-USD'!G$1,SMALL(Dong1,ROWS($1:47)),)),IF($O$6="Q11",IF(ROWS($1:47)&gt;COUNT(Dong3),"",OFFSET('Q11-USD'!G$1,SMALL(Dong3,ROWS($1:47)),)),IF(ROWS($1:47)&gt;COUNT(Dong3),IF(ROWS($1:47)&gt;COUNT(Dong3,Dong1),"",OFFSET('Q4-USD'!G$1,SMALL(Dong1,ROWS($1:47)-COUNT(Dong3)),)),OFFSET('Q11-USD'!G$1,SMALL(Dong3,ROWS($1:47)),))))</f>
        <v/>
      </c>
      <c r="F58" s="303" t="str">
        <f ca="1">IF($O$6="Q4",IF(ROWS($1:47)&gt;COUNT(Dong1),"",OFFSET('Q4-USD'!H$1,SMALL(Dong1,ROWS($1:47)),)),IF($O$6="Q11",IF(ROWS($1:47)&gt;COUNT(Dong3),"",OFFSET('Q11-USD'!H$1,SMALL(Dong3,ROWS($1:47)),)),IF(ROWS($1:47)&gt;COUNT(Dong3),IF(ROWS($1:47)&gt;COUNT(Dong3,Dong1),"",OFFSET('Q4-USD'!H$1,SMALL(Dong1,ROWS($1:47)-COUNT(Dong3)),)),OFFSET('Q11-USD'!H$1,SMALL(Dong3,ROWS($1:47)),))))</f>
        <v/>
      </c>
      <c r="G58" s="303" t="str">
        <f t="shared" ca="1" si="2"/>
        <v/>
      </c>
      <c r="H58" s="327" t="str">
        <f ca="1">IF($O$6="Q4",IF(ROWS($1:47)&gt;COUNT(Dong1),"",OFFSET('Q4-USD'!I$1,SMALL(Dong1,ROWS($1:47)),)),IF($O$6="Q11",IF(ROWS($1:47)&gt;COUNT(Dong3),"",OFFSET('Q11-USD'!I$1,SMALL(Dong3,ROWS($1:47)),)),IF(ROWS($1:47)&gt;COUNT(Dong3),IF(ROWS($1:47)&gt;COUNT(Dong3,Dong1),"",OFFSET('Q4-USD'!I$1,SMALL(Dong1,ROWS($1:47)-COUNT(Dong3)),)),OFFSET('Q11-USD'!I$1,SMALL(Dong3,ROWS($1:47)),))))</f>
        <v/>
      </c>
      <c r="I58" s="327" t="str">
        <f ca="1">IF($O$6="Q4",IF(ROWS($1:47)&gt;COUNT(Dong1),"",OFFSET('Q4-USD'!J$1,SMALL(Dong1,ROWS($1:47)),)),IF($O$6="Q11",IF(ROWS($1:47)&gt;COUNT(Dong3),"",OFFSET('Q11-USD'!J$1,SMALL(Dong3,ROWS($1:47)),)),IF(ROWS($1:47)&gt;COUNT(Dong3),IF(ROWS($1:47)&gt;COUNT(Dong3,Dong1),"",OFFSET('Q4-USD'!J$1,SMALL(Dong1,ROWS($1:47)-COUNT(Dong3)),)),OFFSET('Q11-USD'!J$1,SMALL(Dong3,ROWS($1:47)),))))</f>
        <v/>
      </c>
      <c r="J58" s="328" t="str">
        <f t="shared" ca="1" si="3"/>
        <v/>
      </c>
      <c r="K58" s="304"/>
      <c r="L58" s="335"/>
    </row>
    <row r="59" spans="1:12" s="287" customFormat="1" ht="17.25" customHeight="1">
      <c r="A59" s="300" t="str">
        <f ca="1">IF($O$6="Q4",IF(ROWS($1:48)&gt;COUNT(Dong1),"",OFFSET('Q4-USD'!B$1,SMALL(Dong1,ROWS($1:48)),)),IF($O$6="Q11",IF(ROWS($1:48)&gt;COUNT(Dong3),"",OFFSET('Q11-USD'!B$1,SMALL(Dong3,ROWS($1:48)),)),IF(ROWS($1:48)&gt;COUNT(Dong3),IF(ROWS($1:48)&gt;COUNT(Dong3,Dong1),"",OFFSET('Q4-USD'!B$1,SMALL(Dong1,ROWS($1:48)-COUNT(Dong3)),)),OFFSET('Q11-USD'!B$1,SMALL(Dong3,ROWS($1:48)),))))</f>
        <v/>
      </c>
      <c r="B59" s="300" t="str">
        <f ca="1">IF($O$6="Q4",IF(ROWS($1:48)&gt;COUNT(Dong1),"",OFFSET('Q4-USD'!C$1,SMALL(Dong1,ROWS($1:48)),)),IF($O$6="Q11",IF(ROWS($1:48)&gt;COUNT(Dong3),"",OFFSET('Q11-USD'!C$1,SMALL(Dong3,ROWS($1:48)),)),IF(ROWS($1:48)&gt;COUNT(Dong3),IF(ROWS($1:48)&gt;COUNT(Dong3,Dong1),"",OFFSET('Q4-USD'!C$1,SMALL(Dong1,ROWS($1:48)-COUNT(Dong3)),)),OFFSET('Q11-USD'!C$1,SMALL(Dong3,ROWS($1:48)),))))</f>
        <v/>
      </c>
      <c r="C59" s="300" t="str">
        <f ca="1">IF($O$6="Q4",IF(ROWS($1:48)&gt;COUNT(Dong1),"",OFFSET('Q4-USD'!D$1,SMALL(Dong1,ROWS($1:48)),)),IF($O$6="Q11",IF(ROWS($1:48)&gt;COUNT(Dong3),"",OFFSET('Q11-USD'!D$1,SMALL(Dong3,ROWS($1:48)),)),IF(ROWS($1:48)&gt;COUNT(Dong3),IF(ROWS($1:48)&gt;COUNT(Dong3,Dong1),"",OFFSET('Q4-USD'!D$1,SMALL(Dong1,ROWS($1:48)-COUNT(Dong3)),)),OFFSET('Q11-USD'!D$1,SMALL(Dong3,ROWS($1:48)),))))</f>
        <v/>
      </c>
      <c r="D59" s="301" t="str">
        <f ca="1">IF($O$6="Q4",IF(ROWS($1:48)&gt;COUNT(Dong1),"",OFFSET('Q4-USD'!E$1,SMALL(Dong1,ROWS($1:48)),)),IF($O$6="Q11",IF(ROWS($1:48)&gt;COUNT(Dong3),"",OFFSET('Q11-USD'!E$1,SMALL(Dong3,ROWS($1:48)),)),IF(ROWS($1:48)&gt;COUNT(Dong3),IF(ROWS($1:48)&gt;COUNT(Dong3,Dong1),"","Q4 - "&amp;OFFSET('Q4-USD'!E$1,SMALL(Dong1,ROWS($1:48)-COUNT(Dong3)),)),"Q11 - "&amp;OFFSET('Q11-USD'!E$1,SMALL(Dong3,ROWS($1:48)),))))</f>
        <v/>
      </c>
      <c r="E59" s="302" t="str">
        <f ca="1">IF($O$6="Q4",IF(ROWS($1:48)&gt;COUNT(Dong1),"",OFFSET('Q4-USD'!G$1,SMALL(Dong1,ROWS($1:48)),)),IF($O$6="Q11",IF(ROWS($1:48)&gt;COUNT(Dong3),"",OFFSET('Q11-USD'!G$1,SMALL(Dong3,ROWS($1:48)),)),IF(ROWS($1:48)&gt;COUNT(Dong3),IF(ROWS($1:48)&gt;COUNT(Dong3,Dong1),"",OFFSET('Q4-USD'!G$1,SMALL(Dong1,ROWS($1:48)-COUNT(Dong3)),)),OFFSET('Q11-USD'!G$1,SMALL(Dong3,ROWS($1:48)),))))</f>
        <v/>
      </c>
      <c r="F59" s="303" t="str">
        <f ca="1">IF($O$6="Q4",IF(ROWS($1:48)&gt;COUNT(Dong1),"",OFFSET('Q4-USD'!H$1,SMALL(Dong1,ROWS($1:48)),)),IF($O$6="Q11",IF(ROWS($1:48)&gt;COUNT(Dong3),"",OFFSET('Q11-USD'!H$1,SMALL(Dong3,ROWS($1:48)),)),IF(ROWS($1:48)&gt;COUNT(Dong3),IF(ROWS($1:48)&gt;COUNT(Dong3,Dong1),"",OFFSET('Q4-USD'!H$1,SMALL(Dong1,ROWS($1:48)-COUNT(Dong3)),)),OFFSET('Q11-USD'!H$1,SMALL(Dong3,ROWS($1:48)),))))</f>
        <v/>
      </c>
      <c r="G59" s="303" t="str">
        <f t="shared" ref="G59:G78" ca="1" si="4">IF(D59="","",ROUND(F59*(H59+I59),0))</f>
        <v/>
      </c>
      <c r="H59" s="327" t="str">
        <f ca="1">IF($O$6="Q4",IF(ROWS($1:48)&gt;COUNT(Dong1),"",OFFSET('Q4-USD'!I$1,SMALL(Dong1,ROWS($1:48)),)),IF($O$6="Q11",IF(ROWS($1:48)&gt;COUNT(Dong3),"",OFFSET('Q11-USD'!I$1,SMALL(Dong3,ROWS($1:48)),)),IF(ROWS($1:48)&gt;COUNT(Dong3),IF(ROWS($1:48)&gt;COUNT(Dong3,Dong1),"",OFFSET('Q4-USD'!I$1,SMALL(Dong1,ROWS($1:48)-COUNT(Dong3)),)),OFFSET('Q11-USD'!I$1,SMALL(Dong3,ROWS($1:48)),))))</f>
        <v/>
      </c>
      <c r="I59" s="327" t="str">
        <f ca="1">IF($O$6="Q4",IF(ROWS($1:48)&gt;COUNT(Dong1),"",OFFSET('Q4-USD'!J$1,SMALL(Dong1,ROWS($1:48)),)),IF($O$6="Q11",IF(ROWS($1:48)&gt;COUNT(Dong3),"",OFFSET('Q11-USD'!J$1,SMALL(Dong3,ROWS($1:48)),)),IF(ROWS($1:48)&gt;COUNT(Dong3),IF(ROWS($1:48)&gt;COUNT(Dong3,Dong1),"",OFFSET('Q4-USD'!J$1,SMALL(Dong1,ROWS($1:48)-COUNT(Dong3)),)),OFFSET('Q11-USD'!J$1,SMALL(Dong3,ROWS($1:48)),))))</f>
        <v/>
      </c>
      <c r="J59" s="328" t="str">
        <f t="shared" ref="J59:J78" ca="1" si="5">IF(A59&lt;&gt;"",ROUND(J58+H59-I59,2),"")</f>
        <v/>
      </c>
      <c r="K59" s="304"/>
      <c r="L59" s="335"/>
    </row>
    <row r="60" spans="1:12" s="287" customFormat="1" ht="17.25" customHeight="1">
      <c r="A60" s="300" t="str">
        <f ca="1">IF($O$6="Q4",IF(ROWS($1:49)&gt;COUNT(Dong1),"",OFFSET('Q4-USD'!B$1,SMALL(Dong1,ROWS($1:49)),)),IF($O$6="Q11",IF(ROWS($1:49)&gt;COUNT(Dong3),"",OFFSET('Q11-USD'!B$1,SMALL(Dong3,ROWS($1:49)),)),IF(ROWS($1:49)&gt;COUNT(Dong3),IF(ROWS($1:49)&gt;COUNT(Dong3,Dong1),"",OFFSET('Q4-USD'!B$1,SMALL(Dong1,ROWS($1:49)-COUNT(Dong3)),)),OFFSET('Q11-USD'!B$1,SMALL(Dong3,ROWS($1:49)),))))</f>
        <v/>
      </c>
      <c r="B60" s="300" t="str">
        <f ca="1">IF($O$6="Q4",IF(ROWS($1:49)&gt;COUNT(Dong1),"",OFFSET('Q4-USD'!C$1,SMALL(Dong1,ROWS($1:49)),)),IF($O$6="Q11",IF(ROWS($1:49)&gt;COUNT(Dong3),"",OFFSET('Q11-USD'!C$1,SMALL(Dong3,ROWS($1:49)),)),IF(ROWS($1:49)&gt;COUNT(Dong3),IF(ROWS($1:49)&gt;COUNT(Dong3,Dong1),"",OFFSET('Q4-USD'!C$1,SMALL(Dong1,ROWS($1:49)-COUNT(Dong3)),)),OFFSET('Q11-USD'!C$1,SMALL(Dong3,ROWS($1:49)),))))</f>
        <v/>
      </c>
      <c r="C60" s="300" t="str">
        <f ca="1">IF($O$6="Q4",IF(ROWS($1:49)&gt;COUNT(Dong1),"",OFFSET('Q4-USD'!D$1,SMALL(Dong1,ROWS($1:49)),)),IF($O$6="Q11",IF(ROWS($1:49)&gt;COUNT(Dong3),"",OFFSET('Q11-USD'!D$1,SMALL(Dong3,ROWS($1:49)),)),IF(ROWS($1:49)&gt;COUNT(Dong3),IF(ROWS($1:49)&gt;COUNT(Dong3,Dong1),"",OFFSET('Q4-USD'!D$1,SMALL(Dong1,ROWS($1:49)-COUNT(Dong3)),)),OFFSET('Q11-USD'!D$1,SMALL(Dong3,ROWS($1:49)),))))</f>
        <v/>
      </c>
      <c r="D60" s="301" t="str">
        <f ca="1">IF($O$6="Q4",IF(ROWS($1:49)&gt;COUNT(Dong1),"",OFFSET('Q4-USD'!E$1,SMALL(Dong1,ROWS($1:49)),)),IF($O$6="Q11",IF(ROWS($1:49)&gt;COUNT(Dong3),"",OFFSET('Q11-USD'!E$1,SMALL(Dong3,ROWS($1:49)),)),IF(ROWS($1:49)&gt;COUNT(Dong3),IF(ROWS($1:49)&gt;COUNT(Dong3,Dong1),"","Q4 - "&amp;OFFSET('Q4-USD'!E$1,SMALL(Dong1,ROWS($1:49)-COUNT(Dong3)),)),"Q11 - "&amp;OFFSET('Q11-USD'!E$1,SMALL(Dong3,ROWS($1:49)),))))</f>
        <v/>
      </c>
      <c r="E60" s="302" t="str">
        <f ca="1">IF($O$6="Q4",IF(ROWS($1:49)&gt;COUNT(Dong1),"",OFFSET('Q4-USD'!G$1,SMALL(Dong1,ROWS($1:49)),)),IF($O$6="Q11",IF(ROWS($1:49)&gt;COUNT(Dong3),"",OFFSET('Q11-USD'!G$1,SMALL(Dong3,ROWS($1:49)),)),IF(ROWS($1:49)&gt;COUNT(Dong3),IF(ROWS($1:49)&gt;COUNT(Dong3,Dong1),"",OFFSET('Q4-USD'!G$1,SMALL(Dong1,ROWS($1:49)-COUNT(Dong3)),)),OFFSET('Q11-USD'!G$1,SMALL(Dong3,ROWS($1:49)),))))</f>
        <v/>
      </c>
      <c r="F60" s="303" t="str">
        <f ca="1">IF($O$6="Q4",IF(ROWS($1:49)&gt;COUNT(Dong1),"",OFFSET('Q4-USD'!H$1,SMALL(Dong1,ROWS($1:49)),)),IF($O$6="Q11",IF(ROWS($1:49)&gt;COUNT(Dong3),"",OFFSET('Q11-USD'!H$1,SMALL(Dong3,ROWS($1:49)),)),IF(ROWS($1:49)&gt;COUNT(Dong3),IF(ROWS($1:49)&gt;COUNT(Dong3,Dong1),"",OFFSET('Q4-USD'!H$1,SMALL(Dong1,ROWS($1:49)-COUNT(Dong3)),)),OFFSET('Q11-USD'!H$1,SMALL(Dong3,ROWS($1:49)),))))</f>
        <v/>
      </c>
      <c r="G60" s="303" t="str">
        <f t="shared" ca="1" si="4"/>
        <v/>
      </c>
      <c r="H60" s="327" t="str">
        <f ca="1">IF($O$6="Q4",IF(ROWS($1:49)&gt;COUNT(Dong1),"",OFFSET('Q4-USD'!I$1,SMALL(Dong1,ROWS($1:49)),)),IF($O$6="Q11",IF(ROWS($1:49)&gt;COUNT(Dong3),"",OFFSET('Q11-USD'!I$1,SMALL(Dong3,ROWS($1:49)),)),IF(ROWS($1:49)&gt;COUNT(Dong3),IF(ROWS($1:49)&gt;COUNT(Dong3,Dong1),"",OFFSET('Q4-USD'!I$1,SMALL(Dong1,ROWS($1:49)-COUNT(Dong3)),)),OFFSET('Q11-USD'!I$1,SMALL(Dong3,ROWS($1:49)),))))</f>
        <v/>
      </c>
      <c r="I60" s="327" t="str">
        <f ca="1">IF($O$6="Q4",IF(ROWS($1:49)&gt;COUNT(Dong1),"",OFFSET('Q4-USD'!J$1,SMALL(Dong1,ROWS($1:49)),)),IF($O$6="Q11",IF(ROWS($1:49)&gt;COUNT(Dong3),"",OFFSET('Q11-USD'!J$1,SMALL(Dong3,ROWS($1:49)),)),IF(ROWS($1:49)&gt;COUNT(Dong3),IF(ROWS($1:49)&gt;COUNT(Dong3,Dong1),"",OFFSET('Q4-USD'!J$1,SMALL(Dong1,ROWS($1:49)-COUNT(Dong3)),)),OFFSET('Q11-USD'!J$1,SMALL(Dong3,ROWS($1:49)),))))</f>
        <v/>
      </c>
      <c r="J60" s="328" t="str">
        <f t="shared" ca="1" si="5"/>
        <v/>
      </c>
      <c r="K60" s="304"/>
      <c r="L60" s="335"/>
    </row>
    <row r="61" spans="1:12" s="287" customFormat="1" ht="17.25" customHeight="1">
      <c r="A61" s="300" t="str">
        <f ca="1">IF($O$6="Q4",IF(ROWS($1:50)&gt;COUNT(Dong1),"",OFFSET('Q4-USD'!B$1,SMALL(Dong1,ROWS($1:50)),)),IF($O$6="Q11",IF(ROWS($1:50)&gt;COUNT(Dong3),"",OFFSET('Q11-USD'!B$1,SMALL(Dong3,ROWS($1:50)),)),IF(ROWS($1:50)&gt;COUNT(Dong3),IF(ROWS($1:50)&gt;COUNT(Dong3,Dong1),"",OFFSET('Q4-USD'!B$1,SMALL(Dong1,ROWS($1:50)-COUNT(Dong3)),)),OFFSET('Q11-USD'!B$1,SMALL(Dong3,ROWS($1:50)),))))</f>
        <v/>
      </c>
      <c r="B61" s="300" t="str">
        <f ca="1">IF($O$6="Q4",IF(ROWS($1:50)&gt;COUNT(Dong1),"",OFFSET('Q4-USD'!C$1,SMALL(Dong1,ROWS($1:50)),)),IF($O$6="Q11",IF(ROWS($1:50)&gt;COUNT(Dong3),"",OFFSET('Q11-USD'!C$1,SMALL(Dong3,ROWS($1:50)),)),IF(ROWS($1:50)&gt;COUNT(Dong3),IF(ROWS($1:50)&gt;COUNT(Dong3,Dong1),"",OFFSET('Q4-USD'!C$1,SMALL(Dong1,ROWS($1:50)-COUNT(Dong3)),)),OFFSET('Q11-USD'!C$1,SMALL(Dong3,ROWS($1:50)),))))</f>
        <v/>
      </c>
      <c r="C61" s="300" t="str">
        <f ca="1">IF($O$6="Q4",IF(ROWS($1:50)&gt;COUNT(Dong1),"",OFFSET('Q4-USD'!D$1,SMALL(Dong1,ROWS($1:50)),)),IF($O$6="Q11",IF(ROWS($1:50)&gt;COUNT(Dong3),"",OFFSET('Q11-USD'!D$1,SMALL(Dong3,ROWS($1:50)),)),IF(ROWS($1:50)&gt;COUNT(Dong3),IF(ROWS($1:50)&gt;COUNT(Dong3,Dong1),"",OFFSET('Q4-USD'!D$1,SMALL(Dong1,ROWS($1:50)-COUNT(Dong3)),)),OFFSET('Q11-USD'!D$1,SMALL(Dong3,ROWS($1:50)),))))</f>
        <v/>
      </c>
      <c r="D61" s="301" t="str">
        <f ca="1">IF($O$6="Q4",IF(ROWS($1:50)&gt;COUNT(Dong1),"",OFFSET('Q4-USD'!E$1,SMALL(Dong1,ROWS($1:50)),)),IF($O$6="Q11",IF(ROWS($1:50)&gt;COUNT(Dong3),"",OFFSET('Q11-USD'!E$1,SMALL(Dong3,ROWS($1:50)),)),IF(ROWS($1:50)&gt;COUNT(Dong3),IF(ROWS($1:50)&gt;COUNT(Dong3,Dong1),"","Q4 - "&amp;OFFSET('Q4-USD'!E$1,SMALL(Dong1,ROWS($1:50)-COUNT(Dong3)),)),"Q11 - "&amp;OFFSET('Q11-USD'!E$1,SMALL(Dong3,ROWS($1:50)),))))</f>
        <v/>
      </c>
      <c r="E61" s="302" t="str">
        <f ca="1">IF($O$6="Q4",IF(ROWS($1:50)&gt;COUNT(Dong1),"",OFFSET('Q4-USD'!G$1,SMALL(Dong1,ROWS($1:50)),)),IF($O$6="Q11",IF(ROWS($1:50)&gt;COUNT(Dong3),"",OFFSET('Q11-USD'!G$1,SMALL(Dong3,ROWS($1:50)),)),IF(ROWS($1:50)&gt;COUNT(Dong3),IF(ROWS($1:50)&gt;COUNT(Dong3,Dong1),"",OFFSET('Q4-USD'!G$1,SMALL(Dong1,ROWS($1:50)-COUNT(Dong3)),)),OFFSET('Q11-USD'!G$1,SMALL(Dong3,ROWS($1:50)),))))</f>
        <v/>
      </c>
      <c r="F61" s="303" t="str">
        <f ca="1">IF($O$6="Q4",IF(ROWS($1:50)&gt;COUNT(Dong1),"",OFFSET('Q4-USD'!H$1,SMALL(Dong1,ROWS($1:50)),)),IF($O$6="Q11",IF(ROWS($1:50)&gt;COUNT(Dong3),"",OFFSET('Q11-USD'!H$1,SMALL(Dong3,ROWS($1:50)),)),IF(ROWS($1:50)&gt;COUNT(Dong3),IF(ROWS($1:50)&gt;COUNT(Dong3,Dong1),"",OFFSET('Q4-USD'!H$1,SMALL(Dong1,ROWS($1:50)-COUNT(Dong3)),)),OFFSET('Q11-USD'!H$1,SMALL(Dong3,ROWS($1:50)),))))</f>
        <v/>
      </c>
      <c r="G61" s="303" t="str">
        <f t="shared" ca="1" si="4"/>
        <v/>
      </c>
      <c r="H61" s="327" t="str">
        <f ca="1">IF($O$6="Q4",IF(ROWS($1:50)&gt;COUNT(Dong1),"",OFFSET('Q4-USD'!I$1,SMALL(Dong1,ROWS($1:50)),)),IF($O$6="Q11",IF(ROWS($1:50)&gt;COUNT(Dong3),"",OFFSET('Q11-USD'!I$1,SMALL(Dong3,ROWS($1:50)),)),IF(ROWS($1:50)&gt;COUNT(Dong3),IF(ROWS($1:50)&gt;COUNT(Dong3,Dong1),"",OFFSET('Q4-USD'!I$1,SMALL(Dong1,ROWS($1:50)-COUNT(Dong3)),)),OFFSET('Q11-USD'!I$1,SMALL(Dong3,ROWS($1:50)),))))</f>
        <v/>
      </c>
      <c r="I61" s="327" t="str">
        <f ca="1">IF($O$6="Q4",IF(ROWS($1:50)&gt;COUNT(Dong1),"",OFFSET('Q4-USD'!J$1,SMALL(Dong1,ROWS($1:50)),)),IF($O$6="Q11",IF(ROWS($1:50)&gt;COUNT(Dong3),"",OFFSET('Q11-USD'!J$1,SMALL(Dong3,ROWS($1:50)),)),IF(ROWS($1:50)&gt;COUNT(Dong3),IF(ROWS($1:50)&gt;COUNT(Dong3,Dong1),"",OFFSET('Q4-USD'!J$1,SMALL(Dong1,ROWS($1:50)-COUNT(Dong3)),)),OFFSET('Q11-USD'!J$1,SMALL(Dong3,ROWS($1:50)),))))</f>
        <v/>
      </c>
      <c r="J61" s="328" t="str">
        <f t="shared" ca="1" si="5"/>
        <v/>
      </c>
      <c r="K61" s="304"/>
      <c r="L61" s="335"/>
    </row>
    <row r="62" spans="1:12" s="287" customFormat="1" ht="17.25" customHeight="1">
      <c r="A62" s="300" t="str">
        <f ca="1">IF($O$6="Q4",IF(ROWS($1:51)&gt;COUNT(Dong1),"",OFFSET('Q4-USD'!B$1,SMALL(Dong1,ROWS($1:51)),)),IF($O$6="Q11",IF(ROWS($1:51)&gt;COUNT(Dong3),"",OFFSET('Q11-USD'!B$1,SMALL(Dong3,ROWS($1:51)),)),IF(ROWS($1:51)&gt;COUNT(Dong3),IF(ROWS($1:51)&gt;COUNT(Dong3,Dong1),"",OFFSET('Q4-USD'!B$1,SMALL(Dong1,ROWS($1:51)-COUNT(Dong3)),)),OFFSET('Q11-USD'!B$1,SMALL(Dong3,ROWS($1:51)),))))</f>
        <v/>
      </c>
      <c r="B62" s="300" t="str">
        <f ca="1">IF($O$6="Q4",IF(ROWS($1:51)&gt;COUNT(Dong1),"",OFFSET('Q4-USD'!C$1,SMALL(Dong1,ROWS($1:51)),)),IF($O$6="Q11",IF(ROWS($1:51)&gt;COUNT(Dong3),"",OFFSET('Q11-USD'!C$1,SMALL(Dong3,ROWS($1:51)),)),IF(ROWS($1:51)&gt;COUNT(Dong3),IF(ROWS($1:51)&gt;COUNT(Dong3,Dong1),"",OFFSET('Q4-USD'!C$1,SMALL(Dong1,ROWS($1:51)-COUNT(Dong3)),)),OFFSET('Q11-USD'!C$1,SMALL(Dong3,ROWS($1:51)),))))</f>
        <v/>
      </c>
      <c r="C62" s="300" t="str">
        <f ca="1">IF($O$6="Q4",IF(ROWS($1:51)&gt;COUNT(Dong1),"",OFFSET('Q4-USD'!D$1,SMALL(Dong1,ROWS($1:51)),)),IF($O$6="Q11",IF(ROWS($1:51)&gt;COUNT(Dong3),"",OFFSET('Q11-USD'!D$1,SMALL(Dong3,ROWS($1:51)),)),IF(ROWS($1:51)&gt;COUNT(Dong3),IF(ROWS($1:51)&gt;COUNT(Dong3,Dong1),"",OFFSET('Q4-USD'!D$1,SMALL(Dong1,ROWS($1:51)-COUNT(Dong3)),)),OFFSET('Q11-USD'!D$1,SMALL(Dong3,ROWS($1:51)),))))</f>
        <v/>
      </c>
      <c r="D62" s="301" t="str">
        <f ca="1">IF($O$6="Q4",IF(ROWS($1:51)&gt;COUNT(Dong1),"",OFFSET('Q4-USD'!E$1,SMALL(Dong1,ROWS($1:51)),)),IF($O$6="Q11",IF(ROWS($1:51)&gt;COUNT(Dong3),"",OFFSET('Q11-USD'!E$1,SMALL(Dong3,ROWS($1:51)),)),IF(ROWS($1:51)&gt;COUNT(Dong3),IF(ROWS($1:51)&gt;COUNT(Dong3,Dong1),"","Q4 - "&amp;OFFSET('Q4-USD'!E$1,SMALL(Dong1,ROWS($1:51)-COUNT(Dong3)),)),"Q11 - "&amp;OFFSET('Q11-USD'!E$1,SMALL(Dong3,ROWS($1:51)),))))</f>
        <v/>
      </c>
      <c r="E62" s="302" t="str">
        <f ca="1">IF($O$6="Q4",IF(ROWS($1:51)&gt;COUNT(Dong1),"",OFFSET('Q4-USD'!G$1,SMALL(Dong1,ROWS($1:51)),)),IF($O$6="Q11",IF(ROWS($1:51)&gt;COUNT(Dong3),"",OFFSET('Q11-USD'!G$1,SMALL(Dong3,ROWS($1:51)),)),IF(ROWS($1:51)&gt;COUNT(Dong3),IF(ROWS($1:51)&gt;COUNT(Dong3,Dong1),"",OFFSET('Q4-USD'!G$1,SMALL(Dong1,ROWS($1:51)-COUNT(Dong3)),)),OFFSET('Q11-USD'!G$1,SMALL(Dong3,ROWS($1:51)),))))</f>
        <v/>
      </c>
      <c r="F62" s="303" t="str">
        <f ca="1">IF($O$6="Q4",IF(ROWS($1:51)&gt;COUNT(Dong1),"",OFFSET('Q4-USD'!H$1,SMALL(Dong1,ROWS($1:51)),)),IF($O$6="Q11",IF(ROWS($1:51)&gt;COUNT(Dong3),"",OFFSET('Q11-USD'!H$1,SMALL(Dong3,ROWS($1:51)),)),IF(ROWS($1:51)&gt;COUNT(Dong3),IF(ROWS($1:51)&gt;COUNT(Dong3,Dong1),"",OFFSET('Q4-USD'!H$1,SMALL(Dong1,ROWS($1:51)-COUNT(Dong3)),)),OFFSET('Q11-USD'!H$1,SMALL(Dong3,ROWS($1:51)),))))</f>
        <v/>
      </c>
      <c r="G62" s="303" t="str">
        <f t="shared" ca="1" si="4"/>
        <v/>
      </c>
      <c r="H62" s="327" t="str">
        <f ca="1">IF($O$6="Q4",IF(ROWS($1:51)&gt;COUNT(Dong1),"",OFFSET('Q4-USD'!I$1,SMALL(Dong1,ROWS($1:51)),)),IF($O$6="Q11",IF(ROWS($1:51)&gt;COUNT(Dong3),"",OFFSET('Q11-USD'!I$1,SMALL(Dong3,ROWS($1:51)),)),IF(ROWS($1:51)&gt;COUNT(Dong3),IF(ROWS($1:51)&gt;COUNT(Dong3,Dong1),"",OFFSET('Q4-USD'!I$1,SMALL(Dong1,ROWS($1:51)-COUNT(Dong3)),)),OFFSET('Q11-USD'!I$1,SMALL(Dong3,ROWS($1:51)),))))</f>
        <v/>
      </c>
      <c r="I62" s="327" t="str">
        <f ca="1">IF($O$6="Q4",IF(ROWS($1:51)&gt;COUNT(Dong1),"",OFFSET('Q4-USD'!J$1,SMALL(Dong1,ROWS($1:51)),)),IF($O$6="Q11",IF(ROWS($1:51)&gt;COUNT(Dong3),"",OFFSET('Q11-USD'!J$1,SMALL(Dong3,ROWS($1:51)),)),IF(ROWS($1:51)&gt;COUNT(Dong3),IF(ROWS($1:51)&gt;COUNT(Dong3,Dong1),"",OFFSET('Q4-USD'!J$1,SMALL(Dong1,ROWS($1:51)-COUNT(Dong3)),)),OFFSET('Q11-USD'!J$1,SMALL(Dong3,ROWS($1:51)),))))</f>
        <v/>
      </c>
      <c r="J62" s="328" t="str">
        <f t="shared" ca="1" si="5"/>
        <v/>
      </c>
      <c r="K62" s="304"/>
      <c r="L62" s="335"/>
    </row>
    <row r="63" spans="1:12" s="287" customFormat="1" ht="17.25" customHeight="1">
      <c r="A63" s="300" t="str">
        <f ca="1">IF($O$6="Q4",IF(ROWS($1:52)&gt;COUNT(Dong1),"",OFFSET('Q4-USD'!B$1,SMALL(Dong1,ROWS($1:52)),)),IF($O$6="Q11",IF(ROWS($1:52)&gt;COUNT(Dong3),"",OFFSET('Q11-USD'!B$1,SMALL(Dong3,ROWS($1:52)),)),IF(ROWS($1:52)&gt;COUNT(Dong3),IF(ROWS($1:52)&gt;COUNT(Dong3,Dong1),"",OFFSET('Q4-USD'!B$1,SMALL(Dong1,ROWS($1:52)-COUNT(Dong3)),)),OFFSET('Q11-USD'!B$1,SMALL(Dong3,ROWS($1:52)),))))</f>
        <v/>
      </c>
      <c r="B63" s="300" t="str">
        <f ca="1">IF($O$6="Q4",IF(ROWS($1:52)&gt;COUNT(Dong1),"",OFFSET('Q4-USD'!C$1,SMALL(Dong1,ROWS($1:52)),)),IF($O$6="Q11",IF(ROWS($1:52)&gt;COUNT(Dong3),"",OFFSET('Q11-USD'!C$1,SMALL(Dong3,ROWS($1:52)),)),IF(ROWS($1:52)&gt;COUNT(Dong3),IF(ROWS($1:52)&gt;COUNT(Dong3,Dong1),"",OFFSET('Q4-USD'!C$1,SMALL(Dong1,ROWS($1:52)-COUNT(Dong3)),)),OFFSET('Q11-USD'!C$1,SMALL(Dong3,ROWS($1:52)),))))</f>
        <v/>
      </c>
      <c r="C63" s="300" t="str">
        <f ca="1">IF($O$6="Q4",IF(ROWS($1:52)&gt;COUNT(Dong1),"",OFFSET('Q4-USD'!D$1,SMALL(Dong1,ROWS($1:52)),)),IF($O$6="Q11",IF(ROWS($1:52)&gt;COUNT(Dong3),"",OFFSET('Q11-USD'!D$1,SMALL(Dong3,ROWS($1:52)),)),IF(ROWS($1:52)&gt;COUNT(Dong3),IF(ROWS($1:52)&gt;COUNT(Dong3,Dong1),"",OFFSET('Q4-USD'!D$1,SMALL(Dong1,ROWS($1:52)-COUNT(Dong3)),)),OFFSET('Q11-USD'!D$1,SMALL(Dong3,ROWS($1:52)),))))</f>
        <v/>
      </c>
      <c r="D63" s="301" t="str">
        <f ca="1">IF($O$6="Q4",IF(ROWS($1:52)&gt;COUNT(Dong1),"",OFFSET('Q4-USD'!E$1,SMALL(Dong1,ROWS($1:52)),)),IF($O$6="Q11",IF(ROWS($1:52)&gt;COUNT(Dong3),"",OFFSET('Q11-USD'!E$1,SMALL(Dong3,ROWS($1:52)),)),IF(ROWS($1:52)&gt;COUNT(Dong3),IF(ROWS($1:52)&gt;COUNT(Dong3,Dong1),"","Q4 - "&amp;OFFSET('Q4-USD'!E$1,SMALL(Dong1,ROWS($1:52)-COUNT(Dong3)),)),"Q11 - "&amp;OFFSET('Q11-USD'!E$1,SMALL(Dong3,ROWS($1:52)),))))</f>
        <v/>
      </c>
      <c r="E63" s="302" t="str">
        <f ca="1">IF($O$6="Q4",IF(ROWS($1:52)&gt;COUNT(Dong1),"",OFFSET('Q4-USD'!G$1,SMALL(Dong1,ROWS($1:52)),)),IF($O$6="Q11",IF(ROWS($1:52)&gt;COUNT(Dong3),"",OFFSET('Q11-USD'!G$1,SMALL(Dong3,ROWS($1:52)),)),IF(ROWS($1:52)&gt;COUNT(Dong3),IF(ROWS($1:52)&gt;COUNT(Dong3,Dong1),"",OFFSET('Q4-USD'!G$1,SMALL(Dong1,ROWS($1:52)-COUNT(Dong3)),)),OFFSET('Q11-USD'!G$1,SMALL(Dong3,ROWS($1:52)),))))</f>
        <v/>
      </c>
      <c r="F63" s="303" t="str">
        <f ca="1">IF($O$6="Q4",IF(ROWS($1:52)&gt;COUNT(Dong1),"",OFFSET('Q4-USD'!H$1,SMALL(Dong1,ROWS($1:52)),)),IF($O$6="Q11",IF(ROWS($1:52)&gt;COUNT(Dong3),"",OFFSET('Q11-USD'!H$1,SMALL(Dong3,ROWS($1:52)),)),IF(ROWS($1:52)&gt;COUNT(Dong3),IF(ROWS($1:52)&gt;COUNT(Dong3,Dong1),"",OFFSET('Q4-USD'!H$1,SMALL(Dong1,ROWS($1:52)-COUNT(Dong3)),)),OFFSET('Q11-USD'!H$1,SMALL(Dong3,ROWS($1:52)),))))</f>
        <v/>
      </c>
      <c r="G63" s="303" t="str">
        <f t="shared" ca="1" si="4"/>
        <v/>
      </c>
      <c r="H63" s="327" t="str">
        <f ca="1">IF($O$6="Q4",IF(ROWS($1:52)&gt;COUNT(Dong1),"",OFFSET('Q4-USD'!I$1,SMALL(Dong1,ROWS($1:52)),)),IF($O$6="Q11",IF(ROWS($1:52)&gt;COUNT(Dong3),"",OFFSET('Q11-USD'!I$1,SMALL(Dong3,ROWS($1:52)),)),IF(ROWS($1:52)&gt;COUNT(Dong3),IF(ROWS($1:52)&gt;COUNT(Dong3,Dong1),"",OFFSET('Q4-USD'!I$1,SMALL(Dong1,ROWS($1:52)-COUNT(Dong3)),)),OFFSET('Q11-USD'!I$1,SMALL(Dong3,ROWS($1:52)),))))</f>
        <v/>
      </c>
      <c r="I63" s="327" t="str">
        <f ca="1">IF($O$6="Q4",IF(ROWS($1:52)&gt;COUNT(Dong1),"",OFFSET('Q4-USD'!J$1,SMALL(Dong1,ROWS($1:52)),)),IF($O$6="Q11",IF(ROWS($1:52)&gt;COUNT(Dong3),"",OFFSET('Q11-USD'!J$1,SMALL(Dong3,ROWS($1:52)),)),IF(ROWS($1:52)&gt;COUNT(Dong3),IF(ROWS($1:52)&gt;COUNT(Dong3,Dong1),"",OFFSET('Q4-USD'!J$1,SMALL(Dong1,ROWS($1:52)-COUNT(Dong3)),)),OFFSET('Q11-USD'!J$1,SMALL(Dong3,ROWS($1:52)),))))</f>
        <v/>
      </c>
      <c r="J63" s="328" t="str">
        <f t="shared" ca="1" si="5"/>
        <v/>
      </c>
      <c r="K63" s="304"/>
      <c r="L63" s="335"/>
    </row>
    <row r="64" spans="1:12" s="287" customFormat="1" ht="17.25" customHeight="1">
      <c r="A64" s="300" t="str">
        <f ca="1">IF($O$6="Q4",IF(ROWS($1:53)&gt;COUNT(Dong1),"",OFFSET('Q4-USD'!B$1,SMALL(Dong1,ROWS($1:53)),)),IF($O$6="Q11",IF(ROWS($1:53)&gt;COUNT(Dong3),"",OFFSET('Q11-USD'!B$1,SMALL(Dong3,ROWS($1:53)),)),IF(ROWS($1:53)&gt;COUNT(Dong3),IF(ROWS($1:53)&gt;COUNT(Dong3,Dong1),"",OFFSET('Q4-USD'!B$1,SMALL(Dong1,ROWS($1:53)-COUNT(Dong3)),)),OFFSET('Q11-USD'!B$1,SMALL(Dong3,ROWS($1:53)),))))</f>
        <v/>
      </c>
      <c r="B64" s="300" t="str">
        <f ca="1">IF($O$6="Q4",IF(ROWS($1:53)&gt;COUNT(Dong1),"",OFFSET('Q4-USD'!C$1,SMALL(Dong1,ROWS($1:53)),)),IF($O$6="Q11",IF(ROWS($1:53)&gt;COUNT(Dong3),"",OFFSET('Q11-USD'!C$1,SMALL(Dong3,ROWS($1:53)),)),IF(ROWS($1:53)&gt;COUNT(Dong3),IF(ROWS($1:53)&gt;COUNT(Dong3,Dong1),"",OFFSET('Q4-USD'!C$1,SMALL(Dong1,ROWS($1:53)-COUNT(Dong3)),)),OFFSET('Q11-USD'!C$1,SMALL(Dong3,ROWS($1:53)),))))</f>
        <v/>
      </c>
      <c r="C64" s="300" t="str">
        <f ca="1">IF($O$6="Q4",IF(ROWS($1:53)&gt;COUNT(Dong1),"",OFFSET('Q4-USD'!D$1,SMALL(Dong1,ROWS($1:53)),)),IF($O$6="Q11",IF(ROWS($1:53)&gt;COUNT(Dong3),"",OFFSET('Q11-USD'!D$1,SMALL(Dong3,ROWS($1:53)),)),IF(ROWS($1:53)&gt;COUNT(Dong3),IF(ROWS($1:53)&gt;COUNT(Dong3,Dong1),"",OFFSET('Q4-USD'!D$1,SMALL(Dong1,ROWS($1:53)-COUNT(Dong3)),)),OFFSET('Q11-USD'!D$1,SMALL(Dong3,ROWS($1:53)),))))</f>
        <v/>
      </c>
      <c r="D64" s="301" t="str">
        <f ca="1">IF($O$6="Q4",IF(ROWS($1:53)&gt;COUNT(Dong1),"",OFFSET('Q4-USD'!E$1,SMALL(Dong1,ROWS($1:53)),)),IF($O$6="Q11",IF(ROWS($1:53)&gt;COUNT(Dong3),"",OFFSET('Q11-USD'!E$1,SMALL(Dong3,ROWS($1:53)),)),IF(ROWS($1:53)&gt;COUNT(Dong3),IF(ROWS($1:53)&gt;COUNT(Dong3,Dong1),"","Q4 - "&amp;OFFSET('Q4-USD'!E$1,SMALL(Dong1,ROWS($1:53)-COUNT(Dong3)),)),"Q11 - "&amp;OFFSET('Q11-USD'!E$1,SMALL(Dong3,ROWS($1:53)),))))</f>
        <v/>
      </c>
      <c r="E64" s="302" t="str">
        <f ca="1">IF($O$6="Q4",IF(ROWS($1:53)&gt;COUNT(Dong1),"",OFFSET('Q4-USD'!G$1,SMALL(Dong1,ROWS($1:53)),)),IF($O$6="Q11",IF(ROWS($1:53)&gt;COUNT(Dong3),"",OFFSET('Q11-USD'!G$1,SMALL(Dong3,ROWS($1:53)),)),IF(ROWS($1:53)&gt;COUNT(Dong3),IF(ROWS($1:53)&gt;COUNT(Dong3,Dong1),"",OFFSET('Q4-USD'!G$1,SMALL(Dong1,ROWS($1:53)-COUNT(Dong3)),)),OFFSET('Q11-USD'!G$1,SMALL(Dong3,ROWS($1:53)),))))</f>
        <v/>
      </c>
      <c r="F64" s="303" t="str">
        <f ca="1">IF($O$6="Q4",IF(ROWS($1:53)&gt;COUNT(Dong1),"",OFFSET('Q4-USD'!H$1,SMALL(Dong1,ROWS($1:53)),)),IF($O$6="Q11",IF(ROWS($1:53)&gt;COUNT(Dong3),"",OFFSET('Q11-USD'!H$1,SMALL(Dong3,ROWS($1:53)),)),IF(ROWS($1:53)&gt;COUNT(Dong3),IF(ROWS($1:53)&gt;COUNT(Dong3,Dong1),"",OFFSET('Q4-USD'!H$1,SMALL(Dong1,ROWS($1:53)-COUNT(Dong3)),)),OFFSET('Q11-USD'!H$1,SMALL(Dong3,ROWS($1:53)),))))</f>
        <v/>
      </c>
      <c r="G64" s="303" t="str">
        <f t="shared" ca="1" si="4"/>
        <v/>
      </c>
      <c r="H64" s="327" t="str">
        <f ca="1">IF($O$6="Q4",IF(ROWS($1:53)&gt;COUNT(Dong1),"",OFFSET('Q4-USD'!I$1,SMALL(Dong1,ROWS($1:53)),)),IF($O$6="Q11",IF(ROWS($1:53)&gt;COUNT(Dong3),"",OFFSET('Q11-USD'!I$1,SMALL(Dong3,ROWS($1:53)),)),IF(ROWS($1:53)&gt;COUNT(Dong3),IF(ROWS($1:53)&gt;COUNT(Dong3,Dong1),"",OFFSET('Q4-USD'!I$1,SMALL(Dong1,ROWS($1:53)-COUNT(Dong3)),)),OFFSET('Q11-USD'!I$1,SMALL(Dong3,ROWS($1:53)),))))</f>
        <v/>
      </c>
      <c r="I64" s="327" t="str">
        <f ca="1">IF($O$6="Q4",IF(ROWS($1:53)&gt;COUNT(Dong1),"",OFFSET('Q4-USD'!J$1,SMALL(Dong1,ROWS($1:53)),)),IF($O$6="Q11",IF(ROWS($1:53)&gt;COUNT(Dong3),"",OFFSET('Q11-USD'!J$1,SMALL(Dong3,ROWS($1:53)),)),IF(ROWS($1:53)&gt;COUNT(Dong3),IF(ROWS($1:53)&gt;COUNT(Dong3,Dong1),"",OFFSET('Q4-USD'!J$1,SMALL(Dong1,ROWS($1:53)-COUNT(Dong3)),)),OFFSET('Q11-USD'!J$1,SMALL(Dong3,ROWS($1:53)),))))</f>
        <v/>
      </c>
      <c r="J64" s="328" t="str">
        <f t="shared" ca="1" si="5"/>
        <v/>
      </c>
      <c r="K64" s="304"/>
      <c r="L64" s="335"/>
    </row>
    <row r="65" spans="1:12" s="287" customFormat="1" ht="17.25" customHeight="1">
      <c r="A65" s="300" t="str">
        <f ca="1">IF($O$6="Q4",IF(ROWS($1:54)&gt;COUNT(Dong1),"",OFFSET('Q4-USD'!B$1,SMALL(Dong1,ROWS($1:54)),)),IF($O$6="Q11",IF(ROWS($1:54)&gt;COUNT(Dong3),"",OFFSET('Q11-USD'!B$1,SMALL(Dong3,ROWS($1:54)),)),IF(ROWS($1:54)&gt;COUNT(Dong3),IF(ROWS($1:54)&gt;COUNT(Dong3,Dong1),"",OFFSET('Q4-USD'!B$1,SMALL(Dong1,ROWS($1:54)-COUNT(Dong3)),)),OFFSET('Q11-USD'!B$1,SMALL(Dong3,ROWS($1:54)),))))</f>
        <v/>
      </c>
      <c r="B65" s="300" t="str">
        <f ca="1">IF($O$6="Q4",IF(ROWS($1:54)&gt;COUNT(Dong1),"",OFFSET('Q4-USD'!C$1,SMALL(Dong1,ROWS($1:54)),)),IF($O$6="Q11",IF(ROWS($1:54)&gt;COUNT(Dong3),"",OFFSET('Q11-USD'!C$1,SMALL(Dong3,ROWS($1:54)),)),IF(ROWS($1:54)&gt;COUNT(Dong3),IF(ROWS($1:54)&gt;COUNT(Dong3,Dong1),"",OFFSET('Q4-USD'!C$1,SMALL(Dong1,ROWS($1:54)-COUNT(Dong3)),)),OFFSET('Q11-USD'!C$1,SMALL(Dong3,ROWS($1:54)),))))</f>
        <v/>
      </c>
      <c r="C65" s="300" t="str">
        <f ca="1">IF($O$6="Q4",IF(ROWS($1:54)&gt;COUNT(Dong1),"",OFFSET('Q4-USD'!D$1,SMALL(Dong1,ROWS($1:54)),)),IF($O$6="Q11",IF(ROWS($1:54)&gt;COUNT(Dong3),"",OFFSET('Q11-USD'!D$1,SMALL(Dong3,ROWS($1:54)),)),IF(ROWS($1:54)&gt;COUNT(Dong3),IF(ROWS($1:54)&gt;COUNT(Dong3,Dong1),"",OFFSET('Q4-USD'!D$1,SMALL(Dong1,ROWS($1:54)-COUNT(Dong3)),)),OFFSET('Q11-USD'!D$1,SMALL(Dong3,ROWS($1:54)),))))</f>
        <v/>
      </c>
      <c r="D65" s="301" t="str">
        <f ca="1">IF($O$6="Q4",IF(ROWS($1:54)&gt;COUNT(Dong1),"",OFFSET('Q4-USD'!E$1,SMALL(Dong1,ROWS($1:54)),)),IF($O$6="Q11",IF(ROWS($1:54)&gt;COUNT(Dong3),"",OFFSET('Q11-USD'!E$1,SMALL(Dong3,ROWS($1:54)),)),IF(ROWS($1:54)&gt;COUNT(Dong3),IF(ROWS($1:54)&gt;COUNT(Dong3,Dong1),"","Q4 - "&amp;OFFSET('Q4-USD'!E$1,SMALL(Dong1,ROWS($1:54)-COUNT(Dong3)),)),"Q11 - "&amp;OFFSET('Q11-USD'!E$1,SMALL(Dong3,ROWS($1:54)),))))</f>
        <v/>
      </c>
      <c r="E65" s="302" t="str">
        <f ca="1">IF($O$6="Q4",IF(ROWS($1:54)&gt;COUNT(Dong1),"",OFFSET('Q4-USD'!G$1,SMALL(Dong1,ROWS($1:54)),)),IF($O$6="Q11",IF(ROWS($1:54)&gt;COUNT(Dong3),"",OFFSET('Q11-USD'!G$1,SMALL(Dong3,ROWS($1:54)),)),IF(ROWS($1:54)&gt;COUNT(Dong3),IF(ROWS($1:54)&gt;COUNT(Dong3,Dong1),"",OFFSET('Q4-USD'!G$1,SMALL(Dong1,ROWS($1:54)-COUNT(Dong3)),)),OFFSET('Q11-USD'!G$1,SMALL(Dong3,ROWS($1:54)),))))</f>
        <v/>
      </c>
      <c r="F65" s="303" t="str">
        <f ca="1">IF($O$6="Q4",IF(ROWS($1:54)&gt;COUNT(Dong1),"",OFFSET('Q4-USD'!H$1,SMALL(Dong1,ROWS($1:54)),)),IF($O$6="Q11",IF(ROWS($1:54)&gt;COUNT(Dong3),"",OFFSET('Q11-USD'!H$1,SMALL(Dong3,ROWS($1:54)),)),IF(ROWS($1:54)&gt;COUNT(Dong3),IF(ROWS($1:54)&gt;COUNT(Dong3,Dong1),"",OFFSET('Q4-USD'!H$1,SMALL(Dong1,ROWS($1:54)-COUNT(Dong3)),)),OFFSET('Q11-USD'!H$1,SMALL(Dong3,ROWS($1:54)),))))</f>
        <v/>
      </c>
      <c r="G65" s="303" t="str">
        <f t="shared" ca="1" si="4"/>
        <v/>
      </c>
      <c r="H65" s="327" t="str">
        <f ca="1">IF($O$6="Q4",IF(ROWS($1:54)&gt;COUNT(Dong1),"",OFFSET('Q4-USD'!I$1,SMALL(Dong1,ROWS($1:54)),)),IF($O$6="Q11",IF(ROWS($1:54)&gt;COUNT(Dong3),"",OFFSET('Q11-USD'!I$1,SMALL(Dong3,ROWS($1:54)),)),IF(ROWS($1:54)&gt;COUNT(Dong3),IF(ROWS($1:54)&gt;COUNT(Dong3,Dong1),"",OFFSET('Q4-USD'!I$1,SMALL(Dong1,ROWS($1:54)-COUNT(Dong3)),)),OFFSET('Q11-USD'!I$1,SMALL(Dong3,ROWS($1:54)),))))</f>
        <v/>
      </c>
      <c r="I65" s="327" t="str">
        <f ca="1">IF($O$6="Q4",IF(ROWS($1:54)&gt;COUNT(Dong1),"",OFFSET('Q4-USD'!J$1,SMALL(Dong1,ROWS($1:54)),)),IF($O$6="Q11",IF(ROWS($1:54)&gt;COUNT(Dong3),"",OFFSET('Q11-USD'!J$1,SMALL(Dong3,ROWS($1:54)),)),IF(ROWS($1:54)&gt;COUNT(Dong3),IF(ROWS($1:54)&gt;COUNT(Dong3,Dong1),"",OFFSET('Q4-USD'!J$1,SMALL(Dong1,ROWS($1:54)-COUNT(Dong3)),)),OFFSET('Q11-USD'!J$1,SMALL(Dong3,ROWS($1:54)),))))</f>
        <v/>
      </c>
      <c r="J65" s="328" t="str">
        <f t="shared" ca="1" si="5"/>
        <v/>
      </c>
      <c r="K65" s="304"/>
      <c r="L65" s="335"/>
    </row>
    <row r="66" spans="1:12" s="287" customFormat="1" ht="17.25" customHeight="1">
      <c r="A66" s="300" t="str">
        <f ca="1">IF($O$6="Q4",IF(ROWS($1:55)&gt;COUNT(Dong1),"",OFFSET('Q4-USD'!B$1,SMALL(Dong1,ROWS($1:55)),)),IF($O$6="Q11",IF(ROWS($1:55)&gt;COUNT(Dong3),"",OFFSET('Q11-USD'!B$1,SMALL(Dong3,ROWS($1:55)),)),IF(ROWS($1:55)&gt;COUNT(Dong3),IF(ROWS($1:55)&gt;COUNT(Dong3,Dong1),"",OFFSET('Q4-USD'!B$1,SMALL(Dong1,ROWS($1:55)-COUNT(Dong3)),)),OFFSET('Q11-USD'!B$1,SMALL(Dong3,ROWS($1:55)),))))</f>
        <v/>
      </c>
      <c r="B66" s="300" t="str">
        <f ca="1">IF($O$6="Q4",IF(ROWS($1:55)&gt;COUNT(Dong1),"",OFFSET('Q4-USD'!C$1,SMALL(Dong1,ROWS($1:55)),)),IF($O$6="Q11",IF(ROWS($1:55)&gt;COUNT(Dong3),"",OFFSET('Q11-USD'!C$1,SMALL(Dong3,ROWS($1:55)),)),IF(ROWS($1:55)&gt;COUNT(Dong3),IF(ROWS($1:55)&gt;COUNT(Dong3,Dong1),"",OFFSET('Q4-USD'!C$1,SMALL(Dong1,ROWS($1:55)-COUNT(Dong3)),)),OFFSET('Q11-USD'!C$1,SMALL(Dong3,ROWS($1:55)),))))</f>
        <v/>
      </c>
      <c r="C66" s="300" t="str">
        <f ca="1">IF($O$6="Q4",IF(ROWS($1:55)&gt;COUNT(Dong1),"",OFFSET('Q4-USD'!D$1,SMALL(Dong1,ROWS($1:55)),)),IF($O$6="Q11",IF(ROWS($1:55)&gt;COUNT(Dong3),"",OFFSET('Q11-USD'!D$1,SMALL(Dong3,ROWS($1:55)),)),IF(ROWS($1:55)&gt;COUNT(Dong3),IF(ROWS($1:55)&gt;COUNT(Dong3,Dong1),"",OFFSET('Q4-USD'!D$1,SMALL(Dong1,ROWS($1:55)-COUNT(Dong3)),)),OFFSET('Q11-USD'!D$1,SMALL(Dong3,ROWS($1:55)),))))</f>
        <v/>
      </c>
      <c r="D66" s="301" t="str">
        <f ca="1">IF($O$6="Q4",IF(ROWS($1:55)&gt;COUNT(Dong1),"",OFFSET('Q4-USD'!E$1,SMALL(Dong1,ROWS($1:55)),)),IF($O$6="Q11",IF(ROWS($1:55)&gt;COUNT(Dong3),"",OFFSET('Q11-USD'!E$1,SMALL(Dong3,ROWS($1:55)),)),IF(ROWS($1:55)&gt;COUNT(Dong3),IF(ROWS($1:55)&gt;COUNT(Dong3,Dong1),"","Q4 - "&amp;OFFSET('Q4-USD'!E$1,SMALL(Dong1,ROWS($1:55)-COUNT(Dong3)),)),"Q11 - "&amp;OFFSET('Q11-USD'!E$1,SMALL(Dong3,ROWS($1:55)),))))</f>
        <v/>
      </c>
      <c r="E66" s="302" t="str">
        <f ca="1">IF($O$6="Q4",IF(ROWS($1:55)&gt;COUNT(Dong1),"",OFFSET('Q4-USD'!G$1,SMALL(Dong1,ROWS($1:55)),)),IF($O$6="Q11",IF(ROWS($1:55)&gt;COUNT(Dong3),"",OFFSET('Q11-USD'!G$1,SMALL(Dong3,ROWS($1:55)),)),IF(ROWS($1:55)&gt;COUNT(Dong3),IF(ROWS($1:55)&gt;COUNT(Dong3,Dong1),"",OFFSET('Q4-USD'!G$1,SMALL(Dong1,ROWS($1:55)-COUNT(Dong3)),)),OFFSET('Q11-USD'!G$1,SMALL(Dong3,ROWS($1:55)),))))</f>
        <v/>
      </c>
      <c r="F66" s="303" t="str">
        <f ca="1">IF($O$6="Q4",IF(ROWS($1:55)&gt;COUNT(Dong1),"",OFFSET('Q4-USD'!H$1,SMALL(Dong1,ROWS($1:55)),)),IF($O$6="Q11",IF(ROWS($1:55)&gt;COUNT(Dong3),"",OFFSET('Q11-USD'!H$1,SMALL(Dong3,ROWS($1:55)),)),IF(ROWS($1:55)&gt;COUNT(Dong3),IF(ROWS($1:55)&gt;COUNT(Dong3,Dong1),"",OFFSET('Q4-USD'!H$1,SMALL(Dong1,ROWS($1:55)-COUNT(Dong3)),)),OFFSET('Q11-USD'!H$1,SMALL(Dong3,ROWS($1:55)),))))</f>
        <v/>
      </c>
      <c r="G66" s="303" t="str">
        <f t="shared" ca="1" si="4"/>
        <v/>
      </c>
      <c r="H66" s="327" t="str">
        <f ca="1">IF($O$6="Q4",IF(ROWS($1:55)&gt;COUNT(Dong1),"",OFFSET('Q4-USD'!I$1,SMALL(Dong1,ROWS($1:55)),)),IF($O$6="Q11",IF(ROWS($1:55)&gt;COUNT(Dong3),"",OFFSET('Q11-USD'!I$1,SMALL(Dong3,ROWS($1:55)),)),IF(ROWS($1:55)&gt;COUNT(Dong3),IF(ROWS($1:55)&gt;COUNT(Dong3,Dong1),"",OFFSET('Q4-USD'!I$1,SMALL(Dong1,ROWS($1:55)-COUNT(Dong3)),)),OFFSET('Q11-USD'!I$1,SMALL(Dong3,ROWS($1:55)),))))</f>
        <v/>
      </c>
      <c r="I66" s="327" t="str">
        <f ca="1">IF($O$6="Q4",IF(ROWS($1:55)&gt;COUNT(Dong1),"",OFFSET('Q4-USD'!J$1,SMALL(Dong1,ROWS($1:55)),)),IF($O$6="Q11",IF(ROWS($1:55)&gt;COUNT(Dong3),"",OFFSET('Q11-USD'!J$1,SMALL(Dong3,ROWS($1:55)),)),IF(ROWS($1:55)&gt;COUNT(Dong3),IF(ROWS($1:55)&gt;COUNT(Dong3,Dong1),"",OFFSET('Q4-USD'!J$1,SMALL(Dong1,ROWS($1:55)-COUNT(Dong3)),)),OFFSET('Q11-USD'!J$1,SMALL(Dong3,ROWS($1:55)),))))</f>
        <v/>
      </c>
      <c r="J66" s="328" t="str">
        <f t="shared" ca="1" si="5"/>
        <v/>
      </c>
      <c r="K66" s="304"/>
      <c r="L66" s="335"/>
    </row>
    <row r="67" spans="1:12" s="287" customFormat="1" ht="17.25" customHeight="1">
      <c r="A67" s="300" t="str">
        <f ca="1">IF($O$6="Q4",IF(ROWS($1:56)&gt;COUNT(Dong1),"",OFFSET('Q4-USD'!B$1,SMALL(Dong1,ROWS($1:56)),)),IF($O$6="Q11",IF(ROWS($1:56)&gt;COUNT(Dong3),"",OFFSET('Q11-USD'!B$1,SMALL(Dong3,ROWS($1:56)),)),IF(ROWS($1:56)&gt;COUNT(Dong3),IF(ROWS($1:56)&gt;COUNT(Dong3,Dong1),"",OFFSET('Q4-USD'!B$1,SMALL(Dong1,ROWS($1:56)-COUNT(Dong3)),)),OFFSET('Q11-USD'!B$1,SMALL(Dong3,ROWS($1:56)),))))</f>
        <v/>
      </c>
      <c r="B67" s="300" t="str">
        <f ca="1">IF($O$6="Q4",IF(ROWS($1:56)&gt;COUNT(Dong1),"",OFFSET('Q4-USD'!C$1,SMALL(Dong1,ROWS($1:56)),)),IF($O$6="Q11",IF(ROWS($1:56)&gt;COUNT(Dong3),"",OFFSET('Q11-USD'!C$1,SMALL(Dong3,ROWS($1:56)),)),IF(ROWS($1:56)&gt;COUNT(Dong3),IF(ROWS($1:56)&gt;COUNT(Dong3,Dong1),"",OFFSET('Q4-USD'!C$1,SMALL(Dong1,ROWS($1:56)-COUNT(Dong3)),)),OFFSET('Q11-USD'!C$1,SMALL(Dong3,ROWS($1:56)),))))</f>
        <v/>
      </c>
      <c r="C67" s="300" t="str">
        <f ca="1">IF($O$6="Q4",IF(ROWS($1:56)&gt;COUNT(Dong1),"",OFFSET('Q4-USD'!D$1,SMALL(Dong1,ROWS($1:56)),)),IF($O$6="Q11",IF(ROWS($1:56)&gt;COUNT(Dong3),"",OFFSET('Q11-USD'!D$1,SMALL(Dong3,ROWS($1:56)),)),IF(ROWS($1:56)&gt;COUNT(Dong3),IF(ROWS($1:56)&gt;COUNT(Dong3,Dong1),"",OFFSET('Q4-USD'!D$1,SMALL(Dong1,ROWS($1:56)-COUNT(Dong3)),)),OFFSET('Q11-USD'!D$1,SMALL(Dong3,ROWS($1:56)),))))</f>
        <v/>
      </c>
      <c r="D67" s="301" t="str">
        <f ca="1">IF($O$6="Q4",IF(ROWS($1:56)&gt;COUNT(Dong1),"",OFFSET('Q4-USD'!E$1,SMALL(Dong1,ROWS($1:56)),)),IF($O$6="Q11",IF(ROWS($1:56)&gt;COUNT(Dong3),"",OFFSET('Q11-USD'!E$1,SMALL(Dong3,ROWS($1:56)),)),IF(ROWS($1:56)&gt;COUNT(Dong3),IF(ROWS($1:56)&gt;COUNT(Dong3,Dong1),"","Q4 - "&amp;OFFSET('Q4-USD'!E$1,SMALL(Dong1,ROWS($1:56)-COUNT(Dong3)),)),"Q11 - "&amp;OFFSET('Q11-USD'!E$1,SMALL(Dong3,ROWS($1:56)),))))</f>
        <v/>
      </c>
      <c r="E67" s="302" t="str">
        <f ca="1">IF($O$6="Q4",IF(ROWS($1:56)&gt;COUNT(Dong1),"",OFFSET('Q4-USD'!G$1,SMALL(Dong1,ROWS($1:56)),)),IF($O$6="Q11",IF(ROWS($1:56)&gt;COUNT(Dong3),"",OFFSET('Q11-USD'!G$1,SMALL(Dong3,ROWS($1:56)),)),IF(ROWS($1:56)&gt;COUNT(Dong3),IF(ROWS($1:56)&gt;COUNT(Dong3,Dong1),"",OFFSET('Q4-USD'!G$1,SMALL(Dong1,ROWS($1:56)-COUNT(Dong3)),)),OFFSET('Q11-USD'!G$1,SMALL(Dong3,ROWS($1:56)),))))</f>
        <v/>
      </c>
      <c r="F67" s="303" t="str">
        <f ca="1">IF($O$6="Q4",IF(ROWS($1:56)&gt;COUNT(Dong1),"",OFFSET('Q4-USD'!H$1,SMALL(Dong1,ROWS($1:56)),)),IF($O$6="Q11",IF(ROWS($1:56)&gt;COUNT(Dong3),"",OFFSET('Q11-USD'!H$1,SMALL(Dong3,ROWS($1:56)),)),IF(ROWS($1:56)&gt;COUNT(Dong3),IF(ROWS($1:56)&gt;COUNT(Dong3,Dong1),"",OFFSET('Q4-USD'!H$1,SMALL(Dong1,ROWS($1:56)-COUNT(Dong3)),)),OFFSET('Q11-USD'!H$1,SMALL(Dong3,ROWS($1:56)),))))</f>
        <v/>
      </c>
      <c r="G67" s="303" t="str">
        <f t="shared" ca="1" si="4"/>
        <v/>
      </c>
      <c r="H67" s="327" t="str">
        <f ca="1">IF($O$6="Q4",IF(ROWS($1:56)&gt;COUNT(Dong1),"",OFFSET('Q4-USD'!I$1,SMALL(Dong1,ROWS($1:56)),)),IF($O$6="Q11",IF(ROWS($1:56)&gt;COUNT(Dong3),"",OFFSET('Q11-USD'!I$1,SMALL(Dong3,ROWS($1:56)),)),IF(ROWS($1:56)&gt;COUNT(Dong3),IF(ROWS($1:56)&gt;COUNT(Dong3,Dong1),"",OFFSET('Q4-USD'!I$1,SMALL(Dong1,ROWS($1:56)-COUNT(Dong3)),)),OFFSET('Q11-USD'!I$1,SMALL(Dong3,ROWS($1:56)),))))</f>
        <v/>
      </c>
      <c r="I67" s="327" t="str">
        <f ca="1">IF($O$6="Q4",IF(ROWS($1:56)&gt;COUNT(Dong1),"",OFFSET('Q4-USD'!J$1,SMALL(Dong1,ROWS($1:56)),)),IF($O$6="Q11",IF(ROWS($1:56)&gt;COUNT(Dong3),"",OFFSET('Q11-USD'!J$1,SMALL(Dong3,ROWS($1:56)),)),IF(ROWS($1:56)&gt;COUNT(Dong3),IF(ROWS($1:56)&gt;COUNT(Dong3,Dong1),"",OFFSET('Q4-USD'!J$1,SMALL(Dong1,ROWS($1:56)-COUNT(Dong3)),)),OFFSET('Q11-USD'!J$1,SMALL(Dong3,ROWS($1:56)),))))</f>
        <v/>
      </c>
      <c r="J67" s="328" t="str">
        <f t="shared" ca="1" si="5"/>
        <v/>
      </c>
      <c r="K67" s="304"/>
      <c r="L67" s="335"/>
    </row>
    <row r="68" spans="1:12" s="287" customFormat="1" ht="17.25" customHeight="1">
      <c r="A68" s="300" t="str">
        <f ca="1">IF($O$6="Q4",IF(ROWS($1:57)&gt;COUNT(Dong1),"",OFFSET('Q4-USD'!B$1,SMALL(Dong1,ROWS($1:57)),)),IF($O$6="Q11",IF(ROWS($1:57)&gt;COUNT(Dong3),"",OFFSET('Q11-USD'!B$1,SMALL(Dong3,ROWS($1:57)),)),IF(ROWS($1:57)&gt;COUNT(Dong3),IF(ROWS($1:57)&gt;COUNT(Dong3,Dong1),"",OFFSET('Q4-USD'!B$1,SMALL(Dong1,ROWS($1:57)-COUNT(Dong3)),)),OFFSET('Q11-USD'!B$1,SMALL(Dong3,ROWS($1:57)),))))</f>
        <v/>
      </c>
      <c r="B68" s="300" t="str">
        <f ca="1">IF($O$6="Q4",IF(ROWS($1:57)&gt;COUNT(Dong1),"",OFFSET('Q4-USD'!C$1,SMALL(Dong1,ROWS($1:57)),)),IF($O$6="Q11",IF(ROWS($1:57)&gt;COUNT(Dong3),"",OFFSET('Q11-USD'!C$1,SMALL(Dong3,ROWS($1:57)),)),IF(ROWS($1:57)&gt;COUNT(Dong3),IF(ROWS($1:57)&gt;COUNT(Dong3,Dong1),"",OFFSET('Q4-USD'!C$1,SMALL(Dong1,ROWS($1:57)-COUNT(Dong3)),)),OFFSET('Q11-USD'!C$1,SMALL(Dong3,ROWS($1:57)),))))</f>
        <v/>
      </c>
      <c r="C68" s="300" t="str">
        <f ca="1">IF($O$6="Q4",IF(ROWS($1:57)&gt;COUNT(Dong1),"",OFFSET('Q4-USD'!D$1,SMALL(Dong1,ROWS($1:57)),)),IF($O$6="Q11",IF(ROWS($1:57)&gt;COUNT(Dong3),"",OFFSET('Q11-USD'!D$1,SMALL(Dong3,ROWS($1:57)),)),IF(ROWS($1:57)&gt;COUNT(Dong3),IF(ROWS($1:57)&gt;COUNT(Dong3,Dong1),"",OFFSET('Q4-USD'!D$1,SMALL(Dong1,ROWS($1:57)-COUNT(Dong3)),)),OFFSET('Q11-USD'!D$1,SMALL(Dong3,ROWS($1:57)),))))</f>
        <v/>
      </c>
      <c r="D68" s="301" t="str">
        <f ca="1">IF($O$6="Q4",IF(ROWS($1:57)&gt;COUNT(Dong1),"",OFFSET('Q4-USD'!E$1,SMALL(Dong1,ROWS($1:57)),)),IF($O$6="Q11",IF(ROWS($1:57)&gt;COUNT(Dong3),"",OFFSET('Q11-USD'!E$1,SMALL(Dong3,ROWS($1:57)),)),IF(ROWS($1:57)&gt;COUNT(Dong3),IF(ROWS($1:57)&gt;COUNT(Dong3,Dong1),"","Q4 - "&amp;OFFSET('Q4-USD'!E$1,SMALL(Dong1,ROWS($1:57)-COUNT(Dong3)),)),"Q11 - "&amp;OFFSET('Q11-USD'!E$1,SMALL(Dong3,ROWS($1:57)),))))</f>
        <v/>
      </c>
      <c r="E68" s="302" t="str">
        <f ca="1">IF($O$6="Q4",IF(ROWS($1:57)&gt;COUNT(Dong1),"",OFFSET('Q4-USD'!G$1,SMALL(Dong1,ROWS($1:57)),)),IF($O$6="Q11",IF(ROWS($1:57)&gt;COUNT(Dong3),"",OFFSET('Q11-USD'!G$1,SMALL(Dong3,ROWS($1:57)),)),IF(ROWS($1:57)&gt;COUNT(Dong3),IF(ROWS($1:57)&gt;COUNT(Dong3,Dong1),"",OFFSET('Q4-USD'!G$1,SMALL(Dong1,ROWS($1:57)-COUNT(Dong3)),)),OFFSET('Q11-USD'!G$1,SMALL(Dong3,ROWS($1:57)),))))</f>
        <v/>
      </c>
      <c r="F68" s="303" t="str">
        <f ca="1">IF($O$6="Q4",IF(ROWS($1:57)&gt;COUNT(Dong1),"",OFFSET('Q4-USD'!H$1,SMALL(Dong1,ROWS($1:57)),)),IF($O$6="Q11",IF(ROWS($1:57)&gt;COUNT(Dong3),"",OFFSET('Q11-USD'!H$1,SMALL(Dong3,ROWS($1:57)),)),IF(ROWS($1:57)&gt;COUNT(Dong3),IF(ROWS($1:57)&gt;COUNT(Dong3,Dong1),"",OFFSET('Q4-USD'!H$1,SMALL(Dong1,ROWS($1:57)-COUNT(Dong3)),)),OFFSET('Q11-USD'!H$1,SMALL(Dong3,ROWS($1:57)),))))</f>
        <v/>
      </c>
      <c r="G68" s="303" t="str">
        <f t="shared" ca="1" si="4"/>
        <v/>
      </c>
      <c r="H68" s="327" t="str">
        <f ca="1">IF($O$6="Q4",IF(ROWS($1:57)&gt;COUNT(Dong1),"",OFFSET('Q4-USD'!I$1,SMALL(Dong1,ROWS($1:57)),)),IF($O$6="Q11",IF(ROWS($1:57)&gt;COUNT(Dong3),"",OFFSET('Q11-USD'!I$1,SMALL(Dong3,ROWS($1:57)),)),IF(ROWS($1:57)&gt;COUNT(Dong3),IF(ROWS($1:57)&gt;COUNT(Dong3,Dong1),"",OFFSET('Q4-USD'!I$1,SMALL(Dong1,ROWS($1:57)-COUNT(Dong3)),)),OFFSET('Q11-USD'!I$1,SMALL(Dong3,ROWS($1:57)),))))</f>
        <v/>
      </c>
      <c r="I68" s="327" t="str">
        <f ca="1">IF($O$6="Q4",IF(ROWS($1:57)&gt;COUNT(Dong1),"",OFFSET('Q4-USD'!J$1,SMALL(Dong1,ROWS($1:57)),)),IF($O$6="Q11",IF(ROWS($1:57)&gt;COUNT(Dong3),"",OFFSET('Q11-USD'!J$1,SMALL(Dong3,ROWS($1:57)),)),IF(ROWS($1:57)&gt;COUNT(Dong3),IF(ROWS($1:57)&gt;COUNT(Dong3,Dong1),"",OFFSET('Q4-USD'!J$1,SMALL(Dong1,ROWS($1:57)-COUNT(Dong3)),)),OFFSET('Q11-USD'!J$1,SMALL(Dong3,ROWS($1:57)),))))</f>
        <v/>
      </c>
      <c r="J68" s="328" t="str">
        <f t="shared" ca="1" si="5"/>
        <v/>
      </c>
      <c r="K68" s="304"/>
      <c r="L68" s="335"/>
    </row>
    <row r="69" spans="1:12" s="287" customFormat="1" ht="17.25" customHeight="1">
      <c r="A69" s="300" t="str">
        <f ca="1">IF($O$6="Q4",IF(ROWS($1:58)&gt;COUNT(Dong1),"",OFFSET('Q4-USD'!B$1,SMALL(Dong1,ROWS($1:58)),)),IF($O$6="Q11",IF(ROWS($1:58)&gt;COUNT(Dong3),"",OFFSET('Q11-USD'!B$1,SMALL(Dong3,ROWS($1:58)),)),IF(ROWS($1:58)&gt;COUNT(Dong3),IF(ROWS($1:58)&gt;COUNT(Dong3,Dong1),"",OFFSET('Q4-USD'!B$1,SMALL(Dong1,ROWS($1:58)-COUNT(Dong3)),)),OFFSET('Q11-USD'!B$1,SMALL(Dong3,ROWS($1:58)),))))</f>
        <v/>
      </c>
      <c r="B69" s="300" t="str">
        <f ca="1">IF($O$6="Q4",IF(ROWS($1:58)&gt;COUNT(Dong1),"",OFFSET('Q4-USD'!C$1,SMALL(Dong1,ROWS($1:58)),)),IF($O$6="Q11",IF(ROWS($1:58)&gt;COUNT(Dong3),"",OFFSET('Q11-USD'!C$1,SMALL(Dong3,ROWS($1:58)),)),IF(ROWS($1:58)&gt;COUNT(Dong3),IF(ROWS($1:58)&gt;COUNT(Dong3,Dong1),"",OFFSET('Q4-USD'!C$1,SMALL(Dong1,ROWS($1:58)-COUNT(Dong3)),)),OFFSET('Q11-USD'!C$1,SMALL(Dong3,ROWS($1:58)),))))</f>
        <v/>
      </c>
      <c r="C69" s="300" t="str">
        <f ca="1">IF($O$6="Q4",IF(ROWS($1:58)&gt;COUNT(Dong1),"",OFFSET('Q4-USD'!D$1,SMALL(Dong1,ROWS($1:58)),)),IF($O$6="Q11",IF(ROWS($1:58)&gt;COUNT(Dong3),"",OFFSET('Q11-USD'!D$1,SMALL(Dong3,ROWS($1:58)),)),IF(ROWS($1:58)&gt;COUNT(Dong3),IF(ROWS($1:58)&gt;COUNT(Dong3,Dong1),"",OFFSET('Q4-USD'!D$1,SMALL(Dong1,ROWS($1:58)-COUNT(Dong3)),)),OFFSET('Q11-USD'!D$1,SMALL(Dong3,ROWS($1:58)),))))</f>
        <v/>
      </c>
      <c r="D69" s="301" t="str">
        <f ca="1">IF($O$6="Q4",IF(ROWS($1:58)&gt;COUNT(Dong1),"",OFFSET('Q4-USD'!E$1,SMALL(Dong1,ROWS($1:58)),)),IF($O$6="Q11",IF(ROWS($1:58)&gt;COUNT(Dong3),"",OFFSET('Q11-USD'!E$1,SMALL(Dong3,ROWS($1:58)),)),IF(ROWS($1:58)&gt;COUNT(Dong3),IF(ROWS($1:58)&gt;COUNT(Dong3,Dong1),"","Q4 - "&amp;OFFSET('Q4-USD'!E$1,SMALL(Dong1,ROWS($1:58)-COUNT(Dong3)),)),"Q11 - "&amp;OFFSET('Q11-USD'!E$1,SMALL(Dong3,ROWS($1:58)),))))</f>
        <v/>
      </c>
      <c r="E69" s="302" t="str">
        <f ca="1">IF($O$6="Q4",IF(ROWS($1:58)&gt;COUNT(Dong1),"",OFFSET('Q4-USD'!G$1,SMALL(Dong1,ROWS($1:58)),)),IF($O$6="Q11",IF(ROWS($1:58)&gt;COUNT(Dong3),"",OFFSET('Q11-USD'!G$1,SMALL(Dong3,ROWS($1:58)),)),IF(ROWS($1:58)&gt;COUNT(Dong3),IF(ROWS($1:58)&gt;COUNT(Dong3,Dong1),"",OFFSET('Q4-USD'!G$1,SMALL(Dong1,ROWS($1:58)-COUNT(Dong3)),)),OFFSET('Q11-USD'!G$1,SMALL(Dong3,ROWS($1:58)),))))</f>
        <v/>
      </c>
      <c r="F69" s="303" t="str">
        <f ca="1">IF($O$6="Q4",IF(ROWS($1:58)&gt;COUNT(Dong1),"",OFFSET('Q4-USD'!H$1,SMALL(Dong1,ROWS($1:58)),)),IF($O$6="Q11",IF(ROWS($1:58)&gt;COUNT(Dong3),"",OFFSET('Q11-USD'!H$1,SMALL(Dong3,ROWS($1:58)),)),IF(ROWS($1:58)&gt;COUNT(Dong3),IF(ROWS($1:58)&gt;COUNT(Dong3,Dong1),"",OFFSET('Q4-USD'!H$1,SMALL(Dong1,ROWS($1:58)-COUNT(Dong3)),)),OFFSET('Q11-USD'!H$1,SMALL(Dong3,ROWS($1:58)),))))</f>
        <v/>
      </c>
      <c r="G69" s="303" t="str">
        <f t="shared" ca="1" si="4"/>
        <v/>
      </c>
      <c r="H69" s="327" t="str">
        <f ca="1">IF($O$6="Q4",IF(ROWS($1:58)&gt;COUNT(Dong1),"",OFFSET('Q4-USD'!I$1,SMALL(Dong1,ROWS($1:58)),)),IF($O$6="Q11",IF(ROWS($1:58)&gt;COUNT(Dong3),"",OFFSET('Q11-USD'!I$1,SMALL(Dong3,ROWS($1:58)),)),IF(ROWS($1:58)&gt;COUNT(Dong3),IF(ROWS($1:58)&gt;COUNT(Dong3,Dong1),"",OFFSET('Q4-USD'!I$1,SMALL(Dong1,ROWS($1:58)-COUNT(Dong3)),)),OFFSET('Q11-USD'!I$1,SMALL(Dong3,ROWS($1:58)),))))</f>
        <v/>
      </c>
      <c r="I69" s="327" t="str">
        <f ca="1">IF($O$6="Q4",IF(ROWS($1:58)&gt;COUNT(Dong1),"",OFFSET('Q4-USD'!J$1,SMALL(Dong1,ROWS($1:58)),)),IF($O$6="Q11",IF(ROWS($1:58)&gt;COUNT(Dong3),"",OFFSET('Q11-USD'!J$1,SMALL(Dong3,ROWS($1:58)),)),IF(ROWS($1:58)&gt;COUNT(Dong3),IF(ROWS($1:58)&gt;COUNT(Dong3,Dong1),"",OFFSET('Q4-USD'!J$1,SMALL(Dong1,ROWS($1:58)-COUNT(Dong3)),)),OFFSET('Q11-USD'!J$1,SMALL(Dong3,ROWS($1:58)),))))</f>
        <v/>
      </c>
      <c r="J69" s="328" t="str">
        <f t="shared" ca="1" si="5"/>
        <v/>
      </c>
      <c r="K69" s="304"/>
      <c r="L69" s="335"/>
    </row>
    <row r="70" spans="1:12" s="287" customFormat="1" ht="17.25" customHeight="1">
      <c r="A70" s="300" t="str">
        <f ca="1">IF($O$6="Q4",IF(ROWS($1:59)&gt;COUNT(Dong1),"",OFFSET('Q4-USD'!B$1,SMALL(Dong1,ROWS($1:59)),)),IF($O$6="Q11",IF(ROWS($1:59)&gt;COUNT(Dong3),"",OFFSET('Q11-USD'!B$1,SMALL(Dong3,ROWS($1:59)),)),IF(ROWS($1:59)&gt;COUNT(Dong3),IF(ROWS($1:59)&gt;COUNT(Dong3,Dong1),"",OFFSET('Q4-USD'!B$1,SMALL(Dong1,ROWS($1:59)-COUNT(Dong3)),)),OFFSET('Q11-USD'!B$1,SMALL(Dong3,ROWS($1:59)),))))</f>
        <v/>
      </c>
      <c r="B70" s="300" t="str">
        <f ca="1">IF($O$6="Q4",IF(ROWS($1:59)&gt;COUNT(Dong1),"",OFFSET('Q4-USD'!C$1,SMALL(Dong1,ROWS($1:59)),)),IF($O$6="Q11",IF(ROWS($1:59)&gt;COUNT(Dong3),"",OFFSET('Q11-USD'!C$1,SMALL(Dong3,ROWS($1:59)),)),IF(ROWS($1:59)&gt;COUNT(Dong3),IF(ROWS($1:59)&gt;COUNT(Dong3,Dong1),"",OFFSET('Q4-USD'!C$1,SMALL(Dong1,ROWS($1:59)-COUNT(Dong3)),)),OFFSET('Q11-USD'!C$1,SMALL(Dong3,ROWS($1:59)),))))</f>
        <v/>
      </c>
      <c r="C70" s="300" t="str">
        <f ca="1">IF($O$6="Q4",IF(ROWS($1:59)&gt;COUNT(Dong1),"",OFFSET('Q4-USD'!D$1,SMALL(Dong1,ROWS($1:59)),)),IF($O$6="Q11",IF(ROWS($1:59)&gt;COUNT(Dong3),"",OFFSET('Q11-USD'!D$1,SMALL(Dong3,ROWS($1:59)),)),IF(ROWS($1:59)&gt;COUNT(Dong3),IF(ROWS($1:59)&gt;COUNT(Dong3,Dong1),"",OFFSET('Q4-USD'!D$1,SMALL(Dong1,ROWS($1:59)-COUNT(Dong3)),)),OFFSET('Q11-USD'!D$1,SMALL(Dong3,ROWS($1:59)),))))</f>
        <v/>
      </c>
      <c r="D70" s="301" t="str">
        <f ca="1">IF($O$6="Q4",IF(ROWS($1:59)&gt;COUNT(Dong1),"",OFFSET('Q4-USD'!E$1,SMALL(Dong1,ROWS($1:59)),)),IF($O$6="Q11",IF(ROWS($1:59)&gt;COUNT(Dong3),"",OFFSET('Q11-USD'!E$1,SMALL(Dong3,ROWS($1:59)),)),IF(ROWS($1:59)&gt;COUNT(Dong3),IF(ROWS($1:59)&gt;COUNT(Dong3,Dong1),"","Q4 - "&amp;OFFSET('Q4-USD'!E$1,SMALL(Dong1,ROWS($1:59)-COUNT(Dong3)),)),"Q11 - "&amp;OFFSET('Q11-USD'!E$1,SMALL(Dong3,ROWS($1:59)),))))</f>
        <v/>
      </c>
      <c r="E70" s="302" t="str">
        <f ca="1">IF($O$6="Q4",IF(ROWS($1:59)&gt;COUNT(Dong1),"",OFFSET('Q4-USD'!G$1,SMALL(Dong1,ROWS($1:59)),)),IF($O$6="Q11",IF(ROWS($1:59)&gt;COUNT(Dong3),"",OFFSET('Q11-USD'!G$1,SMALL(Dong3,ROWS($1:59)),)),IF(ROWS($1:59)&gt;COUNT(Dong3),IF(ROWS($1:59)&gt;COUNT(Dong3,Dong1),"",OFFSET('Q4-USD'!G$1,SMALL(Dong1,ROWS($1:59)-COUNT(Dong3)),)),OFFSET('Q11-USD'!G$1,SMALL(Dong3,ROWS($1:59)),))))</f>
        <v/>
      </c>
      <c r="F70" s="303" t="str">
        <f ca="1">IF($O$6="Q4",IF(ROWS($1:59)&gt;COUNT(Dong1),"",OFFSET('Q4-USD'!H$1,SMALL(Dong1,ROWS($1:59)),)),IF($O$6="Q11",IF(ROWS($1:59)&gt;COUNT(Dong3),"",OFFSET('Q11-USD'!H$1,SMALL(Dong3,ROWS($1:59)),)),IF(ROWS($1:59)&gt;COUNT(Dong3),IF(ROWS($1:59)&gt;COUNT(Dong3,Dong1),"",OFFSET('Q4-USD'!H$1,SMALL(Dong1,ROWS($1:59)-COUNT(Dong3)),)),OFFSET('Q11-USD'!H$1,SMALL(Dong3,ROWS($1:59)),))))</f>
        <v/>
      </c>
      <c r="G70" s="303" t="str">
        <f t="shared" ca="1" si="4"/>
        <v/>
      </c>
      <c r="H70" s="327" t="str">
        <f ca="1">IF($O$6="Q4",IF(ROWS($1:59)&gt;COUNT(Dong1),"",OFFSET('Q4-USD'!I$1,SMALL(Dong1,ROWS($1:59)),)),IF($O$6="Q11",IF(ROWS($1:59)&gt;COUNT(Dong3),"",OFFSET('Q11-USD'!I$1,SMALL(Dong3,ROWS($1:59)),)),IF(ROWS($1:59)&gt;COUNT(Dong3),IF(ROWS($1:59)&gt;COUNT(Dong3,Dong1),"",OFFSET('Q4-USD'!I$1,SMALL(Dong1,ROWS($1:59)-COUNT(Dong3)),)),OFFSET('Q11-USD'!I$1,SMALL(Dong3,ROWS($1:59)),))))</f>
        <v/>
      </c>
      <c r="I70" s="327" t="str">
        <f ca="1">IF($O$6="Q4",IF(ROWS($1:59)&gt;COUNT(Dong1),"",OFFSET('Q4-USD'!J$1,SMALL(Dong1,ROWS($1:59)),)),IF($O$6="Q11",IF(ROWS($1:59)&gt;COUNT(Dong3),"",OFFSET('Q11-USD'!J$1,SMALL(Dong3,ROWS($1:59)),)),IF(ROWS($1:59)&gt;COUNT(Dong3),IF(ROWS($1:59)&gt;COUNT(Dong3,Dong1),"",OFFSET('Q4-USD'!J$1,SMALL(Dong1,ROWS($1:59)-COUNT(Dong3)),)),OFFSET('Q11-USD'!J$1,SMALL(Dong3,ROWS($1:59)),))))</f>
        <v/>
      </c>
      <c r="J70" s="328" t="str">
        <f t="shared" ca="1" si="5"/>
        <v/>
      </c>
      <c r="K70" s="304"/>
      <c r="L70" s="335"/>
    </row>
    <row r="71" spans="1:12" s="287" customFormat="1" ht="17.25" customHeight="1">
      <c r="A71" s="300" t="str">
        <f ca="1">IF($O$6="Q4",IF(ROWS($1:60)&gt;COUNT(Dong1),"",OFFSET('Q4-USD'!B$1,SMALL(Dong1,ROWS($1:60)),)),IF($O$6="Q11",IF(ROWS($1:60)&gt;COUNT(Dong3),"",OFFSET('Q11-USD'!B$1,SMALL(Dong3,ROWS($1:60)),)),IF(ROWS($1:60)&gt;COUNT(Dong3),IF(ROWS($1:60)&gt;COUNT(Dong3,Dong1),"",OFFSET('Q4-USD'!B$1,SMALL(Dong1,ROWS($1:60)-COUNT(Dong3)),)),OFFSET('Q11-USD'!B$1,SMALL(Dong3,ROWS($1:60)),))))</f>
        <v/>
      </c>
      <c r="B71" s="300" t="str">
        <f ca="1">IF($O$6="Q4",IF(ROWS($1:60)&gt;COUNT(Dong1),"",OFFSET('Q4-USD'!C$1,SMALL(Dong1,ROWS($1:60)),)),IF($O$6="Q11",IF(ROWS($1:60)&gt;COUNT(Dong3),"",OFFSET('Q11-USD'!C$1,SMALL(Dong3,ROWS($1:60)),)),IF(ROWS($1:60)&gt;COUNT(Dong3),IF(ROWS($1:60)&gt;COUNT(Dong3,Dong1),"",OFFSET('Q4-USD'!C$1,SMALL(Dong1,ROWS($1:60)-COUNT(Dong3)),)),OFFSET('Q11-USD'!C$1,SMALL(Dong3,ROWS($1:60)),))))</f>
        <v/>
      </c>
      <c r="C71" s="300" t="str">
        <f ca="1">IF($O$6="Q4",IF(ROWS($1:60)&gt;COUNT(Dong1),"",OFFSET('Q4-USD'!D$1,SMALL(Dong1,ROWS($1:60)),)),IF($O$6="Q11",IF(ROWS($1:60)&gt;COUNT(Dong3),"",OFFSET('Q11-USD'!D$1,SMALL(Dong3,ROWS($1:60)),)),IF(ROWS($1:60)&gt;COUNT(Dong3),IF(ROWS($1:60)&gt;COUNT(Dong3,Dong1),"",OFFSET('Q4-USD'!D$1,SMALL(Dong1,ROWS($1:60)-COUNT(Dong3)),)),OFFSET('Q11-USD'!D$1,SMALL(Dong3,ROWS($1:60)),))))</f>
        <v/>
      </c>
      <c r="D71" s="301" t="str">
        <f ca="1">IF($O$6="Q4",IF(ROWS($1:60)&gt;COUNT(Dong1),"",OFFSET('Q4-USD'!E$1,SMALL(Dong1,ROWS($1:60)),)),IF($O$6="Q11",IF(ROWS($1:60)&gt;COUNT(Dong3),"",OFFSET('Q11-USD'!E$1,SMALL(Dong3,ROWS($1:60)),)),IF(ROWS($1:60)&gt;COUNT(Dong3),IF(ROWS($1:60)&gt;COUNT(Dong3,Dong1),"","Q4 - "&amp;OFFSET('Q4-USD'!E$1,SMALL(Dong1,ROWS($1:60)-COUNT(Dong3)),)),"Q11 - "&amp;OFFSET('Q11-USD'!E$1,SMALL(Dong3,ROWS($1:60)),))))</f>
        <v/>
      </c>
      <c r="E71" s="302" t="str">
        <f ca="1">IF($O$6="Q4",IF(ROWS($1:60)&gt;COUNT(Dong1),"",OFFSET('Q4-USD'!G$1,SMALL(Dong1,ROWS($1:60)),)),IF($O$6="Q11",IF(ROWS($1:60)&gt;COUNT(Dong3),"",OFFSET('Q11-USD'!G$1,SMALL(Dong3,ROWS($1:60)),)),IF(ROWS($1:60)&gt;COUNT(Dong3),IF(ROWS($1:60)&gt;COUNT(Dong3,Dong1),"",OFFSET('Q4-USD'!G$1,SMALL(Dong1,ROWS($1:60)-COUNT(Dong3)),)),OFFSET('Q11-USD'!G$1,SMALL(Dong3,ROWS($1:60)),))))</f>
        <v/>
      </c>
      <c r="F71" s="303" t="str">
        <f ca="1">IF($O$6="Q4",IF(ROWS($1:60)&gt;COUNT(Dong1),"",OFFSET('Q4-USD'!H$1,SMALL(Dong1,ROWS($1:60)),)),IF($O$6="Q11",IF(ROWS($1:60)&gt;COUNT(Dong3),"",OFFSET('Q11-USD'!H$1,SMALL(Dong3,ROWS($1:60)),)),IF(ROWS($1:60)&gt;COUNT(Dong3),IF(ROWS($1:60)&gt;COUNT(Dong3,Dong1),"",OFFSET('Q4-USD'!H$1,SMALL(Dong1,ROWS($1:60)-COUNT(Dong3)),)),OFFSET('Q11-USD'!H$1,SMALL(Dong3,ROWS($1:60)),))))</f>
        <v/>
      </c>
      <c r="G71" s="303" t="str">
        <f t="shared" ca="1" si="4"/>
        <v/>
      </c>
      <c r="H71" s="327" t="str">
        <f ca="1">IF($O$6="Q4",IF(ROWS($1:60)&gt;COUNT(Dong1),"",OFFSET('Q4-USD'!I$1,SMALL(Dong1,ROWS($1:60)),)),IF($O$6="Q11",IF(ROWS($1:60)&gt;COUNT(Dong3),"",OFFSET('Q11-USD'!I$1,SMALL(Dong3,ROWS($1:60)),)),IF(ROWS($1:60)&gt;COUNT(Dong3),IF(ROWS($1:60)&gt;COUNT(Dong3,Dong1),"",OFFSET('Q4-USD'!I$1,SMALL(Dong1,ROWS($1:60)-COUNT(Dong3)),)),OFFSET('Q11-USD'!I$1,SMALL(Dong3,ROWS($1:60)),))))</f>
        <v/>
      </c>
      <c r="I71" s="327" t="str">
        <f ca="1">IF($O$6="Q4",IF(ROWS($1:60)&gt;COUNT(Dong1),"",OFFSET('Q4-USD'!J$1,SMALL(Dong1,ROWS($1:60)),)),IF($O$6="Q11",IF(ROWS($1:60)&gt;COUNT(Dong3),"",OFFSET('Q11-USD'!J$1,SMALL(Dong3,ROWS($1:60)),)),IF(ROWS($1:60)&gt;COUNT(Dong3),IF(ROWS($1:60)&gt;COUNT(Dong3,Dong1),"",OFFSET('Q4-USD'!J$1,SMALL(Dong1,ROWS($1:60)-COUNT(Dong3)),)),OFFSET('Q11-USD'!J$1,SMALL(Dong3,ROWS($1:60)),))))</f>
        <v/>
      </c>
      <c r="J71" s="328" t="str">
        <f t="shared" ca="1" si="5"/>
        <v/>
      </c>
      <c r="K71" s="304"/>
      <c r="L71" s="335"/>
    </row>
    <row r="72" spans="1:12" s="287" customFormat="1" ht="17.25" customHeight="1">
      <c r="A72" s="300" t="str">
        <f ca="1">IF($O$6="Q4",IF(ROWS($1:61)&gt;COUNT(Dong1),"",OFFSET('Q4-USD'!B$1,SMALL(Dong1,ROWS($1:61)),)),IF($O$6="Q11",IF(ROWS($1:61)&gt;COUNT(Dong3),"",OFFSET('Q11-USD'!B$1,SMALL(Dong3,ROWS($1:61)),)),IF(ROWS($1:61)&gt;COUNT(Dong3),IF(ROWS($1:61)&gt;COUNT(Dong3,Dong1),"",OFFSET('Q4-USD'!B$1,SMALL(Dong1,ROWS($1:61)-COUNT(Dong3)),)),OFFSET('Q11-USD'!B$1,SMALL(Dong3,ROWS($1:61)),))))</f>
        <v/>
      </c>
      <c r="B72" s="300" t="str">
        <f ca="1">IF($O$6="Q4",IF(ROWS($1:61)&gt;COUNT(Dong1),"",OFFSET('Q4-USD'!C$1,SMALL(Dong1,ROWS($1:61)),)),IF($O$6="Q11",IF(ROWS($1:61)&gt;COUNT(Dong3),"",OFFSET('Q11-USD'!C$1,SMALL(Dong3,ROWS($1:61)),)),IF(ROWS($1:61)&gt;COUNT(Dong3),IF(ROWS($1:61)&gt;COUNT(Dong3,Dong1),"",OFFSET('Q4-USD'!C$1,SMALL(Dong1,ROWS($1:61)-COUNT(Dong3)),)),OFFSET('Q11-USD'!C$1,SMALL(Dong3,ROWS($1:61)),))))</f>
        <v/>
      </c>
      <c r="C72" s="300" t="str">
        <f ca="1">IF($O$6="Q4",IF(ROWS($1:61)&gt;COUNT(Dong1),"",OFFSET('Q4-USD'!D$1,SMALL(Dong1,ROWS($1:61)),)),IF($O$6="Q11",IF(ROWS($1:61)&gt;COUNT(Dong3),"",OFFSET('Q11-USD'!D$1,SMALL(Dong3,ROWS($1:61)),)),IF(ROWS($1:61)&gt;COUNT(Dong3),IF(ROWS($1:61)&gt;COUNT(Dong3,Dong1),"",OFFSET('Q4-USD'!D$1,SMALL(Dong1,ROWS($1:61)-COUNT(Dong3)),)),OFFSET('Q11-USD'!D$1,SMALL(Dong3,ROWS($1:61)),))))</f>
        <v/>
      </c>
      <c r="D72" s="301" t="str">
        <f ca="1">IF($O$6="Q4",IF(ROWS($1:61)&gt;COUNT(Dong1),"",OFFSET('Q4-USD'!E$1,SMALL(Dong1,ROWS($1:61)),)),IF($O$6="Q11",IF(ROWS($1:61)&gt;COUNT(Dong3),"",OFFSET('Q11-USD'!E$1,SMALL(Dong3,ROWS($1:61)),)),IF(ROWS($1:61)&gt;COUNT(Dong3),IF(ROWS($1:61)&gt;COUNT(Dong3,Dong1),"","Q4 - "&amp;OFFSET('Q4-USD'!E$1,SMALL(Dong1,ROWS($1:61)-COUNT(Dong3)),)),"Q11 - "&amp;OFFSET('Q11-USD'!E$1,SMALL(Dong3,ROWS($1:61)),))))</f>
        <v/>
      </c>
      <c r="E72" s="302" t="str">
        <f ca="1">IF($O$6="Q4",IF(ROWS($1:61)&gt;COUNT(Dong1),"",OFFSET('Q4-USD'!G$1,SMALL(Dong1,ROWS($1:61)),)),IF($O$6="Q11",IF(ROWS($1:61)&gt;COUNT(Dong3),"",OFFSET('Q11-USD'!G$1,SMALL(Dong3,ROWS($1:61)),)),IF(ROWS($1:61)&gt;COUNT(Dong3),IF(ROWS($1:61)&gt;COUNT(Dong3,Dong1),"",OFFSET('Q4-USD'!G$1,SMALL(Dong1,ROWS($1:61)-COUNT(Dong3)),)),OFFSET('Q11-USD'!G$1,SMALL(Dong3,ROWS($1:61)),))))</f>
        <v/>
      </c>
      <c r="F72" s="303" t="str">
        <f ca="1">IF($O$6="Q4",IF(ROWS($1:61)&gt;COUNT(Dong1),"",OFFSET('Q4-USD'!H$1,SMALL(Dong1,ROWS($1:61)),)),IF($O$6="Q11",IF(ROWS($1:61)&gt;COUNT(Dong3),"",OFFSET('Q11-USD'!H$1,SMALL(Dong3,ROWS($1:61)),)),IF(ROWS($1:61)&gt;COUNT(Dong3),IF(ROWS($1:61)&gt;COUNT(Dong3,Dong1),"",OFFSET('Q4-USD'!H$1,SMALL(Dong1,ROWS($1:61)-COUNT(Dong3)),)),OFFSET('Q11-USD'!H$1,SMALL(Dong3,ROWS($1:61)),))))</f>
        <v/>
      </c>
      <c r="G72" s="303" t="str">
        <f t="shared" ca="1" si="4"/>
        <v/>
      </c>
      <c r="H72" s="327" t="str">
        <f ca="1">IF($O$6="Q4",IF(ROWS($1:61)&gt;COUNT(Dong1),"",OFFSET('Q4-USD'!I$1,SMALL(Dong1,ROWS($1:61)),)),IF($O$6="Q11",IF(ROWS($1:61)&gt;COUNT(Dong3),"",OFFSET('Q11-USD'!I$1,SMALL(Dong3,ROWS($1:61)),)),IF(ROWS($1:61)&gt;COUNT(Dong3),IF(ROWS($1:61)&gt;COUNT(Dong3,Dong1),"",OFFSET('Q4-USD'!I$1,SMALL(Dong1,ROWS($1:61)-COUNT(Dong3)),)),OFFSET('Q11-USD'!I$1,SMALL(Dong3,ROWS($1:61)),))))</f>
        <v/>
      </c>
      <c r="I72" s="327" t="str">
        <f ca="1">IF($O$6="Q4",IF(ROWS($1:61)&gt;COUNT(Dong1),"",OFFSET('Q4-USD'!J$1,SMALL(Dong1,ROWS($1:61)),)),IF($O$6="Q11",IF(ROWS($1:61)&gt;COUNT(Dong3),"",OFFSET('Q11-USD'!J$1,SMALL(Dong3,ROWS($1:61)),)),IF(ROWS($1:61)&gt;COUNT(Dong3),IF(ROWS($1:61)&gt;COUNT(Dong3,Dong1),"",OFFSET('Q4-USD'!J$1,SMALL(Dong1,ROWS($1:61)-COUNT(Dong3)),)),OFFSET('Q11-USD'!J$1,SMALL(Dong3,ROWS($1:61)),))))</f>
        <v/>
      </c>
      <c r="J72" s="328" t="str">
        <f t="shared" ca="1" si="5"/>
        <v/>
      </c>
      <c r="K72" s="304"/>
      <c r="L72" s="335"/>
    </row>
    <row r="73" spans="1:12" s="287" customFormat="1" ht="17.25" customHeight="1">
      <c r="A73" s="300" t="str">
        <f ca="1">IF($O$6="Q4",IF(ROWS($1:62)&gt;COUNT(Dong1),"",OFFSET('Q4-USD'!B$1,SMALL(Dong1,ROWS($1:62)),)),IF($O$6="Q11",IF(ROWS($1:62)&gt;COUNT(Dong3),"",OFFSET('Q11-USD'!B$1,SMALL(Dong3,ROWS($1:62)),)),IF(ROWS($1:62)&gt;COUNT(Dong3),IF(ROWS($1:62)&gt;COUNT(Dong3,Dong1),"",OFFSET('Q4-USD'!B$1,SMALL(Dong1,ROWS($1:62)-COUNT(Dong3)),)),OFFSET('Q11-USD'!B$1,SMALL(Dong3,ROWS($1:62)),))))</f>
        <v/>
      </c>
      <c r="B73" s="300" t="str">
        <f ca="1">IF($O$6="Q4",IF(ROWS($1:62)&gt;COUNT(Dong1),"",OFFSET('Q4-USD'!C$1,SMALL(Dong1,ROWS($1:62)),)),IF($O$6="Q11",IF(ROWS($1:62)&gt;COUNT(Dong3),"",OFFSET('Q11-USD'!C$1,SMALL(Dong3,ROWS($1:62)),)),IF(ROWS($1:62)&gt;COUNT(Dong3),IF(ROWS($1:62)&gt;COUNT(Dong3,Dong1),"",OFFSET('Q4-USD'!C$1,SMALL(Dong1,ROWS($1:62)-COUNT(Dong3)),)),OFFSET('Q11-USD'!C$1,SMALL(Dong3,ROWS($1:62)),))))</f>
        <v/>
      </c>
      <c r="C73" s="300" t="str">
        <f ca="1">IF($O$6="Q4",IF(ROWS($1:62)&gt;COUNT(Dong1),"",OFFSET('Q4-USD'!D$1,SMALL(Dong1,ROWS($1:62)),)),IF($O$6="Q11",IF(ROWS($1:62)&gt;COUNT(Dong3),"",OFFSET('Q11-USD'!D$1,SMALL(Dong3,ROWS($1:62)),)),IF(ROWS($1:62)&gt;COUNT(Dong3),IF(ROWS($1:62)&gt;COUNT(Dong3,Dong1),"",OFFSET('Q4-USD'!D$1,SMALL(Dong1,ROWS($1:62)-COUNT(Dong3)),)),OFFSET('Q11-USD'!D$1,SMALL(Dong3,ROWS($1:62)),))))</f>
        <v/>
      </c>
      <c r="D73" s="301" t="str">
        <f ca="1">IF($O$6="Q4",IF(ROWS($1:62)&gt;COUNT(Dong1),"",OFFSET('Q4-USD'!E$1,SMALL(Dong1,ROWS($1:62)),)),IF($O$6="Q11",IF(ROWS($1:62)&gt;COUNT(Dong3),"",OFFSET('Q11-USD'!E$1,SMALL(Dong3,ROWS($1:62)),)),IF(ROWS($1:62)&gt;COUNT(Dong3),IF(ROWS($1:62)&gt;COUNT(Dong3,Dong1),"","Q4 - "&amp;OFFSET('Q4-USD'!E$1,SMALL(Dong1,ROWS($1:62)-COUNT(Dong3)),)),"Q11 - "&amp;OFFSET('Q11-USD'!E$1,SMALL(Dong3,ROWS($1:62)),))))</f>
        <v/>
      </c>
      <c r="E73" s="302" t="str">
        <f ca="1">IF($O$6="Q4",IF(ROWS($1:62)&gt;COUNT(Dong1),"",OFFSET('Q4-USD'!G$1,SMALL(Dong1,ROWS($1:62)),)),IF($O$6="Q11",IF(ROWS($1:62)&gt;COUNT(Dong3),"",OFFSET('Q11-USD'!G$1,SMALL(Dong3,ROWS($1:62)),)),IF(ROWS($1:62)&gt;COUNT(Dong3),IF(ROWS($1:62)&gt;COUNT(Dong3,Dong1),"",OFFSET('Q4-USD'!G$1,SMALL(Dong1,ROWS($1:62)-COUNT(Dong3)),)),OFFSET('Q11-USD'!G$1,SMALL(Dong3,ROWS($1:62)),))))</f>
        <v/>
      </c>
      <c r="F73" s="303" t="str">
        <f ca="1">IF($O$6="Q4",IF(ROWS($1:62)&gt;COUNT(Dong1),"",OFFSET('Q4-USD'!H$1,SMALL(Dong1,ROWS($1:62)),)),IF($O$6="Q11",IF(ROWS($1:62)&gt;COUNT(Dong3),"",OFFSET('Q11-USD'!H$1,SMALL(Dong3,ROWS($1:62)),)),IF(ROWS($1:62)&gt;COUNT(Dong3),IF(ROWS($1:62)&gt;COUNT(Dong3,Dong1),"",OFFSET('Q4-USD'!H$1,SMALL(Dong1,ROWS($1:62)-COUNT(Dong3)),)),OFFSET('Q11-USD'!H$1,SMALL(Dong3,ROWS($1:62)),))))</f>
        <v/>
      </c>
      <c r="G73" s="303" t="str">
        <f t="shared" ca="1" si="4"/>
        <v/>
      </c>
      <c r="H73" s="327" t="str">
        <f ca="1">IF($O$6="Q4",IF(ROWS($1:62)&gt;COUNT(Dong1),"",OFFSET('Q4-USD'!I$1,SMALL(Dong1,ROWS($1:62)),)),IF($O$6="Q11",IF(ROWS($1:62)&gt;COUNT(Dong3),"",OFFSET('Q11-USD'!I$1,SMALL(Dong3,ROWS($1:62)),)),IF(ROWS($1:62)&gt;COUNT(Dong3),IF(ROWS($1:62)&gt;COUNT(Dong3,Dong1),"",OFFSET('Q4-USD'!I$1,SMALL(Dong1,ROWS($1:62)-COUNT(Dong3)),)),OFFSET('Q11-USD'!I$1,SMALL(Dong3,ROWS($1:62)),))))</f>
        <v/>
      </c>
      <c r="I73" s="327" t="str">
        <f ca="1">IF($O$6="Q4",IF(ROWS($1:62)&gt;COUNT(Dong1),"",OFFSET('Q4-USD'!J$1,SMALL(Dong1,ROWS($1:62)),)),IF($O$6="Q11",IF(ROWS($1:62)&gt;COUNT(Dong3),"",OFFSET('Q11-USD'!J$1,SMALL(Dong3,ROWS($1:62)),)),IF(ROWS($1:62)&gt;COUNT(Dong3),IF(ROWS($1:62)&gt;COUNT(Dong3,Dong1),"",OFFSET('Q4-USD'!J$1,SMALL(Dong1,ROWS($1:62)-COUNT(Dong3)),)),OFFSET('Q11-USD'!J$1,SMALL(Dong3,ROWS($1:62)),))))</f>
        <v/>
      </c>
      <c r="J73" s="328" t="str">
        <f t="shared" ca="1" si="5"/>
        <v/>
      </c>
      <c r="K73" s="304"/>
      <c r="L73" s="335"/>
    </row>
    <row r="74" spans="1:12" s="287" customFormat="1" ht="17.25" customHeight="1">
      <c r="A74" s="300" t="str">
        <f ca="1">IF($O$6="Q4",IF(ROWS($1:63)&gt;COUNT(Dong1),"",OFFSET('Q4-USD'!B$1,SMALL(Dong1,ROWS($1:63)),)),IF($O$6="Q11",IF(ROWS($1:63)&gt;COUNT(Dong3),"",OFFSET('Q11-USD'!B$1,SMALL(Dong3,ROWS($1:63)),)),IF(ROWS($1:63)&gt;COUNT(Dong3),IF(ROWS($1:63)&gt;COUNT(Dong3,Dong1),"",OFFSET('Q4-USD'!B$1,SMALL(Dong1,ROWS($1:63)-COUNT(Dong3)),)),OFFSET('Q11-USD'!B$1,SMALL(Dong3,ROWS($1:63)),))))</f>
        <v/>
      </c>
      <c r="B74" s="300" t="str">
        <f ca="1">IF($O$6="Q4",IF(ROWS($1:63)&gt;COUNT(Dong1),"",OFFSET('Q4-USD'!C$1,SMALL(Dong1,ROWS($1:63)),)),IF($O$6="Q11",IF(ROWS($1:63)&gt;COUNT(Dong3),"",OFFSET('Q11-USD'!C$1,SMALL(Dong3,ROWS($1:63)),)),IF(ROWS($1:63)&gt;COUNT(Dong3),IF(ROWS($1:63)&gt;COUNT(Dong3,Dong1),"",OFFSET('Q4-USD'!C$1,SMALL(Dong1,ROWS($1:63)-COUNT(Dong3)),)),OFFSET('Q11-USD'!C$1,SMALL(Dong3,ROWS($1:63)),))))</f>
        <v/>
      </c>
      <c r="C74" s="300" t="str">
        <f ca="1">IF($O$6="Q4",IF(ROWS($1:63)&gt;COUNT(Dong1),"",OFFSET('Q4-USD'!D$1,SMALL(Dong1,ROWS($1:63)),)),IF($O$6="Q11",IF(ROWS($1:63)&gt;COUNT(Dong3),"",OFFSET('Q11-USD'!D$1,SMALL(Dong3,ROWS($1:63)),)),IF(ROWS($1:63)&gt;COUNT(Dong3),IF(ROWS($1:63)&gt;COUNT(Dong3,Dong1),"",OFFSET('Q4-USD'!D$1,SMALL(Dong1,ROWS($1:63)-COUNT(Dong3)),)),OFFSET('Q11-USD'!D$1,SMALL(Dong3,ROWS($1:63)),))))</f>
        <v/>
      </c>
      <c r="D74" s="301" t="str">
        <f ca="1">IF($O$6="Q4",IF(ROWS($1:63)&gt;COUNT(Dong1),"",OFFSET('Q4-USD'!E$1,SMALL(Dong1,ROWS($1:63)),)),IF($O$6="Q11",IF(ROWS($1:63)&gt;COUNT(Dong3),"",OFFSET('Q11-USD'!E$1,SMALL(Dong3,ROWS($1:63)),)),IF(ROWS($1:63)&gt;COUNT(Dong3),IF(ROWS($1:63)&gt;COUNT(Dong3,Dong1),"","Q4 - "&amp;OFFSET('Q4-USD'!E$1,SMALL(Dong1,ROWS($1:63)-COUNT(Dong3)),)),"Q11 - "&amp;OFFSET('Q11-USD'!E$1,SMALL(Dong3,ROWS($1:63)),))))</f>
        <v/>
      </c>
      <c r="E74" s="302" t="str">
        <f ca="1">IF($O$6="Q4",IF(ROWS($1:63)&gt;COUNT(Dong1),"",OFFSET('Q4-USD'!G$1,SMALL(Dong1,ROWS($1:63)),)),IF($O$6="Q11",IF(ROWS($1:63)&gt;COUNT(Dong3),"",OFFSET('Q11-USD'!G$1,SMALL(Dong3,ROWS($1:63)),)),IF(ROWS($1:63)&gt;COUNT(Dong3),IF(ROWS($1:63)&gt;COUNT(Dong3,Dong1),"",OFFSET('Q4-USD'!G$1,SMALL(Dong1,ROWS($1:63)-COUNT(Dong3)),)),OFFSET('Q11-USD'!G$1,SMALL(Dong3,ROWS($1:63)),))))</f>
        <v/>
      </c>
      <c r="F74" s="303" t="str">
        <f ca="1">IF($O$6="Q4",IF(ROWS($1:63)&gt;COUNT(Dong1),"",OFFSET('Q4-USD'!H$1,SMALL(Dong1,ROWS($1:63)),)),IF($O$6="Q11",IF(ROWS($1:63)&gt;COUNT(Dong3),"",OFFSET('Q11-USD'!H$1,SMALL(Dong3,ROWS($1:63)),)),IF(ROWS($1:63)&gt;COUNT(Dong3),IF(ROWS($1:63)&gt;COUNT(Dong3,Dong1),"",OFFSET('Q4-USD'!H$1,SMALL(Dong1,ROWS($1:63)-COUNT(Dong3)),)),OFFSET('Q11-USD'!H$1,SMALL(Dong3,ROWS($1:63)),))))</f>
        <v/>
      </c>
      <c r="G74" s="303" t="str">
        <f t="shared" ca="1" si="4"/>
        <v/>
      </c>
      <c r="H74" s="327" t="str">
        <f ca="1">IF($O$6="Q4",IF(ROWS($1:63)&gt;COUNT(Dong1),"",OFFSET('Q4-USD'!I$1,SMALL(Dong1,ROWS($1:63)),)),IF($O$6="Q11",IF(ROWS($1:63)&gt;COUNT(Dong3),"",OFFSET('Q11-USD'!I$1,SMALL(Dong3,ROWS($1:63)),)),IF(ROWS($1:63)&gt;COUNT(Dong3),IF(ROWS($1:63)&gt;COUNT(Dong3,Dong1),"",OFFSET('Q4-USD'!I$1,SMALL(Dong1,ROWS($1:63)-COUNT(Dong3)),)),OFFSET('Q11-USD'!I$1,SMALL(Dong3,ROWS($1:63)),))))</f>
        <v/>
      </c>
      <c r="I74" s="327" t="str">
        <f ca="1">IF($O$6="Q4",IF(ROWS($1:63)&gt;COUNT(Dong1),"",OFFSET('Q4-USD'!J$1,SMALL(Dong1,ROWS($1:63)),)),IF($O$6="Q11",IF(ROWS($1:63)&gt;COUNT(Dong3),"",OFFSET('Q11-USD'!J$1,SMALL(Dong3,ROWS($1:63)),)),IF(ROWS($1:63)&gt;COUNT(Dong3),IF(ROWS($1:63)&gt;COUNT(Dong3,Dong1),"",OFFSET('Q4-USD'!J$1,SMALL(Dong1,ROWS($1:63)-COUNT(Dong3)),)),OFFSET('Q11-USD'!J$1,SMALL(Dong3,ROWS($1:63)),))))</f>
        <v/>
      </c>
      <c r="J74" s="328" t="str">
        <f t="shared" ca="1" si="5"/>
        <v/>
      </c>
      <c r="K74" s="304"/>
      <c r="L74" s="335"/>
    </row>
    <row r="75" spans="1:12" s="287" customFormat="1" ht="17.25" customHeight="1">
      <c r="A75" s="300" t="str">
        <f ca="1">IF($O$6="Q4",IF(ROWS($1:64)&gt;COUNT(Dong1),"",OFFSET('Q4-USD'!B$1,SMALL(Dong1,ROWS($1:64)),)),IF($O$6="Q11",IF(ROWS($1:64)&gt;COUNT(Dong3),"",OFFSET('Q11-USD'!B$1,SMALL(Dong3,ROWS($1:64)),)),IF(ROWS($1:64)&gt;COUNT(Dong3),IF(ROWS($1:64)&gt;COUNT(Dong3,Dong1),"",OFFSET('Q4-USD'!B$1,SMALL(Dong1,ROWS($1:64)-COUNT(Dong3)),)),OFFSET('Q11-USD'!B$1,SMALL(Dong3,ROWS($1:64)),))))</f>
        <v/>
      </c>
      <c r="B75" s="300" t="str">
        <f ca="1">IF($O$6="Q4",IF(ROWS($1:64)&gt;COUNT(Dong1),"",OFFSET('Q4-USD'!C$1,SMALL(Dong1,ROWS($1:64)),)),IF($O$6="Q11",IF(ROWS($1:64)&gt;COUNT(Dong3),"",OFFSET('Q11-USD'!C$1,SMALL(Dong3,ROWS($1:64)),)),IF(ROWS($1:64)&gt;COUNT(Dong3),IF(ROWS($1:64)&gt;COUNT(Dong3,Dong1),"",OFFSET('Q4-USD'!C$1,SMALL(Dong1,ROWS($1:64)-COUNT(Dong3)),)),OFFSET('Q11-USD'!C$1,SMALL(Dong3,ROWS($1:64)),))))</f>
        <v/>
      </c>
      <c r="C75" s="300" t="str">
        <f ca="1">IF($O$6="Q4",IF(ROWS($1:64)&gt;COUNT(Dong1),"",OFFSET('Q4-USD'!D$1,SMALL(Dong1,ROWS($1:64)),)),IF($O$6="Q11",IF(ROWS($1:64)&gt;COUNT(Dong3),"",OFFSET('Q11-USD'!D$1,SMALL(Dong3,ROWS($1:64)),)),IF(ROWS($1:64)&gt;COUNT(Dong3),IF(ROWS($1:64)&gt;COUNT(Dong3,Dong1),"",OFFSET('Q4-USD'!D$1,SMALL(Dong1,ROWS($1:64)-COUNT(Dong3)),)),OFFSET('Q11-USD'!D$1,SMALL(Dong3,ROWS($1:64)),))))</f>
        <v/>
      </c>
      <c r="D75" s="301" t="str">
        <f ca="1">IF($O$6="Q4",IF(ROWS($1:64)&gt;COUNT(Dong1),"",OFFSET('Q4-USD'!E$1,SMALL(Dong1,ROWS($1:64)),)),IF($O$6="Q11",IF(ROWS($1:64)&gt;COUNT(Dong3),"",OFFSET('Q11-USD'!E$1,SMALL(Dong3,ROWS($1:64)),)),IF(ROWS($1:64)&gt;COUNT(Dong3),IF(ROWS($1:64)&gt;COUNT(Dong3,Dong1),"","Q4 - "&amp;OFFSET('Q4-USD'!E$1,SMALL(Dong1,ROWS($1:64)-COUNT(Dong3)),)),"Q11 - "&amp;OFFSET('Q11-USD'!E$1,SMALL(Dong3,ROWS($1:64)),))))</f>
        <v/>
      </c>
      <c r="E75" s="302" t="str">
        <f ca="1">IF($O$6="Q4",IF(ROWS($1:64)&gt;COUNT(Dong1),"",OFFSET('Q4-USD'!G$1,SMALL(Dong1,ROWS($1:64)),)),IF($O$6="Q11",IF(ROWS($1:64)&gt;COUNT(Dong3),"",OFFSET('Q11-USD'!G$1,SMALL(Dong3,ROWS($1:64)),)),IF(ROWS($1:64)&gt;COUNT(Dong3),IF(ROWS($1:64)&gt;COUNT(Dong3,Dong1),"",OFFSET('Q4-USD'!G$1,SMALL(Dong1,ROWS($1:64)-COUNT(Dong3)),)),OFFSET('Q11-USD'!G$1,SMALL(Dong3,ROWS($1:64)),))))</f>
        <v/>
      </c>
      <c r="F75" s="303" t="str">
        <f ca="1">IF($O$6="Q4",IF(ROWS($1:64)&gt;COUNT(Dong1),"",OFFSET('Q4-USD'!H$1,SMALL(Dong1,ROWS($1:64)),)),IF($O$6="Q11",IF(ROWS($1:64)&gt;COUNT(Dong3),"",OFFSET('Q11-USD'!H$1,SMALL(Dong3,ROWS($1:64)),)),IF(ROWS($1:64)&gt;COUNT(Dong3),IF(ROWS($1:64)&gt;COUNT(Dong3,Dong1),"",OFFSET('Q4-USD'!H$1,SMALL(Dong1,ROWS($1:64)-COUNT(Dong3)),)),OFFSET('Q11-USD'!H$1,SMALL(Dong3,ROWS($1:64)),))))</f>
        <v/>
      </c>
      <c r="G75" s="303" t="str">
        <f t="shared" ca="1" si="4"/>
        <v/>
      </c>
      <c r="H75" s="327" t="str">
        <f ca="1">IF($O$6="Q4",IF(ROWS($1:64)&gt;COUNT(Dong1),"",OFFSET('Q4-USD'!I$1,SMALL(Dong1,ROWS($1:64)),)),IF($O$6="Q11",IF(ROWS($1:64)&gt;COUNT(Dong3),"",OFFSET('Q11-USD'!I$1,SMALL(Dong3,ROWS($1:64)),)),IF(ROWS($1:64)&gt;COUNT(Dong3),IF(ROWS($1:64)&gt;COUNT(Dong3,Dong1),"",OFFSET('Q4-USD'!I$1,SMALL(Dong1,ROWS($1:64)-COUNT(Dong3)),)),OFFSET('Q11-USD'!I$1,SMALL(Dong3,ROWS($1:64)),))))</f>
        <v/>
      </c>
      <c r="I75" s="327" t="str">
        <f ca="1">IF($O$6="Q4",IF(ROWS($1:64)&gt;COUNT(Dong1),"",OFFSET('Q4-USD'!J$1,SMALL(Dong1,ROWS($1:64)),)),IF($O$6="Q11",IF(ROWS($1:64)&gt;COUNT(Dong3),"",OFFSET('Q11-USD'!J$1,SMALL(Dong3,ROWS($1:64)),)),IF(ROWS($1:64)&gt;COUNT(Dong3),IF(ROWS($1:64)&gt;COUNT(Dong3,Dong1),"",OFFSET('Q4-USD'!J$1,SMALL(Dong1,ROWS($1:64)-COUNT(Dong3)),)),OFFSET('Q11-USD'!J$1,SMALL(Dong3,ROWS($1:64)),))))</f>
        <v/>
      </c>
      <c r="J75" s="328" t="str">
        <f t="shared" ca="1" si="5"/>
        <v/>
      </c>
      <c r="K75" s="304"/>
      <c r="L75" s="335"/>
    </row>
    <row r="76" spans="1:12" s="287" customFormat="1" ht="17.25" customHeight="1">
      <c r="A76" s="300" t="str">
        <f ca="1">IF($O$6="Q4",IF(ROWS($1:65)&gt;COUNT(Dong1),"",OFFSET('Q4-USD'!B$1,SMALL(Dong1,ROWS($1:65)),)),IF($O$6="Q11",IF(ROWS($1:65)&gt;COUNT(Dong3),"",OFFSET('Q11-USD'!B$1,SMALL(Dong3,ROWS($1:65)),)),IF(ROWS($1:65)&gt;COUNT(Dong3),IF(ROWS($1:65)&gt;COUNT(Dong3,Dong1),"",OFFSET('Q4-USD'!B$1,SMALL(Dong1,ROWS($1:65)-COUNT(Dong3)),)),OFFSET('Q11-USD'!B$1,SMALL(Dong3,ROWS($1:65)),))))</f>
        <v/>
      </c>
      <c r="B76" s="300" t="str">
        <f ca="1">IF($O$6="Q4",IF(ROWS($1:65)&gt;COUNT(Dong1),"",OFFSET('Q4-USD'!C$1,SMALL(Dong1,ROWS($1:65)),)),IF($O$6="Q11",IF(ROWS($1:65)&gt;COUNT(Dong3),"",OFFSET('Q11-USD'!C$1,SMALL(Dong3,ROWS($1:65)),)),IF(ROWS($1:65)&gt;COUNT(Dong3),IF(ROWS($1:65)&gt;COUNT(Dong3,Dong1),"",OFFSET('Q4-USD'!C$1,SMALL(Dong1,ROWS($1:65)-COUNT(Dong3)),)),OFFSET('Q11-USD'!C$1,SMALL(Dong3,ROWS($1:65)),))))</f>
        <v/>
      </c>
      <c r="C76" s="300" t="str">
        <f ca="1">IF($O$6="Q4",IF(ROWS($1:65)&gt;COUNT(Dong1),"",OFFSET('Q4-USD'!D$1,SMALL(Dong1,ROWS($1:65)),)),IF($O$6="Q11",IF(ROWS($1:65)&gt;COUNT(Dong3),"",OFFSET('Q11-USD'!D$1,SMALL(Dong3,ROWS($1:65)),)),IF(ROWS($1:65)&gt;COUNT(Dong3),IF(ROWS($1:65)&gt;COUNT(Dong3,Dong1),"",OFFSET('Q4-USD'!D$1,SMALL(Dong1,ROWS($1:65)-COUNT(Dong3)),)),OFFSET('Q11-USD'!D$1,SMALL(Dong3,ROWS($1:65)),))))</f>
        <v/>
      </c>
      <c r="D76" s="301" t="str">
        <f ca="1">IF($O$6="Q4",IF(ROWS($1:65)&gt;COUNT(Dong1),"",OFFSET('Q4-USD'!E$1,SMALL(Dong1,ROWS($1:65)),)),IF($O$6="Q11",IF(ROWS($1:65)&gt;COUNT(Dong3),"",OFFSET('Q11-USD'!E$1,SMALL(Dong3,ROWS($1:65)),)),IF(ROWS($1:65)&gt;COUNT(Dong3),IF(ROWS($1:65)&gt;COUNT(Dong3,Dong1),"","Q4 - "&amp;OFFSET('Q4-USD'!E$1,SMALL(Dong1,ROWS($1:65)-COUNT(Dong3)),)),"Q11 - "&amp;OFFSET('Q11-USD'!E$1,SMALL(Dong3,ROWS($1:65)),))))</f>
        <v/>
      </c>
      <c r="E76" s="302" t="str">
        <f ca="1">IF($O$6="Q4",IF(ROWS($1:65)&gt;COUNT(Dong1),"",OFFSET('Q4-USD'!G$1,SMALL(Dong1,ROWS($1:65)),)),IF($O$6="Q11",IF(ROWS($1:65)&gt;COUNT(Dong3),"",OFFSET('Q11-USD'!G$1,SMALL(Dong3,ROWS($1:65)),)),IF(ROWS($1:65)&gt;COUNT(Dong3),IF(ROWS($1:65)&gt;COUNT(Dong3,Dong1),"",OFFSET('Q4-USD'!G$1,SMALL(Dong1,ROWS($1:65)-COUNT(Dong3)),)),OFFSET('Q11-USD'!G$1,SMALL(Dong3,ROWS($1:65)),))))</f>
        <v/>
      </c>
      <c r="F76" s="303" t="str">
        <f ca="1">IF($O$6="Q4",IF(ROWS($1:65)&gt;COUNT(Dong1),"",OFFSET('Q4-USD'!H$1,SMALL(Dong1,ROWS($1:65)),)),IF($O$6="Q11",IF(ROWS($1:65)&gt;COUNT(Dong3),"",OFFSET('Q11-USD'!H$1,SMALL(Dong3,ROWS($1:65)),)),IF(ROWS($1:65)&gt;COUNT(Dong3),IF(ROWS($1:65)&gt;COUNT(Dong3,Dong1),"",OFFSET('Q4-USD'!H$1,SMALL(Dong1,ROWS($1:65)-COUNT(Dong3)),)),OFFSET('Q11-USD'!H$1,SMALL(Dong3,ROWS($1:65)),))))</f>
        <v/>
      </c>
      <c r="G76" s="303" t="str">
        <f t="shared" ca="1" si="4"/>
        <v/>
      </c>
      <c r="H76" s="327" t="str">
        <f ca="1">IF($O$6="Q4",IF(ROWS($1:65)&gt;COUNT(Dong1),"",OFFSET('Q4-USD'!I$1,SMALL(Dong1,ROWS($1:65)),)),IF($O$6="Q11",IF(ROWS($1:65)&gt;COUNT(Dong3),"",OFFSET('Q11-USD'!I$1,SMALL(Dong3,ROWS($1:65)),)),IF(ROWS($1:65)&gt;COUNT(Dong3),IF(ROWS($1:65)&gt;COUNT(Dong3,Dong1),"",OFFSET('Q4-USD'!I$1,SMALL(Dong1,ROWS($1:65)-COUNT(Dong3)),)),OFFSET('Q11-USD'!I$1,SMALL(Dong3,ROWS($1:65)),))))</f>
        <v/>
      </c>
      <c r="I76" s="327" t="str">
        <f ca="1">IF($O$6="Q4",IF(ROWS($1:65)&gt;COUNT(Dong1),"",OFFSET('Q4-USD'!J$1,SMALL(Dong1,ROWS($1:65)),)),IF($O$6="Q11",IF(ROWS($1:65)&gt;COUNT(Dong3),"",OFFSET('Q11-USD'!J$1,SMALL(Dong3,ROWS($1:65)),)),IF(ROWS($1:65)&gt;COUNT(Dong3),IF(ROWS($1:65)&gt;COUNT(Dong3,Dong1),"",OFFSET('Q4-USD'!J$1,SMALL(Dong1,ROWS($1:65)-COUNT(Dong3)),)),OFFSET('Q11-USD'!J$1,SMALL(Dong3,ROWS($1:65)),))))</f>
        <v/>
      </c>
      <c r="J76" s="328" t="str">
        <f t="shared" ca="1" si="5"/>
        <v/>
      </c>
      <c r="K76" s="304"/>
      <c r="L76" s="335"/>
    </row>
    <row r="77" spans="1:12" s="287" customFormat="1" ht="17.25" customHeight="1">
      <c r="A77" s="300" t="str">
        <f ca="1">IF($O$6="Q4",IF(ROWS($1:66)&gt;COUNT(Dong1),"",OFFSET('Q4-USD'!B$1,SMALL(Dong1,ROWS($1:66)),)),IF($O$6="Q11",IF(ROWS($1:66)&gt;COUNT(Dong3),"",OFFSET('Q11-USD'!B$1,SMALL(Dong3,ROWS($1:66)),)),IF(ROWS($1:66)&gt;COUNT(Dong3),IF(ROWS($1:66)&gt;COUNT(Dong3,Dong1),"",OFFSET('Q4-USD'!B$1,SMALL(Dong1,ROWS($1:66)-COUNT(Dong3)),)),OFFSET('Q11-USD'!B$1,SMALL(Dong3,ROWS($1:66)),))))</f>
        <v/>
      </c>
      <c r="B77" s="300" t="str">
        <f ca="1">IF($O$6="Q4",IF(ROWS($1:66)&gt;COUNT(Dong1),"",OFFSET('Q4-USD'!C$1,SMALL(Dong1,ROWS($1:66)),)),IF($O$6="Q11",IF(ROWS($1:66)&gt;COUNT(Dong3),"",OFFSET('Q11-USD'!C$1,SMALL(Dong3,ROWS($1:66)),)),IF(ROWS($1:66)&gt;COUNT(Dong3),IF(ROWS($1:66)&gt;COUNT(Dong3,Dong1),"",OFFSET('Q4-USD'!C$1,SMALL(Dong1,ROWS($1:66)-COUNT(Dong3)),)),OFFSET('Q11-USD'!C$1,SMALL(Dong3,ROWS($1:66)),))))</f>
        <v/>
      </c>
      <c r="C77" s="300" t="str">
        <f ca="1">IF($O$6="Q4",IF(ROWS($1:66)&gt;COUNT(Dong1),"",OFFSET('Q4-USD'!D$1,SMALL(Dong1,ROWS($1:66)),)),IF($O$6="Q11",IF(ROWS($1:66)&gt;COUNT(Dong3),"",OFFSET('Q11-USD'!D$1,SMALL(Dong3,ROWS($1:66)),)),IF(ROWS($1:66)&gt;COUNT(Dong3),IF(ROWS($1:66)&gt;COUNT(Dong3,Dong1),"",OFFSET('Q4-USD'!D$1,SMALL(Dong1,ROWS($1:66)-COUNT(Dong3)),)),OFFSET('Q11-USD'!D$1,SMALL(Dong3,ROWS($1:66)),))))</f>
        <v/>
      </c>
      <c r="D77" s="301" t="str">
        <f ca="1">IF($O$6="Q4",IF(ROWS($1:66)&gt;COUNT(Dong1),"",OFFSET('Q4-USD'!E$1,SMALL(Dong1,ROWS($1:66)),)),IF($O$6="Q11",IF(ROWS($1:66)&gt;COUNT(Dong3),"",OFFSET('Q11-USD'!E$1,SMALL(Dong3,ROWS($1:66)),)),IF(ROWS($1:66)&gt;COUNT(Dong3),IF(ROWS($1:66)&gt;COUNT(Dong3,Dong1),"","Q4 - "&amp;OFFSET('Q4-USD'!E$1,SMALL(Dong1,ROWS($1:66)-COUNT(Dong3)),)),"Q11 - "&amp;OFFSET('Q11-USD'!E$1,SMALL(Dong3,ROWS($1:66)),))))</f>
        <v/>
      </c>
      <c r="E77" s="302" t="str">
        <f ca="1">IF($O$6="Q4",IF(ROWS($1:66)&gt;COUNT(Dong1),"",OFFSET('Q4-USD'!G$1,SMALL(Dong1,ROWS($1:66)),)),IF($O$6="Q11",IF(ROWS($1:66)&gt;COUNT(Dong3),"",OFFSET('Q11-USD'!G$1,SMALL(Dong3,ROWS($1:66)),)),IF(ROWS($1:66)&gt;COUNT(Dong3),IF(ROWS($1:66)&gt;COUNT(Dong3,Dong1),"",OFFSET('Q4-USD'!G$1,SMALL(Dong1,ROWS($1:66)-COUNT(Dong3)),)),OFFSET('Q11-USD'!G$1,SMALL(Dong3,ROWS($1:66)),))))</f>
        <v/>
      </c>
      <c r="F77" s="303" t="str">
        <f ca="1">IF($O$6="Q4",IF(ROWS($1:66)&gt;COUNT(Dong1),"",OFFSET('Q4-USD'!H$1,SMALL(Dong1,ROWS($1:66)),)),IF($O$6="Q11",IF(ROWS($1:66)&gt;COUNT(Dong3),"",OFFSET('Q11-USD'!H$1,SMALL(Dong3,ROWS($1:66)),)),IF(ROWS($1:66)&gt;COUNT(Dong3),IF(ROWS($1:66)&gt;COUNT(Dong3,Dong1),"",OFFSET('Q4-USD'!H$1,SMALL(Dong1,ROWS($1:66)-COUNT(Dong3)),)),OFFSET('Q11-USD'!H$1,SMALL(Dong3,ROWS($1:66)),))))</f>
        <v/>
      </c>
      <c r="G77" s="303" t="str">
        <f t="shared" ca="1" si="4"/>
        <v/>
      </c>
      <c r="H77" s="327" t="str">
        <f ca="1">IF($O$6="Q4",IF(ROWS($1:66)&gt;COUNT(Dong1),"",OFFSET('Q4-USD'!I$1,SMALL(Dong1,ROWS($1:66)),)),IF($O$6="Q11",IF(ROWS($1:66)&gt;COUNT(Dong3),"",OFFSET('Q11-USD'!I$1,SMALL(Dong3,ROWS($1:66)),)),IF(ROWS($1:66)&gt;COUNT(Dong3),IF(ROWS($1:66)&gt;COUNT(Dong3,Dong1),"",OFFSET('Q4-USD'!I$1,SMALL(Dong1,ROWS($1:66)-COUNT(Dong3)),)),OFFSET('Q11-USD'!I$1,SMALL(Dong3,ROWS($1:66)),))))</f>
        <v/>
      </c>
      <c r="I77" s="327" t="str">
        <f ca="1">IF($O$6="Q4",IF(ROWS($1:66)&gt;COUNT(Dong1),"",OFFSET('Q4-USD'!J$1,SMALL(Dong1,ROWS($1:66)),)),IF($O$6="Q11",IF(ROWS($1:66)&gt;COUNT(Dong3),"",OFFSET('Q11-USD'!J$1,SMALL(Dong3,ROWS($1:66)),)),IF(ROWS($1:66)&gt;COUNT(Dong3),IF(ROWS($1:66)&gt;COUNT(Dong3,Dong1),"",OFFSET('Q4-USD'!J$1,SMALL(Dong1,ROWS($1:66)-COUNT(Dong3)),)),OFFSET('Q11-USD'!J$1,SMALL(Dong3,ROWS($1:66)),))))</f>
        <v/>
      </c>
      <c r="J77" s="328" t="str">
        <f t="shared" ca="1" si="5"/>
        <v/>
      </c>
      <c r="K77" s="304"/>
      <c r="L77" s="335"/>
    </row>
    <row r="78" spans="1:12" s="287" customFormat="1" ht="17.25" customHeight="1">
      <c r="A78" s="300" t="str">
        <f ca="1">IF($O$6="Q4",IF(ROWS($1:67)&gt;COUNT(Dong1),"",OFFSET('Q4-USD'!B$1,SMALL(Dong1,ROWS($1:67)),)),IF($O$6="Q11",IF(ROWS($1:67)&gt;COUNT(Dong3),"",OFFSET('Q11-USD'!B$1,SMALL(Dong3,ROWS($1:67)),)),IF(ROWS($1:67)&gt;COUNT(Dong3),IF(ROWS($1:67)&gt;COUNT(Dong3,Dong1),"",OFFSET('Q4-USD'!B$1,SMALL(Dong1,ROWS($1:67)-COUNT(Dong3)),)),OFFSET('Q11-USD'!B$1,SMALL(Dong3,ROWS($1:67)),))))</f>
        <v/>
      </c>
      <c r="B78" s="300" t="str">
        <f ca="1">IF($O$6="Q4",IF(ROWS($1:67)&gt;COUNT(Dong1),"",OFFSET('Q4-USD'!C$1,SMALL(Dong1,ROWS($1:67)),)),IF($O$6="Q11",IF(ROWS($1:67)&gt;COUNT(Dong3),"",OFFSET('Q11-USD'!C$1,SMALL(Dong3,ROWS($1:67)),)),IF(ROWS($1:67)&gt;COUNT(Dong3),IF(ROWS($1:67)&gt;COUNT(Dong3,Dong1),"",OFFSET('Q4-USD'!C$1,SMALL(Dong1,ROWS($1:67)-COUNT(Dong3)),)),OFFSET('Q11-USD'!C$1,SMALL(Dong3,ROWS($1:67)),))))</f>
        <v/>
      </c>
      <c r="C78" s="300" t="str">
        <f ca="1">IF($O$6="Q4",IF(ROWS($1:67)&gt;COUNT(Dong1),"",OFFSET('Q4-USD'!D$1,SMALL(Dong1,ROWS($1:67)),)),IF($O$6="Q11",IF(ROWS($1:67)&gt;COUNT(Dong3),"",OFFSET('Q11-USD'!D$1,SMALL(Dong3,ROWS($1:67)),)),IF(ROWS($1:67)&gt;COUNT(Dong3),IF(ROWS($1:67)&gt;COUNT(Dong3,Dong1),"",OFFSET('Q4-USD'!D$1,SMALL(Dong1,ROWS($1:67)-COUNT(Dong3)),)),OFFSET('Q11-USD'!D$1,SMALL(Dong3,ROWS($1:67)),))))</f>
        <v/>
      </c>
      <c r="D78" s="301" t="str">
        <f ca="1">IF($O$6="Q4",IF(ROWS($1:67)&gt;COUNT(Dong1),"",OFFSET('Q4-USD'!E$1,SMALL(Dong1,ROWS($1:67)),)),IF($O$6="Q11",IF(ROWS($1:67)&gt;COUNT(Dong3),"",OFFSET('Q11-USD'!E$1,SMALL(Dong3,ROWS($1:67)),)),IF(ROWS($1:67)&gt;COUNT(Dong3),IF(ROWS($1:67)&gt;COUNT(Dong3,Dong1),"","Q4 - "&amp;OFFSET('Q4-USD'!E$1,SMALL(Dong1,ROWS($1:67)-COUNT(Dong3)),)),"Q11 - "&amp;OFFSET('Q11-USD'!E$1,SMALL(Dong3,ROWS($1:67)),))))</f>
        <v/>
      </c>
      <c r="E78" s="302" t="str">
        <f ca="1">IF($O$6="Q4",IF(ROWS($1:67)&gt;COUNT(Dong1),"",OFFSET('Q4-USD'!G$1,SMALL(Dong1,ROWS($1:67)),)),IF($O$6="Q11",IF(ROWS($1:67)&gt;COUNT(Dong3),"",OFFSET('Q11-USD'!G$1,SMALL(Dong3,ROWS($1:67)),)),IF(ROWS($1:67)&gt;COUNT(Dong3),IF(ROWS($1:67)&gt;COUNT(Dong3,Dong1),"",OFFSET('Q4-USD'!G$1,SMALL(Dong1,ROWS($1:67)-COUNT(Dong3)),)),OFFSET('Q11-USD'!G$1,SMALL(Dong3,ROWS($1:67)),))))</f>
        <v/>
      </c>
      <c r="F78" s="303" t="str">
        <f ca="1">IF($O$6="Q4",IF(ROWS($1:67)&gt;COUNT(Dong1),"",OFFSET('Q4-USD'!H$1,SMALL(Dong1,ROWS($1:67)),)),IF($O$6="Q11",IF(ROWS($1:67)&gt;COUNT(Dong3),"",OFFSET('Q11-USD'!H$1,SMALL(Dong3,ROWS($1:67)),)),IF(ROWS($1:67)&gt;COUNT(Dong3),IF(ROWS($1:67)&gt;COUNT(Dong3,Dong1),"",OFFSET('Q4-USD'!H$1,SMALL(Dong1,ROWS($1:67)-COUNT(Dong3)),)),OFFSET('Q11-USD'!H$1,SMALL(Dong3,ROWS($1:67)),))))</f>
        <v/>
      </c>
      <c r="G78" s="303" t="str">
        <f t="shared" ca="1" si="4"/>
        <v/>
      </c>
      <c r="H78" s="327" t="str">
        <f ca="1">IF($O$6="Q4",IF(ROWS($1:67)&gt;COUNT(Dong1),"",OFFSET('Q4-USD'!I$1,SMALL(Dong1,ROWS($1:67)),)),IF($O$6="Q11",IF(ROWS($1:67)&gt;COUNT(Dong3),"",OFFSET('Q11-USD'!I$1,SMALL(Dong3,ROWS($1:67)),)),IF(ROWS($1:67)&gt;COUNT(Dong3),IF(ROWS($1:67)&gt;COUNT(Dong3,Dong1),"",OFFSET('Q4-USD'!I$1,SMALL(Dong1,ROWS($1:67)-COUNT(Dong3)),)),OFFSET('Q11-USD'!I$1,SMALL(Dong3,ROWS($1:67)),))))</f>
        <v/>
      </c>
      <c r="I78" s="327" t="str">
        <f ca="1">IF($O$6="Q4",IF(ROWS($1:67)&gt;COUNT(Dong1),"",OFFSET('Q4-USD'!J$1,SMALL(Dong1,ROWS($1:67)),)),IF($O$6="Q11",IF(ROWS($1:67)&gt;COUNT(Dong3),"",OFFSET('Q11-USD'!J$1,SMALL(Dong3,ROWS($1:67)),)),IF(ROWS($1:67)&gt;COUNT(Dong3),IF(ROWS($1:67)&gt;COUNT(Dong3,Dong1),"",OFFSET('Q4-USD'!J$1,SMALL(Dong1,ROWS($1:67)-COUNT(Dong3)),)),OFFSET('Q11-USD'!J$1,SMALL(Dong3,ROWS($1:67)),))))</f>
        <v/>
      </c>
      <c r="J78" s="328" t="str">
        <f t="shared" ca="1" si="5"/>
        <v/>
      </c>
      <c r="K78" s="304"/>
      <c r="L78" s="335"/>
    </row>
    <row r="79" spans="1:12" s="275" customFormat="1" ht="17.25" customHeight="1">
      <c r="A79" s="300"/>
      <c r="B79" s="300"/>
      <c r="C79" s="300"/>
      <c r="D79" s="301"/>
      <c r="E79" s="302"/>
      <c r="F79" s="300"/>
      <c r="G79" s="300"/>
      <c r="H79" s="303"/>
      <c r="I79" s="303"/>
      <c r="J79" s="329"/>
      <c r="K79" s="304"/>
      <c r="L79" s="335"/>
    </row>
    <row r="80" spans="1:12" s="287" customFormat="1" ht="17.25" customHeight="1">
      <c r="A80" s="305"/>
      <c r="B80" s="306"/>
      <c r="C80" s="305"/>
      <c r="D80" s="299" t="s">
        <v>29</v>
      </c>
      <c r="E80" s="307"/>
      <c r="F80" s="307"/>
      <c r="G80" s="307"/>
      <c r="H80" s="330">
        <f ca="1">SUM(H12:H79)</f>
        <v>331673.32</v>
      </c>
      <c r="I80" s="330">
        <f ca="1">SUM(I12:I79)</f>
        <v>329833.05</v>
      </c>
      <c r="J80" s="326">
        <f ca="1">J11+H80-I80</f>
        <v>1851.5900000000256</v>
      </c>
      <c r="K80" s="309"/>
      <c r="L80" s="336"/>
    </row>
    <row r="81" spans="1:12" s="287" customFormat="1" ht="17.25" customHeight="1">
      <c r="A81" s="305"/>
      <c r="B81" s="306"/>
      <c r="C81" s="305"/>
      <c r="D81" s="299" t="s">
        <v>161</v>
      </c>
      <c r="E81" s="307"/>
      <c r="F81" s="307"/>
      <c r="G81" s="307"/>
      <c r="H81" s="299"/>
      <c r="I81" s="299"/>
      <c r="J81" s="326">
        <f ca="1">J80</f>
        <v>1851.5900000000256</v>
      </c>
      <c r="K81" s="309"/>
      <c r="L81" s="336"/>
    </row>
    <row r="82" spans="1:12" s="275" customFormat="1" ht="22.5" customHeight="1">
      <c r="A82" s="310" t="s">
        <v>162</v>
      </c>
      <c r="B82" s="311"/>
      <c r="C82" s="271"/>
      <c r="D82" s="272"/>
      <c r="E82" s="273"/>
      <c r="F82" s="273"/>
      <c r="G82" s="273"/>
      <c r="H82" s="312"/>
      <c r="I82" s="312"/>
    </row>
    <row r="83" spans="1:12" s="275" customFormat="1" ht="15">
      <c r="A83" s="313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2 tháng 7 năm 2013</v>
      </c>
      <c r="B83" s="276"/>
      <c r="C83" s="271"/>
      <c r="D83" s="272"/>
      <c r="E83" s="273"/>
      <c r="F83" s="273"/>
      <c r="G83" s="273"/>
    </row>
    <row r="84" spans="1:12" s="275" customFormat="1" ht="15">
      <c r="A84" s="314"/>
      <c r="B84" s="270"/>
      <c r="C84" s="315"/>
      <c r="D84" s="272"/>
      <c r="E84" s="273"/>
      <c r="F84" s="273"/>
      <c r="G84" s="273"/>
      <c r="I84" s="463" t="str">
        <f>IF(OR($M$6=1,$M$6=4,$M$6=6,$M$6=9,$M$6=11),"Ngày  30  tháng  "&amp;$M$6&amp;"  năm 2015",IF(OR($M$6=3,$M$6=5,$M$6=7,$M$6=8,$M$6=10,$M$6=12),"Ngày  31  tháng  "&amp;$M$6&amp;"  năm 2015","Ngày  29  tháng  "&amp;$M$6&amp;"  năm 2015"))</f>
        <v>Ngày  31  tháng  7  năm 2015</v>
      </c>
      <c r="J84" s="463"/>
      <c r="K84" s="463"/>
      <c r="L84" s="331"/>
    </row>
    <row r="85" spans="1:12" s="275" customFormat="1" ht="17.25" customHeight="1">
      <c r="A85" s="454" t="s">
        <v>33</v>
      </c>
      <c r="B85" s="454"/>
      <c r="C85" s="316"/>
      <c r="D85" s="272"/>
      <c r="E85" s="317" t="s">
        <v>13</v>
      </c>
      <c r="F85" s="317"/>
      <c r="G85" s="317"/>
      <c r="H85" s="274"/>
      <c r="I85" s="270"/>
      <c r="J85" s="318" t="s">
        <v>14</v>
      </c>
      <c r="K85" s="318"/>
      <c r="L85" s="318"/>
    </row>
    <row r="86" spans="1:12" s="275" customFormat="1" ht="15">
      <c r="A86" s="448" t="s">
        <v>15</v>
      </c>
      <c r="B86" s="448"/>
      <c r="C86" s="319"/>
      <c r="D86" s="272"/>
      <c r="E86" s="320" t="s">
        <v>15</v>
      </c>
      <c r="F86" s="320"/>
      <c r="G86" s="320"/>
      <c r="H86" s="276"/>
      <c r="I86" s="448" t="s">
        <v>16</v>
      </c>
      <c r="J86" s="448"/>
      <c r="K86" s="448"/>
      <c r="L86" s="276"/>
    </row>
    <row r="97" spans="8:8">
      <c r="H97" s="325">
        <f>ROWS($1:41)</f>
        <v>41</v>
      </c>
    </row>
  </sheetData>
  <sheetProtection sheet="1" objects="1" scenarios="1" insertRows="0" deleteRows="0" autoFilter="0"/>
  <autoFilter ref="A10:K78">
    <filterColumn colId="4"/>
    <filterColumn colId="7"/>
  </autoFilter>
  <dataConsolidate/>
  <mergeCells count="20">
    <mergeCell ref="H1:K1"/>
    <mergeCell ref="H2:K2"/>
    <mergeCell ref="H3:K3"/>
    <mergeCell ref="A4:K4"/>
    <mergeCell ref="A5:K5"/>
    <mergeCell ref="A2:D3"/>
    <mergeCell ref="A86:B86"/>
    <mergeCell ref="I86:K86"/>
    <mergeCell ref="A6:D6"/>
    <mergeCell ref="E6:H6"/>
    <mergeCell ref="F8:F9"/>
    <mergeCell ref="G8:G9"/>
    <mergeCell ref="I84:K84"/>
    <mergeCell ref="A85:B85"/>
    <mergeCell ref="A8:A9"/>
    <mergeCell ref="B8:C8"/>
    <mergeCell ref="D8:D9"/>
    <mergeCell ref="H8:J8"/>
    <mergeCell ref="K8:K9"/>
    <mergeCell ref="E8:E9"/>
  </mergeCells>
  <phoneticPr fontId="55" type="noConversion"/>
  <dataValidations count="2">
    <dataValidation type="list" allowBlank="1" showInputMessage="1" showErrorMessage="1" sqref="M6">
      <formula1>"1,2,3,4,5,6,7,8,9,10,11,12"</formula1>
    </dataValidation>
    <dataValidation type="list" allowBlank="1" showInputMessage="1" showErrorMessage="1" sqref="O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indexed="31"/>
  </sheetPr>
  <dimension ref="A1:M60"/>
  <sheetViews>
    <sheetView topLeftCell="B1" zoomScale="90" workbookViewId="0">
      <selection activeCell="J2" sqref="J2:M3"/>
    </sheetView>
  </sheetViews>
  <sheetFormatPr defaultRowHeight="15"/>
  <cols>
    <col min="1" max="1" width="5.140625" style="6" hidden="1" customWidth="1"/>
    <col min="2" max="2" width="10.7109375" style="6" customWidth="1"/>
    <col min="3" max="3" width="11.5703125" style="6" customWidth="1"/>
    <col min="4" max="4" width="5.42578125" style="6" customWidth="1"/>
    <col min="5" max="5" width="6.5703125" style="6" customWidth="1"/>
    <col min="6" max="6" width="34.5703125" style="6" customWidth="1"/>
    <col min="7" max="7" width="6.7109375" style="6" hidden="1" customWidth="1"/>
    <col min="8" max="8" width="34.85546875" style="6" hidden="1" customWidth="1"/>
    <col min="9" max="9" width="6.8554687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0" t="s">
        <v>472</v>
      </c>
      <c r="K1" s="400"/>
      <c r="L1" s="400"/>
      <c r="M1" s="400"/>
    </row>
    <row r="2" spans="1:13" s="11" customFormat="1" ht="16.5" customHeight="1">
      <c r="B2" s="1" t="s">
        <v>48</v>
      </c>
      <c r="C2" s="372"/>
      <c r="D2" s="372"/>
      <c r="E2" s="372"/>
      <c r="F2" s="372"/>
      <c r="G2" s="372"/>
      <c r="H2" s="372"/>
      <c r="J2" s="401" t="s">
        <v>473</v>
      </c>
      <c r="K2" s="401"/>
      <c r="L2" s="401"/>
      <c r="M2" s="401"/>
    </row>
    <row r="3" spans="1:13" s="11" customFormat="1" ht="16.5" customHeight="1">
      <c r="B3" s="9"/>
      <c r="C3" s="372"/>
      <c r="D3" s="14"/>
      <c r="E3" s="14"/>
      <c r="F3" s="372"/>
      <c r="G3" s="372"/>
      <c r="H3" s="372"/>
      <c r="J3" s="401"/>
      <c r="K3" s="401"/>
      <c r="L3" s="401"/>
      <c r="M3" s="401"/>
    </row>
    <row r="4" spans="1:13" s="11" customFormat="1" ht="6.75" customHeight="1">
      <c r="B4" s="372"/>
      <c r="C4" s="372"/>
      <c r="D4" s="372"/>
      <c r="E4" s="372"/>
      <c r="F4" s="372"/>
      <c r="G4" s="372"/>
      <c r="H4" s="372"/>
      <c r="J4" s="373"/>
      <c r="K4" s="373"/>
      <c r="L4" s="373"/>
      <c r="M4" s="373"/>
    </row>
    <row r="5" spans="1:13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6" spans="1:13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</row>
    <row r="7" spans="1:13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</row>
    <row r="8" spans="1:13">
      <c r="B8" s="15"/>
      <c r="L8" s="15" t="s">
        <v>19</v>
      </c>
    </row>
    <row r="9" spans="1:13" ht="27.75" customHeight="1">
      <c r="B9" s="404" t="s">
        <v>20</v>
      </c>
      <c r="C9" s="404" t="s">
        <v>21</v>
      </c>
      <c r="D9" s="403" t="s">
        <v>2</v>
      </c>
      <c r="E9" s="403"/>
      <c r="F9" s="403" t="s">
        <v>3</v>
      </c>
      <c r="G9" s="404" t="s">
        <v>73</v>
      </c>
      <c r="H9" s="404" t="s">
        <v>74</v>
      </c>
      <c r="I9" s="404" t="s">
        <v>22</v>
      </c>
      <c r="J9" s="403" t="s">
        <v>23</v>
      </c>
      <c r="K9" s="403"/>
      <c r="L9" s="403" t="s">
        <v>24</v>
      </c>
      <c r="M9" s="403" t="s">
        <v>4</v>
      </c>
    </row>
    <row r="10" spans="1:13" ht="24" customHeight="1">
      <c r="B10" s="405"/>
      <c r="C10" s="405"/>
      <c r="D10" s="375" t="s">
        <v>5</v>
      </c>
      <c r="E10" s="375" t="s">
        <v>6</v>
      </c>
      <c r="F10" s="403"/>
      <c r="G10" s="405"/>
      <c r="H10" s="405"/>
      <c r="I10" s="405"/>
      <c r="J10" s="375" t="s">
        <v>25</v>
      </c>
      <c r="K10" s="375" t="s">
        <v>26</v>
      </c>
      <c r="L10" s="403"/>
      <c r="M10" s="403"/>
    </row>
    <row r="11" spans="1:13" s="18" customFormat="1" ht="11.25" customHeight="1">
      <c r="B11" s="17" t="s">
        <v>7</v>
      </c>
      <c r="C11" s="17" t="s">
        <v>8</v>
      </c>
      <c r="D11" s="17" t="s">
        <v>9</v>
      </c>
      <c r="E11" s="17" t="s">
        <v>10</v>
      </c>
      <c r="F11" s="17" t="s">
        <v>11</v>
      </c>
      <c r="G11" s="17"/>
      <c r="H11" s="17"/>
      <c r="I11" s="17" t="s">
        <v>27</v>
      </c>
      <c r="J11" s="17">
        <v>1</v>
      </c>
      <c r="K11" s="17">
        <v>2</v>
      </c>
      <c r="L11" s="17">
        <v>3</v>
      </c>
      <c r="M11" s="17" t="s">
        <v>12</v>
      </c>
    </row>
    <row r="12" spans="1:13" s="44" customFormat="1" ht="17.25" customHeight="1">
      <c r="B12" s="42"/>
      <c r="C12" s="42"/>
      <c r="D12" s="42"/>
      <c r="E12" s="42"/>
      <c r="F12" s="42" t="s">
        <v>28</v>
      </c>
      <c r="G12" s="42"/>
      <c r="H12" s="42"/>
      <c r="I12" s="47"/>
      <c r="J12" s="35"/>
      <c r="K12" s="42"/>
      <c r="L12" s="49">
        <v>364691713</v>
      </c>
      <c r="M12" s="42"/>
    </row>
    <row r="13" spans="1:13" ht="17.25" customHeight="1">
      <c r="A13" s="6" t="str">
        <f t="shared" ref="A13:A46" si="0">D13&amp;E13</f>
        <v>C01</v>
      </c>
      <c r="B13" s="3">
        <v>41276</v>
      </c>
      <c r="C13" s="3">
        <v>41274</v>
      </c>
      <c r="D13" s="4"/>
      <c r="E13" s="22" t="s">
        <v>75</v>
      </c>
      <c r="F13" s="5" t="s">
        <v>264</v>
      </c>
      <c r="G13" s="123"/>
      <c r="H13" s="5"/>
      <c r="I13" s="28" t="s">
        <v>192</v>
      </c>
      <c r="J13" s="21"/>
      <c r="K13" s="5">
        <v>2216560</v>
      </c>
      <c r="L13" s="4">
        <v>795823780</v>
      </c>
      <c r="M13" s="19"/>
    </row>
    <row r="14" spans="1:13" ht="17.25" customHeight="1">
      <c r="A14" s="6" t="str">
        <f t="shared" si="0"/>
        <v>C01</v>
      </c>
      <c r="B14" s="3">
        <v>41276</v>
      </c>
      <c r="C14" s="3">
        <v>41274</v>
      </c>
      <c r="D14" s="4"/>
      <c r="E14" s="22" t="s">
        <v>75</v>
      </c>
      <c r="F14" s="5" t="s">
        <v>265</v>
      </c>
      <c r="G14" s="123"/>
      <c r="H14" s="5"/>
      <c r="I14" s="28" t="s">
        <v>35</v>
      </c>
      <c r="J14" s="21"/>
      <c r="K14" s="5">
        <v>221656</v>
      </c>
      <c r="L14" s="4">
        <v>795245980</v>
      </c>
      <c r="M14" s="19"/>
    </row>
    <row r="15" spans="1:13" ht="17.25" customHeight="1">
      <c r="A15" s="6" t="str">
        <f t="shared" si="0"/>
        <v>C02</v>
      </c>
      <c r="B15" s="3">
        <v>41276</v>
      </c>
      <c r="C15" s="3">
        <v>41274</v>
      </c>
      <c r="D15" s="4"/>
      <c r="E15" s="22" t="s">
        <v>76</v>
      </c>
      <c r="F15" s="5" t="s">
        <v>266</v>
      </c>
      <c r="G15" s="123"/>
      <c r="H15" s="5"/>
      <c r="I15" s="28" t="s">
        <v>53</v>
      </c>
      <c r="J15" s="21"/>
      <c r="K15" s="5">
        <v>14107350</v>
      </c>
      <c r="L15" s="4">
        <v>795002755</v>
      </c>
      <c r="M15" s="19"/>
    </row>
    <row r="16" spans="1:13" ht="17.25" customHeight="1">
      <c r="A16" s="6" t="str">
        <f t="shared" si="0"/>
        <v>C02</v>
      </c>
      <c r="B16" s="3">
        <v>41276</v>
      </c>
      <c r="C16" s="3">
        <v>41274</v>
      </c>
      <c r="D16" s="4"/>
      <c r="E16" s="22" t="s">
        <v>76</v>
      </c>
      <c r="F16" s="5" t="s">
        <v>267</v>
      </c>
      <c r="G16" s="123"/>
      <c r="H16" s="5"/>
      <c r="I16" s="28" t="s">
        <v>35</v>
      </c>
      <c r="J16" s="21"/>
      <c r="K16" s="5">
        <v>771975</v>
      </c>
      <c r="L16" s="4">
        <v>792757853</v>
      </c>
      <c r="M16" s="19"/>
    </row>
    <row r="17" spans="1:13" ht="17.25" customHeight="1">
      <c r="A17" s="6" t="str">
        <f t="shared" si="0"/>
        <v>T01</v>
      </c>
      <c r="B17" s="3">
        <v>41276</v>
      </c>
      <c r="C17" s="3">
        <v>41276</v>
      </c>
      <c r="D17" s="4" t="s">
        <v>39</v>
      </c>
      <c r="E17" s="22"/>
      <c r="F17" s="5" t="s">
        <v>268</v>
      </c>
      <c r="G17" s="123"/>
      <c r="H17" s="5"/>
      <c r="I17" s="28" t="s">
        <v>120</v>
      </c>
      <c r="J17" s="21">
        <v>9135100</v>
      </c>
      <c r="K17" s="5"/>
      <c r="L17" s="4">
        <v>792533363</v>
      </c>
      <c r="M17" s="19"/>
    </row>
    <row r="18" spans="1:13" ht="17.25" customHeight="1">
      <c r="A18" s="6" t="str">
        <f t="shared" si="0"/>
        <v>T02</v>
      </c>
      <c r="B18" s="3">
        <v>41278</v>
      </c>
      <c r="C18" s="3">
        <v>41278</v>
      </c>
      <c r="D18" s="4" t="s">
        <v>40</v>
      </c>
      <c r="E18" s="22"/>
      <c r="F18" s="5" t="s">
        <v>269</v>
      </c>
      <c r="G18" s="123"/>
      <c r="H18" s="5"/>
      <c r="I18" s="28" t="s">
        <v>36</v>
      </c>
      <c r="J18" s="21">
        <v>603000000</v>
      </c>
      <c r="K18" s="5"/>
      <c r="L18" s="4">
        <v>792422963</v>
      </c>
      <c r="M18" s="19"/>
    </row>
    <row r="19" spans="1:13" ht="17.25" customHeight="1">
      <c r="A19" s="6" t="str">
        <f t="shared" si="0"/>
        <v>C03</v>
      </c>
      <c r="B19" s="3">
        <v>41278</v>
      </c>
      <c r="C19" s="3">
        <v>41278</v>
      </c>
      <c r="D19" s="4"/>
      <c r="E19" s="22" t="s">
        <v>77</v>
      </c>
      <c r="F19" s="5" t="s">
        <v>270</v>
      </c>
      <c r="G19" s="123"/>
      <c r="H19" s="5"/>
      <c r="I19" s="28" t="s">
        <v>192</v>
      </c>
      <c r="J19" s="21"/>
      <c r="K19" s="5">
        <v>500000</v>
      </c>
      <c r="L19" s="4">
        <v>792411923</v>
      </c>
      <c r="M19" s="19"/>
    </row>
    <row r="20" spans="1:13" ht="17.25" customHeight="1">
      <c r="A20" s="6" t="str">
        <f t="shared" si="0"/>
        <v>T03</v>
      </c>
      <c r="B20" s="3">
        <v>41284</v>
      </c>
      <c r="C20" s="3">
        <v>41284</v>
      </c>
      <c r="D20" s="4" t="s">
        <v>41</v>
      </c>
      <c r="E20" s="22"/>
      <c r="F20" s="5" t="s">
        <v>269</v>
      </c>
      <c r="G20" s="123"/>
      <c r="H20" s="5"/>
      <c r="I20" s="28" t="s">
        <v>36</v>
      </c>
      <c r="J20" s="21">
        <v>814000000</v>
      </c>
      <c r="K20" s="5"/>
      <c r="L20" s="4">
        <v>790491923</v>
      </c>
      <c r="M20" s="19"/>
    </row>
    <row r="21" spans="1:13" ht="17.25" customHeight="1">
      <c r="A21" s="6" t="str">
        <f t="shared" si="0"/>
        <v>T04</v>
      </c>
      <c r="B21" s="3">
        <v>41284</v>
      </c>
      <c r="C21" s="3">
        <v>41284</v>
      </c>
      <c r="D21" s="4" t="s">
        <v>42</v>
      </c>
      <c r="E21" s="22"/>
      <c r="F21" s="5" t="s">
        <v>197</v>
      </c>
      <c r="G21" s="5"/>
      <c r="H21" s="5"/>
      <c r="I21" s="28" t="s">
        <v>56</v>
      </c>
      <c r="J21" s="21">
        <v>313000000</v>
      </c>
      <c r="K21" s="5"/>
      <c r="L21" s="4">
        <v>790299923</v>
      </c>
      <c r="M21" s="19"/>
    </row>
    <row r="22" spans="1:13" ht="17.25" customHeight="1">
      <c r="A22" s="6" t="str">
        <f t="shared" si="0"/>
        <v>C04</v>
      </c>
      <c r="B22" s="3">
        <v>41284</v>
      </c>
      <c r="C22" s="3">
        <v>41284</v>
      </c>
      <c r="D22" s="4"/>
      <c r="E22" s="22" t="s">
        <v>78</v>
      </c>
      <c r="F22" s="30" t="s">
        <v>271</v>
      </c>
      <c r="G22" s="30"/>
      <c r="H22" s="5"/>
      <c r="I22" s="28" t="s">
        <v>36</v>
      </c>
      <c r="J22" s="21"/>
      <c r="K22" s="5">
        <v>26000000</v>
      </c>
      <c r="L22" s="4">
        <v>896299923</v>
      </c>
      <c r="M22" s="19"/>
    </row>
    <row r="23" spans="1:13" ht="17.25" customHeight="1">
      <c r="B23" s="3">
        <v>41284</v>
      </c>
      <c r="C23" s="3">
        <v>41284</v>
      </c>
      <c r="D23" s="19"/>
      <c r="E23" s="22" t="s">
        <v>79</v>
      </c>
      <c r="F23" s="19" t="s">
        <v>272</v>
      </c>
      <c r="G23" s="19"/>
      <c r="H23" s="19"/>
      <c r="I23" s="28" t="s">
        <v>120</v>
      </c>
      <c r="J23" s="19"/>
      <c r="K23" s="19">
        <v>400000000</v>
      </c>
      <c r="L23" s="4">
        <v>895799923</v>
      </c>
      <c r="M23" s="19"/>
    </row>
    <row r="24" spans="1:13" ht="17.25" customHeight="1">
      <c r="A24" s="6" t="str">
        <f t="shared" si="0"/>
        <v>C06</v>
      </c>
      <c r="B24" s="3">
        <v>41284</v>
      </c>
      <c r="C24" s="3">
        <v>41284</v>
      </c>
      <c r="D24" s="4"/>
      <c r="E24" s="22" t="s">
        <v>80</v>
      </c>
      <c r="F24" s="5" t="s">
        <v>194</v>
      </c>
      <c r="G24" s="5"/>
      <c r="H24" s="5"/>
      <c r="I24" s="28" t="s">
        <v>120</v>
      </c>
      <c r="J24" s="21"/>
      <c r="K24" s="5">
        <v>400000000</v>
      </c>
      <c r="L24" s="4">
        <v>890815603</v>
      </c>
      <c r="M24" s="19"/>
    </row>
    <row r="25" spans="1:13" ht="17.25" customHeight="1">
      <c r="A25" s="6" t="str">
        <f t="shared" si="0"/>
        <v>C07</v>
      </c>
      <c r="B25" s="3">
        <v>41285</v>
      </c>
      <c r="C25" s="3">
        <v>41285</v>
      </c>
      <c r="D25" s="4"/>
      <c r="E25" s="22" t="s">
        <v>81</v>
      </c>
      <c r="F25" s="5" t="s">
        <v>273</v>
      </c>
      <c r="G25" s="123"/>
      <c r="H25" s="5"/>
      <c r="I25" s="28" t="s">
        <v>192</v>
      </c>
      <c r="J25" s="21"/>
      <c r="K25" s="5">
        <v>5568000</v>
      </c>
      <c r="L25" s="4">
        <v>890317171</v>
      </c>
      <c r="M25" s="19"/>
    </row>
    <row r="26" spans="1:13" ht="17.25" customHeight="1">
      <c r="A26" s="6" t="str">
        <f t="shared" si="0"/>
        <v>C08</v>
      </c>
      <c r="B26" s="3">
        <v>41289</v>
      </c>
      <c r="C26" s="3">
        <v>41289</v>
      </c>
      <c r="D26" s="4"/>
      <c r="E26" s="22" t="s">
        <v>82</v>
      </c>
      <c r="F26" s="5" t="s">
        <v>208</v>
      </c>
      <c r="G26" s="123"/>
      <c r="H26" s="5"/>
      <c r="I26" s="28" t="s">
        <v>53</v>
      </c>
      <c r="J26" s="21"/>
      <c r="K26" s="5">
        <v>4495455</v>
      </c>
      <c r="L26" s="4">
        <v>885332851</v>
      </c>
      <c r="M26" s="19"/>
    </row>
    <row r="27" spans="1:13" ht="17.25" customHeight="1">
      <c r="A27" s="6" t="str">
        <f t="shared" si="0"/>
        <v>C08</v>
      </c>
      <c r="B27" s="3">
        <v>41289</v>
      </c>
      <c r="C27" s="3">
        <v>41289</v>
      </c>
      <c r="D27" s="4"/>
      <c r="E27" s="22" t="s">
        <v>82</v>
      </c>
      <c r="F27" s="5" t="s">
        <v>49</v>
      </c>
      <c r="G27" s="123"/>
      <c r="H27" s="5"/>
      <c r="I27" s="28" t="s">
        <v>192</v>
      </c>
      <c r="J27" s="21"/>
      <c r="K27" s="5">
        <v>336727</v>
      </c>
      <c r="L27" s="4">
        <v>884834419</v>
      </c>
      <c r="M27" s="19"/>
    </row>
    <row r="28" spans="1:13" ht="17.25" customHeight="1">
      <c r="A28" s="6" t="str">
        <f t="shared" si="0"/>
        <v>C08</v>
      </c>
      <c r="B28" s="3">
        <v>41289</v>
      </c>
      <c r="C28" s="3">
        <v>41289</v>
      </c>
      <c r="D28" s="4"/>
      <c r="E28" s="22" t="s">
        <v>82</v>
      </c>
      <c r="F28" s="30" t="s">
        <v>180</v>
      </c>
      <c r="G28" s="123"/>
      <c r="H28" s="5"/>
      <c r="I28" s="28" t="s">
        <v>35</v>
      </c>
      <c r="J28" s="21"/>
      <c r="K28" s="5">
        <v>483218</v>
      </c>
      <c r="L28" s="4">
        <v>879224419</v>
      </c>
      <c r="M28" s="19"/>
    </row>
    <row r="29" spans="1:13" ht="17.25" customHeight="1">
      <c r="A29" s="6" t="str">
        <f t="shared" si="0"/>
        <v>C09</v>
      </c>
      <c r="B29" s="3">
        <v>41292</v>
      </c>
      <c r="C29" s="3">
        <v>41292</v>
      </c>
      <c r="D29" s="4"/>
      <c r="E29" s="22" t="s">
        <v>83</v>
      </c>
      <c r="F29" s="5" t="s">
        <v>274</v>
      </c>
      <c r="G29" s="123"/>
      <c r="H29" s="5"/>
      <c r="I29" s="28" t="s">
        <v>191</v>
      </c>
      <c r="J29" s="21"/>
      <c r="K29" s="5">
        <v>1500000</v>
      </c>
      <c r="L29" s="4">
        <v>429224419</v>
      </c>
      <c r="M29" s="19"/>
    </row>
    <row r="30" spans="1:13" ht="17.25" customHeight="1">
      <c r="A30" s="6" t="str">
        <f t="shared" si="0"/>
        <v>C09</v>
      </c>
      <c r="B30" s="3">
        <v>41292</v>
      </c>
      <c r="C30" s="3">
        <v>41292</v>
      </c>
      <c r="D30" s="4"/>
      <c r="E30" s="22" t="s">
        <v>83</v>
      </c>
      <c r="F30" s="30" t="s">
        <v>275</v>
      </c>
      <c r="G30" s="123"/>
      <c r="H30" s="5"/>
      <c r="I30" s="28" t="s">
        <v>181</v>
      </c>
      <c r="J30" s="21"/>
      <c r="K30" s="5">
        <v>1821924</v>
      </c>
      <c r="L30" s="4">
        <v>426016019</v>
      </c>
      <c r="M30" s="19"/>
    </row>
    <row r="31" spans="1:13" ht="17.25" customHeight="1">
      <c r="A31" s="6" t="str">
        <f t="shared" si="0"/>
        <v>C10</v>
      </c>
      <c r="B31" s="3">
        <v>41298</v>
      </c>
      <c r="C31" s="3">
        <v>41298</v>
      </c>
      <c r="D31" s="4"/>
      <c r="E31" s="22" t="s">
        <v>84</v>
      </c>
      <c r="F31" s="30" t="s">
        <v>271</v>
      </c>
      <c r="G31" s="124"/>
      <c r="H31" s="50"/>
      <c r="I31" s="28" t="s">
        <v>36</v>
      </c>
      <c r="J31" s="21"/>
      <c r="K31" s="5">
        <v>45000000</v>
      </c>
      <c r="L31" s="4">
        <v>425695179</v>
      </c>
      <c r="M31" s="19"/>
    </row>
    <row r="32" spans="1:13" ht="17.25" customHeight="1">
      <c r="A32" s="6" t="str">
        <f t="shared" si="0"/>
        <v>C11</v>
      </c>
      <c r="B32" s="3">
        <v>41300</v>
      </c>
      <c r="C32" s="3">
        <v>41300</v>
      </c>
      <c r="D32" s="4"/>
      <c r="E32" s="22" t="s">
        <v>85</v>
      </c>
      <c r="F32" s="5" t="s">
        <v>276</v>
      </c>
      <c r="G32" s="124"/>
      <c r="H32" s="50"/>
      <c r="I32" s="28" t="s">
        <v>192</v>
      </c>
      <c r="J32" s="21"/>
      <c r="K32" s="5">
        <v>16000000</v>
      </c>
      <c r="L32" s="4">
        <v>955695179</v>
      </c>
      <c r="M32" s="19"/>
    </row>
    <row r="33" spans="1:13" ht="17.25" customHeight="1">
      <c r="A33" s="6" t="str">
        <f t="shared" si="0"/>
        <v>C11</v>
      </c>
      <c r="B33" s="3">
        <v>41300</v>
      </c>
      <c r="C33" s="3">
        <v>41300</v>
      </c>
      <c r="D33" s="4"/>
      <c r="E33" s="22" t="s">
        <v>85</v>
      </c>
      <c r="F33" s="5" t="s">
        <v>277</v>
      </c>
      <c r="G33" s="123"/>
      <c r="H33" s="5"/>
      <c r="I33" s="28" t="s">
        <v>35</v>
      </c>
      <c r="J33" s="21"/>
      <c r="K33" s="5">
        <v>1600000</v>
      </c>
      <c r="L33" s="4">
        <v>505695179</v>
      </c>
      <c r="M33" s="19"/>
    </row>
    <row r="34" spans="1:13" ht="17.25" customHeight="1">
      <c r="A34" s="6" t="str">
        <f t="shared" si="0"/>
        <v>C12</v>
      </c>
      <c r="B34" s="3">
        <v>41300</v>
      </c>
      <c r="C34" s="3">
        <v>41300</v>
      </c>
      <c r="D34" s="4"/>
      <c r="E34" s="22" t="s">
        <v>86</v>
      </c>
      <c r="F34" s="5" t="s">
        <v>278</v>
      </c>
      <c r="G34" s="5"/>
      <c r="H34" s="5"/>
      <c r="I34" s="28" t="s">
        <v>53</v>
      </c>
      <c r="J34" s="21"/>
      <c r="K34" s="5">
        <v>1300000</v>
      </c>
      <c r="L34" s="4">
        <v>3005695179</v>
      </c>
      <c r="M34" s="19"/>
    </row>
    <row r="35" spans="1:13" ht="17.25" customHeight="1">
      <c r="A35" s="6" t="str">
        <f t="shared" si="0"/>
        <v>C13</v>
      </c>
      <c r="B35" s="3">
        <v>41300</v>
      </c>
      <c r="C35" s="3">
        <v>41300</v>
      </c>
      <c r="D35" s="4"/>
      <c r="E35" s="22" t="s">
        <v>87</v>
      </c>
      <c r="F35" s="5" t="s">
        <v>279</v>
      </c>
      <c r="G35" s="123"/>
      <c r="H35" s="5"/>
      <c r="I35" s="28" t="s">
        <v>192</v>
      </c>
      <c r="J35" s="21"/>
      <c r="K35" s="5">
        <v>7636364</v>
      </c>
      <c r="L35" s="4">
        <v>2205695179</v>
      </c>
      <c r="M35" s="19"/>
    </row>
    <row r="36" spans="1:13" ht="17.25" customHeight="1">
      <c r="A36" s="6" t="str">
        <f t="shared" si="0"/>
        <v>C13</v>
      </c>
      <c r="B36" s="3">
        <v>41300</v>
      </c>
      <c r="C36" s="3">
        <v>41300</v>
      </c>
      <c r="D36" s="4"/>
      <c r="E36" s="22" t="s">
        <v>87</v>
      </c>
      <c r="F36" s="5" t="s">
        <v>280</v>
      </c>
      <c r="G36" s="123"/>
      <c r="H36" s="5"/>
      <c r="I36" s="28" t="s">
        <v>35</v>
      </c>
      <c r="J36" s="21"/>
      <c r="K36" s="5">
        <v>763636</v>
      </c>
      <c r="L36" s="4">
        <v>1705695179</v>
      </c>
      <c r="M36" s="19"/>
    </row>
    <row r="37" spans="1:13" ht="17.25" customHeight="1">
      <c r="A37" s="6" t="str">
        <f t="shared" si="0"/>
        <v>C14</v>
      </c>
      <c r="B37" s="3">
        <v>41302</v>
      </c>
      <c r="C37" s="3">
        <v>41302</v>
      </c>
      <c r="D37" s="4"/>
      <c r="E37" s="22" t="s">
        <v>88</v>
      </c>
      <c r="F37" s="5" t="s">
        <v>271</v>
      </c>
      <c r="G37" s="123"/>
      <c r="H37" s="5"/>
      <c r="I37" s="28" t="s">
        <v>36</v>
      </c>
      <c r="J37" s="21"/>
      <c r="K37" s="5">
        <v>153000000</v>
      </c>
      <c r="L37" s="4">
        <v>1680695179</v>
      </c>
      <c r="M37" s="19"/>
    </row>
    <row r="38" spans="1:13" ht="17.25" customHeight="1">
      <c r="A38" s="6" t="str">
        <f t="shared" si="0"/>
        <v>C15</v>
      </c>
      <c r="B38" s="3">
        <v>41302</v>
      </c>
      <c r="C38" s="3">
        <v>41302</v>
      </c>
      <c r="D38" s="4"/>
      <c r="E38" s="22" t="s">
        <v>89</v>
      </c>
      <c r="F38" s="5" t="s">
        <v>281</v>
      </c>
      <c r="G38" s="123"/>
      <c r="H38" s="5"/>
      <c r="I38" s="28" t="s">
        <v>192</v>
      </c>
      <c r="J38" s="21"/>
      <c r="K38" s="5">
        <v>3850000</v>
      </c>
      <c r="L38" s="4">
        <v>1679855179</v>
      </c>
      <c r="M38" s="19"/>
    </row>
    <row r="39" spans="1:13" ht="17.25" customHeight="1">
      <c r="A39" s="6" t="str">
        <f t="shared" si="0"/>
        <v>C15</v>
      </c>
      <c r="B39" s="3">
        <v>41302</v>
      </c>
      <c r="C39" s="3">
        <v>41302</v>
      </c>
      <c r="D39" s="4"/>
      <c r="E39" s="22" t="s">
        <v>89</v>
      </c>
      <c r="F39" s="5" t="s">
        <v>282</v>
      </c>
      <c r="G39" s="123"/>
      <c r="H39" s="5"/>
      <c r="I39" s="28" t="s">
        <v>35</v>
      </c>
      <c r="J39" s="21"/>
      <c r="K39" s="5">
        <v>192500</v>
      </c>
      <c r="L39" s="4">
        <v>1676673179</v>
      </c>
      <c r="M39" s="19"/>
    </row>
    <row r="40" spans="1:13" ht="17.25" customHeight="1">
      <c r="A40" s="6" t="str">
        <f t="shared" si="0"/>
        <v>C16</v>
      </c>
      <c r="B40" s="3">
        <v>41302</v>
      </c>
      <c r="C40" s="3">
        <v>41302</v>
      </c>
      <c r="D40" s="4"/>
      <c r="E40" s="22" t="s">
        <v>90</v>
      </c>
      <c r="F40" s="5" t="s">
        <v>283</v>
      </c>
      <c r="G40" s="123"/>
      <c r="H40" s="5"/>
      <c r="I40" s="28" t="s">
        <v>34</v>
      </c>
      <c r="J40" s="21"/>
      <c r="K40" s="5">
        <v>16909998</v>
      </c>
      <c r="L40" s="4">
        <v>1676354979</v>
      </c>
      <c r="M40" s="19"/>
    </row>
    <row r="41" spans="1:13" ht="17.25" customHeight="1">
      <c r="A41" s="6" t="str">
        <f t="shared" si="0"/>
        <v>C17</v>
      </c>
      <c r="B41" s="3">
        <v>41303</v>
      </c>
      <c r="C41" s="3">
        <v>41303</v>
      </c>
      <c r="D41" s="4"/>
      <c r="E41" s="22" t="s">
        <v>91</v>
      </c>
      <c r="F41" s="5" t="s">
        <v>284</v>
      </c>
      <c r="G41" s="123"/>
      <c r="H41" s="5"/>
      <c r="I41" s="28" t="s">
        <v>192</v>
      </c>
      <c r="J41" s="21"/>
      <c r="K41" s="5">
        <v>720000</v>
      </c>
      <c r="L41" s="4">
        <v>3376354979</v>
      </c>
      <c r="M41" s="19"/>
    </row>
    <row r="42" spans="1:13" ht="17.25" customHeight="1">
      <c r="A42" s="6" t="str">
        <f t="shared" si="0"/>
        <v>C18</v>
      </c>
      <c r="B42" s="3">
        <v>41303</v>
      </c>
      <c r="C42" s="3">
        <v>41303</v>
      </c>
      <c r="D42" s="4"/>
      <c r="E42" s="22" t="s">
        <v>92</v>
      </c>
      <c r="F42" s="30" t="s">
        <v>281</v>
      </c>
      <c r="G42" s="123"/>
      <c r="H42" s="5"/>
      <c r="I42" s="28" t="s">
        <v>192</v>
      </c>
      <c r="J42" s="21"/>
      <c r="K42" s="5">
        <v>322000</v>
      </c>
      <c r="L42" s="4">
        <v>3375650688</v>
      </c>
      <c r="M42" s="19"/>
    </row>
    <row r="43" spans="1:13" ht="17.25" customHeight="1">
      <c r="A43" s="6" t="str">
        <f t="shared" si="0"/>
        <v>C18</v>
      </c>
      <c r="B43" s="3">
        <v>41303</v>
      </c>
      <c r="C43" s="3">
        <v>41303</v>
      </c>
      <c r="D43" s="4"/>
      <c r="E43" s="22" t="s">
        <v>92</v>
      </c>
      <c r="F43" s="5" t="s">
        <v>282</v>
      </c>
      <c r="G43" s="123"/>
      <c r="H43" s="5"/>
      <c r="I43" s="28" t="s">
        <v>35</v>
      </c>
      <c r="J43" s="21"/>
      <c r="K43" s="5">
        <v>20000</v>
      </c>
      <c r="L43" s="4">
        <v>3370860415</v>
      </c>
      <c r="M43" s="19"/>
    </row>
    <row r="44" spans="1:13" ht="17.25" customHeight="1">
      <c r="A44" s="6" t="str">
        <f t="shared" si="0"/>
        <v>C19</v>
      </c>
      <c r="B44" s="3">
        <v>41304</v>
      </c>
      <c r="C44" s="3">
        <v>41304</v>
      </c>
      <c r="D44" s="4"/>
      <c r="E44" s="22" t="s">
        <v>93</v>
      </c>
      <c r="F44" s="5" t="s">
        <v>271</v>
      </c>
      <c r="G44" s="123"/>
      <c r="H44" s="5"/>
      <c r="I44" s="28" t="s">
        <v>36</v>
      </c>
      <c r="J44" s="21"/>
      <c r="K44" s="5">
        <v>116000000</v>
      </c>
      <c r="L44" s="4">
        <v>3370310959</v>
      </c>
      <c r="M44" s="19"/>
    </row>
    <row r="45" spans="1:13" ht="17.25" customHeight="1">
      <c r="A45" s="6" t="str">
        <f t="shared" si="0"/>
        <v>C20</v>
      </c>
      <c r="B45" s="3">
        <v>41305</v>
      </c>
      <c r="C45" s="3">
        <v>41305</v>
      </c>
      <c r="D45" s="4"/>
      <c r="E45" s="22" t="s">
        <v>94</v>
      </c>
      <c r="F45" s="5" t="s">
        <v>270</v>
      </c>
      <c r="G45" s="123"/>
      <c r="H45" s="5"/>
      <c r="I45" s="28" t="s">
        <v>192</v>
      </c>
      <c r="J45" s="21"/>
      <c r="K45" s="5">
        <v>500000</v>
      </c>
      <c r="L45" s="4">
        <v>2920310959</v>
      </c>
      <c r="M45" s="19"/>
    </row>
    <row r="46" spans="1:13" ht="17.25" customHeight="1">
      <c r="A46" s="6" t="str">
        <f t="shared" si="0"/>
        <v>C21</v>
      </c>
      <c r="B46" s="3">
        <v>41305</v>
      </c>
      <c r="C46" s="3">
        <v>41305</v>
      </c>
      <c r="D46" s="4"/>
      <c r="E46" s="22" t="s">
        <v>95</v>
      </c>
      <c r="F46" s="5" t="s">
        <v>285</v>
      </c>
      <c r="G46" s="123"/>
      <c r="H46" s="5"/>
      <c r="I46" s="28" t="s">
        <v>37</v>
      </c>
      <c r="J46" s="21"/>
      <c r="K46" s="5">
        <v>152438744</v>
      </c>
      <c r="L46" s="4">
        <v>2913011879</v>
      </c>
      <c r="M46" s="19"/>
    </row>
    <row r="47" spans="1:13" ht="17.25" customHeight="1">
      <c r="A47" s="6" t="str">
        <f>D47&amp;E47</f>
        <v/>
      </c>
      <c r="B47" s="23"/>
      <c r="C47" s="19"/>
      <c r="D47" s="19"/>
      <c r="E47" s="19"/>
      <c r="F47" s="19"/>
      <c r="G47" s="19"/>
      <c r="H47" s="19"/>
      <c r="I47" s="24"/>
      <c r="J47" s="19"/>
      <c r="K47" s="19"/>
      <c r="L47" s="4"/>
      <c r="M47" s="19"/>
    </row>
    <row r="48" spans="1:13" s="44" customFormat="1" ht="17.25" customHeight="1">
      <c r="B48" s="42"/>
      <c r="C48" s="42"/>
      <c r="D48" s="42"/>
      <c r="E48" s="42"/>
      <c r="F48" s="42" t="s">
        <v>29</v>
      </c>
      <c r="G48" s="42"/>
      <c r="H48" s="42"/>
      <c r="I48" s="43" t="s">
        <v>30</v>
      </c>
      <c r="J48" s="42">
        <f>SUM(J13:J47)</f>
        <v>1739135100</v>
      </c>
      <c r="K48" s="42">
        <f>SUM(K13:K47)</f>
        <v>1374276107</v>
      </c>
      <c r="L48" s="43" t="s">
        <v>30</v>
      </c>
      <c r="M48" s="43" t="s">
        <v>30</v>
      </c>
    </row>
    <row r="49" spans="2:13" s="44" customFormat="1" ht="17.25" customHeight="1">
      <c r="B49" s="45"/>
      <c r="C49" s="45"/>
      <c r="D49" s="45"/>
      <c r="E49" s="45"/>
      <c r="F49" s="45" t="s">
        <v>31</v>
      </c>
      <c r="G49" s="45"/>
      <c r="H49" s="45"/>
      <c r="I49" s="46" t="s">
        <v>30</v>
      </c>
      <c r="J49" s="46" t="s">
        <v>30</v>
      </c>
      <c r="K49" s="46" t="s">
        <v>30</v>
      </c>
      <c r="L49" s="25">
        <f>L12+J48-K48</f>
        <v>729550706</v>
      </c>
      <c r="M49" s="46" t="s">
        <v>30</v>
      </c>
    </row>
    <row r="51" spans="2:13">
      <c r="B51" s="27" t="s">
        <v>32</v>
      </c>
    </row>
    <row r="52" spans="2:13">
      <c r="B52" s="27" t="s">
        <v>286</v>
      </c>
    </row>
    <row r="53" spans="2:13">
      <c r="L53" s="8" t="s">
        <v>287</v>
      </c>
    </row>
    <row r="54" spans="2:13" s="7" customFormat="1" ht="14.25">
      <c r="C54" s="7" t="s">
        <v>33</v>
      </c>
      <c r="F54" s="7" t="s">
        <v>13</v>
      </c>
      <c r="L54" s="7" t="s">
        <v>14</v>
      </c>
    </row>
    <row r="55" spans="2:13" s="2" customFormat="1">
      <c r="C55" s="2" t="s">
        <v>15</v>
      </c>
      <c r="F55" s="2" t="s">
        <v>15</v>
      </c>
      <c r="L55" s="2" t="s">
        <v>16</v>
      </c>
    </row>
    <row r="56" spans="2:13" s="2" customFormat="1"/>
    <row r="60" spans="2:13">
      <c r="F60" s="6">
        <f>SUMIF($E$13:$E$46,#REF!,K13:K46)</f>
        <v>0</v>
      </c>
    </row>
  </sheetData>
  <autoFilter ref="B11:M49">
    <filterColumn colId="8"/>
  </autoFilter>
  <mergeCells count="15">
    <mergeCell ref="J1:M1"/>
    <mergeCell ref="J2:M3"/>
    <mergeCell ref="B5:M5"/>
    <mergeCell ref="M9:M10"/>
    <mergeCell ref="C9:C10"/>
    <mergeCell ref="D9:E9"/>
    <mergeCell ref="I9:I10"/>
    <mergeCell ref="B9:B10"/>
    <mergeCell ref="B6:M6"/>
    <mergeCell ref="B7:M7"/>
    <mergeCell ref="F9:F10"/>
    <mergeCell ref="J9:K9"/>
    <mergeCell ref="L9:L10"/>
    <mergeCell ref="G9:G10"/>
    <mergeCell ref="H9:H10"/>
  </mergeCells>
  <phoneticPr fontId="31" type="noConversion"/>
  <conditionalFormatting sqref="B13:K46">
    <cfRule type="expression" dxfId="5" priority="1" stopIfTrue="1">
      <formula>$C13&lt;&gt;""</formula>
    </cfRule>
  </conditionalFormatting>
  <printOptions horizontalCentered="1"/>
  <pageMargins left="0.86614173228346458" right="0.19685039370078741" top="0.47244094488188981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 enableFormatConditionsCalculation="0">
    <tabColor indexed="31"/>
  </sheetPr>
  <dimension ref="A1:M53"/>
  <sheetViews>
    <sheetView topLeftCell="B1" zoomScale="90" workbookViewId="0">
      <selection activeCell="J1" sqref="J1:M3"/>
    </sheetView>
  </sheetViews>
  <sheetFormatPr defaultRowHeight="15"/>
  <cols>
    <col min="1" max="1" width="5.42578125" style="6" hidden="1" customWidth="1"/>
    <col min="2" max="3" width="10.5703125" style="6" customWidth="1"/>
    <col min="4" max="5" width="6.85546875" style="6" customWidth="1"/>
    <col min="6" max="6" width="34.140625" style="6" customWidth="1"/>
    <col min="7" max="7" width="0.28515625" style="6" hidden="1" customWidth="1"/>
    <col min="8" max="8" width="35.140625" style="6" hidden="1" customWidth="1"/>
    <col min="9" max="9" width="6.14062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0" t="s">
        <v>472</v>
      </c>
      <c r="K1" s="400"/>
      <c r="L1" s="400"/>
      <c r="M1" s="400"/>
    </row>
    <row r="2" spans="1:13" s="11" customFormat="1" ht="16.5" customHeight="1">
      <c r="B2" s="1" t="str">
        <f>'01'!B2</f>
        <v>Địa chỉ: Lô A14, Đường 4A - KCN Hải Sơn, Đức Hòa, Long An</v>
      </c>
      <c r="C2" s="372"/>
      <c r="D2" s="372"/>
      <c r="E2" s="372"/>
      <c r="F2" s="372"/>
      <c r="G2" s="372"/>
      <c r="H2" s="372"/>
      <c r="J2" s="401" t="s">
        <v>473</v>
      </c>
      <c r="K2" s="401"/>
      <c r="L2" s="401"/>
      <c r="M2" s="401"/>
    </row>
    <row r="3" spans="1:13" s="11" customFormat="1" ht="16.5" customHeight="1">
      <c r="B3" s="9"/>
      <c r="C3" s="372"/>
      <c r="D3" s="14"/>
      <c r="E3" s="14"/>
      <c r="F3" s="372"/>
      <c r="G3" s="372"/>
      <c r="H3" s="372"/>
      <c r="J3" s="401"/>
      <c r="K3" s="401"/>
      <c r="L3" s="401"/>
      <c r="M3" s="401"/>
    </row>
    <row r="4" spans="1:13" s="11" customFormat="1" ht="6.75" customHeight="1">
      <c r="B4" s="372"/>
      <c r="C4" s="372"/>
      <c r="D4" s="372"/>
      <c r="E4" s="372"/>
      <c r="F4" s="372"/>
      <c r="G4" s="372"/>
      <c r="H4" s="372"/>
      <c r="J4" s="373"/>
      <c r="K4" s="373"/>
      <c r="L4" s="373"/>
      <c r="M4" s="373"/>
    </row>
    <row r="5" spans="1:13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6" spans="1:13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</row>
    <row r="7" spans="1:13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</row>
    <row r="8" spans="1:13">
      <c r="B8" s="15"/>
      <c r="L8" s="15" t="s">
        <v>19</v>
      </c>
    </row>
    <row r="9" spans="1:13" ht="30" customHeight="1">
      <c r="B9" s="403" t="s">
        <v>20</v>
      </c>
      <c r="C9" s="403" t="s">
        <v>21</v>
      </c>
      <c r="D9" s="403" t="s">
        <v>2</v>
      </c>
      <c r="E9" s="403"/>
      <c r="F9" s="403" t="s">
        <v>3</v>
      </c>
      <c r="G9" s="404" t="s">
        <v>73</v>
      </c>
      <c r="H9" s="404" t="s">
        <v>74</v>
      </c>
      <c r="I9" s="403" t="s">
        <v>22</v>
      </c>
      <c r="J9" s="403" t="s">
        <v>23</v>
      </c>
      <c r="K9" s="403"/>
      <c r="L9" s="403" t="s">
        <v>24</v>
      </c>
      <c r="M9" s="403" t="s">
        <v>4</v>
      </c>
    </row>
    <row r="10" spans="1:13" ht="20.25" customHeight="1">
      <c r="B10" s="403"/>
      <c r="C10" s="403"/>
      <c r="D10" s="375" t="s">
        <v>5</v>
      </c>
      <c r="E10" s="375" t="s">
        <v>6</v>
      </c>
      <c r="F10" s="403"/>
      <c r="G10" s="405"/>
      <c r="H10" s="405"/>
      <c r="I10" s="403"/>
      <c r="J10" s="375" t="s">
        <v>25</v>
      </c>
      <c r="K10" s="375" t="s">
        <v>26</v>
      </c>
      <c r="L10" s="403"/>
      <c r="M10" s="403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29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8" customHeight="1">
      <c r="B12" s="36"/>
      <c r="C12" s="36"/>
      <c r="D12" s="36"/>
      <c r="E12" s="36"/>
      <c r="F12" s="36" t="s">
        <v>28</v>
      </c>
      <c r="G12" s="36"/>
      <c r="H12" s="36"/>
      <c r="I12" s="37"/>
      <c r="J12" s="38"/>
      <c r="K12" s="36"/>
      <c r="L12" s="48">
        <f>'01'!L49</f>
        <v>729550706</v>
      </c>
      <c r="M12" s="36"/>
    </row>
    <row r="13" spans="1:13" ht="18" customHeight="1">
      <c r="A13" s="6" t="str">
        <f t="shared" ref="A13:A31" si="0">D13&amp;E13</f>
        <v>C01</v>
      </c>
      <c r="B13" s="3">
        <v>41306</v>
      </c>
      <c r="C13" s="3">
        <v>41304</v>
      </c>
      <c r="D13" s="4"/>
      <c r="E13" s="22" t="s">
        <v>75</v>
      </c>
      <c r="F13" s="5" t="s">
        <v>266</v>
      </c>
      <c r="G13" s="5"/>
      <c r="H13" s="5"/>
      <c r="I13" s="28" t="s">
        <v>53</v>
      </c>
      <c r="J13" s="21"/>
      <c r="K13" s="5">
        <v>14736150</v>
      </c>
      <c r="L13" s="4">
        <f t="shared" ref="L13:L43" si="1">IF(F13&lt;&gt;"",L12+J13-K13,0)</f>
        <v>714814556</v>
      </c>
      <c r="M13" s="19"/>
    </row>
    <row r="14" spans="1:13" ht="18" customHeight="1">
      <c r="A14" s="6" t="str">
        <f t="shared" si="0"/>
        <v>C01</v>
      </c>
      <c r="B14" s="3">
        <v>41306</v>
      </c>
      <c r="C14" s="3">
        <v>41304</v>
      </c>
      <c r="D14" s="4"/>
      <c r="E14" s="22" t="s">
        <v>75</v>
      </c>
      <c r="F14" s="5" t="s">
        <v>310</v>
      </c>
      <c r="G14" s="5"/>
      <c r="H14" s="5"/>
      <c r="I14" s="28" t="s">
        <v>35</v>
      </c>
      <c r="J14" s="21"/>
      <c r="K14" s="5">
        <v>788775</v>
      </c>
      <c r="L14" s="4">
        <f t="shared" si="1"/>
        <v>714025781</v>
      </c>
      <c r="M14" s="19"/>
    </row>
    <row r="15" spans="1:13" ht="17.25" customHeight="1">
      <c r="A15" s="6" t="str">
        <f t="shared" si="0"/>
        <v>C02</v>
      </c>
      <c r="B15" s="3">
        <v>41306</v>
      </c>
      <c r="C15" s="3">
        <v>41305</v>
      </c>
      <c r="D15" s="4"/>
      <c r="E15" s="22" t="s">
        <v>76</v>
      </c>
      <c r="F15" s="5" t="s">
        <v>311</v>
      </c>
      <c r="G15" s="5"/>
      <c r="H15" s="5"/>
      <c r="I15" s="28" t="s">
        <v>192</v>
      </c>
      <c r="J15" s="21"/>
      <c r="K15" s="5">
        <v>2268930</v>
      </c>
      <c r="L15" s="4">
        <f t="shared" si="1"/>
        <v>711756851</v>
      </c>
      <c r="M15" s="19"/>
    </row>
    <row r="16" spans="1:13" ht="17.25" customHeight="1">
      <c r="A16" s="6" t="str">
        <f t="shared" si="0"/>
        <v>C02</v>
      </c>
      <c r="B16" s="3">
        <v>41306</v>
      </c>
      <c r="C16" s="3">
        <v>41305</v>
      </c>
      <c r="D16" s="4"/>
      <c r="E16" s="22" t="s">
        <v>76</v>
      </c>
      <c r="F16" s="5" t="s">
        <v>312</v>
      </c>
      <c r="G16" s="5"/>
      <c r="H16" s="5"/>
      <c r="I16" s="28" t="s">
        <v>35</v>
      </c>
      <c r="J16" s="21"/>
      <c r="K16" s="5">
        <v>226893</v>
      </c>
      <c r="L16" s="4">
        <f t="shared" si="1"/>
        <v>711529958</v>
      </c>
      <c r="M16" s="19"/>
    </row>
    <row r="17" spans="1:13" ht="16.5" customHeight="1">
      <c r="A17" s="6" t="str">
        <f t="shared" si="0"/>
        <v>C03</v>
      </c>
      <c r="B17" s="3">
        <v>41306</v>
      </c>
      <c r="C17" s="3">
        <v>41305</v>
      </c>
      <c r="D17" s="4"/>
      <c r="E17" s="22" t="s">
        <v>77</v>
      </c>
      <c r="F17" s="5" t="s">
        <v>208</v>
      </c>
      <c r="G17" s="5"/>
      <c r="H17" s="5"/>
      <c r="I17" s="28" t="s">
        <v>53</v>
      </c>
      <c r="J17" s="21"/>
      <c r="K17" s="5">
        <v>4886364</v>
      </c>
      <c r="L17" s="4">
        <f t="shared" si="1"/>
        <v>706643594</v>
      </c>
      <c r="M17" s="19"/>
    </row>
    <row r="18" spans="1:13" ht="16.5" customHeight="1">
      <c r="A18" s="6" t="str">
        <f t="shared" si="0"/>
        <v>C03</v>
      </c>
      <c r="B18" s="3">
        <v>41306</v>
      </c>
      <c r="C18" s="3">
        <v>41305</v>
      </c>
      <c r="D18" s="4"/>
      <c r="E18" s="22" t="s">
        <v>77</v>
      </c>
      <c r="F18" s="5" t="s">
        <v>49</v>
      </c>
      <c r="G18" s="5"/>
      <c r="H18" s="5"/>
      <c r="I18" s="28" t="s">
        <v>192</v>
      </c>
      <c r="J18" s="21"/>
      <c r="K18" s="5">
        <v>547182</v>
      </c>
      <c r="L18" s="4">
        <f t="shared" si="1"/>
        <v>706096412</v>
      </c>
      <c r="M18" s="19"/>
    </row>
    <row r="19" spans="1:13" ht="16.5" customHeight="1">
      <c r="A19" s="6" t="str">
        <f t="shared" si="0"/>
        <v>C03</v>
      </c>
      <c r="B19" s="3">
        <v>41306</v>
      </c>
      <c r="C19" s="3">
        <v>41305</v>
      </c>
      <c r="D19" s="4"/>
      <c r="E19" s="22" t="s">
        <v>77</v>
      </c>
      <c r="F19" s="5" t="s">
        <v>119</v>
      </c>
      <c r="G19" s="5"/>
      <c r="H19" s="5"/>
      <c r="I19" s="28" t="s">
        <v>35</v>
      </c>
      <c r="J19" s="21"/>
      <c r="K19" s="5">
        <v>543354</v>
      </c>
      <c r="L19" s="4">
        <f t="shared" si="1"/>
        <v>705553058</v>
      </c>
      <c r="M19" s="19"/>
    </row>
    <row r="20" spans="1:13" ht="16.5" customHeight="1">
      <c r="A20" s="6" t="str">
        <f t="shared" si="0"/>
        <v>C04</v>
      </c>
      <c r="B20" s="3">
        <v>41306</v>
      </c>
      <c r="C20" s="3">
        <v>41306</v>
      </c>
      <c r="D20" s="4"/>
      <c r="E20" s="22" t="s">
        <v>78</v>
      </c>
      <c r="F20" s="5" t="s">
        <v>313</v>
      </c>
      <c r="G20" s="5"/>
      <c r="H20" s="5"/>
      <c r="I20" s="28" t="s">
        <v>183</v>
      </c>
      <c r="J20" s="21"/>
      <c r="K20" s="5">
        <v>1000000</v>
      </c>
      <c r="L20" s="4">
        <f t="shared" si="1"/>
        <v>704553058</v>
      </c>
      <c r="M20" s="19"/>
    </row>
    <row r="21" spans="1:13" ht="16.5" customHeight="1">
      <c r="A21" s="6" t="str">
        <f t="shared" si="0"/>
        <v>C05</v>
      </c>
      <c r="B21" s="3">
        <v>41306</v>
      </c>
      <c r="C21" s="3">
        <v>41302</v>
      </c>
      <c r="D21" s="4"/>
      <c r="E21" s="22" t="s">
        <v>79</v>
      </c>
      <c r="F21" s="5" t="s">
        <v>314</v>
      </c>
      <c r="G21" s="5"/>
      <c r="H21" s="5"/>
      <c r="I21" s="28" t="s">
        <v>193</v>
      </c>
      <c r="J21" s="21"/>
      <c r="K21" s="5">
        <v>1961310</v>
      </c>
      <c r="L21" s="4">
        <f t="shared" si="1"/>
        <v>702591748</v>
      </c>
      <c r="M21" s="19"/>
    </row>
    <row r="22" spans="1:13" ht="16.5" customHeight="1">
      <c r="A22" s="6" t="str">
        <f t="shared" si="0"/>
        <v>C05</v>
      </c>
      <c r="B22" s="3">
        <v>41306</v>
      </c>
      <c r="C22" s="3">
        <v>41302</v>
      </c>
      <c r="D22" s="4"/>
      <c r="E22" s="22" t="s">
        <v>79</v>
      </c>
      <c r="F22" s="5" t="s">
        <v>315</v>
      </c>
      <c r="G22" s="5"/>
      <c r="H22" s="5"/>
      <c r="I22" s="28" t="s">
        <v>35</v>
      </c>
      <c r="J22" s="21"/>
      <c r="K22" s="5">
        <v>196131</v>
      </c>
      <c r="L22" s="4">
        <f t="shared" si="1"/>
        <v>702395617</v>
      </c>
      <c r="M22" s="19"/>
    </row>
    <row r="23" spans="1:13" ht="18" customHeight="1">
      <c r="A23" s="6" t="str">
        <f t="shared" si="0"/>
        <v>C05</v>
      </c>
      <c r="B23" s="3">
        <v>41306</v>
      </c>
      <c r="C23" s="3">
        <v>41304</v>
      </c>
      <c r="D23" s="4"/>
      <c r="E23" s="22" t="s">
        <v>79</v>
      </c>
      <c r="F23" s="5" t="s">
        <v>45</v>
      </c>
      <c r="G23" s="5"/>
      <c r="H23" s="5"/>
      <c r="I23" s="28" t="s">
        <v>193</v>
      </c>
      <c r="J23" s="21"/>
      <c r="K23" s="5">
        <v>459030</v>
      </c>
      <c r="L23" s="4">
        <f t="shared" si="1"/>
        <v>701936587</v>
      </c>
      <c r="M23" s="19"/>
    </row>
    <row r="24" spans="1:13" ht="17.25" customHeight="1">
      <c r="A24" s="6" t="str">
        <f t="shared" si="0"/>
        <v>C06</v>
      </c>
      <c r="B24" s="3">
        <v>41306</v>
      </c>
      <c r="C24" s="3">
        <v>41302</v>
      </c>
      <c r="D24" s="4"/>
      <c r="E24" s="22" t="s">
        <v>80</v>
      </c>
      <c r="F24" s="5" t="s">
        <v>316</v>
      </c>
      <c r="G24" s="5"/>
      <c r="H24" s="5"/>
      <c r="I24" s="28" t="s">
        <v>34</v>
      </c>
      <c r="J24" s="21"/>
      <c r="K24" s="5">
        <v>1603008</v>
      </c>
      <c r="L24" s="4">
        <f t="shared" si="1"/>
        <v>700333579</v>
      </c>
      <c r="M24" s="19"/>
    </row>
    <row r="25" spans="1:13" ht="18" customHeight="1">
      <c r="A25" s="6" t="str">
        <f t="shared" si="0"/>
        <v>C07</v>
      </c>
      <c r="B25" s="3">
        <v>41309</v>
      </c>
      <c r="C25" s="3">
        <v>41309</v>
      </c>
      <c r="D25" s="4"/>
      <c r="E25" s="22" t="s">
        <v>81</v>
      </c>
      <c r="F25" s="5" t="s">
        <v>317</v>
      </c>
      <c r="G25" s="5"/>
      <c r="H25" s="5"/>
      <c r="I25" s="28" t="s">
        <v>53</v>
      </c>
      <c r="J25" s="21"/>
      <c r="K25" s="5">
        <v>5632000</v>
      </c>
      <c r="L25" s="4">
        <f t="shared" si="1"/>
        <v>694701579</v>
      </c>
      <c r="M25" s="19"/>
    </row>
    <row r="26" spans="1:13" ht="18" customHeight="1">
      <c r="A26" s="6" t="str">
        <f t="shared" si="0"/>
        <v>C08</v>
      </c>
      <c r="B26" s="3">
        <v>41310</v>
      </c>
      <c r="C26" s="3">
        <v>41310</v>
      </c>
      <c r="D26" s="4"/>
      <c r="E26" s="22" t="s">
        <v>82</v>
      </c>
      <c r="F26" s="5" t="s">
        <v>318</v>
      </c>
      <c r="G26" s="5"/>
      <c r="H26" s="5"/>
      <c r="I26" s="28" t="s">
        <v>36</v>
      </c>
      <c r="J26" s="21"/>
      <c r="K26" s="5">
        <v>63000000</v>
      </c>
      <c r="L26" s="4">
        <f t="shared" si="1"/>
        <v>631701579</v>
      </c>
      <c r="M26" s="19"/>
    </row>
    <row r="27" spans="1:13" ht="18" customHeight="1">
      <c r="A27" s="6" t="str">
        <f t="shared" si="0"/>
        <v>C09</v>
      </c>
      <c r="B27" s="3">
        <v>41312</v>
      </c>
      <c r="C27" s="3">
        <v>41312</v>
      </c>
      <c r="D27" s="4"/>
      <c r="E27" s="22" t="s">
        <v>83</v>
      </c>
      <c r="F27" s="5" t="s">
        <v>318</v>
      </c>
      <c r="G27" s="5"/>
      <c r="H27" s="5"/>
      <c r="I27" s="28" t="s">
        <v>36</v>
      </c>
      <c r="J27" s="21"/>
      <c r="K27" s="5">
        <v>49000000</v>
      </c>
      <c r="L27" s="4">
        <f t="shared" si="1"/>
        <v>582701579</v>
      </c>
      <c r="M27" s="19"/>
    </row>
    <row r="28" spans="1:13" ht="17.25" customHeight="1">
      <c r="A28" s="6" t="str">
        <f t="shared" si="0"/>
        <v>C10</v>
      </c>
      <c r="B28" s="3">
        <v>41320</v>
      </c>
      <c r="C28" s="3">
        <v>41320</v>
      </c>
      <c r="D28" s="4"/>
      <c r="E28" s="22" t="s">
        <v>84</v>
      </c>
      <c r="F28" s="5" t="s">
        <v>208</v>
      </c>
      <c r="G28" s="5"/>
      <c r="H28" s="5"/>
      <c r="I28" s="28" t="s">
        <v>53</v>
      </c>
      <c r="J28" s="21"/>
      <c r="K28" s="5">
        <v>2150000</v>
      </c>
      <c r="L28" s="4">
        <f t="shared" si="1"/>
        <v>580551579</v>
      </c>
      <c r="M28" s="19"/>
    </row>
    <row r="29" spans="1:13" ht="17.25" customHeight="1">
      <c r="A29" s="6" t="str">
        <f t="shared" si="0"/>
        <v>C10</v>
      </c>
      <c r="B29" s="3">
        <v>41320</v>
      </c>
      <c r="C29" s="3">
        <v>41320</v>
      </c>
      <c r="D29" s="4"/>
      <c r="E29" s="22" t="s">
        <v>84</v>
      </c>
      <c r="F29" s="5" t="s">
        <v>49</v>
      </c>
      <c r="G29" s="5"/>
      <c r="H29" s="5"/>
      <c r="I29" s="28" t="s">
        <v>192</v>
      </c>
      <c r="J29" s="21"/>
      <c r="K29" s="5">
        <v>568227</v>
      </c>
      <c r="L29" s="4">
        <f t="shared" si="1"/>
        <v>579983352</v>
      </c>
      <c r="M29" s="19"/>
    </row>
    <row r="30" spans="1:13" ht="17.25" customHeight="1">
      <c r="A30" s="6" t="str">
        <f t="shared" si="0"/>
        <v>C10</v>
      </c>
      <c r="B30" s="3">
        <v>41320</v>
      </c>
      <c r="C30" s="3">
        <v>41320</v>
      </c>
      <c r="D30" s="4"/>
      <c r="E30" s="22" t="s">
        <v>84</v>
      </c>
      <c r="F30" s="5" t="s">
        <v>119</v>
      </c>
      <c r="G30" s="5"/>
      <c r="H30" s="5"/>
      <c r="I30" s="28" t="s">
        <v>35</v>
      </c>
      <c r="J30" s="21"/>
      <c r="K30" s="5">
        <v>271823</v>
      </c>
      <c r="L30" s="4">
        <f t="shared" si="1"/>
        <v>579711529</v>
      </c>
      <c r="M30" s="19"/>
    </row>
    <row r="31" spans="1:13" ht="17.25" customHeight="1">
      <c r="A31" s="6" t="str">
        <f t="shared" si="0"/>
        <v>C11</v>
      </c>
      <c r="B31" s="3">
        <v>41324</v>
      </c>
      <c r="C31" s="3">
        <v>41324</v>
      </c>
      <c r="D31" s="4"/>
      <c r="E31" s="22" t="s">
        <v>85</v>
      </c>
      <c r="F31" s="5" t="s">
        <v>318</v>
      </c>
      <c r="G31" s="5"/>
      <c r="H31" s="5"/>
      <c r="I31" s="28" t="s">
        <v>36</v>
      </c>
      <c r="J31" s="21"/>
      <c r="K31" s="5">
        <v>39000000</v>
      </c>
      <c r="L31" s="4">
        <f t="shared" si="1"/>
        <v>540711529</v>
      </c>
      <c r="M31" s="19"/>
    </row>
    <row r="32" spans="1:13" ht="17.25" customHeight="1">
      <c r="A32" s="6" t="str">
        <f>D32&amp;E33</f>
        <v>C12</v>
      </c>
      <c r="B32" s="3">
        <v>41324</v>
      </c>
      <c r="C32" s="3">
        <v>41324</v>
      </c>
      <c r="D32" s="4"/>
      <c r="E32" s="22" t="s">
        <v>86</v>
      </c>
      <c r="F32" s="5" t="s">
        <v>319</v>
      </c>
      <c r="G32" s="5"/>
      <c r="H32" s="5"/>
      <c r="I32" s="28" t="s">
        <v>53</v>
      </c>
      <c r="J32" s="21"/>
      <c r="K32" s="5">
        <v>5961600</v>
      </c>
      <c r="L32" s="4">
        <f t="shared" si="1"/>
        <v>534749929</v>
      </c>
      <c r="M32" s="19"/>
    </row>
    <row r="33" spans="1:13" ht="17.25" customHeight="1">
      <c r="A33" s="6" t="e">
        <f>D33&amp;#REF!</f>
        <v>#REF!</v>
      </c>
      <c r="B33" s="3">
        <v>41324</v>
      </c>
      <c r="C33" s="3">
        <v>41324</v>
      </c>
      <c r="D33" s="4"/>
      <c r="E33" s="22" t="s">
        <v>86</v>
      </c>
      <c r="F33" s="5" t="s">
        <v>320</v>
      </c>
      <c r="G33" s="5"/>
      <c r="H33" s="5"/>
      <c r="I33" s="28" t="s">
        <v>35</v>
      </c>
      <c r="J33" s="21"/>
      <c r="K33" s="5">
        <v>596160</v>
      </c>
      <c r="L33" s="4">
        <f t="shared" si="1"/>
        <v>534153769</v>
      </c>
      <c r="M33" s="19"/>
    </row>
    <row r="34" spans="1:13" ht="17.25" customHeight="1">
      <c r="A34" s="6" t="str">
        <f t="shared" ref="A34:A44" si="2">D34&amp;E34</f>
        <v>C13</v>
      </c>
      <c r="B34" s="3">
        <v>41331</v>
      </c>
      <c r="C34" s="3">
        <v>41331</v>
      </c>
      <c r="D34" s="4"/>
      <c r="E34" s="22" t="s">
        <v>87</v>
      </c>
      <c r="F34" s="5" t="s">
        <v>283</v>
      </c>
      <c r="G34" s="5"/>
      <c r="H34" s="5"/>
      <c r="I34" s="28" t="s">
        <v>34</v>
      </c>
      <c r="J34" s="21"/>
      <c r="K34" s="5">
        <v>16369997</v>
      </c>
      <c r="L34" s="4">
        <f t="shared" si="1"/>
        <v>517783772</v>
      </c>
      <c r="M34" s="19"/>
    </row>
    <row r="35" spans="1:13" ht="17.25" customHeight="1">
      <c r="A35" s="6" t="str">
        <f t="shared" si="2"/>
        <v>C14</v>
      </c>
      <c r="B35" s="3">
        <v>41333</v>
      </c>
      <c r="C35" s="3">
        <v>41333</v>
      </c>
      <c r="D35" s="4"/>
      <c r="E35" s="22" t="s">
        <v>88</v>
      </c>
      <c r="F35" s="5" t="s">
        <v>321</v>
      </c>
      <c r="G35" s="5"/>
      <c r="H35" s="5"/>
      <c r="I35" s="28" t="s">
        <v>192</v>
      </c>
      <c r="J35" s="21"/>
      <c r="K35" s="5">
        <v>600000</v>
      </c>
      <c r="L35" s="4">
        <f t="shared" si="1"/>
        <v>517183772</v>
      </c>
      <c r="M35" s="19"/>
    </row>
    <row r="36" spans="1:13" ht="17.25" customHeight="1">
      <c r="A36" s="6" t="str">
        <f t="shared" si="2"/>
        <v>C14</v>
      </c>
      <c r="B36" s="3">
        <v>41333</v>
      </c>
      <c r="C36" s="3">
        <v>41333</v>
      </c>
      <c r="D36" s="4"/>
      <c r="E36" s="22" t="s">
        <v>88</v>
      </c>
      <c r="F36" s="5" t="s">
        <v>322</v>
      </c>
      <c r="G36" s="5"/>
      <c r="H36" s="5"/>
      <c r="I36" s="28" t="s">
        <v>35</v>
      </c>
      <c r="J36" s="21"/>
      <c r="K36" s="5">
        <v>60000</v>
      </c>
      <c r="L36" s="4">
        <f t="shared" si="1"/>
        <v>517123772</v>
      </c>
      <c r="M36" s="19"/>
    </row>
    <row r="37" spans="1:13" ht="17.25" customHeight="1">
      <c r="A37" s="6" t="str">
        <f t="shared" si="2"/>
        <v>C15</v>
      </c>
      <c r="B37" s="3">
        <v>41333</v>
      </c>
      <c r="C37" s="3">
        <v>41333</v>
      </c>
      <c r="D37" s="4"/>
      <c r="E37" s="22" t="s">
        <v>89</v>
      </c>
      <c r="F37" s="5" t="s">
        <v>323</v>
      </c>
      <c r="G37" s="5"/>
      <c r="H37" s="5"/>
      <c r="I37" s="28" t="s">
        <v>192</v>
      </c>
      <c r="J37" s="21"/>
      <c r="K37" s="5">
        <v>16000000</v>
      </c>
      <c r="L37" s="4">
        <f t="shared" si="1"/>
        <v>501123772</v>
      </c>
      <c r="M37" s="19"/>
    </row>
    <row r="38" spans="1:13" ht="17.25" customHeight="1">
      <c r="A38" s="6" t="str">
        <f t="shared" si="2"/>
        <v>C15</v>
      </c>
      <c r="B38" s="3">
        <v>41333</v>
      </c>
      <c r="C38" s="3">
        <v>41333</v>
      </c>
      <c r="D38" s="4"/>
      <c r="E38" s="22" t="s">
        <v>89</v>
      </c>
      <c r="F38" s="5" t="s">
        <v>324</v>
      </c>
      <c r="G38" s="5"/>
      <c r="H38" s="5"/>
      <c r="I38" s="28" t="s">
        <v>35</v>
      </c>
      <c r="J38" s="21"/>
      <c r="K38" s="5">
        <v>1600000</v>
      </c>
      <c r="L38" s="4">
        <f t="shared" si="1"/>
        <v>499523772</v>
      </c>
      <c r="M38" s="19"/>
    </row>
    <row r="39" spans="1:13" ht="17.25" customHeight="1">
      <c r="A39" s="6" t="str">
        <f t="shared" si="2"/>
        <v>C16</v>
      </c>
      <c r="B39" s="3">
        <v>41333</v>
      </c>
      <c r="C39" s="3">
        <v>41333</v>
      </c>
      <c r="D39" s="4"/>
      <c r="E39" s="22" t="s">
        <v>90</v>
      </c>
      <c r="F39" s="5" t="s">
        <v>325</v>
      </c>
      <c r="G39" s="5"/>
      <c r="H39" s="5"/>
      <c r="I39" s="28" t="s">
        <v>192</v>
      </c>
      <c r="J39" s="21"/>
      <c r="K39" s="5">
        <v>79120</v>
      </c>
      <c r="L39" s="4">
        <f t="shared" si="1"/>
        <v>499444652</v>
      </c>
      <c r="M39" s="19"/>
    </row>
    <row r="40" spans="1:13" ht="17.25" customHeight="1">
      <c r="A40" s="6" t="str">
        <f t="shared" si="2"/>
        <v>C16</v>
      </c>
      <c r="B40" s="3">
        <v>41333</v>
      </c>
      <c r="C40" s="3">
        <v>41333</v>
      </c>
      <c r="D40" s="4"/>
      <c r="E40" s="22" t="s">
        <v>90</v>
      </c>
      <c r="F40" s="5" t="s">
        <v>326</v>
      </c>
      <c r="G40" s="5"/>
      <c r="H40" s="5"/>
      <c r="I40" s="28" t="s">
        <v>35</v>
      </c>
      <c r="J40" s="21"/>
      <c r="K40" s="5">
        <v>7912</v>
      </c>
      <c r="L40" s="4">
        <f t="shared" si="1"/>
        <v>499436740</v>
      </c>
      <c r="M40" s="19"/>
    </row>
    <row r="41" spans="1:13" ht="16.5" customHeight="1">
      <c r="A41" s="6" t="str">
        <f t="shared" si="2"/>
        <v>C17</v>
      </c>
      <c r="B41" s="3">
        <v>41333</v>
      </c>
      <c r="C41" s="3">
        <v>41333</v>
      </c>
      <c r="D41" s="4"/>
      <c r="E41" s="22" t="s">
        <v>91</v>
      </c>
      <c r="F41" s="30" t="s">
        <v>266</v>
      </c>
      <c r="G41" s="50"/>
      <c r="H41" s="50"/>
      <c r="I41" s="28" t="s">
        <v>53</v>
      </c>
      <c r="J41" s="21"/>
      <c r="K41" s="5">
        <v>11690050</v>
      </c>
      <c r="L41" s="4">
        <f t="shared" si="1"/>
        <v>487746690</v>
      </c>
      <c r="M41" s="19"/>
    </row>
    <row r="42" spans="1:13" ht="17.25" customHeight="1">
      <c r="A42" s="6" t="str">
        <f t="shared" si="2"/>
        <v>C17</v>
      </c>
      <c r="B42" s="3">
        <v>41333</v>
      </c>
      <c r="C42" s="3">
        <v>41333</v>
      </c>
      <c r="D42" s="4"/>
      <c r="E42" s="22" t="s">
        <v>91</v>
      </c>
      <c r="F42" s="5" t="s">
        <v>327</v>
      </c>
      <c r="G42" s="5"/>
      <c r="H42" s="5"/>
      <c r="I42" s="28" t="s">
        <v>35</v>
      </c>
      <c r="J42" s="21"/>
      <c r="K42" s="5">
        <v>648325</v>
      </c>
      <c r="L42" s="4">
        <f t="shared" si="1"/>
        <v>487098365</v>
      </c>
      <c r="M42" s="19"/>
    </row>
    <row r="43" spans="1:13" ht="17.25" customHeight="1">
      <c r="A43" s="6" t="str">
        <f t="shared" si="2"/>
        <v>C18</v>
      </c>
      <c r="B43" s="3">
        <v>41333</v>
      </c>
      <c r="C43" s="3">
        <v>41333</v>
      </c>
      <c r="D43" s="4"/>
      <c r="E43" s="22" t="s">
        <v>92</v>
      </c>
      <c r="F43" s="5" t="s">
        <v>328</v>
      </c>
      <c r="G43" s="5"/>
      <c r="H43" s="5"/>
      <c r="I43" s="28" t="s">
        <v>37</v>
      </c>
      <c r="J43" s="21"/>
      <c r="K43" s="5">
        <v>145178753</v>
      </c>
      <c r="L43" s="4">
        <f t="shared" si="1"/>
        <v>341919612</v>
      </c>
      <c r="M43" s="19"/>
    </row>
    <row r="44" spans="1:13" ht="17.25" customHeight="1">
      <c r="A44" s="6" t="str">
        <f t="shared" si="2"/>
        <v/>
      </c>
      <c r="B44" s="3"/>
      <c r="C44" s="3"/>
      <c r="D44" s="4"/>
      <c r="E44" s="22"/>
      <c r="F44" s="5"/>
      <c r="G44" s="5"/>
      <c r="H44" s="5"/>
      <c r="I44" s="28"/>
      <c r="J44" s="21"/>
      <c r="K44" s="5"/>
      <c r="L44" s="4"/>
      <c r="M44" s="19"/>
    </row>
    <row r="45" spans="1:13" ht="18" customHeight="1">
      <c r="B45" s="19"/>
      <c r="C45" s="19"/>
      <c r="D45" s="19"/>
      <c r="E45" s="19"/>
      <c r="F45" s="42" t="s">
        <v>29</v>
      </c>
      <c r="G45" s="19"/>
      <c r="H45" s="19"/>
      <c r="I45" s="4" t="s">
        <v>30</v>
      </c>
      <c r="J45" s="42">
        <f>SUM(J13:J44)</f>
        <v>0</v>
      </c>
      <c r="K45" s="42">
        <f>SUM(K13:K44)</f>
        <v>387631094</v>
      </c>
      <c r="L45" s="43" t="s">
        <v>30</v>
      </c>
      <c r="M45" s="43" t="s">
        <v>30</v>
      </c>
    </row>
    <row r="46" spans="1:13" ht="18" customHeight="1">
      <c r="B46" s="25"/>
      <c r="C46" s="25"/>
      <c r="D46" s="25"/>
      <c r="E46" s="25"/>
      <c r="F46" s="45" t="s">
        <v>31</v>
      </c>
      <c r="G46" s="25"/>
      <c r="H46" s="25"/>
      <c r="I46" s="26" t="s">
        <v>30</v>
      </c>
      <c r="J46" s="46" t="s">
        <v>30</v>
      </c>
      <c r="K46" s="46" t="s">
        <v>30</v>
      </c>
      <c r="L46" s="45">
        <f>L12+J45-K45</f>
        <v>341919612</v>
      </c>
      <c r="M46" s="46" t="s">
        <v>30</v>
      </c>
    </row>
    <row r="47" spans="1:13">
      <c r="J47" s="6" t="s">
        <v>47</v>
      </c>
    </row>
    <row r="48" spans="1:13">
      <c r="B48" s="27" t="s">
        <v>46</v>
      </c>
    </row>
    <row r="49" spans="2:12">
      <c r="B49" s="27" t="s">
        <v>288</v>
      </c>
    </row>
    <row r="50" spans="2:12">
      <c r="L50" s="8" t="s">
        <v>289</v>
      </c>
    </row>
    <row r="51" spans="2:12" s="7" customFormat="1" ht="14.25">
      <c r="C51" s="7" t="s">
        <v>33</v>
      </c>
      <c r="F51" s="7" t="s">
        <v>13</v>
      </c>
      <c r="L51" s="7" t="s">
        <v>14</v>
      </c>
    </row>
    <row r="52" spans="2:12" s="2" customFormat="1">
      <c r="C52" s="2" t="s">
        <v>15</v>
      </c>
      <c r="F52" s="2" t="s">
        <v>15</v>
      </c>
      <c r="L52" s="2" t="s">
        <v>16</v>
      </c>
    </row>
    <row r="53" spans="2:12" s="2" customFormat="1"/>
  </sheetData>
  <autoFilter ref="A11:M52">
    <filterColumn colId="7"/>
  </autoFilter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35 H42">
    <cfRule type="expression" dxfId="4" priority="1" stopIfTrue="1">
      <formula>$C35&lt;&gt;""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3" enableFormatConditionsCalculation="0">
    <tabColor indexed="31"/>
  </sheetPr>
  <dimension ref="A1:M117"/>
  <sheetViews>
    <sheetView topLeftCell="B1" zoomScale="90" workbookViewId="0">
      <selection activeCell="J1" sqref="J1:M3"/>
    </sheetView>
  </sheetViews>
  <sheetFormatPr defaultRowHeight="15"/>
  <cols>
    <col min="1" max="1" width="6" style="6" hidden="1" customWidth="1"/>
    <col min="2" max="3" width="10.5703125" style="6" customWidth="1"/>
    <col min="4" max="5" width="7.140625" style="6" customWidth="1"/>
    <col min="6" max="6" width="36.85546875" style="6" customWidth="1"/>
    <col min="7" max="7" width="0.28515625" style="6" hidden="1" customWidth="1"/>
    <col min="8" max="8" width="21.7109375" style="6" hidden="1" customWidth="1"/>
    <col min="9" max="9" width="6.14062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7.85546875" style="6" customWidth="1"/>
    <col min="14" max="14" width="9.140625" style="6"/>
    <col min="15" max="15" width="10.28515625" style="6" bestFit="1" customWidth="1"/>
    <col min="16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0" t="s">
        <v>472</v>
      </c>
      <c r="K1" s="400"/>
      <c r="L1" s="400"/>
      <c r="M1" s="400"/>
    </row>
    <row r="2" spans="1:13" s="11" customFormat="1" ht="16.5" customHeight="1">
      <c r="B2" s="1" t="str">
        <f>'01'!B2</f>
        <v>Địa chỉ: Lô A14, Đường 4A - KCN Hải Sơn, Đức Hòa, Long An</v>
      </c>
      <c r="C2" s="372"/>
      <c r="D2" s="372"/>
      <c r="E2" s="372"/>
      <c r="F2" s="372"/>
      <c r="G2" s="372"/>
      <c r="H2" s="372"/>
      <c r="J2" s="401" t="s">
        <v>473</v>
      </c>
      <c r="K2" s="401"/>
      <c r="L2" s="401"/>
      <c r="M2" s="401"/>
    </row>
    <row r="3" spans="1:13" s="11" customFormat="1" ht="16.5" customHeight="1">
      <c r="B3" s="9"/>
      <c r="C3" s="372"/>
      <c r="D3" s="14"/>
      <c r="E3" s="14"/>
      <c r="F3" s="372"/>
      <c r="G3" s="372"/>
      <c r="H3" s="372"/>
      <c r="J3" s="401"/>
      <c r="K3" s="401"/>
      <c r="L3" s="401"/>
      <c r="M3" s="401"/>
    </row>
    <row r="4" spans="1:13" s="11" customFormat="1" ht="6.75" customHeight="1">
      <c r="B4" s="372"/>
      <c r="C4" s="372"/>
      <c r="D4" s="372"/>
      <c r="E4" s="372"/>
      <c r="F4" s="372"/>
      <c r="G4" s="372"/>
      <c r="H4" s="372"/>
      <c r="J4" s="373"/>
      <c r="K4" s="373"/>
      <c r="L4" s="373"/>
      <c r="M4" s="373"/>
    </row>
    <row r="5" spans="1:13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6" spans="1:13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</row>
    <row r="7" spans="1:13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</row>
    <row r="8" spans="1:13">
      <c r="B8" s="15"/>
      <c r="L8" s="15" t="s">
        <v>19</v>
      </c>
    </row>
    <row r="9" spans="1:13" ht="30" customHeight="1">
      <c r="B9" s="403" t="s">
        <v>20</v>
      </c>
      <c r="C9" s="403" t="s">
        <v>21</v>
      </c>
      <c r="D9" s="403" t="s">
        <v>2</v>
      </c>
      <c r="E9" s="403"/>
      <c r="F9" s="403" t="s">
        <v>3</v>
      </c>
      <c r="G9" s="404" t="s">
        <v>73</v>
      </c>
      <c r="H9" s="404" t="s">
        <v>74</v>
      </c>
      <c r="I9" s="403" t="s">
        <v>22</v>
      </c>
      <c r="J9" s="403" t="s">
        <v>23</v>
      </c>
      <c r="K9" s="403"/>
      <c r="L9" s="403" t="s">
        <v>24</v>
      </c>
      <c r="M9" s="403" t="s">
        <v>4</v>
      </c>
    </row>
    <row r="10" spans="1:13" ht="20.25" customHeight="1">
      <c r="B10" s="403"/>
      <c r="C10" s="403"/>
      <c r="D10" s="375" t="s">
        <v>5</v>
      </c>
      <c r="E10" s="375" t="s">
        <v>6</v>
      </c>
      <c r="F10" s="403"/>
      <c r="G10" s="405"/>
      <c r="H10" s="405"/>
      <c r="I10" s="403"/>
      <c r="J10" s="375" t="s">
        <v>25</v>
      </c>
      <c r="K10" s="375" t="s">
        <v>26</v>
      </c>
      <c r="L10" s="403"/>
      <c r="M10" s="403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29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8" customHeight="1">
      <c r="B12" s="36"/>
      <c r="C12" s="36"/>
      <c r="D12" s="36"/>
      <c r="E12" s="36"/>
      <c r="F12" s="36" t="s">
        <v>28</v>
      </c>
      <c r="G12" s="36"/>
      <c r="H12" s="36"/>
      <c r="I12" s="37"/>
      <c r="J12" s="38"/>
      <c r="K12" s="36"/>
      <c r="L12" s="38">
        <f>'02'!L46</f>
        <v>341919612</v>
      </c>
      <c r="M12" s="36"/>
    </row>
    <row r="13" spans="1:13" ht="18.75" customHeight="1">
      <c r="A13" s="6" t="str">
        <f t="shared" ref="A13:A50" si="0">D13&amp;E13</f>
        <v>C01</v>
      </c>
      <c r="B13" s="3">
        <v>41334</v>
      </c>
      <c r="C13" s="3">
        <v>41333</v>
      </c>
      <c r="D13" s="4"/>
      <c r="E13" s="22" t="s">
        <v>75</v>
      </c>
      <c r="F13" s="5" t="s">
        <v>49</v>
      </c>
      <c r="G13" s="5"/>
      <c r="H13" s="5"/>
      <c r="I13" s="28" t="s">
        <v>192</v>
      </c>
      <c r="J13" s="21"/>
      <c r="K13" s="5">
        <v>294636</v>
      </c>
      <c r="L13" s="4">
        <f t="shared" ref="L13:L50" si="1">IF(F13&lt;&gt;"",L12+J13-K13,0)</f>
        <v>341624976</v>
      </c>
      <c r="M13" s="19"/>
    </row>
    <row r="14" spans="1:13" ht="18.75" customHeight="1">
      <c r="A14" s="6" t="str">
        <f t="shared" si="0"/>
        <v>C01</v>
      </c>
      <c r="B14" s="3">
        <v>41334</v>
      </c>
      <c r="C14" s="3">
        <v>41333</v>
      </c>
      <c r="D14" s="4"/>
      <c r="E14" s="22" t="s">
        <v>75</v>
      </c>
      <c r="F14" s="5" t="s">
        <v>208</v>
      </c>
      <c r="G14" s="5"/>
      <c r="H14" s="5"/>
      <c r="I14" s="28" t="s">
        <v>53</v>
      </c>
      <c r="J14" s="21"/>
      <c r="K14" s="5">
        <v>3909091</v>
      </c>
      <c r="L14" s="4">
        <f t="shared" si="1"/>
        <v>337715885</v>
      </c>
      <c r="M14" s="19"/>
    </row>
    <row r="15" spans="1:13" ht="18.75" customHeight="1">
      <c r="A15" s="6" t="str">
        <f t="shared" si="0"/>
        <v>C01</v>
      </c>
      <c r="B15" s="3">
        <v>41334</v>
      </c>
      <c r="C15" s="3">
        <v>41333</v>
      </c>
      <c r="D15" s="4"/>
      <c r="E15" s="22" t="s">
        <v>75</v>
      </c>
      <c r="F15" s="5" t="s">
        <v>180</v>
      </c>
      <c r="G15" s="5"/>
      <c r="H15" s="5"/>
      <c r="I15" s="28" t="s">
        <v>35</v>
      </c>
      <c r="J15" s="21"/>
      <c r="K15" s="5">
        <v>420373</v>
      </c>
      <c r="L15" s="4">
        <f t="shared" si="1"/>
        <v>337295512</v>
      </c>
      <c r="M15" s="19"/>
    </row>
    <row r="16" spans="1:13" ht="18.75" customHeight="1">
      <c r="A16" s="6" t="str">
        <f t="shared" si="0"/>
        <v>C02</v>
      </c>
      <c r="B16" s="3">
        <v>41334</v>
      </c>
      <c r="C16" s="3">
        <v>41334</v>
      </c>
      <c r="D16" s="4"/>
      <c r="E16" s="22" t="s">
        <v>76</v>
      </c>
      <c r="F16" s="30" t="s">
        <v>270</v>
      </c>
      <c r="G16" s="50"/>
      <c r="H16" s="50"/>
      <c r="I16" s="28" t="s">
        <v>192</v>
      </c>
      <c r="J16" s="21"/>
      <c r="K16" s="5">
        <v>500000</v>
      </c>
      <c r="L16" s="4">
        <f t="shared" si="1"/>
        <v>336795512</v>
      </c>
      <c r="M16" s="19"/>
    </row>
    <row r="17" spans="1:13" ht="18.75" customHeight="1">
      <c r="A17" s="6" t="str">
        <f t="shared" si="0"/>
        <v>C03</v>
      </c>
      <c r="B17" s="3">
        <v>41334</v>
      </c>
      <c r="C17" s="3">
        <v>41334</v>
      </c>
      <c r="D17" s="4"/>
      <c r="E17" s="22" t="s">
        <v>77</v>
      </c>
      <c r="F17" s="5" t="s">
        <v>227</v>
      </c>
      <c r="G17" s="5"/>
      <c r="H17" s="5"/>
      <c r="I17" s="28" t="s">
        <v>36</v>
      </c>
      <c r="J17" s="21"/>
      <c r="K17" s="5">
        <v>14000000</v>
      </c>
      <c r="L17" s="4">
        <f t="shared" si="1"/>
        <v>322795512</v>
      </c>
      <c r="M17" s="19"/>
    </row>
    <row r="18" spans="1:13" ht="17.25" customHeight="1">
      <c r="A18" s="6" t="str">
        <f>D18&amp;E18</f>
        <v>T01</v>
      </c>
      <c r="B18" s="3">
        <v>41341</v>
      </c>
      <c r="C18" s="3">
        <v>41341</v>
      </c>
      <c r="D18" s="4" t="s">
        <v>39</v>
      </c>
      <c r="E18" s="22"/>
      <c r="F18" s="5" t="s">
        <v>269</v>
      </c>
      <c r="G18" s="5"/>
      <c r="H18" s="5"/>
      <c r="I18" s="28" t="s">
        <v>36</v>
      </c>
      <c r="J18" s="21">
        <v>775000000</v>
      </c>
      <c r="K18" s="5"/>
      <c r="L18" s="4">
        <f t="shared" si="1"/>
        <v>1097795512</v>
      </c>
      <c r="M18" s="19"/>
    </row>
    <row r="19" spans="1:13" ht="18" customHeight="1">
      <c r="A19" s="6" t="str">
        <f>D19&amp;E19</f>
        <v>C04</v>
      </c>
      <c r="B19" s="3">
        <v>41341</v>
      </c>
      <c r="C19" s="3">
        <v>41341</v>
      </c>
      <c r="D19" s="4"/>
      <c r="E19" s="22" t="s">
        <v>78</v>
      </c>
      <c r="F19" s="5" t="s">
        <v>329</v>
      </c>
      <c r="G19" s="5"/>
      <c r="H19" s="5"/>
      <c r="I19" s="28" t="s">
        <v>192</v>
      </c>
      <c r="J19" s="21"/>
      <c r="K19" s="5">
        <v>4140500</v>
      </c>
      <c r="L19" s="4">
        <f t="shared" si="1"/>
        <v>1093655012</v>
      </c>
      <c r="M19" s="19"/>
    </row>
    <row r="20" spans="1:13" ht="18.75" customHeight="1">
      <c r="A20" s="6" t="str">
        <f t="shared" si="0"/>
        <v>C04</v>
      </c>
      <c r="B20" s="3">
        <v>41341</v>
      </c>
      <c r="C20" s="3">
        <v>41341</v>
      </c>
      <c r="D20" s="4"/>
      <c r="E20" s="22" t="s">
        <v>78</v>
      </c>
      <c r="F20" s="5" t="s">
        <v>330</v>
      </c>
      <c r="G20" s="5"/>
      <c r="H20" s="5"/>
      <c r="I20" s="28" t="s">
        <v>35</v>
      </c>
      <c r="J20" s="21"/>
      <c r="K20" s="5">
        <v>414050</v>
      </c>
      <c r="L20" s="4">
        <f t="shared" si="1"/>
        <v>1093240962</v>
      </c>
      <c r="M20" s="19"/>
    </row>
    <row r="21" spans="1:13" ht="18.75" customHeight="1">
      <c r="A21" s="6" t="str">
        <f t="shared" si="0"/>
        <v>C05</v>
      </c>
      <c r="B21" s="3">
        <v>41341</v>
      </c>
      <c r="C21" s="3">
        <v>41341</v>
      </c>
      <c r="D21" s="4"/>
      <c r="E21" s="22" t="s">
        <v>79</v>
      </c>
      <c r="F21" s="5" t="s">
        <v>227</v>
      </c>
      <c r="G21" s="5"/>
      <c r="H21" s="5"/>
      <c r="I21" s="28" t="s">
        <v>36</v>
      </c>
      <c r="J21" s="21"/>
      <c r="K21" s="5">
        <v>44000000</v>
      </c>
      <c r="L21" s="4">
        <f t="shared" si="1"/>
        <v>1049240962</v>
      </c>
      <c r="M21" s="19"/>
    </row>
    <row r="22" spans="1:13" ht="18.75" customHeight="1">
      <c r="A22" s="6" t="str">
        <f t="shared" si="0"/>
        <v>C06</v>
      </c>
      <c r="B22" s="3">
        <v>41341</v>
      </c>
      <c r="C22" s="3">
        <v>41341</v>
      </c>
      <c r="D22" s="4"/>
      <c r="E22" s="22" t="s">
        <v>80</v>
      </c>
      <c r="F22" s="5" t="s">
        <v>272</v>
      </c>
      <c r="G22" s="5"/>
      <c r="H22" s="5"/>
      <c r="I22" s="28" t="s">
        <v>120</v>
      </c>
      <c r="J22" s="21"/>
      <c r="K22" s="5">
        <v>600000000</v>
      </c>
      <c r="L22" s="4">
        <f t="shared" si="1"/>
        <v>449240962</v>
      </c>
      <c r="M22" s="19"/>
    </row>
    <row r="23" spans="1:13" ht="18.75" customHeight="1">
      <c r="A23" s="6" t="str">
        <f t="shared" si="0"/>
        <v>T02</v>
      </c>
      <c r="B23" s="3">
        <v>41347</v>
      </c>
      <c r="C23" s="3">
        <v>41347</v>
      </c>
      <c r="D23" s="4" t="s">
        <v>40</v>
      </c>
      <c r="E23" s="22"/>
      <c r="F23" s="5" t="s">
        <v>269</v>
      </c>
      <c r="G23" s="5"/>
      <c r="H23" s="5"/>
      <c r="I23" s="28" t="s">
        <v>36</v>
      </c>
      <c r="J23" s="21">
        <v>635000000</v>
      </c>
      <c r="K23" s="5"/>
      <c r="L23" s="4">
        <f t="shared" si="1"/>
        <v>1084240962</v>
      </c>
      <c r="M23" s="19"/>
    </row>
    <row r="24" spans="1:13" ht="18.75" customHeight="1">
      <c r="A24" s="6" t="str">
        <f t="shared" si="0"/>
        <v>C07</v>
      </c>
      <c r="B24" s="3">
        <v>41347</v>
      </c>
      <c r="C24" s="3">
        <v>41347</v>
      </c>
      <c r="D24" s="4"/>
      <c r="E24" s="22" t="s">
        <v>81</v>
      </c>
      <c r="F24" s="5" t="s">
        <v>194</v>
      </c>
      <c r="G24" s="5"/>
      <c r="H24" s="5"/>
      <c r="I24" s="28" t="s">
        <v>120</v>
      </c>
      <c r="J24" s="21"/>
      <c r="K24" s="5">
        <v>600000000</v>
      </c>
      <c r="L24" s="4">
        <f t="shared" si="1"/>
        <v>484240962</v>
      </c>
      <c r="M24" s="19"/>
    </row>
    <row r="25" spans="1:13" ht="18.75" customHeight="1">
      <c r="A25" s="6" t="str">
        <f t="shared" si="0"/>
        <v>C08</v>
      </c>
      <c r="B25" s="3">
        <v>41348</v>
      </c>
      <c r="C25" s="3">
        <v>41348</v>
      </c>
      <c r="D25" s="4"/>
      <c r="E25" s="22" t="s">
        <v>82</v>
      </c>
      <c r="F25" s="5" t="s">
        <v>49</v>
      </c>
      <c r="G25" s="5"/>
      <c r="H25" s="5"/>
      <c r="I25" s="28" t="s">
        <v>192</v>
      </c>
      <c r="J25" s="21"/>
      <c r="K25" s="5">
        <v>378818</v>
      </c>
      <c r="L25" s="4">
        <f t="shared" si="1"/>
        <v>483862144</v>
      </c>
      <c r="M25" s="19"/>
    </row>
    <row r="26" spans="1:13" ht="18.75" customHeight="1">
      <c r="A26" s="6" t="str">
        <f t="shared" si="0"/>
        <v>C08</v>
      </c>
      <c r="B26" s="3">
        <v>41348</v>
      </c>
      <c r="C26" s="3">
        <v>41348</v>
      </c>
      <c r="D26" s="4"/>
      <c r="E26" s="22" t="s">
        <v>82</v>
      </c>
      <c r="F26" s="5" t="s">
        <v>208</v>
      </c>
      <c r="G26" s="5"/>
      <c r="H26" s="5"/>
      <c r="I26" s="28" t="s">
        <v>53</v>
      </c>
      <c r="J26" s="21"/>
      <c r="K26" s="5">
        <v>4886364</v>
      </c>
      <c r="L26" s="4">
        <f t="shared" si="1"/>
        <v>478975780</v>
      </c>
      <c r="M26" s="19"/>
    </row>
    <row r="27" spans="1:13" ht="17.25" customHeight="1">
      <c r="A27" s="6" t="str">
        <f>D27&amp;E27</f>
        <v>C08</v>
      </c>
      <c r="B27" s="3">
        <v>41348</v>
      </c>
      <c r="C27" s="3">
        <v>41348</v>
      </c>
      <c r="D27" s="4"/>
      <c r="E27" s="22" t="s">
        <v>82</v>
      </c>
      <c r="F27" s="5" t="s">
        <v>180</v>
      </c>
      <c r="G27" s="5"/>
      <c r="H27" s="5"/>
      <c r="I27" s="28" t="s">
        <v>35</v>
      </c>
      <c r="J27" s="21"/>
      <c r="K27" s="5">
        <v>526518</v>
      </c>
      <c r="L27" s="4">
        <f t="shared" si="1"/>
        <v>478449262</v>
      </c>
      <c r="M27" s="19"/>
    </row>
    <row r="28" spans="1:13" ht="18" customHeight="1">
      <c r="A28" s="6" t="str">
        <f>D28&amp;E28</f>
        <v>C09</v>
      </c>
      <c r="B28" s="3">
        <v>41351</v>
      </c>
      <c r="C28" s="3">
        <v>41351</v>
      </c>
      <c r="D28" s="4"/>
      <c r="E28" s="22" t="s">
        <v>83</v>
      </c>
      <c r="F28" s="5" t="s">
        <v>331</v>
      </c>
      <c r="G28" s="5"/>
      <c r="H28" s="5"/>
      <c r="I28" s="28" t="s">
        <v>34</v>
      </c>
      <c r="J28" s="21"/>
      <c r="K28" s="5">
        <v>5016000</v>
      </c>
      <c r="L28" s="4">
        <f t="shared" si="1"/>
        <v>473433262</v>
      </c>
      <c r="M28" s="19"/>
    </row>
    <row r="29" spans="1:13" ht="18.75" customHeight="1">
      <c r="A29" s="6" t="str">
        <f t="shared" si="0"/>
        <v>C10</v>
      </c>
      <c r="B29" s="3">
        <v>41354</v>
      </c>
      <c r="C29" s="3">
        <v>41354</v>
      </c>
      <c r="D29" s="4"/>
      <c r="E29" s="22" t="s">
        <v>84</v>
      </c>
      <c r="F29" s="5" t="s">
        <v>332</v>
      </c>
      <c r="G29" s="5"/>
      <c r="H29" s="5"/>
      <c r="I29" s="28" t="s">
        <v>193</v>
      </c>
      <c r="J29" s="21"/>
      <c r="K29" s="5">
        <v>590000</v>
      </c>
      <c r="L29" s="4">
        <f t="shared" si="1"/>
        <v>472843262</v>
      </c>
      <c r="M29" s="19"/>
    </row>
    <row r="30" spans="1:13" ht="18.75" customHeight="1">
      <c r="A30" s="6" t="str">
        <f t="shared" si="0"/>
        <v>C10</v>
      </c>
      <c r="B30" s="3">
        <v>41354</v>
      </c>
      <c r="C30" s="3">
        <v>41354</v>
      </c>
      <c r="D30" s="4"/>
      <c r="E30" s="22" t="s">
        <v>84</v>
      </c>
      <c r="F30" s="30" t="s">
        <v>333</v>
      </c>
      <c r="G30" s="50"/>
      <c r="H30" s="50"/>
      <c r="I30" s="28" t="s">
        <v>35</v>
      </c>
      <c r="J30" s="21"/>
      <c r="K30" s="5">
        <v>29500</v>
      </c>
      <c r="L30" s="4">
        <f t="shared" si="1"/>
        <v>472813762</v>
      </c>
      <c r="M30" s="19"/>
    </row>
    <row r="31" spans="1:13" ht="17.25" customHeight="1">
      <c r="A31" s="6" t="str">
        <f>D31&amp;E31</f>
        <v>C11</v>
      </c>
      <c r="B31" s="3">
        <v>41354</v>
      </c>
      <c r="C31" s="3">
        <v>41354</v>
      </c>
      <c r="D31" s="4"/>
      <c r="E31" s="22" t="s">
        <v>85</v>
      </c>
      <c r="F31" s="5" t="s">
        <v>334</v>
      </c>
      <c r="G31" s="5"/>
      <c r="H31" s="5"/>
      <c r="I31" s="28" t="s">
        <v>192</v>
      </c>
      <c r="J31" s="21"/>
      <c r="K31" s="5">
        <v>245455</v>
      </c>
      <c r="L31" s="4">
        <f t="shared" si="1"/>
        <v>472568307</v>
      </c>
      <c r="M31" s="19"/>
    </row>
    <row r="32" spans="1:13" ht="18.75" customHeight="1">
      <c r="A32" s="6" t="str">
        <f t="shared" si="0"/>
        <v>C11</v>
      </c>
      <c r="B32" s="3">
        <v>41354</v>
      </c>
      <c r="C32" s="3">
        <v>41354</v>
      </c>
      <c r="D32" s="4"/>
      <c r="E32" s="22" t="s">
        <v>85</v>
      </c>
      <c r="F32" s="5" t="s">
        <v>335</v>
      </c>
      <c r="G32" s="5"/>
      <c r="H32" s="5"/>
      <c r="I32" s="28" t="s">
        <v>35</v>
      </c>
      <c r="J32" s="21"/>
      <c r="K32" s="5">
        <v>24545</v>
      </c>
      <c r="L32" s="4">
        <f t="shared" si="1"/>
        <v>472543762</v>
      </c>
      <c r="M32" s="19"/>
    </row>
    <row r="33" spans="1:13" ht="18.75" customHeight="1">
      <c r="A33" s="6" t="str">
        <f t="shared" si="0"/>
        <v>C12</v>
      </c>
      <c r="B33" s="3">
        <v>41354</v>
      </c>
      <c r="C33" s="3">
        <v>41354</v>
      </c>
      <c r="D33" s="4"/>
      <c r="E33" s="22" t="s">
        <v>86</v>
      </c>
      <c r="F33" s="5" t="s">
        <v>336</v>
      </c>
      <c r="G33" s="5"/>
      <c r="H33" s="5"/>
      <c r="I33" s="28" t="s">
        <v>36</v>
      </c>
      <c r="J33" s="21"/>
      <c r="K33" s="5">
        <v>61000000</v>
      </c>
      <c r="L33" s="4">
        <f t="shared" si="1"/>
        <v>411543762</v>
      </c>
      <c r="M33" s="19"/>
    </row>
    <row r="34" spans="1:13" ht="18.75" customHeight="1">
      <c r="A34" s="6" t="str">
        <f t="shared" si="0"/>
        <v>T03</v>
      </c>
      <c r="B34" s="3">
        <v>41355</v>
      </c>
      <c r="C34" s="3">
        <v>41355</v>
      </c>
      <c r="D34" s="4" t="s">
        <v>41</v>
      </c>
      <c r="E34" s="22"/>
      <c r="F34" s="5" t="s">
        <v>269</v>
      </c>
      <c r="G34" s="5"/>
      <c r="H34" s="5"/>
      <c r="I34" s="28" t="s">
        <v>36</v>
      </c>
      <c r="J34" s="21">
        <v>573000000</v>
      </c>
      <c r="K34" s="5"/>
      <c r="L34" s="4">
        <f t="shared" si="1"/>
        <v>984543762</v>
      </c>
      <c r="M34" s="19"/>
    </row>
    <row r="35" spans="1:13" ht="18.75" customHeight="1">
      <c r="A35" s="6" t="str">
        <f t="shared" si="0"/>
        <v>C13</v>
      </c>
      <c r="B35" s="3">
        <v>41358</v>
      </c>
      <c r="C35" s="3">
        <v>41358</v>
      </c>
      <c r="D35" s="4"/>
      <c r="E35" s="22" t="s">
        <v>87</v>
      </c>
      <c r="F35" s="5" t="s">
        <v>337</v>
      </c>
      <c r="G35" s="5"/>
      <c r="H35" s="5"/>
      <c r="I35" s="28" t="s">
        <v>53</v>
      </c>
      <c r="J35" s="21"/>
      <c r="K35" s="5">
        <v>2870000</v>
      </c>
      <c r="L35" s="4">
        <f t="shared" si="1"/>
        <v>981673762</v>
      </c>
      <c r="M35" s="19"/>
    </row>
    <row r="36" spans="1:13" ht="18.75" customHeight="1">
      <c r="A36" s="6" t="str">
        <f t="shared" si="0"/>
        <v>T04</v>
      </c>
      <c r="B36" s="3">
        <v>41360</v>
      </c>
      <c r="C36" s="3">
        <v>41360</v>
      </c>
      <c r="D36" s="4" t="s">
        <v>42</v>
      </c>
      <c r="E36" s="22"/>
      <c r="F36" s="30" t="s">
        <v>269</v>
      </c>
      <c r="G36" s="50"/>
      <c r="H36" s="50"/>
      <c r="I36" s="28" t="s">
        <v>36</v>
      </c>
      <c r="J36" s="21">
        <v>903000000</v>
      </c>
      <c r="K36" s="5"/>
      <c r="L36" s="4">
        <f t="shared" si="1"/>
        <v>1884673762</v>
      </c>
      <c r="M36" s="19"/>
    </row>
    <row r="37" spans="1:13" ht="18.75" customHeight="1">
      <c r="A37" s="6" t="str">
        <f t="shared" si="0"/>
        <v>C14</v>
      </c>
      <c r="B37" s="3">
        <v>41360</v>
      </c>
      <c r="C37" s="3">
        <v>41360</v>
      </c>
      <c r="D37" s="4"/>
      <c r="E37" s="22" t="s">
        <v>88</v>
      </c>
      <c r="F37" s="30" t="s">
        <v>332</v>
      </c>
      <c r="G37" s="50"/>
      <c r="H37" s="50"/>
      <c r="I37" s="28" t="s">
        <v>193</v>
      </c>
      <c r="J37" s="21"/>
      <c r="K37" s="5">
        <v>590000</v>
      </c>
      <c r="L37" s="4">
        <f t="shared" si="1"/>
        <v>1884083762</v>
      </c>
      <c r="M37" s="19"/>
    </row>
    <row r="38" spans="1:13" ht="18.75" customHeight="1">
      <c r="A38" s="6" t="str">
        <f t="shared" si="0"/>
        <v>C14</v>
      </c>
      <c r="B38" s="3">
        <v>41360</v>
      </c>
      <c r="C38" s="3">
        <v>41360</v>
      </c>
      <c r="D38" s="4"/>
      <c r="E38" s="22" t="s">
        <v>88</v>
      </c>
      <c r="F38" s="5" t="s">
        <v>333</v>
      </c>
      <c r="G38" s="5"/>
      <c r="H38" s="5"/>
      <c r="I38" s="28" t="s">
        <v>35</v>
      </c>
      <c r="J38" s="21"/>
      <c r="K38" s="5">
        <v>29500</v>
      </c>
      <c r="L38" s="4">
        <f t="shared" si="1"/>
        <v>1884054262</v>
      </c>
      <c r="M38" s="19"/>
    </row>
    <row r="39" spans="1:13" ht="18.75" customHeight="1">
      <c r="A39" s="6" t="str">
        <f t="shared" si="0"/>
        <v>C15</v>
      </c>
      <c r="B39" s="3">
        <v>41360</v>
      </c>
      <c r="C39" s="3">
        <v>41360</v>
      </c>
      <c r="D39" s="4"/>
      <c r="E39" s="22" t="s">
        <v>89</v>
      </c>
      <c r="F39" s="5" t="s">
        <v>276</v>
      </c>
      <c r="G39" s="5"/>
      <c r="H39" s="5"/>
      <c r="I39" s="28" t="s">
        <v>192</v>
      </c>
      <c r="J39" s="21"/>
      <c r="K39" s="5">
        <v>16000000</v>
      </c>
      <c r="L39" s="4">
        <f t="shared" si="1"/>
        <v>1868054262</v>
      </c>
      <c r="M39" s="19"/>
    </row>
    <row r="40" spans="1:13" ht="18.75" customHeight="1">
      <c r="A40" s="6" t="str">
        <f t="shared" si="0"/>
        <v>C15</v>
      </c>
      <c r="B40" s="3">
        <v>41360</v>
      </c>
      <c r="C40" s="3">
        <v>41360</v>
      </c>
      <c r="D40" s="4"/>
      <c r="E40" s="22" t="s">
        <v>89</v>
      </c>
      <c r="F40" s="5" t="s">
        <v>277</v>
      </c>
      <c r="G40" s="5"/>
      <c r="H40" s="5"/>
      <c r="I40" s="28" t="s">
        <v>35</v>
      </c>
      <c r="J40" s="21"/>
      <c r="K40" s="5">
        <v>1600000</v>
      </c>
      <c r="L40" s="4">
        <f t="shared" si="1"/>
        <v>1866454262</v>
      </c>
      <c r="M40" s="19"/>
    </row>
    <row r="41" spans="1:13" ht="18" customHeight="1">
      <c r="A41" s="6" t="str">
        <f>D41&amp;E41</f>
        <v>C16</v>
      </c>
      <c r="B41" s="3">
        <v>41360</v>
      </c>
      <c r="C41" s="3">
        <v>41360</v>
      </c>
      <c r="D41" s="4"/>
      <c r="E41" s="22" t="s">
        <v>90</v>
      </c>
      <c r="F41" s="30" t="s">
        <v>272</v>
      </c>
      <c r="G41" s="50"/>
      <c r="H41" s="50"/>
      <c r="I41" s="28" t="s">
        <v>120</v>
      </c>
      <c r="J41" s="21"/>
      <c r="K41" s="5">
        <v>600000000</v>
      </c>
      <c r="L41" s="4">
        <f t="shared" si="1"/>
        <v>1266454262</v>
      </c>
      <c r="M41" s="19"/>
    </row>
    <row r="42" spans="1:13" ht="18.75" customHeight="1">
      <c r="A42" s="6" t="str">
        <f t="shared" si="0"/>
        <v>C17</v>
      </c>
      <c r="B42" s="3">
        <v>41360</v>
      </c>
      <c r="C42" s="3">
        <v>41360</v>
      </c>
      <c r="D42" s="4"/>
      <c r="E42" s="22" t="s">
        <v>91</v>
      </c>
      <c r="F42" s="30" t="s">
        <v>194</v>
      </c>
      <c r="G42" s="50"/>
      <c r="H42" s="50"/>
      <c r="I42" s="28" t="s">
        <v>120</v>
      </c>
      <c r="J42" s="21"/>
      <c r="K42" s="5">
        <v>600000000</v>
      </c>
      <c r="L42" s="4">
        <f t="shared" si="1"/>
        <v>666454262</v>
      </c>
      <c r="M42" s="19"/>
    </row>
    <row r="43" spans="1:13" ht="18.75" customHeight="1">
      <c r="A43" s="6" t="str">
        <f t="shared" si="0"/>
        <v>C18</v>
      </c>
      <c r="B43" s="3">
        <v>41361</v>
      </c>
      <c r="C43" s="3">
        <v>41361</v>
      </c>
      <c r="D43" s="4"/>
      <c r="E43" s="22" t="s">
        <v>92</v>
      </c>
      <c r="F43" s="5" t="s">
        <v>49</v>
      </c>
      <c r="G43" s="5"/>
      <c r="H43" s="5"/>
      <c r="I43" s="28" t="s">
        <v>192</v>
      </c>
      <c r="J43" s="21"/>
      <c r="K43" s="5">
        <v>273591</v>
      </c>
      <c r="L43" s="4">
        <f t="shared" si="1"/>
        <v>666180671</v>
      </c>
      <c r="M43" s="19"/>
    </row>
    <row r="44" spans="1:13" ht="18.75" customHeight="1">
      <c r="A44" s="6" t="str">
        <f t="shared" si="0"/>
        <v>C18</v>
      </c>
      <c r="B44" s="3">
        <v>41361</v>
      </c>
      <c r="C44" s="3">
        <v>41361</v>
      </c>
      <c r="D44" s="4"/>
      <c r="E44" s="22" t="s">
        <v>92</v>
      </c>
      <c r="F44" s="5" t="s">
        <v>208</v>
      </c>
      <c r="G44" s="5"/>
      <c r="H44" s="5"/>
      <c r="I44" s="28" t="s">
        <v>53</v>
      </c>
      <c r="J44" s="21"/>
      <c r="K44" s="5">
        <v>4300000</v>
      </c>
      <c r="L44" s="4">
        <f t="shared" si="1"/>
        <v>661880671</v>
      </c>
      <c r="M44" s="19"/>
    </row>
    <row r="45" spans="1:13" ht="18.75" customHeight="1">
      <c r="A45" s="6" t="str">
        <f t="shared" si="0"/>
        <v>C18</v>
      </c>
      <c r="B45" s="3">
        <v>41361</v>
      </c>
      <c r="C45" s="3">
        <v>41361</v>
      </c>
      <c r="D45" s="4"/>
      <c r="E45" s="22" t="s">
        <v>92</v>
      </c>
      <c r="F45" s="5" t="s">
        <v>180</v>
      </c>
      <c r="G45" s="5"/>
      <c r="H45" s="5"/>
      <c r="I45" s="28" t="s">
        <v>35</v>
      </c>
      <c r="J45" s="21"/>
      <c r="K45" s="5">
        <v>457359</v>
      </c>
      <c r="L45" s="4">
        <f t="shared" si="1"/>
        <v>661423312</v>
      </c>
      <c r="M45" s="19"/>
    </row>
    <row r="46" spans="1:13" ht="18.75" customHeight="1">
      <c r="A46" s="6" t="str">
        <f t="shared" si="0"/>
        <v>C19</v>
      </c>
      <c r="B46" s="3">
        <v>41363</v>
      </c>
      <c r="C46" s="3">
        <v>41363</v>
      </c>
      <c r="D46" s="4"/>
      <c r="E46" s="22" t="s">
        <v>93</v>
      </c>
      <c r="F46" s="5" t="s">
        <v>225</v>
      </c>
      <c r="G46" s="5"/>
      <c r="H46" s="5"/>
      <c r="I46" s="28" t="s">
        <v>192</v>
      </c>
      <c r="J46" s="21"/>
      <c r="K46" s="5">
        <v>5260960</v>
      </c>
      <c r="L46" s="4">
        <f t="shared" si="1"/>
        <v>656162352</v>
      </c>
      <c r="M46" s="19"/>
    </row>
    <row r="47" spans="1:13" ht="18.75" customHeight="1">
      <c r="A47" s="6" t="str">
        <f t="shared" si="0"/>
        <v>C19</v>
      </c>
      <c r="B47" s="3">
        <v>41363</v>
      </c>
      <c r="C47" s="3">
        <v>41363</v>
      </c>
      <c r="D47" s="4"/>
      <c r="E47" s="22" t="s">
        <v>93</v>
      </c>
      <c r="F47" s="5" t="s">
        <v>226</v>
      </c>
      <c r="G47" s="5"/>
      <c r="H47" s="5"/>
      <c r="I47" s="28" t="s">
        <v>35</v>
      </c>
      <c r="J47" s="21"/>
      <c r="K47" s="5">
        <v>526096</v>
      </c>
      <c r="L47" s="4">
        <f t="shared" si="1"/>
        <v>655636256</v>
      </c>
      <c r="M47" s="19"/>
    </row>
    <row r="48" spans="1:13" ht="18.75" customHeight="1">
      <c r="A48" s="6" t="str">
        <f t="shared" si="0"/>
        <v>C20</v>
      </c>
      <c r="B48" s="3">
        <v>41364</v>
      </c>
      <c r="C48" s="3">
        <v>41364</v>
      </c>
      <c r="D48" s="4"/>
      <c r="E48" s="22" t="s">
        <v>94</v>
      </c>
      <c r="F48" s="5" t="s">
        <v>270</v>
      </c>
      <c r="G48" s="5"/>
      <c r="H48" s="5"/>
      <c r="I48" s="28" t="s">
        <v>192</v>
      </c>
      <c r="J48" s="21"/>
      <c r="K48" s="5">
        <v>500000</v>
      </c>
      <c r="L48" s="4">
        <f t="shared" si="1"/>
        <v>655136256</v>
      </c>
      <c r="M48" s="19"/>
    </row>
    <row r="49" spans="1:13" ht="18.75" customHeight="1">
      <c r="A49" s="6" t="str">
        <f t="shared" si="0"/>
        <v>C21</v>
      </c>
      <c r="B49" s="3">
        <v>41364</v>
      </c>
      <c r="C49" s="3">
        <v>41364</v>
      </c>
      <c r="D49" s="4"/>
      <c r="E49" s="22" t="s">
        <v>95</v>
      </c>
      <c r="F49" s="5" t="s">
        <v>338</v>
      </c>
      <c r="G49" s="5"/>
      <c r="H49" s="5"/>
      <c r="I49" s="28" t="s">
        <v>38</v>
      </c>
      <c r="J49" s="21"/>
      <c r="K49" s="5">
        <v>446683</v>
      </c>
      <c r="L49" s="4">
        <f t="shared" si="1"/>
        <v>654689573</v>
      </c>
      <c r="M49" s="19"/>
    </row>
    <row r="50" spans="1:13" ht="18.75" customHeight="1">
      <c r="A50" s="6" t="str">
        <f t="shared" si="0"/>
        <v>C22</v>
      </c>
      <c r="B50" s="3">
        <v>41364</v>
      </c>
      <c r="C50" s="3">
        <v>41364</v>
      </c>
      <c r="D50" s="22"/>
      <c r="E50" s="22" t="s">
        <v>96</v>
      </c>
      <c r="F50" s="30" t="s">
        <v>339</v>
      </c>
      <c r="G50" s="50"/>
      <c r="H50" s="50"/>
      <c r="I50" s="28" t="s">
        <v>37</v>
      </c>
      <c r="J50" s="21"/>
      <c r="K50" s="5">
        <v>132107217</v>
      </c>
      <c r="L50" s="4">
        <f t="shared" si="1"/>
        <v>522582356</v>
      </c>
      <c r="M50" s="19"/>
    </row>
    <row r="51" spans="1:13" ht="18" customHeight="1">
      <c r="A51" s="6" t="str">
        <f>D51&amp;E51</f>
        <v/>
      </c>
      <c r="B51" s="3"/>
      <c r="C51" s="3"/>
      <c r="D51" s="4"/>
      <c r="E51" s="22"/>
      <c r="F51" s="5"/>
      <c r="G51" s="5"/>
      <c r="H51" s="5"/>
      <c r="I51" s="28"/>
      <c r="J51" s="21"/>
      <c r="K51" s="5"/>
      <c r="L51" s="4"/>
      <c r="M51" s="19"/>
    </row>
    <row r="52" spans="1:13" s="44" customFormat="1" ht="18" customHeight="1">
      <c r="B52" s="42"/>
      <c r="C52" s="42"/>
      <c r="D52" s="42"/>
      <c r="E52" s="42"/>
      <c r="F52" s="42" t="s">
        <v>29</v>
      </c>
      <c r="G52" s="42"/>
      <c r="H52" s="42"/>
      <c r="I52" s="43" t="s">
        <v>30</v>
      </c>
      <c r="J52" s="42">
        <f>SUM(J13:J51)</f>
        <v>2886000000</v>
      </c>
      <c r="K52" s="42">
        <f>SUM(K13:K51)</f>
        <v>2705337256</v>
      </c>
      <c r="L52" s="43" t="s">
        <v>30</v>
      </c>
      <c r="M52" s="43" t="s">
        <v>30</v>
      </c>
    </row>
    <row r="53" spans="1:13" s="44" customFormat="1" ht="18" customHeight="1">
      <c r="B53" s="45"/>
      <c r="C53" s="45"/>
      <c r="D53" s="45"/>
      <c r="E53" s="45"/>
      <c r="F53" s="45" t="s">
        <v>31</v>
      </c>
      <c r="G53" s="45"/>
      <c r="H53" s="45"/>
      <c r="I53" s="46" t="s">
        <v>30</v>
      </c>
      <c r="J53" s="46" t="s">
        <v>30</v>
      </c>
      <c r="K53" s="46" t="s">
        <v>30</v>
      </c>
      <c r="L53" s="45">
        <f>L12+J52-K52</f>
        <v>522582356</v>
      </c>
      <c r="M53" s="46" t="s">
        <v>30</v>
      </c>
    </row>
    <row r="55" spans="1:13">
      <c r="B55" s="27" t="s">
        <v>46</v>
      </c>
    </row>
    <row r="56" spans="1:13">
      <c r="B56" s="27" t="s">
        <v>290</v>
      </c>
    </row>
    <row r="57" spans="1:13">
      <c r="L57" s="8" t="s">
        <v>291</v>
      </c>
    </row>
    <row r="58" spans="1:13" s="7" customFormat="1" ht="14.25">
      <c r="C58" s="7" t="s">
        <v>33</v>
      </c>
      <c r="F58" s="7" t="s">
        <v>13</v>
      </c>
      <c r="L58" s="7" t="s">
        <v>14</v>
      </c>
    </row>
    <row r="59" spans="1:13" s="2" customFormat="1">
      <c r="C59" s="2" t="s">
        <v>15</v>
      </c>
      <c r="F59" s="2" t="s">
        <v>15</v>
      </c>
      <c r="L59" s="2" t="s">
        <v>16</v>
      </c>
    </row>
    <row r="60" spans="1:13" s="2" customFormat="1"/>
    <row r="70" spans="12:13">
      <c r="L70" s="189"/>
      <c r="M70" s="189"/>
    </row>
    <row r="71" spans="12:13">
      <c r="L71" s="189"/>
      <c r="M71" s="189"/>
    </row>
    <row r="72" spans="12:13">
      <c r="L72" s="189"/>
      <c r="M72" s="189"/>
    </row>
    <row r="73" spans="12:13">
      <c r="L73" s="189"/>
      <c r="M73" s="189"/>
    </row>
    <row r="74" spans="12:13">
      <c r="L74" s="189"/>
      <c r="M74" s="189"/>
    </row>
    <row r="75" spans="12:13">
      <c r="L75" s="189"/>
      <c r="M75" s="189"/>
    </row>
    <row r="76" spans="12:13">
      <c r="L76" s="189"/>
      <c r="M76" s="189"/>
    </row>
    <row r="77" spans="12:13">
      <c r="L77" s="189"/>
      <c r="M77" s="189"/>
    </row>
    <row r="78" spans="12:13">
      <c r="L78" s="189"/>
      <c r="M78" s="189"/>
    </row>
    <row r="79" spans="12:13">
      <c r="L79" s="189"/>
      <c r="M79" s="189"/>
    </row>
    <row r="80" spans="12:13">
      <c r="L80" s="189"/>
      <c r="M80" s="189"/>
    </row>
    <row r="81" spans="11:13">
      <c r="L81" s="189"/>
      <c r="M81" s="189"/>
    </row>
    <row r="82" spans="11:13">
      <c r="L82" s="189"/>
      <c r="M82" s="189"/>
    </row>
    <row r="83" spans="11:13">
      <c r="L83" s="189"/>
      <c r="M83" s="189"/>
    </row>
    <row r="84" spans="11:13">
      <c r="L84" s="189"/>
      <c r="M84" s="189"/>
    </row>
    <row r="85" spans="11:13">
      <c r="L85" s="189"/>
      <c r="M85" s="189"/>
    </row>
    <row r="86" spans="11:13">
      <c r="L86" s="189"/>
      <c r="M86" s="189"/>
    </row>
    <row r="87" spans="11:13">
      <c r="L87" s="189"/>
      <c r="M87" s="189"/>
    </row>
    <row r="88" spans="11:13">
      <c r="L88" s="189"/>
      <c r="M88" s="189"/>
    </row>
    <row r="89" spans="11:13">
      <c r="L89" s="189"/>
      <c r="M89" s="189"/>
    </row>
    <row r="90" spans="11:13">
      <c r="K90" s="189"/>
      <c r="L90" s="189"/>
      <c r="M90" s="189"/>
    </row>
    <row r="91" spans="11:13">
      <c r="L91" s="189"/>
      <c r="M91" s="189"/>
    </row>
    <row r="92" spans="11:13">
      <c r="L92" s="189"/>
      <c r="M92" s="189"/>
    </row>
    <row r="93" spans="11:13">
      <c r="L93" s="189"/>
      <c r="M93" s="189"/>
    </row>
    <row r="94" spans="11:13">
      <c r="L94" s="189"/>
      <c r="M94" s="189"/>
    </row>
    <row r="95" spans="11:13">
      <c r="L95" s="189"/>
      <c r="M95" s="189"/>
    </row>
    <row r="96" spans="11:13">
      <c r="L96" s="189"/>
      <c r="M96" s="189"/>
    </row>
    <row r="97" spans="12:13">
      <c r="L97" s="189"/>
      <c r="M97" s="189"/>
    </row>
    <row r="98" spans="12:13">
      <c r="L98" s="189"/>
      <c r="M98" s="189"/>
    </row>
    <row r="99" spans="12:13">
      <c r="L99" s="189"/>
      <c r="M99" s="189"/>
    </row>
    <row r="100" spans="12:13">
      <c r="L100" s="189"/>
      <c r="M100" s="189"/>
    </row>
    <row r="101" spans="12:13">
      <c r="L101" s="189"/>
      <c r="M101" s="189"/>
    </row>
    <row r="102" spans="12:13">
      <c r="L102" s="189"/>
      <c r="M102" s="189"/>
    </row>
    <row r="103" spans="12:13">
      <c r="L103" s="189"/>
      <c r="M103" s="189"/>
    </row>
    <row r="104" spans="12:13">
      <c r="L104" s="189"/>
      <c r="M104" s="189"/>
    </row>
    <row r="105" spans="12:13">
      <c r="L105" s="189"/>
      <c r="M105" s="189"/>
    </row>
    <row r="106" spans="12:13">
      <c r="L106" s="189"/>
      <c r="M106" s="189"/>
    </row>
    <row r="107" spans="12:13">
      <c r="L107" s="189"/>
      <c r="M107" s="189"/>
    </row>
    <row r="108" spans="12:13">
      <c r="L108" s="189"/>
      <c r="M108" s="189"/>
    </row>
    <row r="109" spans="12:13">
      <c r="L109" s="189"/>
      <c r="M109" s="189"/>
    </row>
    <row r="110" spans="12:13">
      <c r="L110" s="189"/>
      <c r="M110" s="189"/>
    </row>
    <row r="111" spans="12:13">
      <c r="L111" s="189"/>
      <c r="M111" s="189"/>
    </row>
    <row r="112" spans="12:13">
      <c r="L112" s="189"/>
      <c r="M112" s="189"/>
    </row>
    <row r="113" spans="11:13">
      <c r="L113" s="189"/>
      <c r="M113" s="189"/>
    </row>
    <row r="114" spans="11:13">
      <c r="L114" s="189"/>
      <c r="M114" s="189"/>
    </row>
    <row r="115" spans="11:13">
      <c r="L115" s="189"/>
      <c r="M115" s="189"/>
    </row>
    <row r="116" spans="11:13">
      <c r="L116" s="189"/>
      <c r="M116" s="189"/>
    </row>
    <row r="117" spans="11:13">
      <c r="K117" s="189"/>
      <c r="L117" s="189"/>
      <c r="M117" s="189"/>
    </row>
  </sheetData>
  <autoFilter ref="A11:P53">
    <filterColumn colId="3"/>
    <filterColumn colId="8"/>
  </autoFilter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19 H28 H41">
    <cfRule type="expression" dxfId="3" priority="1" stopIfTrue="1">
      <formula>$C19&lt;&gt;""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4" enableFormatConditionsCalculation="0">
    <tabColor indexed="31"/>
  </sheetPr>
  <dimension ref="A1:N98"/>
  <sheetViews>
    <sheetView topLeftCell="B1" zoomScale="90" zoomScaleNormal="90" workbookViewId="0">
      <selection activeCell="J1" sqref="J1:M3"/>
    </sheetView>
  </sheetViews>
  <sheetFormatPr defaultRowHeight="15"/>
  <cols>
    <col min="1" max="1" width="4.42578125" style="6" hidden="1" customWidth="1"/>
    <col min="2" max="3" width="11" style="6" customWidth="1"/>
    <col min="4" max="5" width="6.7109375" style="6" customWidth="1"/>
    <col min="6" max="6" width="35.28515625" style="6" customWidth="1"/>
    <col min="7" max="7" width="12" style="6" hidden="1" customWidth="1"/>
    <col min="8" max="8" width="28.5703125" style="6" hidden="1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42578125" style="6" customWidth="1"/>
    <col min="14" max="14" width="7.85546875" style="6" customWidth="1"/>
    <col min="15" max="16384" width="9.140625" style="6"/>
  </cols>
  <sheetData>
    <row r="1" spans="1:14" s="11" customFormat="1" ht="16.5" customHeight="1">
      <c r="B1" s="1" t="s">
        <v>0</v>
      </c>
      <c r="C1" s="10"/>
      <c r="D1" s="10"/>
      <c r="E1" s="10"/>
      <c r="F1" s="10"/>
      <c r="G1" s="363"/>
      <c r="H1" s="10"/>
      <c r="J1" s="400" t="s">
        <v>472</v>
      </c>
      <c r="K1" s="400"/>
      <c r="L1" s="400"/>
      <c r="M1" s="400"/>
      <c r="N1" s="372"/>
    </row>
    <row r="2" spans="1:14" s="11" customFormat="1" ht="16.5" customHeight="1">
      <c r="B2" s="1" t="str">
        <f>'01'!B2</f>
        <v>Địa chỉ: Lô A14, Đường 4A - KCN Hải Sơn, Đức Hòa, Long An</v>
      </c>
      <c r="C2" s="372"/>
      <c r="D2" s="372"/>
      <c r="E2" s="372"/>
      <c r="F2" s="372"/>
      <c r="G2" s="364"/>
      <c r="H2" s="372"/>
      <c r="J2" s="401" t="s">
        <v>473</v>
      </c>
      <c r="K2" s="401"/>
      <c r="L2" s="401"/>
      <c r="M2" s="401"/>
      <c r="N2" s="373"/>
    </row>
    <row r="3" spans="1:14" s="11" customFormat="1" ht="16.5" customHeight="1">
      <c r="B3" s="9"/>
      <c r="C3" s="372"/>
      <c r="D3" s="14"/>
      <c r="E3" s="14"/>
      <c r="F3" s="372"/>
      <c r="G3" s="364"/>
      <c r="H3" s="372"/>
      <c r="J3" s="401"/>
      <c r="K3" s="401"/>
      <c r="L3" s="401"/>
      <c r="M3" s="401"/>
      <c r="N3" s="373"/>
    </row>
    <row r="4" spans="1:14" s="11" customFormat="1" ht="6.75" customHeight="1">
      <c r="B4" s="372"/>
      <c r="C4" s="372"/>
      <c r="D4" s="372"/>
      <c r="E4" s="372"/>
      <c r="F4" s="372"/>
      <c r="G4" s="364"/>
      <c r="H4" s="372"/>
      <c r="J4" s="373"/>
      <c r="K4" s="373"/>
      <c r="L4" s="373"/>
      <c r="M4" s="373"/>
      <c r="N4" s="373"/>
    </row>
    <row r="5" spans="1:14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  <c r="N5" s="374"/>
    </row>
    <row r="6" spans="1:14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  <c r="N6" s="376"/>
    </row>
    <row r="7" spans="1:14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  <c r="N7" s="376"/>
    </row>
    <row r="8" spans="1:14">
      <c r="B8" s="15"/>
      <c r="L8" s="15" t="s">
        <v>19</v>
      </c>
    </row>
    <row r="9" spans="1:14" ht="30" customHeight="1">
      <c r="B9" s="403" t="s">
        <v>20</v>
      </c>
      <c r="C9" s="403" t="s">
        <v>21</v>
      </c>
      <c r="D9" s="403" t="s">
        <v>2</v>
      </c>
      <c r="E9" s="403"/>
      <c r="F9" s="403" t="s">
        <v>3</v>
      </c>
      <c r="G9" s="407" t="s">
        <v>73</v>
      </c>
      <c r="H9" s="404" t="s">
        <v>74</v>
      </c>
      <c r="I9" s="403" t="s">
        <v>22</v>
      </c>
      <c r="J9" s="403" t="s">
        <v>23</v>
      </c>
      <c r="K9" s="403"/>
      <c r="L9" s="403" t="s">
        <v>24</v>
      </c>
      <c r="M9" s="403" t="s">
        <v>4</v>
      </c>
      <c r="N9" s="341"/>
    </row>
    <row r="10" spans="1:14" ht="20.25" customHeight="1">
      <c r="B10" s="403"/>
      <c r="C10" s="403"/>
      <c r="D10" s="375" t="s">
        <v>5</v>
      </c>
      <c r="E10" s="375" t="s">
        <v>6</v>
      </c>
      <c r="F10" s="403"/>
      <c r="G10" s="408"/>
      <c r="H10" s="405"/>
      <c r="I10" s="403"/>
      <c r="J10" s="375" t="s">
        <v>25</v>
      </c>
      <c r="K10" s="375" t="s">
        <v>26</v>
      </c>
      <c r="L10" s="403"/>
      <c r="M10" s="403"/>
      <c r="N10" s="341"/>
    </row>
    <row r="11" spans="1:14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365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  <c r="N11" s="342"/>
    </row>
    <row r="12" spans="1:14" s="44" customFormat="1" ht="19.5" customHeight="1">
      <c r="B12" s="36"/>
      <c r="C12" s="36"/>
      <c r="D12" s="36"/>
      <c r="E12" s="36"/>
      <c r="F12" s="36" t="s">
        <v>28</v>
      </c>
      <c r="G12" s="366"/>
      <c r="H12" s="36"/>
      <c r="I12" s="37"/>
      <c r="J12" s="38"/>
      <c r="K12" s="36"/>
      <c r="L12" s="48">
        <f>'03'!L53</f>
        <v>522582356</v>
      </c>
      <c r="M12" s="36"/>
      <c r="N12" s="343"/>
    </row>
    <row r="13" spans="1:14" ht="20.25" customHeight="1">
      <c r="A13" s="6" t="str">
        <f t="shared" ref="A13:A44" si="0">D13&amp;E13</f>
        <v>C01</v>
      </c>
      <c r="B13" s="3">
        <v>41365</v>
      </c>
      <c r="C13" s="3">
        <v>41362</v>
      </c>
      <c r="D13" s="4"/>
      <c r="E13" s="22" t="s">
        <v>75</v>
      </c>
      <c r="F13" s="5" t="s">
        <v>266</v>
      </c>
      <c r="G13" s="5"/>
      <c r="H13" s="5"/>
      <c r="I13" s="28" t="s">
        <v>53</v>
      </c>
      <c r="J13" s="21"/>
      <c r="K13" s="5">
        <v>13496050</v>
      </c>
      <c r="L13" s="4">
        <f t="shared" ref="L13:L44" si="1">IF(F13&lt;&gt;"",L12+J13-K13,0)</f>
        <v>509086306</v>
      </c>
      <c r="M13" s="19"/>
      <c r="N13" s="344"/>
    </row>
    <row r="14" spans="1:14" ht="20.25" customHeight="1">
      <c r="A14" s="6" t="str">
        <f t="shared" si="0"/>
        <v>C01</v>
      </c>
      <c r="B14" s="3">
        <v>41365</v>
      </c>
      <c r="C14" s="3">
        <v>41362</v>
      </c>
      <c r="D14" s="4"/>
      <c r="E14" s="22" t="s">
        <v>75</v>
      </c>
      <c r="F14" s="5" t="s">
        <v>51</v>
      </c>
      <c r="G14" s="5"/>
      <c r="H14" s="5"/>
      <c r="I14" s="28" t="s">
        <v>35</v>
      </c>
      <c r="J14" s="21"/>
      <c r="K14" s="5">
        <v>455700</v>
      </c>
      <c r="L14" s="4">
        <f t="shared" si="1"/>
        <v>508630606</v>
      </c>
      <c r="M14" s="19"/>
      <c r="N14" s="344"/>
    </row>
    <row r="15" spans="1:14" ht="20.25" customHeight="1">
      <c r="A15" s="6" t="str">
        <f t="shared" si="0"/>
        <v>C01</v>
      </c>
      <c r="B15" s="3">
        <v>41365</v>
      </c>
      <c r="C15" s="3">
        <v>41362</v>
      </c>
      <c r="D15" s="4"/>
      <c r="E15" s="22" t="s">
        <v>75</v>
      </c>
      <c r="F15" s="5" t="s">
        <v>340</v>
      </c>
      <c r="G15" s="5"/>
      <c r="H15" s="5"/>
      <c r="I15" s="28" t="s">
        <v>35</v>
      </c>
      <c r="J15" s="21"/>
      <c r="K15" s="5">
        <v>240925</v>
      </c>
      <c r="L15" s="4">
        <f t="shared" si="1"/>
        <v>508389681</v>
      </c>
      <c r="M15" s="19"/>
      <c r="N15" s="344"/>
    </row>
    <row r="16" spans="1:14" ht="20.25" customHeight="1">
      <c r="A16" s="6" t="str">
        <f t="shared" si="0"/>
        <v>C02</v>
      </c>
      <c r="B16" s="3">
        <v>41365</v>
      </c>
      <c r="C16" s="3">
        <v>41365</v>
      </c>
      <c r="D16" s="4"/>
      <c r="E16" s="22" t="s">
        <v>76</v>
      </c>
      <c r="F16" s="5" t="s">
        <v>332</v>
      </c>
      <c r="G16" s="5"/>
      <c r="H16" s="5"/>
      <c r="I16" s="28" t="s">
        <v>193</v>
      </c>
      <c r="J16" s="21"/>
      <c r="K16" s="5">
        <v>2360000</v>
      </c>
      <c r="L16" s="4">
        <f t="shared" si="1"/>
        <v>506029681</v>
      </c>
      <c r="M16" s="19"/>
      <c r="N16" s="344"/>
    </row>
    <row r="17" spans="1:14" ht="20.25" customHeight="1">
      <c r="A17" s="6" t="str">
        <f t="shared" si="0"/>
        <v>C02</v>
      </c>
      <c r="B17" s="3">
        <v>41365</v>
      </c>
      <c r="C17" s="3">
        <v>41365</v>
      </c>
      <c r="D17" s="4"/>
      <c r="E17" s="22" t="s">
        <v>76</v>
      </c>
      <c r="F17" s="5" t="s">
        <v>333</v>
      </c>
      <c r="G17" s="5"/>
      <c r="H17" s="5"/>
      <c r="I17" s="28" t="s">
        <v>35</v>
      </c>
      <c r="J17" s="21"/>
      <c r="K17" s="5">
        <v>118000</v>
      </c>
      <c r="L17" s="4">
        <f t="shared" si="1"/>
        <v>505911681</v>
      </c>
      <c r="M17" s="19"/>
      <c r="N17" s="344"/>
    </row>
    <row r="18" spans="1:14" ht="20.25" customHeight="1">
      <c r="A18" s="6" t="str">
        <f t="shared" si="0"/>
        <v>C03</v>
      </c>
      <c r="B18" s="3">
        <v>41366</v>
      </c>
      <c r="C18" s="3">
        <v>41366</v>
      </c>
      <c r="D18" s="4"/>
      <c r="E18" s="22" t="s">
        <v>77</v>
      </c>
      <c r="F18" s="5" t="s">
        <v>341</v>
      </c>
      <c r="G18" s="5"/>
      <c r="H18" s="5"/>
      <c r="I18" s="28" t="s">
        <v>192</v>
      </c>
      <c r="J18" s="21"/>
      <c r="K18" s="5">
        <v>181818</v>
      </c>
      <c r="L18" s="4">
        <f t="shared" si="1"/>
        <v>505729863</v>
      </c>
      <c r="M18" s="19"/>
      <c r="N18" s="344"/>
    </row>
    <row r="19" spans="1:14" ht="20.25" customHeight="1">
      <c r="A19" s="6" t="str">
        <f t="shared" si="0"/>
        <v>C03</v>
      </c>
      <c r="B19" s="3">
        <v>41366</v>
      </c>
      <c r="C19" s="3">
        <v>41366</v>
      </c>
      <c r="D19" s="4"/>
      <c r="E19" s="22" t="s">
        <v>77</v>
      </c>
      <c r="F19" s="5" t="s">
        <v>342</v>
      </c>
      <c r="G19" s="5"/>
      <c r="H19" s="5"/>
      <c r="I19" s="28" t="s">
        <v>35</v>
      </c>
      <c r="J19" s="21"/>
      <c r="K19" s="5">
        <v>18182</v>
      </c>
      <c r="L19" s="4">
        <f t="shared" si="1"/>
        <v>505711681</v>
      </c>
      <c r="M19" s="19"/>
      <c r="N19" s="344"/>
    </row>
    <row r="20" spans="1:14" ht="20.25" customHeight="1">
      <c r="A20" s="6" t="str">
        <f t="shared" si="0"/>
        <v>T01</v>
      </c>
      <c r="B20" s="3">
        <v>41367</v>
      </c>
      <c r="C20" s="3">
        <v>41367</v>
      </c>
      <c r="D20" s="4" t="s">
        <v>39</v>
      </c>
      <c r="E20" s="22"/>
      <c r="F20" s="5" t="s">
        <v>269</v>
      </c>
      <c r="G20" s="5"/>
      <c r="H20" s="5"/>
      <c r="I20" s="28" t="s">
        <v>36</v>
      </c>
      <c r="J20" s="21">
        <v>964000000</v>
      </c>
      <c r="K20" s="5"/>
      <c r="L20" s="4">
        <f t="shared" si="1"/>
        <v>1469711681</v>
      </c>
      <c r="M20" s="19"/>
      <c r="N20" s="344"/>
    </row>
    <row r="21" spans="1:14" ht="20.25" customHeight="1">
      <c r="A21" s="6" t="str">
        <f t="shared" si="0"/>
        <v>C04</v>
      </c>
      <c r="B21" s="3">
        <v>41367</v>
      </c>
      <c r="C21" s="3">
        <v>41367</v>
      </c>
      <c r="D21" s="4"/>
      <c r="E21" s="22" t="s">
        <v>78</v>
      </c>
      <c r="F21" s="5" t="s">
        <v>271</v>
      </c>
      <c r="G21" s="5"/>
      <c r="H21" s="5"/>
      <c r="I21" s="28" t="s">
        <v>36</v>
      </c>
      <c r="J21" s="21"/>
      <c r="K21" s="5">
        <v>1000000000</v>
      </c>
      <c r="L21" s="4">
        <f t="shared" si="1"/>
        <v>469711681</v>
      </c>
      <c r="M21" s="19"/>
      <c r="N21" s="344"/>
    </row>
    <row r="22" spans="1:14" ht="20.25" customHeight="1">
      <c r="A22" s="6" t="str">
        <f t="shared" si="0"/>
        <v>T02</v>
      </c>
      <c r="B22" s="3">
        <v>41370</v>
      </c>
      <c r="C22" s="3">
        <v>41370</v>
      </c>
      <c r="D22" s="4" t="s">
        <v>40</v>
      </c>
      <c r="E22" s="22"/>
      <c r="F22" s="5" t="s">
        <v>269</v>
      </c>
      <c r="G22" s="5"/>
      <c r="H22" s="5"/>
      <c r="I22" s="28" t="s">
        <v>36</v>
      </c>
      <c r="J22" s="21">
        <v>377000000</v>
      </c>
      <c r="K22" s="5"/>
      <c r="L22" s="4">
        <f t="shared" si="1"/>
        <v>846711681</v>
      </c>
      <c r="M22" s="19"/>
      <c r="N22" s="344"/>
    </row>
    <row r="23" spans="1:14" ht="20.25" customHeight="1">
      <c r="A23" s="6" t="str">
        <f t="shared" si="0"/>
        <v>C05</v>
      </c>
      <c r="B23" s="3">
        <v>41372</v>
      </c>
      <c r="C23" s="3">
        <v>41372</v>
      </c>
      <c r="D23" s="4"/>
      <c r="E23" s="22" t="s">
        <v>79</v>
      </c>
      <c r="F23" s="5" t="s">
        <v>343</v>
      </c>
      <c r="G23" s="5"/>
      <c r="H23" s="5"/>
      <c r="I23" s="28" t="s">
        <v>53</v>
      </c>
      <c r="J23" s="21"/>
      <c r="K23" s="5">
        <v>1630000</v>
      </c>
      <c r="L23" s="4">
        <f t="shared" si="1"/>
        <v>845081681</v>
      </c>
      <c r="M23" s="19"/>
      <c r="N23" s="344"/>
    </row>
    <row r="24" spans="1:14" ht="20.25" customHeight="1">
      <c r="A24" s="6" t="str">
        <f t="shared" si="0"/>
        <v>C06</v>
      </c>
      <c r="B24" s="3">
        <v>41372</v>
      </c>
      <c r="C24" s="3">
        <v>41372</v>
      </c>
      <c r="D24" s="4"/>
      <c r="E24" s="22" t="s">
        <v>80</v>
      </c>
      <c r="F24" s="5" t="s">
        <v>344</v>
      </c>
      <c r="G24" s="5"/>
      <c r="H24" s="5"/>
      <c r="I24" s="28" t="s">
        <v>53</v>
      </c>
      <c r="J24" s="21"/>
      <c r="K24" s="5">
        <v>12595100</v>
      </c>
      <c r="L24" s="4">
        <f t="shared" si="1"/>
        <v>832486581</v>
      </c>
      <c r="M24" s="19"/>
      <c r="N24" s="344"/>
    </row>
    <row r="25" spans="1:14" ht="20.25" customHeight="1">
      <c r="A25" s="6" t="str">
        <f t="shared" si="0"/>
        <v>C06</v>
      </c>
      <c r="B25" s="3">
        <v>41372</v>
      </c>
      <c r="C25" s="3">
        <v>41372</v>
      </c>
      <c r="D25" s="4"/>
      <c r="E25" s="22" t="s">
        <v>80</v>
      </c>
      <c r="F25" s="5" t="s">
        <v>345</v>
      </c>
      <c r="G25" s="5"/>
      <c r="H25" s="5"/>
      <c r="I25" s="28" t="s">
        <v>35</v>
      </c>
      <c r="J25" s="21"/>
      <c r="K25" s="5">
        <v>1259510</v>
      </c>
      <c r="L25" s="4">
        <f t="shared" si="1"/>
        <v>831227071</v>
      </c>
      <c r="M25" s="19"/>
      <c r="N25" s="344"/>
    </row>
    <row r="26" spans="1:14" ht="20.25" customHeight="1">
      <c r="A26" s="6" t="str">
        <f t="shared" si="0"/>
        <v>C07</v>
      </c>
      <c r="B26" s="3">
        <v>41373</v>
      </c>
      <c r="C26" s="3">
        <v>41373</v>
      </c>
      <c r="D26" s="4"/>
      <c r="E26" s="52" t="s">
        <v>81</v>
      </c>
      <c r="F26" s="5" t="s">
        <v>49</v>
      </c>
      <c r="G26" s="5"/>
      <c r="H26" s="5"/>
      <c r="I26" s="28" t="s">
        <v>192</v>
      </c>
      <c r="J26" s="21"/>
      <c r="K26" s="5">
        <v>379409</v>
      </c>
      <c r="L26" s="4">
        <f t="shared" si="1"/>
        <v>830847662</v>
      </c>
      <c r="M26" s="19"/>
      <c r="N26" s="344"/>
    </row>
    <row r="27" spans="1:14" ht="20.25" customHeight="1">
      <c r="A27" s="6" t="str">
        <f t="shared" si="0"/>
        <v>C07</v>
      </c>
      <c r="B27" s="3">
        <v>41373</v>
      </c>
      <c r="C27" s="3">
        <v>41373</v>
      </c>
      <c r="D27" s="4"/>
      <c r="E27" s="22" t="s">
        <v>81</v>
      </c>
      <c r="F27" s="30" t="s">
        <v>208</v>
      </c>
      <c r="G27" s="50"/>
      <c r="H27" s="50"/>
      <c r="I27" s="28" t="s">
        <v>53</v>
      </c>
      <c r="J27" s="21"/>
      <c r="K27" s="5">
        <v>3674773</v>
      </c>
      <c r="L27" s="4">
        <f t="shared" si="1"/>
        <v>827172889</v>
      </c>
      <c r="M27" s="19"/>
      <c r="N27" s="344"/>
    </row>
    <row r="28" spans="1:14" ht="20.25" customHeight="1">
      <c r="A28" s="6" t="str">
        <f t="shared" si="0"/>
        <v>C07</v>
      </c>
      <c r="B28" s="3">
        <v>41373</v>
      </c>
      <c r="C28" s="3">
        <v>41373</v>
      </c>
      <c r="D28" s="4"/>
      <c r="E28" s="22" t="s">
        <v>81</v>
      </c>
      <c r="F28" s="5" t="s">
        <v>228</v>
      </c>
      <c r="G28" s="5"/>
      <c r="H28" s="5"/>
      <c r="I28" s="28" t="s">
        <v>35</v>
      </c>
      <c r="J28" s="21"/>
      <c r="K28" s="5">
        <v>405418</v>
      </c>
      <c r="L28" s="4">
        <f t="shared" si="1"/>
        <v>826767471</v>
      </c>
      <c r="M28" s="19"/>
      <c r="N28" s="344"/>
    </row>
    <row r="29" spans="1:14" ht="20.25" customHeight="1">
      <c r="A29" s="6" t="str">
        <f t="shared" si="0"/>
        <v>C08</v>
      </c>
      <c r="B29" s="3">
        <v>41374</v>
      </c>
      <c r="C29" s="3">
        <v>41374</v>
      </c>
      <c r="D29" s="4"/>
      <c r="E29" s="22" t="s">
        <v>82</v>
      </c>
      <c r="F29" s="5" t="s">
        <v>332</v>
      </c>
      <c r="G29" s="5"/>
      <c r="H29" s="5"/>
      <c r="I29" s="28" t="s">
        <v>193</v>
      </c>
      <c r="J29" s="21"/>
      <c r="K29" s="5">
        <v>530000</v>
      </c>
      <c r="L29" s="4">
        <f t="shared" si="1"/>
        <v>826237471</v>
      </c>
      <c r="M29" s="19"/>
      <c r="N29" s="344"/>
    </row>
    <row r="30" spans="1:14" ht="20.25" customHeight="1">
      <c r="A30" s="6" t="str">
        <f t="shared" si="0"/>
        <v>C08</v>
      </c>
      <c r="B30" s="3">
        <v>41374</v>
      </c>
      <c r="C30" s="3">
        <v>41374</v>
      </c>
      <c r="D30" s="4"/>
      <c r="E30" s="22" t="s">
        <v>82</v>
      </c>
      <c r="F30" s="5" t="s">
        <v>333</v>
      </c>
      <c r="G30" s="5"/>
      <c r="H30" s="5"/>
      <c r="I30" s="28" t="s">
        <v>35</v>
      </c>
      <c r="J30" s="21"/>
      <c r="K30" s="5">
        <v>26500</v>
      </c>
      <c r="L30" s="4">
        <f t="shared" si="1"/>
        <v>826210971</v>
      </c>
      <c r="M30" s="53"/>
      <c r="N30" s="344"/>
    </row>
    <row r="31" spans="1:14" ht="20.25" customHeight="1">
      <c r="A31" s="6" t="str">
        <f t="shared" si="0"/>
        <v>C09</v>
      </c>
      <c r="B31" s="3">
        <v>41375</v>
      </c>
      <c r="C31" s="3">
        <v>41375</v>
      </c>
      <c r="D31" s="4"/>
      <c r="E31" s="22" t="s">
        <v>83</v>
      </c>
      <c r="F31" s="30" t="s">
        <v>346</v>
      </c>
      <c r="G31" s="50"/>
      <c r="H31" s="50"/>
      <c r="I31" s="28" t="s">
        <v>192</v>
      </c>
      <c r="J31" s="21"/>
      <c r="K31" s="5">
        <v>4280000</v>
      </c>
      <c r="L31" s="4">
        <f t="shared" si="1"/>
        <v>821930971</v>
      </c>
      <c r="M31" s="53"/>
      <c r="N31" s="344"/>
    </row>
    <row r="32" spans="1:14" ht="20.25" customHeight="1">
      <c r="A32" s="6" t="str">
        <f t="shared" si="0"/>
        <v>T03</v>
      </c>
      <c r="B32" s="3">
        <v>41377</v>
      </c>
      <c r="C32" s="3">
        <v>41377</v>
      </c>
      <c r="D32" s="4" t="s">
        <v>41</v>
      </c>
      <c r="E32" s="22"/>
      <c r="F32" s="30" t="s">
        <v>269</v>
      </c>
      <c r="G32" s="50"/>
      <c r="H32" s="50"/>
      <c r="I32" s="28" t="s">
        <v>36</v>
      </c>
      <c r="J32" s="21">
        <v>750000000</v>
      </c>
      <c r="K32" s="5"/>
      <c r="L32" s="4">
        <f t="shared" si="1"/>
        <v>1571930971</v>
      </c>
      <c r="M32" s="19"/>
      <c r="N32" s="344"/>
    </row>
    <row r="33" spans="1:14" ht="20.25" customHeight="1">
      <c r="A33" s="6" t="str">
        <f t="shared" si="0"/>
        <v>C10</v>
      </c>
      <c r="B33" s="3">
        <v>41377</v>
      </c>
      <c r="C33" s="3">
        <v>41377</v>
      </c>
      <c r="D33" s="4"/>
      <c r="E33" s="22" t="s">
        <v>84</v>
      </c>
      <c r="F33" s="5" t="s">
        <v>272</v>
      </c>
      <c r="G33" s="5"/>
      <c r="H33" s="5"/>
      <c r="I33" s="28" t="s">
        <v>120</v>
      </c>
      <c r="J33" s="21"/>
      <c r="K33" s="5">
        <v>600000000</v>
      </c>
      <c r="L33" s="4">
        <f t="shared" si="1"/>
        <v>971930971</v>
      </c>
      <c r="M33" s="19"/>
      <c r="N33" s="344"/>
    </row>
    <row r="34" spans="1:14" ht="20.25" customHeight="1">
      <c r="A34" s="6" t="str">
        <f t="shared" si="0"/>
        <v>C11</v>
      </c>
      <c r="B34" s="3">
        <v>41377</v>
      </c>
      <c r="C34" s="3">
        <v>41377</v>
      </c>
      <c r="D34" s="4"/>
      <c r="E34" s="22" t="s">
        <v>85</v>
      </c>
      <c r="F34" s="5" t="s">
        <v>194</v>
      </c>
      <c r="G34" s="5"/>
      <c r="H34" s="5"/>
      <c r="I34" s="28" t="s">
        <v>120</v>
      </c>
      <c r="J34" s="21"/>
      <c r="K34" s="5">
        <v>550000000</v>
      </c>
      <c r="L34" s="4">
        <f t="shared" si="1"/>
        <v>421930971</v>
      </c>
      <c r="M34" s="19"/>
      <c r="N34" s="344"/>
    </row>
    <row r="35" spans="1:14" ht="20.25" customHeight="1">
      <c r="A35" s="6" t="str">
        <f t="shared" si="0"/>
        <v>C12</v>
      </c>
      <c r="B35" s="3">
        <v>41379</v>
      </c>
      <c r="C35" s="3">
        <v>41379</v>
      </c>
      <c r="D35" s="4"/>
      <c r="E35" s="22" t="s">
        <v>86</v>
      </c>
      <c r="F35" s="5" t="s">
        <v>347</v>
      </c>
      <c r="G35" s="5"/>
      <c r="H35" s="5"/>
      <c r="I35" s="28" t="s">
        <v>192</v>
      </c>
      <c r="J35" s="21"/>
      <c r="K35" s="5">
        <v>1177000</v>
      </c>
      <c r="L35" s="4">
        <f t="shared" si="1"/>
        <v>420753971</v>
      </c>
      <c r="M35" s="19"/>
      <c r="N35" s="344"/>
    </row>
    <row r="36" spans="1:14" ht="20.25" customHeight="1">
      <c r="A36" s="6" t="str">
        <f t="shared" si="0"/>
        <v>C12</v>
      </c>
      <c r="B36" s="3">
        <v>41379</v>
      </c>
      <c r="C36" s="3">
        <v>41379</v>
      </c>
      <c r="D36" s="4"/>
      <c r="E36" s="22" t="s">
        <v>86</v>
      </c>
      <c r="F36" s="5" t="s">
        <v>348</v>
      </c>
      <c r="G36" s="5"/>
      <c r="H36" s="5"/>
      <c r="I36" s="28" t="s">
        <v>35</v>
      </c>
      <c r="J36" s="21"/>
      <c r="K36" s="5">
        <v>117700</v>
      </c>
      <c r="L36" s="4">
        <f t="shared" si="1"/>
        <v>420636271</v>
      </c>
      <c r="M36" s="19"/>
      <c r="N36" s="344"/>
    </row>
    <row r="37" spans="1:14" ht="20.25" customHeight="1">
      <c r="A37" s="6" t="str">
        <f t="shared" si="0"/>
        <v>C13</v>
      </c>
      <c r="B37" s="3">
        <v>41379</v>
      </c>
      <c r="C37" s="3">
        <v>41379</v>
      </c>
      <c r="D37" s="4"/>
      <c r="E37" s="22" t="s">
        <v>87</v>
      </c>
      <c r="F37" s="5" t="s">
        <v>49</v>
      </c>
      <c r="G37" s="5"/>
      <c r="H37" s="5"/>
      <c r="I37" s="28" t="s">
        <v>192</v>
      </c>
      <c r="J37" s="21"/>
      <c r="K37" s="5">
        <v>65591</v>
      </c>
      <c r="L37" s="4">
        <f t="shared" si="1"/>
        <v>420570680</v>
      </c>
      <c r="M37" s="19"/>
      <c r="N37" s="344"/>
    </row>
    <row r="38" spans="1:14" ht="20.25" customHeight="1">
      <c r="A38" s="6" t="str">
        <f t="shared" si="0"/>
        <v>C13</v>
      </c>
      <c r="B38" s="3">
        <v>41379</v>
      </c>
      <c r="C38" s="3">
        <v>41379</v>
      </c>
      <c r="D38" s="4"/>
      <c r="E38" s="22" t="s">
        <v>87</v>
      </c>
      <c r="F38" s="5" t="s">
        <v>208</v>
      </c>
      <c r="G38" s="5"/>
      <c r="H38" s="5"/>
      <c r="I38" s="28" t="s">
        <v>53</v>
      </c>
      <c r="J38" s="21"/>
      <c r="K38" s="5">
        <v>1750909</v>
      </c>
      <c r="L38" s="4">
        <f t="shared" si="1"/>
        <v>418819771</v>
      </c>
      <c r="M38" s="19"/>
      <c r="N38" s="344"/>
    </row>
    <row r="39" spans="1:14" ht="20.25" customHeight="1">
      <c r="A39" s="6" t="str">
        <f t="shared" si="0"/>
        <v>C13</v>
      </c>
      <c r="B39" s="3">
        <v>41379</v>
      </c>
      <c r="C39" s="3">
        <v>41379</v>
      </c>
      <c r="D39" s="4"/>
      <c r="E39" s="22" t="s">
        <v>87</v>
      </c>
      <c r="F39" s="30" t="s">
        <v>228</v>
      </c>
      <c r="G39" s="5"/>
      <c r="H39" s="5"/>
      <c r="I39" s="28" t="s">
        <v>35</v>
      </c>
      <c r="J39" s="21"/>
      <c r="K39" s="5">
        <v>181650</v>
      </c>
      <c r="L39" s="4">
        <f t="shared" si="1"/>
        <v>418638121</v>
      </c>
      <c r="M39" s="19"/>
      <c r="N39" s="344"/>
    </row>
    <row r="40" spans="1:14" ht="20.25" customHeight="1">
      <c r="A40" s="6" t="str">
        <f t="shared" si="0"/>
        <v>C14</v>
      </c>
      <c r="B40" s="3">
        <v>41380</v>
      </c>
      <c r="C40" s="3">
        <v>41380</v>
      </c>
      <c r="D40" s="4"/>
      <c r="E40" s="22" t="s">
        <v>88</v>
      </c>
      <c r="F40" s="5" t="s">
        <v>198</v>
      </c>
      <c r="G40" s="5"/>
      <c r="H40" s="5"/>
      <c r="I40" s="28" t="s">
        <v>193</v>
      </c>
      <c r="J40" s="21"/>
      <c r="K40" s="5">
        <v>20000</v>
      </c>
      <c r="L40" s="4">
        <f t="shared" si="1"/>
        <v>418618121</v>
      </c>
      <c r="M40" s="19"/>
      <c r="N40" s="344"/>
    </row>
    <row r="41" spans="1:14" ht="20.25" customHeight="1">
      <c r="A41" s="6" t="str">
        <f t="shared" si="0"/>
        <v>C15</v>
      </c>
      <c r="B41" s="3">
        <v>41380</v>
      </c>
      <c r="C41" s="3">
        <v>41380</v>
      </c>
      <c r="D41" s="4"/>
      <c r="E41" s="22" t="s">
        <v>89</v>
      </c>
      <c r="F41" s="5" t="s">
        <v>349</v>
      </c>
      <c r="G41" s="5"/>
      <c r="H41" s="5"/>
      <c r="I41" s="28" t="s">
        <v>193</v>
      </c>
      <c r="J41" s="21"/>
      <c r="K41" s="5">
        <v>5258450</v>
      </c>
      <c r="L41" s="4">
        <f t="shared" si="1"/>
        <v>413359671</v>
      </c>
      <c r="M41" s="19"/>
      <c r="N41" s="344"/>
    </row>
    <row r="42" spans="1:14" ht="20.25" customHeight="1">
      <c r="A42" s="6" t="str">
        <f t="shared" si="0"/>
        <v>C15</v>
      </c>
      <c r="B42" s="3">
        <v>41380</v>
      </c>
      <c r="C42" s="3">
        <v>41380</v>
      </c>
      <c r="D42" s="4"/>
      <c r="E42" s="22" t="s">
        <v>89</v>
      </c>
      <c r="F42" s="5" t="s">
        <v>350</v>
      </c>
      <c r="G42" s="5"/>
      <c r="H42" s="5"/>
      <c r="I42" s="28" t="s">
        <v>35</v>
      </c>
      <c r="J42" s="21"/>
      <c r="K42" s="5">
        <v>525845</v>
      </c>
      <c r="L42" s="4">
        <f t="shared" si="1"/>
        <v>412833826</v>
      </c>
      <c r="M42" s="19"/>
      <c r="N42" s="344"/>
    </row>
    <row r="43" spans="1:14" ht="20.25" customHeight="1">
      <c r="A43" s="6" t="str">
        <f t="shared" si="0"/>
        <v>T04</v>
      </c>
      <c r="B43" s="3">
        <v>41381</v>
      </c>
      <c r="C43" s="3">
        <v>41381</v>
      </c>
      <c r="D43" s="4" t="s">
        <v>42</v>
      </c>
      <c r="E43" s="22"/>
      <c r="F43" s="5" t="s">
        <v>269</v>
      </c>
      <c r="G43" s="5"/>
      <c r="H43" s="5"/>
      <c r="I43" s="28" t="s">
        <v>36</v>
      </c>
      <c r="J43" s="21">
        <v>1668000000</v>
      </c>
      <c r="K43" s="5"/>
      <c r="L43" s="4">
        <f t="shared" si="1"/>
        <v>2080833826</v>
      </c>
      <c r="M43" s="19"/>
      <c r="N43" s="344"/>
    </row>
    <row r="44" spans="1:14" ht="20.25" customHeight="1">
      <c r="A44" s="6" t="str">
        <f t="shared" si="0"/>
        <v>C16</v>
      </c>
      <c r="B44" s="3">
        <v>41381</v>
      </c>
      <c r="C44" s="3">
        <v>41381</v>
      </c>
      <c r="D44" s="4"/>
      <c r="E44" s="22" t="s">
        <v>90</v>
      </c>
      <c r="F44" s="5" t="s">
        <v>272</v>
      </c>
      <c r="G44" s="5"/>
      <c r="H44" s="5"/>
      <c r="I44" s="28" t="s">
        <v>120</v>
      </c>
      <c r="J44" s="21"/>
      <c r="K44" s="5">
        <v>600000000</v>
      </c>
      <c r="L44" s="4">
        <f t="shared" si="1"/>
        <v>1480833826</v>
      </c>
      <c r="M44" s="19"/>
      <c r="N44" s="344"/>
    </row>
    <row r="45" spans="1:14" ht="20.25" customHeight="1">
      <c r="A45" s="6" t="str">
        <f t="shared" ref="A45:A61" si="2">D45&amp;E45</f>
        <v>C17</v>
      </c>
      <c r="B45" s="3">
        <v>41381</v>
      </c>
      <c r="C45" s="3">
        <v>41381</v>
      </c>
      <c r="D45" s="4"/>
      <c r="E45" s="22" t="s">
        <v>91</v>
      </c>
      <c r="F45" s="5" t="s">
        <v>194</v>
      </c>
      <c r="G45" s="5"/>
      <c r="H45" s="5"/>
      <c r="I45" s="28" t="s">
        <v>120</v>
      </c>
      <c r="J45" s="21"/>
      <c r="K45" s="5">
        <v>500000000</v>
      </c>
      <c r="L45" s="4">
        <f t="shared" ref="L45:L61" si="3">IF(F45&lt;&gt;"",L44+J45-K45,0)</f>
        <v>980833826</v>
      </c>
      <c r="M45" s="19"/>
      <c r="N45" s="344"/>
    </row>
    <row r="46" spans="1:14" ht="20.25" customHeight="1">
      <c r="A46" s="6" t="str">
        <f t="shared" si="2"/>
        <v>T05</v>
      </c>
      <c r="B46" s="3">
        <v>41382</v>
      </c>
      <c r="C46" s="3">
        <v>41382</v>
      </c>
      <c r="D46" s="4" t="s">
        <v>43</v>
      </c>
      <c r="E46" s="22"/>
      <c r="F46" s="30" t="s">
        <v>269</v>
      </c>
      <c r="G46" s="5"/>
      <c r="H46" s="5"/>
      <c r="I46" s="28" t="s">
        <v>36</v>
      </c>
      <c r="J46" s="21">
        <v>1162000000</v>
      </c>
      <c r="K46" s="5"/>
      <c r="L46" s="4">
        <f t="shared" si="3"/>
        <v>2142833826</v>
      </c>
      <c r="M46" s="19"/>
      <c r="N46" s="344"/>
    </row>
    <row r="47" spans="1:14" ht="20.25" customHeight="1">
      <c r="A47" s="6" t="str">
        <f t="shared" si="2"/>
        <v>C18</v>
      </c>
      <c r="B47" s="3">
        <v>41382</v>
      </c>
      <c r="C47" s="3">
        <v>41382</v>
      </c>
      <c r="D47" s="4"/>
      <c r="E47" s="22" t="s">
        <v>92</v>
      </c>
      <c r="F47" s="5" t="s">
        <v>272</v>
      </c>
      <c r="G47" s="5"/>
      <c r="H47" s="5"/>
      <c r="I47" s="28" t="s">
        <v>120</v>
      </c>
      <c r="J47" s="21"/>
      <c r="K47" s="5">
        <v>600000000</v>
      </c>
      <c r="L47" s="4">
        <f t="shared" si="3"/>
        <v>1542833826</v>
      </c>
      <c r="M47" s="19"/>
      <c r="N47" s="344"/>
    </row>
    <row r="48" spans="1:14" ht="20.25" customHeight="1">
      <c r="A48" s="6" t="str">
        <f t="shared" si="2"/>
        <v>C19</v>
      </c>
      <c r="B48" s="3">
        <v>41382</v>
      </c>
      <c r="C48" s="3">
        <v>41382</v>
      </c>
      <c r="D48" s="4"/>
      <c r="E48" s="22" t="s">
        <v>93</v>
      </c>
      <c r="F48" s="5" t="s">
        <v>194</v>
      </c>
      <c r="G48" s="5"/>
      <c r="H48" s="5"/>
      <c r="I48" s="28" t="s">
        <v>120</v>
      </c>
      <c r="J48" s="21"/>
      <c r="K48" s="5">
        <v>370000000</v>
      </c>
      <c r="L48" s="4">
        <f t="shared" si="3"/>
        <v>1172833826</v>
      </c>
      <c r="M48" s="19"/>
      <c r="N48" s="344"/>
    </row>
    <row r="49" spans="1:14" ht="20.25" customHeight="1">
      <c r="A49" s="6" t="str">
        <f t="shared" si="2"/>
        <v>C20</v>
      </c>
      <c r="B49" s="3">
        <v>41385</v>
      </c>
      <c r="C49" s="3">
        <v>41385</v>
      </c>
      <c r="D49" s="4"/>
      <c r="E49" s="22" t="s">
        <v>94</v>
      </c>
      <c r="F49" s="5" t="s">
        <v>351</v>
      </c>
      <c r="G49" s="5"/>
      <c r="H49" s="5"/>
      <c r="I49" s="28" t="s">
        <v>193</v>
      </c>
      <c r="J49" s="21"/>
      <c r="K49" s="5">
        <v>5252175</v>
      </c>
      <c r="L49" s="4">
        <f t="shared" si="3"/>
        <v>1167581651</v>
      </c>
      <c r="M49" s="19"/>
      <c r="N49" s="344"/>
    </row>
    <row r="50" spans="1:14" ht="20.25" customHeight="1">
      <c r="A50" s="6" t="str">
        <f t="shared" si="2"/>
        <v>C20</v>
      </c>
      <c r="B50" s="3">
        <v>41385</v>
      </c>
      <c r="C50" s="3">
        <v>41385</v>
      </c>
      <c r="D50" s="4"/>
      <c r="E50" s="52" t="s">
        <v>94</v>
      </c>
      <c r="F50" s="5" t="s">
        <v>352</v>
      </c>
      <c r="G50" s="5"/>
      <c r="H50" s="5"/>
      <c r="I50" s="28" t="s">
        <v>35</v>
      </c>
      <c r="J50" s="21"/>
      <c r="K50" s="5">
        <v>525218</v>
      </c>
      <c r="L50" s="4">
        <f t="shared" si="3"/>
        <v>1167056433</v>
      </c>
      <c r="M50" s="19"/>
      <c r="N50" s="344"/>
    </row>
    <row r="51" spans="1:14" ht="20.25" customHeight="1">
      <c r="A51" s="6" t="str">
        <f t="shared" si="2"/>
        <v>C21</v>
      </c>
      <c r="B51" s="3">
        <v>41385</v>
      </c>
      <c r="C51" s="3">
        <v>41385</v>
      </c>
      <c r="D51" s="4"/>
      <c r="E51" s="22" t="s">
        <v>95</v>
      </c>
      <c r="F51" s="30" t="s">
        <v>272</v>
      </c>
      <c r="G51" s="50"/>
      <c r="H51" s="50"/>
      <c r="I51" s="28" t="s">
        <v>120</v>
      </c>
      <c r="J51" s="21"/>
      <c r="K51" s="5">
        <v>460000000</v>
      </c>
      <c r="L51" s="4">
        <f t="shared" si="3"/>
        <v>707056433</v>
      </c>
      <c r="M51" s="19"/>
      <c r="N51" s="344"/>
    </row>
    <row r="52" spans="1:14" ht="20.25" customHeight="1">
      <c r="A52" s="6" t="str">
        <f t="shared" si="2"/>
        <v>C22</v>
      </c>
      <c r="B52" s="3">
        <v>41389</v>
      </c>
      <c r="C52" s="3">
        <v>41389</v>
      </c>
      <c r="D52" s="4"/>
      <c r="E52" s="22" t="s">
        <v>96</v>
      </c>
      <c r="F52" s="30" t="s">
        <v>276</v>
      </c>
      <c r="G52" s="50"/>
      <c r="H52" s="50"/>
      <c r="I52" s="28" t="s">
        <v>192</v>
      </c>
      <c r="J52" s="21"/>
      <c r="K52" s="5">
        <v>16000000</v>
      </c>
      <c r="L52" s="4">
        <f t="shared" si="3"/>
        <v>691056433</v>
      </c>
      <c r="M52" s="19"/>
      <c r="N52" s="344"/>
    </row>
    <row r="53" spans="1:14" ht="20.25" customHeight="1">
      <c r="A53" s="6" t="str">
        <f t="shared" si="2"/>
        <v>C22</v>
      </c>
      <c r="B53" s="3">
        <v>41389</v>
      </c>
      <c r="C53" s="3">
        <v>41389</v>
      </c>
      <c r="D53" s="4"/>
      <c r="E53" s="22" t="s">
        <v>96</v>
      </c>
      <c r="F53" s="5" t="s">
        <v>277</v>
      </c>
      <c r="G53" s="5"/>
      <c r="H53" s="5"/>
      <c r="I53" s="28" t="s">
        <v>35</v>
      </c>
      <c r="J53" s="21"/>
      <c r="K53" s="5">
        <v>1600000</v>
      </c>
      <c r="L53" s="4">
        <f t="shared" si="3"/>
        <v>689456433</v>
      </c>
      <c r="M53" s="19"/>
      <c r="N53" s="344"/>
    </row>
    <row r="54" spans="1:14" ht="20.25" customHeight="1">
      <c r="A54" s="6" t="str">
        <f t="shared" si="2"/>
        <v>C23</v>
      </c>
      <c r="B54" s="3">
        <v>41389</v>
      </c>
      <c r="C54" s="3">
        <v>41389</v>
      </c>
      <c r="D54" s="4"/>
      <c r="E54" s="22" t="s">
        <v>97</v>
      </c>
      <c r="F54" s="5" t="s">
        <v>271</v>
      </c>
      <c r="G54" s="5"/>
      <c r="H54" s="5"/>
      <c r="I54" s="28" t="s">
        <v>36</v>
      </c>
      <c r="J54" s="21"/>
      <c r="K54" s="5">
        <v>40000000</v>
      </c>
      <c r="L54" s="4">
        <f t="shared" si="3"/>
        <v>649456433</v>
      </c>
      <c r="M54" s="19"/>
      <c r="N54" s="344"/>
    </row>
    <row r="55" spans="1:14" ht="20.25" customHeight="1">
      <c r="A55" s="6" t="str">
        <f t="shared" si="2"/>
        <v>C24</v>
      </c>
      <c r="B55" s="3">
        <v>41390</v>
      </c>
      <c r="C55" s="3">
        <v>41390</v>
      </c>
      <c r="D55" s="4"/>
      <c r="E55" s="22" t="s">
        <v>98</v>
      </c>
      <c r="F55" s="5" t="s">
        <v>49</v>
      </c>
      <c r="G55" s="5"/>
      <c r="H55" s="5"/>
      <c r="I55" s="28" t="s">
        <v>192</v>
      </c>
      <c r="J55" s="21"/>
      <c r="K55" s="5">
        <v>1182000</v>
      </c>
      <c r="L55" s="4">
        <f t="shared" si="3"/>
        <v>648274433</v>
      </c>
      <c r="M55" s="19"/>
      <c r="N55" s="344"/>
    </row>
    <row r="56" spans="1:14" ht="20.25" customHeight="1">
      <c r="A56" s="6" t="str">
        <f t="shared" si="2"/>
        <v>C24</v>
      </c>
      <c r="B56" s="3">
        <v>41390</v>
      </c>
      <c r="C56" s="3">
        <v>41390</v>
      </c>
      <c r="D56" s="4"/>
      <c r="E56" s="22" t="s">
        <v>98</v>
      </c>
      <c r="F56" s="5" t="s">
        <v>208</v>
      </c>
      <c r="G56" s="5"/>
      <c r="H56" s="5"/>
      <c r="I56" s="28" t="s">
        <v>53</v>
      </c>
      <c r="J56" s="21"/>
      <c r="K56" s="5">
        <v>2130000</v>
      </c>
      <c r="L56" s="4">
        <f t="shared" si="3"/>
        <v>646144433</v>
      </c>
      <c r="M56" s="19"/>
      <c r="N56" s="344"/>
    </row>
    <row r="57" spans="1:14" ht="20.25" customHeight="1">
      <c r="A57" s="6" t="str">
        <f t="shared" si="2"/>
        <v>C24</v>
      </c>
      <c r="B57" s="3">
        <v>41390</v>
      </c>
      <c r="C57" s="3">
        <v>41390</v>
      </c>
      <c r="D57" s="4"/>
      <c r="E57" s="22" t="s">
        <v>98</v>
      </c>
      <c r="F57" s="5" t="s">
        <v>228</v>
      </c>
      <c r="G57" s="5"/>
      <c r="H57" s="5"/>
      <c r="I57" s="28" t="s">
        <v>35</v>
      </c>
      <c r="J57" s="21"/>
      <c r="K57" s="5">
        <v>331200</v>
      </c>
      <c r="L57" s="4">
        <f t="shared" si="3"/>
        <v>645813233</v>
      </c>
      <c r="M57" s="53"/>
      <c r="N57" s="344"/>
    </row>
    <row r="58" spans="1:14" ht="20.25" customHeight="1">
      <c r="A58" s="6" t="str">
        <f t="shared" si="2"/>
        <v>C25</v>
      </c>
      <c r="B58" s="3">
        <v>41393</v>
      </c>
      <c r="C58" s="3">
        <v>41393</v>
      </c>
      <c r="D58" s="4"/>
      <c r="E58" s="22" t="s">
        <v>99</v>
      </c>
      <c r="F58" s="5" t="s">
        <v>49</v>
      </c>
      <c r="G58" s="5"/>
      <c r="H58" s="5"/>
      <c r="I58" s="28" t="s">
        <v>192</v>
      </c>
      <c r="J58" s="21"/>
      <c r="K58" s="5">
        <v>42418</v>
      </c>
      <c r="L58" s="4">
        <f t="shared" si="3"/>
        <v>645770815</v>
      </c>
      <c r="M58" s="19"/>
      <c r="N58" s="344"/>
    </row>
    <row r="59" spans="1:14" ht="20.25" customHeight="1">
      <c r="A59" s="6" t="str">
        <f t="shared" si="2"/>
        <v>C25</v>
      </c>
      <c r="B59" s="3">
        <v>41393</v>
      </c>
      <c r="C59" s="3">
        <v>41393</v>
      </c>
      <c r="D59" s="4"/>
      <c r="E59" s="22" t="s">
        <v>99</v>
      </c>
      <c r="F59" s="5" t="s">
        <v>208</v>
      </c>
      <c r="G59" s="5"/>
      <c r="H59" s="5"/>
      <c r="I59" s="28" t="s">
        <v>53</v>
      </c>
      <c r="J59" s="21"/>
      <c r="K59" s="5">
        <v>578182</v>
      </c>
      <c r="L59" s="4">
        <f t="shared" si="3"/>
        <v>645192633</v>
      </c>
      <c r="M59" s="19"/>
      <c r="N59" s="344"/>
    </row>
    <row r="60" spans="1:14" ht="20.25" customHeight="1">
      <c r="A60" s="6" t="str">
        <f t="shared" si="2"/>
        <v>C25</v>
      </c>
      <c r="B60" s="3">
        <v>41393</v>
      </c>
      <c r="C60" s="3">
        <v>41393</v>
      </c>
      <c r="D60" s="4"/>
      <c r="E60" s="22" t="s">
        <v>99</v>
      </c>
      <c r="F60" s="5" t="s">
        <v>353</v>
      </c>
      <c r="G60" s="5"/>
      <c r="H60" s="5"/>
      <c r="I60" s="28" t="s">
        <v>35</v>
      </c>
      <c r="J60" s="21"/>
      <c r="K60" s="5">
        <v>62060</v>
      </c>
      <c r="L60" s="4">
        <f t="shared" si="3"/>
        <v>645130573</v>
      </c>
      <c r="M60" s="19"/>
      <c r="N60" s="344"/>
    </row>
    <row r="61" spans="1:14" ht="20.25" customHeight="1">
      <c r="A61" s="6" t="str">
        <f t="shared" si="2"/>
        <v>C26</v>
      </c>
      <c r="B61" s="3">
        <v>41393</v>
      </c>
      <c r="C61" s="3">
        <v>41393</v>
      </c>
      <c r="D61" s="4"/>
      <c r="E61" s="22" t="s">
        <v>100</v>
      </c>
      <c r="F61" s="30" t="s">
        <v>354</v>
      </c>
      <c r="G61" s="50"/>
      <c r="H61" s="50"/>
      <c r="I61" s="28" t="s">
        <v>37</v>
      </c>
      <c r="J61" s="21"/>
      <c r="K61" s="5">
        <v>121816297</v>
      </c>
      <c r="L61" s="4">
        <f t="shared" si="3"/>
        <v>523314276</v>
      </c>
      <c r="M61" s="53"/>
      <c r="N61" s="344"/>
    </row>
    <row r="62" spans="1:14" ht="20.25" customHeight="1">
      <c r="A62" s="6" t="str">
        <f>D62&amp;E62</f>
        <v/>
      </c>
      <c r="B62" s="3"/>
      <c r="C62" s="3"/>
      <c r="D62" s="22"/>
      <c r="E62" s="4"/>
      <c r="F62" s="5"/>
      <c r="G62" s="367"/>
      <c r="H62" s="5"/>
      <c r="I62" s="28"/>
      <c r="J62" s="21"/>
      <c r="K62" s="5"/>
      <c r="L62" s="4"/>
      <c r="M62" s="19"/>
      <c r="N62" s="344"/>
    </row>
    <row r="63" spans="1:14" s="44" customFormat="1" ht="19.5" customHeight="1">
      <c r="B63" s="42"/>
      <c r="C63" s="42"/>
      <c r="D63" s="42"/>
      <c r="E63" s="42"/>
      <c r="F63" s="42" t="s">
        <v>29</v>
      </c>
      <c r="G63" s="368"/>
      <c r="H63" s="42"/>
      <c r="I63" s="43" t="s">
        <v>30</v>
      </c>
      <c r="J63" s="42">
        <f>SUM(J13:J61)</f>
        <v>4921000000</v>
      </c>
      <c r="K63" s="42">
        <f>SUM(K13:K61)</f>
        <v>4920268080</v>
      </c>
      <c r="L63" s="43" t="s">
        <v>30</v>
      </c>
      <c r="M63" s="43" t="s">
        <v>30</v>
      </c>
      <c r="N63" s="345"/>
    </row>
    <row r="64" spans="1:14" s="44" customFormat="1" ht="19.5" customHeight="1">
      <c r="B64" s="45"/>
      <c r="C64" s="45"/>
      <c r="D64" s="45"/>
      <c r="E64" s="45"/>
      <c r="F64" s="45" t="s">
        <v>31</v>
      </c>
      <c r="G64" s="369"/>
      <c r="H64" s="45"/>
      <c r="I64" s="46" t="s">
        <v>30</v>
      </c>
      <c r="J64" s="46" t="s">
        <v>30</v>
      </c>
      <c r="K64" s="46" t="s">
        <v>30</v>
      </c>
      <c r="L64" s="45">
        <f>L12+J63-K63</f>
        <v>523314276</v>
      </c>
      <c r="M64" s="46" t="s">
        <v>30</v>
      </c>
      <c r="N64" s="345"/>
    </row>
    <row r="66" spans="2:12">
      <c r="B66" s="27" t="s">
        <v>32</v>
      </c>
    </row>
    <row r="67" spans="2:12">
      <c r="B67" s="27" t="s">
        <v>292</v>
      </c>
    </row>
    <row r="68" spans="2:12">
      <c r="L68" s="8" t="s">
        <v>293</v>
      </c>
    </row>
    <row r="69" spans="2:12" s="7" customFormat="1" ht="14.25">
      <c r="C69" s="7" t="s">
        <v>33</v>
      </c>
      <c r="F69" s="7" t="s">
        <v>13</v>
      </c>
      <c r="L69" s="7" t="s">
        <v>14</v>
      </c>
    </row>
    <row r="70" spans="2:12" s="2" customFormat="1">
      <c r="C70" s="2" t="s">
        <v>15</v>
      </c>
      <c r="F70" s="2" t="s">
        <v>15</v>
      </c>
      <c r="L70" s="2" t="s">
        <v>16</v>
      </c>
    </row>
    <row r="71" spans="2:12" s="2" customFormat="1"/>
    <row r="93" spans="11:11">
      <c r="K93" s="6">
        <v>101069256</v>
      </c>
    </row>
    <row r="97" spans="11:11">
      <c r="K97" s="6">
        <v>100833620</v>
      </c>
    </row>
    <row r="98" spans="11:11">
      <c r="K98" s="6">
        <f>K93-K97</f>
        <v>235636</v>
      </c>
    </row>
  </sheetData>
  <autoFilter ref="A11:N87">
    <filterColumn colId="7"/>
    <filterColumn colId="8"/>
    <filterColumn colId="9"/>
  </autoFilter>
  <sortState ref="A13:X101">
    <sortCondition ref="B13:B101"/>
  </sortState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31">
    <cfRule type="expression" dxfId="2" priority="1" stopIfTrue="1">
      <formula>$C31&lt;&gt;""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5" enableFormatConditionsCalculation="0">
    <tabColor indexed="31"/>
  </sheetPr>
  <dimension ref="A1:M70"/>
  <sheetViews>
    <sheetView topLeftCell="B1" zoomScale="90" workbookViewId="0">
      <selection activeCell="J1" sqref="J1:M3"/>
    </sheetView>
  </sheetViews>
  <sheetFormatPr defaultRowHeight="15"/>
  <cols>
    <col min="1" max="1" width="4.42578125" style="6" hidden="1" customWidth="1"/>
    <col min="2" max="2" width="11.42578125" style="6" customWidth="1"/>
    <col min="3" max="3" width="10.42578125" style="6" customWidth="1"/>
    <col min="4" max="5" width="6.7109375" style="6" customWidth="1"/>
    <col min="6" max="6" width="33.28515625" style="6" customWidth="1"/>
    <col min="7" max="7" width="8.7109375" style="6" hidden="1" customWidth="1"/>
    <col min="8" max="8" width="39.42578125" style="6" hidden="1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7.570312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363"/>
      <c r="H1" s="10"/>
      <c r="J1" s="400" t="s">
        <v>472</v>
      </c>
      <c r="K1" s="400"/>
      <c r="L1" s="400"/>
      <c r="M1" s="400"/>
    </row>
    <row r="2" spans="1:13" s="11" customFormat="1" ht="16.5" customHeight="1">
      <c r="B2" s="1" t="str">
        <f>'01'!B2</f>
        <v>Địa chỉ: Lô A14, Đường 4A - KCN Hải Sơn, Đức Hòa, Long An</v>
      </c>
      <c r="C2" s="372"/>
      <c r="D2" s="372"/>
      <c r="E2" s="372"/>
      <c r="F2" s="372"/>
      <c r="G2" s="364"/>
      <c r="H2" s="372"/>
      <c r="J2" s="401" t="s">
        <v>473</v>
      </c>
      <c r="K2" s="401"/>
      <c r="L2" s="401"/>
      <c r="M2" s="401"/>
    </row>
    <row r="3" spans="1:13" s="11" customFormat="1" ht="16.5" customHeight="1">
      <c r="B3" s="9"/>
      <c r="C3" s="372"/>
      <c r="D3" s="14"/>
      <c r="E3" s="14"/>
      <c r="F3" s="372"/>
      <c r="G3" s="364"/>
      <c r="H3" s="372"/>
      <c r="J3" s="401"/>
      <c r="K3" s="401"/>
      <c r="L3" s="401"/>
      <c r="M3" s="401"/>
    </row>
    <row r="4" spans="1:13" s="11" customFormat="1" ht="6.75" customHeight="1">
      <c r="B4" s="372"/>
      <c r="C4" s="372"/>
      <c r="D4" s="372"/>
      <c r="E4" s="372"/>
      <c r="F4" s="372"/>
      <c r="G4" s="364"/>
      <c r="H4" s="372"/>
      <c r="J4" s="373"/>
      <c r="K4" s="373"/>
      <c r="L4" s="373"/>
      <c r="M4" s="373"/>
    </row>
    <row r="5" spans="1:13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6" spans="1:13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</row>
    <row r="7" spans="1:13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</row>
    <row r="8" spans="1:13">
      <c r="B8" s="15"/>
      <c r="L8" s="15" t="s">
        <v>19</v>
      </c>
    </row>
    <row r="9" spans="1:13" ht="30" customHeight="1">
      <c r="B9" s="403" t="s">
        <v>20</v>
      </c>
      <c r="C9" s="403" t="s">
        <v>21</v>
      </c>
      <c r="D9" s="403" t="s">
        <v>2</v>
      </c>
      <c r="E9" s="403"/>
      <c r="F9" s="403" t="s">
        <v>3</v>
      </c>
      <c r="G9" s="404" t="s">
        <v>73</v>
      </c>
      <c r="H9" s="404" t="s">
        <v>74</v>
      </c>
      <c r="I9" s="403" t="s">
        <v>22</v>
      </c>
      <c r="J9" s="403" t="s">
        <v>23</v>
      </c>
      <c r="K9" s="403"/>
      <c r="L9" s="403" t="s">
        <v>24</v>
      </c>
      <c r="M9" s="403" t="s">
        <v>4</v>
      </c>
    </row>
    <row r="10" spans="1:13" ht="20.25" customHeight="1">
      <c r="B10" s="403"/>
      <c r="C10" s="403"/>
      <c r="D10" s="375" t="s">
        <v>5</v>
      </c>
      <c r="E10" s="375" t="s">
        <v>6</v>
      </c>
      <c r="F10" s="403"/>
      <c r="G10" s="405"/>
      <c r="H10" s="405"/>
      <c r="I10" s="403"/>
      <c r="J10" s="375" t="s">
        <v>25</v>
      </c>
      <c r="K10" s="375" t="s">
        <v>26</v>
      </c>
      <c r="L10" s="403"/>
      <c r="M10" s="403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365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9.5" customHeight="1">
      <c r="B12" s="36"/>
      <c r="C12" s="36"/>
      <c r="D12" s="36"/>
      <c r="E12" s="36"/>
      <c r="F12" s="36" t="s">
        <v>28</v>
      </c>
      <c r="G12" s="366"/>
      <c r="H12" s="36"/>
      <c r="I12" s="37"/>
      <c r="J12" s="38"/>
      <c r="K12" s="36"/>
      <c r="L12" s="38">
        <f>'04'!L64</f>
        <v>523314276</v>
      </c>
      <c r="M12" s="36"/>
    </row>
    <row r="13" spans="1:13" ht="18.75" customHeight="1">
      <c r="A13" s="6" t="str">
        <f t="shared" ref="A13:A60" si="0">D13&amp;E13</f>
        <v>C01</v>
      </c>
      <c r="B13" s="3">
        <v>41396</v>
      </c>
      <c r="C13" s="3">
        <v>41372</v>
      </c>
      <c r="D13" s="4"/>
      <c r="E13" s="22" t="s">
        <v>75</v>
      </c>
      <c r="F13" s="5" t="s">
        <v>355</v>
      </c>
      <c r="G13" s="5"/>
      <c r="H13" s="5"/>
      <c r="I13" s="28" t="s">
        <v>192</v>
      </c>
      <c r="J13" s="21"/>
      <c r="K13" s="5">
        <v>95640</v>
      </c>
      <c r="L13" s="4">
        <f t="shared" ref="L13:L44" si="1">IF(F13&lt;&gt;"",L12+J13-K13,0)</f>
        <v>523218636</v>
      </c>
      <c r="M13" s="19"/>
    </row>
    <row r="14" spans="1:13" ht="18.75" customHeight="1">
      <c r="A14" s="6" t="str">
        <f t="shared" si="0"/>
        <v>C01</v>
      </c>
      <c r="B14" s="3">
        <v>41396</v>
      </c>
      <c r="C14" s="3">
        <v>41372</v>
      </c>
      <c r="D14" s="4"/>
      <c r="E14" s="22" t="s">
        <v>75</v>
      </c>
      <c r="F14" s="5" t="s">
        <v>356</v>
      </c>
      <c r="G14" s="5"/>
      <c r="H14" s="5"/>
      <c r="I14" s="28" t="s">
        <v>35</v>
      </c>
      <c r="J14" s="21"/>
      <c r="K14" s="5">
        <v>9564</v>
      </c>
      <c r="L14" s="4">
        <f t="shared" si="1"/>
        <v>523209072</v>
      </c>
      <c r="M14" s="19"/>
    </row>
    <row r="15" spans="1:13" ht="18.75" customHeight="1">
      <c r="A15" s="6" t="str">
        <f t="shared" si="0"/>
        <v>C02</v>
      </c>
      <c r="B15" s="3">
        <v>41396</v>
      </c>
      <c r="C15" s="3">
        <v>41393</v>
      </c>
      <c r="D15" s="4"/>
      <c r="E15" s="22" t="s">
        <v>76</v>
      </c>
      <c r="F15" s="5" t="s">
        <v>266</v>
      </c>
      <c r="G15" s="5"/>
      <c r="H15" s="5"/>
      <c r="I15" s="28" t="s">
        <v>53</v>
      </c>
      <c r="J15" s="21"/>
      <c r="K15" s="5">
        <v>12731650</v>
      </c>
      <c r="L15" s="4">
        <f t="shared" si="1"/>
        <v>510477422</v>
      </c>
      <c r="M15" s="19"/>
    </row>
    <row r="16" spans="1:13" ht="18.75" customHeight="1">
      <c r="A16" s="6" t="str">
        <f t="shared" si="0"/>
        <v>C02</v>
      </c>
      <c r="B16" s="3">
        <v>41396</v>
      </c>
      <c r="C16" s="3">
        <v>41393</v>
      </c>
      <c r="D16" s="4"/>
      <c r="E16" s="52" t="s">
        <v>76</v>
      </c>
      <c r="F16" s="5" t="s">
        <v>51</v>
      </c>
      <c r="G16" s="5"/>
      <c r="H16" s="5"/>
      <c r="I16" s="28" t="s">
        <v>35</v>
      </c>
      <c r="J16" s="21"/>
      <c r="K16" s="5">
        <v>432600</v>
      </c>
      <c r="L16" s="4">
        <f t="shared" si="1"/>
        <v>510044822</v>
      </c>
      <c r="M16" s="19"/>
    </row>
    <row r="17" spans="1:13" ht="18.75" customHeight="1">
      <c r="A17" s="6" t="str">
        <f t="shared" si="0"/>
        <v>C02</v>
      </c>
      <c r="B17" s="3">
        <v>41396</v>
      </c>
      <c r="C17" s="3">
        <v>41393</v>
      </c>
      <c r="D17" s="4"/>
      <c r="E17" s="22" t="s">
        <v>76</v>
      </c>
      <c r="F17" s="30" t="s">
        <v>340</v>
      </c>
      <c r="G17" s="50"/>
      <c r="H17" s="50"/>
      <c r="I17" s="28" t="s">
        <v>35</v>
      </c>
      <c r="J17" s="21"/>
      <c r="K17" s="5">
        <v>240925</v>
      </c>
      <c r="L17" s="4">
        <f t="shared" si="1"/>
        <v>509803897</v>
      </c>
      <c r="M17" s="19"/>
    </row>
    <row r="18" spans="1:13" ht="18.75" customHeight="1">
      <c r="A18" s="6" t="str">
        <f t="shared" si="0"/>
        <v>C03</v>
      </c>
      <c r="B18" s="3">
        <v>41396</v>
      </c>
      <c r="C18" s="3">
        <v>41394</v>
      </c>
      <c r="D18" s="4"/>
      <c r="E18" s="22" t="s">
        <v>77</v>
      </c>
      <c r="F18" s="5" t="s">
        <v>357</v>
      </c>
      <c r="G18" s="5"/>
      <c r="H18" s="5"/>
      <c r="I18" s="28" t="s">
        <v>192</v>
      </c>
      <c r="J18" s="21"/>
      <c r="K18" s="5">
        <v>2164334</v>
      </c>
      <c r="L18" s="4">
        <f t="shared" si="1"/>
        <v>507639563</v>
      </c>
      <c r="M18" s="19"/>
    </row>
    <row r="19" spans="1:13" ht="18.75" customHeight="1">
      <c r="A19" s="6" t="str">
        <f t="shared" si="0"/>
        <v>C03</v>
      </c>
      <c r="B19" s="3">
        <v>41396</v>
      </c>
      <c r="C19" s="3">
        <v>41394</v>
      </c>
      <c r="D19" s="4"/>
      <c r="E19" s="22" t="s">
        <v>77</v>
      </c>
      <c r="F19" s="5" t="s">
        <v>358</v>
      </c>
      <c r="G19" s="5"/>
      <c r="H19" s="5"/>
      <c r="I19" s="28" t="s">
        <v>35</v>
      </c>
      <c r="J19" s="21"/>
      <c r="K19" s="5">
        <v>216433</v>
      </c>
      <c r="L19" s="4">
        <f t="shared" si="1"/>
        <v>507423130</v>
      </c>
      <c r="M19" s="19"/>
    </row>
    <row r="20" spans="1:13" ht="18.75" customHeight="1">
      <c r="A20" s="6" t="str">
        <f t="shared" si="0"/>
        <v>C04</v>
      </c>
      <c r="B20" s="3">
        <v>41396</v>
      </c>
      <c r="C20" s="3">
        <v>41394</v>
      </c>
      <c r="D20" s="4"/>
      <c r="E20" s="22" t="s">
        <v>78</v>
      </c>
      <c r="F20" s="5" t="s">
        <v>359</v>
      </c>
      <c r="G20" s="5"/>
      <c r="H20" s="5"/>
      <c r="I20" s="28" t="s">
        <v>192</v>
      </c>
      <c r="J20" s="21"/>
      <c r="K20" s="5">
        <v>500000</v>
      </c>
      <c r="L20" s="4">
        <f t="shared" si="1"/>
        <v>506923130</v>
      </c>
      <c r="M20" s="19"/>
    </row>
    <row r="21" spans="1:13" ht="18.75" customHeight="1">
      <c r="A21" s="6" t="str">
        <f t="shared" si="0"/>
        <v>C05</v>
      </c>
      <c r="B21" s="3">
        <v>41396</v>
      </c>
      <c r="C21" s="3">
        <v>41396</v>
      </c>
      <c r="D21" s="4"/>
      <c r="E21" s="22" t="s">
        <v>79</v>
      </c>
      <c r="F21" s="5" t="s">
        <v>360</v>
      </c>
      <c r="G21" s="5"/>
      <c r="H21" s="5"/>
      <c r="I21" s="28" t="s">
        <v>53</v>
      </c>
      <c r="J21" s="21"/>
      <c r="K21" s="5">
        <v>12695700</v>
      </c>
      <c r="L21" s="4">
        <f t="shared" si="1"/>
        <v>494227430</v>
      </c>
      <c r="M21" s="19"/>
    </row>
    <row r="22" spans="1:13" ht="18.75" customHeight="1">
      <c r="A22" s="6" t="str">
        <f t="shared" si="0"/>
        <v>C05</v>
      </c>
      <c r="B22" s="3">
        <v>41396</v>
      </c>
      <c r="C22" s="3">
        <v>41396</v>
      </c>
      <c r="D22" s="4"/>
      <c r="E22" s="22" t="s">
        <v>79</v>
      </c>
      <c r="F22" s="5" t="s">
        <v>361</v>
      </c>
      <c r="G22" s="5"/>
      <c r="H22" s="5"/>
      <c r="I22" s="28" t="s">
        <v>35</v>
      </c>
      <c r="J22" s="21"/>
      <c r="K22" s="5">
        <v>1269570</v>
      </c>
      <c r="L22" s="4">
        <f t="shared" si="1"/>
        <v>492957860</v>
      </c>
      <c r="M22" s="19"/>
    </row>
    <row r="23" spans="1:13" ht="18.75" customHeight="1">
      <c r="A23" s="6" t="str">
        <f t="shared" si="0"/>
        <v>T01</v>
      </c>
      <c r="B23" s="3">
        <v>41397</v>
      </c>
      <c r="C23" s="3">
        <v>41397</v>
      </c>
      <c r="D23" s="4" t="s">
        <v>39</v>
      </c>
      <c r="E23" s="22"/>
      <c r="F23" s="5" t="s">
        <v>269</v>
      </c>
      <c r="G23" s="5"/>
      <c r="H23" s="5"/>
      <c r="I23" s="28" t="s">
        <v>36</v>
      </c>
      <c r="J23" s="21">
        <v>17000000</v>
      </c>
      <c r="K23" s="5"/>
      <c r="L23" s="4">
        <f t="shared" si="1"/>
        <v>509957860</v>
      </c>
      <c r="M23" s="19"/>
    </row>
    <row r="24" spans="1:13" ht="18.75" customHeight="1">
      <c r="A24" s="6" t="str">
        <f t="shared" si="0"/>
        <v>C06</v>
      </c>
      <c r="B24" s="3">
        <v>41398</v>
      </c>
      <c r="C24" s="3">
        <v>41398</v>
      </c>
      <c r="D24" s="4"/>
      <c r="E24" s="22" t="s">
        <v>80</v>
      </c>
      <c r="F24" s="5" t="s">
        <v>219</v>
      </c>
      <c r="G24" s="5"/>
      <c r="H24" s="5"/>
      <c r="I24" s="28" t="s">
        <v>53</v>
      </c>
      <c r="J24" s="21"/>
      <c r="K24" s="5">
        <v>790000</v>
      </c>
      <c r="L24" s="4">
        <f t="shared" si="1"/>
        <v>509167860</v>
      </c>
      <c r="M24" s="19"/>
    </row>
    <row r="25" spans="1:13" ht="18.75" customHeight="1">
      <c r="A25" s="6" t="str">
        <f t="shared" si="0"/>
        <v>C07</v>
      </c>
      <c r="B25" s="3">
        <v>41401</v>
      </c>
      <c r="C25" s="3">
        <v>41401</v>
      </c>
      <c r="D25" s="4"/>
      <c r="E25" s="22" t="s">
        <v>81</v>
      </c>
      <c r="F25" s="5" t="s">
        <v>355</v>
      </c>
      <c r="G25" s="5"/>
      <c r="H25" s="5"/>
      <c r="I25" s="28" t="s">
        <v>192</v>
      </c>
      <c r="J25" s="21"/>
      <c r="K25" s="5">
        <v>105860</v>
      </c>
      <c r="L25" s="4">
        <f t="shared" si="1"/>
        <v>509062000</v>
      </c>
      <c r="M25" s="19"/>
    </row>
    <row r="26" spans="1:13" ht="18.75" customHeight="1">
      <c r="A26" s="6" t="str">
        <f t="shared" si="0"/>
        <v>C07</v>
      </c>
      <c r="B26" s="3">
        <v>41401</v>
      </c>
      <c r="C26" s="3">
        <v>41401</v>
      </c>
      <c r="D26" s="4"/>
      <c r="E26" s="22" t="s">
        <v>81</v>
      </c>
      <c r="F26" s="30" t="s">
        <v>356</v>
      </c>
      <c r="G26" s="5"/>
      <c r="H26" s="5"/>
      <c r="I26" s="28" t="s">
        <v>35</v>
      </c>
      <c r="J26" s="21"/>
      <c r="K26" s="5">
        <v>10586</v>
      </c>
      <c r="L26" s="4">
        <f t="shared" si="1"/>
        <v>509051414</v>
      </c>
      <c r="M26" s="19"/>
    </row>
    <row r="27" spans="1:13" ht="18.75" customHeight="1">
      <c r="A27" s="6" t="str">
        <f t="shared" si="0"/>
        <v>C08</v>
      </c>
      <c r="B27" s="3">
        <v>41401</v>
      </c>
      <c r="C27" s="3">
        <v>41401</v>
      </c>
      <c r="D27" s="4"/>
      <c r="E27" s="22" t="s">
        <v>82</v>
      </c>
      <c r="F27" s="5" t="s">
        <v>362</v>
      </c>
      <c r="G27" s="5"/>
      <c r="H27" s="5"/>
      <c r="I27" s="28" t="s">
        <v>53</v>
      </c>
      <c r="J27" s="21"/>
      <c r="K27" s="5">
        <v>10864400</v>
      </c>
      <c r="L27" s="4">
        <f t="shared" si="1"/>
        <v>498187014</v>
      </c>
      <c r="M27" s="19"/>
    </row>
    <row r="28" spans="1:13" ht="18.75" customHeight="1">
      <c r="A28" s="6" t="str">
        <f t="shared" si="0"/>
        <v>C08</v>
      </c>
      <c r="B28" s="3">
        <v>41401</v>
      </c>
      <c r="C28" s="3">
        <v>41401</v>
      </c>
      <c r="D28" s="4"/>
      <c r="E28" s="22" t="s">
        <v>82</v>
      </c>
      <c r="F28" s="5" t="s">
        <v>363</v>
      </c>
      <c r="G28" s="5"/>
      <c r="H28" s="5"/>
      <c r="I28" s="28" t="s">
        <v>35</v>
      </c>
      <c r="J28" s="21"/>
      <c r="K28" s="5">
        <v>1086440</v>
      </c>
      <c r="L28" s="4">
        <f t="shared" si="1"/>
        <v>497100574</v>
      </c>
      <c r="M28" s="19"/>
    </row>
    <row r="29" spans="1:13" ht="18.75" customHeight="1">
      <c r="A29" s="6" t="str">
        <f t="shared" si="0"/>
        <v>T02</v>
      </c>
      <c r="B29" s="3">
        <v>41403</v>
      </c>
      <c r="C29" s="3">
        <v>41403</v>
      </c>
      <c r="D29" s="4" t="s">
        <v>40</v>
      </c>
      <c r="E29" s="22"/>
      <c r="F29" s="5" t="s">
        <v>269</v>
      </c>
      <c r="G29" s="5"/>
      <c r="H29" s="5"/>
      <c r="I29" s="28" t="s">
        <v>36</v>
      </c>
      <c r="J29" s="21">
        <v>2000000000</v>
      </c>
      <c r="K29" s="5"/>
      <c r="L29" s="4">
        <f t="shared" si="1"/>
        <v>2497100574</v>
      </c>
      <c r="M29" s="19"/>
    </row>
    <row r="30" spans="1:13" ht="18.75" customHeight="1">
      <c r="A30" s="6" t="str">
        <f t="shared" si="0"/>
        <v>C09</v>
      </c>
      <c r="B30" s="3">
        <v>41403</v>
      </c>
      <c r="C30" s="3">
        <v>41403</v>
      </c>
      <c r="D30" s="4"/>
      <c r="E30" s="22" t="s">
        <v>83</v>
      </c>
      <c r="F30" s="30" t="s">
        <v>272</v>
      </c>
      <c r="G30" s="50"/>
      <c r="H30" s="50"/>
      <c r="I30" s="28" t="s">
        <v>120</v>
      </c>
      <c r="J30" s="21"/>
      <c r="K30" s="5">
        <v>450000000</v>
      </c>
      <c r="L30" s="4">
        <f t="shared" si="1"/>
        <v>2047100574</v>
      </c>
      <c r="M30" s="19"/>
    </row>
    <row r="31" spans="1:13" ht="18.75" customHeight="1">
      <c r="A31" s="6" t="str">
        <f t="shared" si="0"/>
        <v>C10</v>
      </c>
      <c r="B31" s="3">
        <v>41403</v>
      </c>
      <c r="C31" s="3">
        <v>41403</v>
      </c>
      <c r="D31" s="4"/>
      <c r="E31" s="52" t="s">
        <v>84</v>
      </c>
      <c r="F31" s="5" t="s">
        <v>194</v>
      </c>
      <c r="G31" s="5"/>
      <c r="H31" s="5"/>
      <c r="I31" s="28" t="s">
        <v>120</v>
      </c>
      <c r="J31" s="21"/>
      <c r="K31" s="5">
        <v>550000000</v>
      </c>
      <c r="L31" s="4">
        <f t="shared" si="1"/>
        <v>1497100574</v>
      </c>
      <c r="M31" s="19"/>
    </row>
    <row r="32" spans="1:13" ht="18.75" customHeight="1">
      <c r="A32" s="6" t="str">
        <f t="shared" si="0"/>
        <v>C11</v>
      </c>
      <c r="B32" s="3">
        <v>41404</v>
      </c>
      <c r="C32" s="3">
        <v>41404</v>
      </c>
      <c r="D32" s="4"/>
      <c r="E32" s="52" t="s">
        <v>85</v>
      </c>
      <c r="F32" s="5" t="s">
        <v>50</v>
      </c>
      <c r="G32" s="5"/>
      <c r="H32" s="5"/>
      <c r="I32" s="28" t="s">
        <v>36</v>
      </c>
      <c r="J32" s="21"/>
      <c r="K32" s="5">
        <v>87000000</v>
      </c>
      <c r="L32" s="4">
        <f t="shared" si="1"/>
        <v>1410100574</v>
      </c>
      <c r="M32" s="19"/>
    </row>
    <row r="33" spans="1:13" ht="18.75" customHeight="1">
      <c r="A33" s="6" t="str">
        <f t="shared" si="0"/>
        <v>C12</v>
      </c>
      <c r="B33" s="3">
        <v>41404</v>
      </c>
      <c r="C33" s="3">
        <v>41404</v>
      </c>
      <c r="D33" s="4"/>
      <c r="E33" s="22" t="s">
        <v>86</v>
      </c>
      <c r="F33" s="5" t="s">
        <v>272</v>
      </c>
      <c r="G33" s="5"/>
      <c r="H33" s="5"/>
      <c r="I33" s="28" t="s">
        <v>120</v>
      </c>
      <c r="J33" s="21"/>
      <c r="K33" s="5">
        <v>360000000</v>
      </c>
      <c r="L33" s="4">
        <f t="shared" si="1"/>
        <v>1050100574</v>
      </c>
      <c r="M33" s="19"/>
    </row>
    <row r="34" spans="1:13" ht="18.75" customHeight="1">
      <c r="A34" s="6" t="str">
        <f t="shared" si="0"/>
        <v>C13</v>
      </c>
      <c r="B34" s="3">
        <v>41404</v>
      </c>
      <c r="C34" s="3">
        <v>41404</v>
      </c>
      <c r="D34" s="4"/>
      <c r="E34" s="22" t="s">
        <v>87</v>
      </c>
      <c r="F34" s="30" t="s">
        <v>194</v>
      </c>
      <c r="G34" s="5"/>
      <c r="H34" s="5"/>
      <c r="I34" s="28" t="s">
        <v>120</v>
      </c>
      <c r="J34" s="21"/>
      <c r="K34" s="5">
        <v>510000000</v>
      </c>
      <c r="L34" s="4">
        <f t="shared" si="1"/>
        <v>540100574</v>
      </c>
      <c r="M34" s="19"/>
    </row>
    <row r="35" spans="1:13" ht="18.75" customHeight="1">
      <c r="A35" s="6" t="str">
        <f t="shared" si="0"/>
        <v>C14</v>
      </c>
      <c r="B35" s="3">
        <v>41409</v>
      </c>
      <c r="C35" s="3">
        <v>41409</v>
      </c>
      <c r="D35" s="4"/>
      <c r="E35" s="22" t="s">
        <v>88</v>
      </c>
      <c r="F35" s="5" t="s">
        <v>208</v>
      </c>
      <c r="G35" s="5"/>
      <c r="H35" s="5"/>
      <c r="I35" s="28" t="s">
        <v>53</v>
      </c>
      <c r="J35" s="21"/>
      <c r="K35" s="5">
        <v>6649091</v>
      </c>
      <c r="L35" s="4">
        <f t="shared" si="1"/>
        <v>533451483</v>
      </c>
      <c r="M35" s="19"/>
    </row>
    <row r="36" spans="1:13" ht="18.75" customHeight="1">
      <c r="A36" s="6" t="str">
        <f t="shared" si="0"/>
        <v>C14</v>
      </c>
      <c r="B36" s="3">
        <v>41409</v>
      </c>
      <c r="C36" s="3">
        <v>41409</v>
      </c>
      <c r="D36" s="4"/>
      <c r="E36" s="22" t="s">
        <v>88</v>
      </c>
      <c r="F36" s="30" t="s">
        <v>49</v>
      </c>
      <c r="G36" s="50"/>
      <c r="H36" s="50"/>
      <c r="I36" s="28" t="s">
        <v>192</v>
      </c>
      <c r="J36" s="21"/>
      <c r="K36" s="5">
        <v>275718</v>
      </c>
      <c r="L36" s="4">
        <f t="shared" si="1"/>
        <v>533175765</v>
      </c>
      <c r="M36" s="19"/>
    </row>
    <row r="37" spans="1:13" ht="18.75" customHeight="1">
      <c r="A37" s="6" t="str">
        <f t="shared" si="0"/>
        <v>C14</v>
      </c>
      <c r="B37" s="3">
        <v>41409</v>
      </c>
      <c r="C37" s="3">
        <v>41409</v>
      </c>
      <c r="D37" s="4"/>
      <c r="E37" s="22" t="s">
        <v>88</v>
      </c>
      <c r="F37" s="30" t="s">
        <v>119</v>
      </c>
      <c r="G37" s="50"/>
      <c r="H37" s="50"/>
      <c r="I37" s="28" t="s">
        <v>35</v>
      </c>
      <c r="J37" s="21"/>
      <c r="K37" s="5">
        <v>692481</v>
      </c>
      <c r="L37" s="4">
        <f t="shared" si="1"/>
        <v>532483284</v>
      </c>
      <c r="M37" s="19"/>
    </row>
    <row r="38" spans="1:13" ht="18.75" customHeight="1">
      <c r="A38" s="6" t="str">
        <f t="shared" si="0"/>
        <v>C15</v>
      </c>
      <c r="B38" s="3">
        <v>41410</v>
      </c>
      <c r="C38" s="3">
        <v>41410</v>
      </c>
      <c r="D38" s="4"/>
      <c r="E38" s="22" t="s">
        <v>89</v>
      </c>
      <c r="F38" s="5" t="s">
        <v>364</v>
      </c>
      <c r="G38" s="5"/>
      <c r="H38" s="5"/>
      <c r="I38" s="28" t="s">
        <v>193</v>
      </c>
      <c r="J38" s="21"/>
      <c r="K38" s="5">
        <v>245455</v>
      </c>
      <c r="L38" s="4">
        <f t="shared" si="1"/>
        <v>532237829</v>
      </c>
      <c r="M38" s="19"/>
    </row>
    <row r="39" spans="1:13" ht="18.75" customHeight="1">
      <c r="A39" s="6" t="str">
        <f t="shared" si="0"/>
        <v>C15</v>
      </c>
      <c r="B39" s="3">
        <v>41410</v>
      </c>
      <c r="C39" s="3">
        <v>41410</v>
      </c>
      <c r="D39" s="4"/>
      <c r="E39" s="22" t="s">
        <v>89</v>
      </c>
      <c r="F39" s="5" t="s">
        <v>365</v>
      </c>
      <c r="G39" s="5"/>
      <c r="H39" s="5"/>
      <c r="I39" s="28" t="s">
        <v>35</v>
      </c>
      <c r="J39" s="21"/>
      <c r="K39" s="5">
        <v>24545</v>
      </c>
      <c r="L39" s="4">
        <f t="shared" si="1"/>
        <v>532213284</v>
      </c>
      <c r="M39" s="19"/>
    </row>
    <row r="40" spans="1:13" ht="18.75" customHeight="1">
      <c r="A40" s="6" t="str">
        <f t="shared" si="0"/>
        <v>C16</v>
      </c>
      <c r="B40" s="3">
        <v>41411</v>
      </c>
      <c r="C40" s="3">
        <v>41411</v>
      </c>
      <c r="D40" s="4"/>
      <c r="E40" s="52" t="s">
        <v>90</v>
      </c>
      <c r="F40" s="5" t="s">
        <v>366</v>
      </c>
      <c r="G40" s="5"/>
      <c r="H40" s="5"/>
      <c r="I40" s="28" t="s">
        <v>53</v>
      </c>
      <c r="J40" s="21"/>
      <c r="K40" s="5">
        <v>17890800</v>
      </c>
      <c r="L40" s="4">
        <f t="shared" si="1"/>
        <v>514322484</v>
      </c>
      <c r="M40" s="19"/>
    </row>
    <row r="41" spans="1:13" ht="18.75" customHeight="1">
      <c r="A41" s="6" t="str">
        <f t="shared" si="0"/>
        <v>C16</v>
      </c>
      <c r="B41" s="3">
        <v>41411</v>
      </c>
      <c r="C41" s="3">
        <v>41411</v>
      </c>
      <c r="D41" s="4"/>
      <c r="E41" s="22" t="s">
        <v>90</v>
      </c>
      <c r="F41" s="5" t="s">
        <v>367</v>
      </c>
      <c r="G41" s="5"/>
      <c r="H41" s="5"/>
      <c r="I41" s="28" t="s">
        <v>35</v>
      </c>
      <c r="J41" s="21"/>
      <c r="K41" s="5">
        <v>1789080</v>
      </c>
      <c r="L41" s="4">
        <f t="shared" si="1"/>
        <v>512533404</v>
      </c>
      <c r="M41" s="19"/>
    </row>
    <row r="42" spans="1:13" ht="18.75" customHeight="1">
      <c r="A42" s="6" t="str">
        <f t="shared" si="0"/>
        <v>T03</v>
      </c>
      <c r="B42" s="3">
        <v>41414</v>
      </c>
      <c r="C42" s="3">
        <v>41414</v>
      </c>
      <c r="D42" s="4" t="s">
        <v>41</v>
      </c>
      <c r="E42" s="22"/>
      <c r="F42" s="30" t="s">
        <v>269</v>
      </c>
      <c r="G42" s="50"/>
      <c r="H42" s="50"/>
      <c r="I42" s="28" t="s">
        <v>36</v>
      </c>
      <c r="J42" s="21">
        <v>508000000</v>
      </c>
      <c r="K42" s="5"/>
      <c r="L42" s="4">
        <f t="shared" si="1"/>
        <v>1020533404</v>
      </c>
      <c r="M42" s="19"/>
    </row>
    <row r="43" spans="1:13" ht="18.75" customHeight="1">
      <c r="A43" s="6" t="str">
        <f t="shared" si="0"/>
        <v>C17</v>
      </c>
      <c r="B43" s="3">
        <v>41414</v>
      </c>
      <c r="C43" s="3">
        <v>41414</v>
      </c>
      <c r="D43" s="4"/>
      <c r="E43" s="22" t="s">
        <v>91</v>
      </c>
      <c r="F43" s="5" t="s">
        <v>272</v>
      </c>
      <c r="G43" s="5"/>
      <c r="H43" s="5"/>
      <c r="I43" s="28" t="s">
        <v>120</v>
      </c>
      <c r="J43" s="21"/>
      <c r="K43" s="5">
        <v>500000000</v>
      </c>
      <c r="L43" s="4">
        <f t="shared" si="1"/>
        <v>520533404</v>
      </c>
      <c r="M43" s="19"/>
    </row>
    <row r="44" spans="1:13" ht="18.75" customHeight="1">
      <c r="A44" s="6" t="str">
        <f t="shared" si="0"/>
        <v>C18</v>
      </c>
      <c r="B44" s="3">
        <v>41414</v>
      </c>
      <c r="C44" s="3">
        <v>41414</v>
      </c>
      <c r="D44" s="4"/>
      <c r="E44" s="22" t="s">
        <v>92</v>
      </c>
      <c r="F44" s="5" t="s">
        <v>331</v>
      </c>
      <c r="G44" s="5"/>
      <c r="H44" s="5"/>
      <c r="I44" s="28" t="s">
        <v>34</v>
      </c>
      <c r="J44" s="21"/>
      <c r="K44" s="5">
        <v>6006000</v>
      </c>
      <c r="L44" s="4">
        <f t="shared" si="1"/>
        <v>514527404</v>
      </c>
      <c r="M44" s="19"/>
    </row>
    <row r="45" spans="1:13" ht="18.75" customHeight="1">
      <c r="A45" s="6" t="str">
        <f t="shared" si="0"/>
        <v>C19</v>
      </c>
      <c r="B45" s="3">
        <v>41415</v>
      </c>
      <c r="C45" s="3">
        <v>41415</v>
      </c>
      <c r="D45" s="4"/>
      <c r="E45" s="22" t="s">
        <v>93</v>
      </c>
      <c r="F45" s="5" t="s">
        <v>219</v>
      </c>
      <c r="G45" s="5"/>
      <c r="H45" s="5"/>
      <c r="I45" s="28" t="s">
        <v>53</v>
      </c>
      <c r="J45" s="21"/>
      <c r="K45" s="5">
        <v>5750000</v>
      </c>
      <c r="L45" s="4">
        <f t="shared" ref="L45:L60" si="2">IF(F45&lt;&gt;"",L44+J45-K45,0)</f>
        <v>508777404</v>
      </c>
      <c r="M45" s="19"/>
    </row>
    <row r="46" spans="1:13" ht="18.75" customHeight="1">
      <c r="A46" s="6" t="str">
        <f t="shared" si="0"/>
        <v>C20</v>
      </c>
      <c r="B46" s="3">
        <v>41417</v>
      </c>
      <c r="C46" s="3">
        <v>41417</v>
      </c>
      <c r="D46" s="4"/>
      <c r="E46" s="22" t="s">
        <v>94</v>
      </c>
      <c r="F46" s="5" t="s">
        <v>368</v>
      </c>
      <c r="G46" s="5"/>
      <c r="H46" s="5"/>
      <c r="I46" s="28" t="s">
        <v>193</v>
      </c>
      <c r="J46" s="21"/>
      <c r="K46" s="5">
        <v>5276020</v>
      </c>
      <c r="L46" s="4">
        <f t="shared" si="2"/>
        <v>503501384</v>
      </c>
      <c r="M46" s="19"/>
    </row>
    <row r="47" spans="1:13" ht="18.75" customHeight="1">
      <c r="A47" s="6" t="str">
        <f t="shared" si="0"/>
        <v>C20</v>
      </c>
      <c r="B47" s="3">
        <v>41417</v>
      </c>
      <c r="C47" s="3">
        <v>41417</v>
      </c>
      <c r="D47" s="4"/>
      <c r="E47" s="22" t="s">
        <v>94</v>
      </c>
      <c r="F47" s="5" t="s">
        <v>369</v>
      </c>
      <c r="G47" s="5"/>
      <c r="H47" s="5"/>
      <c r="I47" s="28" t="s">
        <v>35</v>
      </c>
      <c r="J47" s="21"/>
      <c r="K47" s="5">
        <v>527602</v>
      </c>
      <c r="L47" s="4">
        <f t="shared" si="2"/>
        <v>502973782</v>
      </c>
      <c r="M47" s="19"/>
    </row>
    <row r="48" spans="1:13" ht="18.75" customHeight="1">
      <c r="A48" s="6" t="str">
        <f t="shared" si="0"/>
        <v>C21</v>
      </c>
      <c r="B48" s="3">
        <v>41417</v>
      </c>
      <c r="C48" s="3">
        <v>41417</v>
      </c>
      <c r="D48" s="4"/>
      <c r="E48" s="52" t="s">
        <v>95</v>
      </c>
      <c r="F48" s="5" t="s">
        <v>283</v>
      </c>
      <c r="G48" s="5"/>
      <c r="H48" s="5"/>
      <c r="I48" s="28" t="s">
        <v>34</v>
      </c>
      <c r="J48" s="21"/>
      <c r="K48" s="5">
        <v>14489998</v>
      </c>
      <c r="L48" s="4">
        <f t="shared" si="2"/>
        <v>488483784</v>
      </c>
      <c r="M48" s="19"/>
    </row>
    <row r="49" spans="1:13" ht="18.75" customHeight="1">
      <c r="A49" s="6" t="str">
        <f t="shared" si="0"/>
        <v>C22</v>
      </c>
      <c r="B49" s="3">
        <v>41421</v>
      </c>
      <c r="C49" s="3">
        <v>41421</v>
      </c>
      <c r="D49" s="4"/>
      <c r="E49" s="22" t="s">
        <v>96</v>
      </c>
      <c r="F49" s="30" t="s">
        <v>276</v>
      </c>
      <c r="G49" s="50"/>
      <c r="H49" s="50"/>
      <c r="I49" s="28" t="s">
        <v>192</v>
      </c>
      <c r="J49" s="21"/>
      <c r="K49" s="5">
        <v>16000000</v>
      </c>
      <c r="L49" s="4">
        <f t="shared" si="2"/>
        <v>472483784</v>
      </c>
      <c r="M49" s="19"/>
    </row>
    <row r="50" spans="1:13" ht="18.75" customHeight="1">
      <c r="A50" s="6" t="str">
        <f t="shared" si="0"/>
        <v>C22</v>
      </c>
      <c r="B50" s="3">
        <v>41421</v>
      </c>
      <c r="C50" s="3">
        <v>41421</v>
      </c>
      <c r="D50" s="4"/>
      <c r="E50" s="22" t="s">
        <v>96</v>
      </c>
      <c r="F50" s="30" t="s">
        <v>277</v>
      </c>
      <c r="G50" s="50"/>
      <c r="H50" s="50"/>
      <c r="I50" s="28" t="s">
        <v>35</v>
      </c>
      <c r="J50" s="21"/>
      <c r="K50" s="5">
        <v>1600000</v>
      </c>
      <c r="L50" s="4">
        <f t="shared" si="2"/>
        <v>470883784</v>
      </c>
      <c r="M50" s="19"/>
    </row>
    <row r="51" spans="1:13" ht="18.75" customHeight="1">
      <c r="A51" s="6" t="str">
        <f t="shared" si="0"/>
        <v>T04</v>
      </c>
      <c r="B51" s="3">
        <v>41423</v>
      </c>
      <c r="C51" s="3">
        <v>41423</v>
      </c>
      <c r="D51" s="4" t="s">
        <v>42</v>
      </c>
      <c r="E51" s="22"/>
      <c r="F51" s="5" t="s">
        <v>269</v>
      </c>
      <c r="G51" s="5"/>
      <c r="H51" s="5"/>
      <c r="I51" s="28" t="s">
        <v>36</v>
      </c>
      <c r="J51" s="21">
        <v>566000000</v>
      </c>
      <c r="K51" s="5"/>
      <c r="L51" s="4">
        <f t="shared" si="2"/>
        <v>1036883784</v>
      </c>
      <c r="M51" s="19"/>
    </row>
    <row r="52" spans="1:13" ht="18.75" customHeight="1">
      <c r="A52" s="6" t="str">
        <f t="shared" si="0"/>
        <v>C23</v>
      </c>
      <c r="B52" s="3">
        <v>41423</v>
      </c>
      <c r="C52" s="3">
        <v>41423</v>
      </c>
      <c r="D52" s="4"/>
      <c r="E52" s="22" t="s">
        <v>97</v>
      </c>
      <c r="F52" s="5" t="s">
        <v>194</v>
      </c>
      <c r="G52" s="5"/>
      <c r="H52" s="5"/>
      <c r="I52" s="28" t="s">
        <v>120</v>
      </c>
      <c r="J52" s="21"/>
      <c r="K52" s="5">
        <v>500000000</v>
      </c>
      <c r="L52" s="4">
        <f t="shared" si="2"/>
        <v>536883784</v>
      </c>
      <c r="M52" s="19"/>
    </row>
    <row r="53" spans="1:13" ht="18.75" customHeight="1">
      <c r="A53" s="6" t="str">
        <f t="shared" si="0"/>
        <v>C24</v>
      </c>
      <c r="B53" s="3">
        <v>41424</v>
      </c>
      <c r="C53" s="3">
        <v>41424</v>
      </c>
      <c r="D53" s="4"/>
      <c r="E53" s="22" t="s">
        <v>98</v>
      </c>
      <c r="F53" s="5" t="s">
        <v>370</v>
      </c>
      <c r="G53" s="5"/>
      <c r="H53" s="5"/>
      <c r="I53" s="28" t="s">
        <v>192</v>
      </c>
      <c r="J53" s="21"/>
      <c r="K53" s="5">
        <v>4439182</v>
      </c>
      <c r="L53" s="4">
        <f t="shared" si="2"/>
        <v>532444602</v>
      </c>
      <c r="M53" s="19"/>
    </row>
    <row r="54" spans="1:13" ht="18.75" customHeight="1">
      <c r="A54" s="6" t="str">
        <f t="shared" si="0"/>
        <v>C24</v>
      </c>
      <c r="B54" s="3">
        <v>41424</v>
      </c>
      <c r="C54" s="3">
        <v>41424</v>
      </c>
      <c r="D54" s="4"/>
      <c r="E54" s="22" t="s">
        <v>98</v>
      </c>
      <c r="F54" s="5" t="s">
        <v>371</v>
      </c>
      <c r="G54" s="5"/>
      <c r="H54" s="5"/>
      <c r="I54" s="28" t="s">
        <v>35</v>
      </c>
      <c r="J54" s="21"/>
      <c r="K54" s="5">
        <v>443918</v>
      </c>
      <c r="L54" s="4">
        <f t="shared" si="2"/>
        <v>532000684</v>
      </c>
      <c r="M54" s="19"/>
    </row>
    <row r="55" spans="1:13" ht="18.75" customHeight="1">
      <c r="A55" s="6" t="str">
        <f t="shared" si="0"/>
        <v>C25</v>
      </c>
      <c r="B55" s="3">
        <v>41425</v>
      </c>
      <c r="C55" s="3">
        <v>41425</v>
      </c>
      <c r="D55" s="4"/>
      <c r="E55" s="22" t="s">
        <v>99</v>
      </c>
      <c r="F55" s="5" t="s">
        <v>283</v>
      </c>
      <c r="G55" s="5"/>
      <c r="H55" s="5"/>
      <c r="I55" s="28" t="s">
        <v>34</v>
      </c>
      <c r="J55" s="21"/>
      <c r="K55" s="5">
        <v>14529999</v>
      </c>
      <c r="L55" s="4">
        <f t="shared" si="2"/>
        <v>517470685</v>
      </c>
      <c r="M55" s="19"/>
    </row>
    <row r="56" spans="1:13" ht="18.75" customHeight="1">
      <c r="A56" s="6" t="str">
        <f t="shared" si="0"/>
        <v>C26</v>
      </c>
      <c r="B56" s="3">
        <v>41425</v>
      </c>
      <c r="C56" s="3">
        <v>41425</v>
      </c>
      <c r="D56" s="4"/>
      <c r="E56" s="22" t="s">
        <v>100</v>
      </c>
      <c r="F56" s="5" t="s">
        <v>372</v>
      </c>
      <c r="G56" s="5"/>
      <c r="H56" s="5"/>
      <c r="I56" s="28" t="s">
        <v>192</v>
      </c>
      <c r="J56" s="21"/>
      <c r="K56" s="5">
        <v>500000</v>
      </c>
      <c r="L56" s="4">
        <f t="shared" si="2"/>
        <v>516970685</v>
      </c>
      <c r="M56" s="19"/>
    </row>
    <row r="57" spans="1:13" ht="18.75" customHeight="1">
      <c r="A57" s="6" t="str">
        <f t="shared" si="0"/>
        <v>C27</v>
      </c>
      <c r="B57" s="3">
        <v>41425</v>
      </c>
      <c r="C57" s="3">
        <v>41425</v>
      </c>
      <c r="D57" s="4"/>
      <c r="E57" s="22" t="s">
        <v>101</v>
      </c>
      <c r="F57" s="5" t="s">
        <v>49</v>
      </c>
      <c r="G57" s="5"/>
      <c r="H57" s="5"/>
      <c r="I57" s="28" t="s">
        <v>192</v>
      </c>
      <c r="J57" s="21"/>
      <c r="K57" s="5">
        <v>466600</v>
      </c>
      <c r="L57" s="4">
        <f t="shared" si="2"/>
        <v>516504085</v>
      </c>
      <c r="M57" s="19"/>
    </row>
    <row r="58" spans="1:13" ht="18.75" customHeight="1">
      <c r="A58" s="6" t="str">
        <f t="shared" si="0"/>
        <v>C27</v>
      </c>
      <c r="B58" s="3">
        <v>41425</v>
      </c>
      <c r="C58" s="3">
        <v>41425</v>
      </c>
      <c r="D58" s="4"/>
      <c r="E58" s="22" t="s">
        <v>101</v>
      </c>
      <c r="F58" s="5" t="s">
        <v>208</v>
      </c>
      <c r="G58" s="5"/>
      <c r="H58" s="5"/>
      <c r="I58" s="28" t="s">
        <v>53</v>
      </c>
      <c r="J58" s="21"/>
      <c r="K58" s="5">
        <v>13105455</v>
      </c>
      <c r="L58" s="4">
        <f t="shared" si="2"/>
        <v>503398630</v>
      </c>
      <c r="M58" s="19"/>
    </row>
    <row r="59" spans="1:13" ht="18.75" customHeight="1">
      <c r="A59" s="6" t="str">
        <f t="shared" si="0"/>
        <v>C27</v>
      </c>
      <c r="B59" s="3">
        <v>41425</v>
      </c>
      <c r="C59" s="3">
        <v>41425</v>
      </c>
      <c r="D59" s="4"/>
      <c r="E59" s="22" t="s">
        <v>101</v>
      </c>
      <c r="F59" s="5" t="s">
        <v>228</v>
      </c>
      <c r="G59" s="5"/>
      <c r="H59" s="5"/>
      <c r="I59" s="28" t="s">
        <v>35</v>
      </c>
      <c r="J59" s="21"/>
      <c r="K59" s="5">
        <v>1357205</v>
      </c>
      <c r="L59" s="4">
        <f t="shared" si="2"/>
        <v>502041425</v>
      </c>
      <c r="M59" s="19"/>
    </row>
    <row r="60" spans="1:13" ht="18.75" customHeight="1">
      <c r="A60" s="6" t="str">
        <f t="shared" si="0"/>
        <v>C28</v>
      </c>
      <c r="B60" s="3">
        <v>41425</v>
      </c>
      <c r="C60" s="3">
        <v>41425</v>
      </c>
      <c r="D60" s="4"/>
      <c r="E60" s="22" t="s">
        <v>102</v>
      </c>
      <c r="F60" s="5" t="s">
        <v>373</v>
      </c>
      <c r="G60" s="5"/>
      <c r="H60" s="5"/>
      <c r="I60" s="28" t="s">
        <v>37</v>
      </c>
      <c r="J60" s="21"/>
      <c r="K60" s="5">
        <v>116702648</v>
      </c>
      <c r="L60" s="4">
        <f t="shared" si="2"/>
        <v>385338777</v>
      </c>
      <c r="M60" s="19"/>
    </row>
    <row r="61" spans="1:13" ht="19.5" customHeight="1">
      <c r="B61" s="3"/>
      <c r="C61" s="3"/>
      <c r="D61" s="22"/>
      <c r="E61" s="4"/>
      <c r="F61" s="5"/>
      <c r="G61" s="367"/>
      <c r="H61" s="5"/>
      <c r="I61" s="4"/>
      <c r="J61" s="21"/>
      <c r="K61" s="5"/>
      <c r="L61" s="4"/>
      <c r="M61" s="19"/>
    </row>
    <row r="62" spans="1:13" s="44" customFormat="1" ht="19.5" customHeight="1">
      <c r="B62" s="42"/>
      <c r="C62" s="42"/>
      <c r="D62" s="42"/>
      <c r="E62" s="42"/>
      <c r="F62" s="42" t="s">
        <v>29</v>
      </c>
      <c r="G62" s="368"/>
      <c r="H62" s="42"/>
      <c r="I62" s="43" t="s">
        <v>30</v>
      </c>
      <c r="J62" s="42">
        <f>SUM(J13:J60)</f>
        <v>3091000000</v>
      </c>
      <c r="K62" s="42">
        <f>SUM(K13:K60)</f>
        <v>3228975499</v>
      </c>
      <c r="L62" s="43" t="s">
        <v>30</v>
      </c>
      <c r="M62" s="43" t="s">
        <v>30</v>
      </c>
    </row>
    <row r="63" spans="1:13" s="44" customFormat="1" ht="19.5" customHeight="1">
      <c r="B63" s="45"/>
      <c r="C63" s="45"/>
      <c r="D63" s="45"/>
      <c r="E63" s="45"/>
      <c r="F63" s="45" t="s">
        <v>31</v>
      </c>
      <c r="G63" s="369"/>
      <c r="H63" s="45"/>
      <c r="I63" s="46" t="s">
        <v>30</v>
      </c>
      <c r="J63" s="46" t="s">
        <v>30</v>
      </c>
      <c r="K63" s="46" t="s">
        <v>30</v>
      </c>
      <c r="L63" s="45">
        <f>L12+J62-K62</f>
        <v>385338777</v>
      </c>
      <c r="M63" s="46" t="s">
        <v>30</v>
      </c>
    </row>
    <row r="65" spans="2:12">
      <c r="B65" s="27" t="s">
        <v>46</v>
      </c>
    </row>
    <row r="66" spans="2:12">
      <c r="B66" s="27" t="s">
        <v>294</v>
      </c>
    </row>
    <row r="67" spans="2:12">
      <c r="L67" s="8" t="s">
        <v>295</v>
      </c>
    </row>
    <row r="68" spans="2:12" s="7" customFormat="1" ht="14.25">
      <c r="C68" s="7" t="s">
        <v>33</v>
      </c>
      <c r="F68" s="7" t="s">
        <v>13</v>
      </c>
      <c r="L68" s="7" t="s">
        <v>14</v>
      </c>
    </row>
    <row r="69" spans="2:12" s="2" customFormat="1">
      <c r="C69" s="2" t="s">
        <v>15</v>
      </c>
      <c r="F69" s="2" t="s">
        <v>15</v>
      </c>
      <c r="L69" s="2" t="s">
        <v>16</v>
      </c>
    </row>
    <row r="70" spans="2:12" s="2" customFormat="1"/>
  </sheetData>
  <autoFilter ref="A11:N60">
    <filterColumn colId="8"/>
    <filterColumn colId="9"/>
  </autoFilter>
  <sortState ref="A13:N80">
    <sortCondition ref="B13:B80"/>
  </sortState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21">
    <cfRule type="expression" dxfId="1" priority="1" stopIfTrue="1">
      <formula>$C21&lt;&gt;""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31"/>
  </sheetPr>
  <dimension ref="A1:M89"/>
  <sheetViews>
    <sheetView topLeftCell="B1" zoomScale="90" workbookViewId="0">
      <selection activeCell="J1" sqref="J1:M3"/>
    </sheetView>
  </sheetViews>
  <sheetFormatPr defaultRowHeight="15"/>
  <cols>
    <col min="1" max="1" width="5.28515625" style="6" hidden="1" customWidth="1"/>
    <col min="2" max="3" width="10.140625" style="6" customWidth="1"/>
    <col min="4" max="5" width="6.7109375" style="6" customWidth="1"/>
    <col min="6" max="6" width="37.28515625" style="6" customWidth="1"/>
    <col min="7" max="7" width="9.85546875" style="6" hidden="1" customWidth="1"/>
    <col min="8" max="8" width="32.28515625" style="6" hidden="1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285156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0" t="s">
        <v>472</v>
      </c>
      <c r="K1" s="400"/>
      <c r="L1" s="400"/>
      <c r="M1" s="400"/>
    </row>
    <row r="2" spans="1:13" s="11" customFormat="1" ht="16.5" customHeight="1">
      <c r="B2" s="1" t="str">
        <f>'01'!B2</f>
        <v>Địa chỉ: Lô A14, Đường 4A - KCN Hải Sơn, Đức Hòa, Long An</v>
      </c>
      <c r="C2" s="377"/>
      <c r="D2" s="377"/>
      <c r="E2" s="377"/>
      <c r="F2" s="377"/>
      <c r="G2" s="377"/>
      <c r="H2" s="377"/>
      <c r="J2" s="401" t="s">
        <v>473</v>
      </c>
      <c r="K2" s="401"/>
      <c r="L2" s="401"/>
      <c r="M2" s="401"/>
    </row>
    <row r="3" spans="1:13" s="11" customFormat="1" ht="16.5" customHeight="1">
      <c r="B3" s="9"/>
      <c r="C3" s="377"/>
      <c r="D3" s="14"/>
      <c r="E3" s="14"/>
      <c r="F3" s="377"/>
      <c r="G3" s="377"/>
      <c r="H3" s="377"/>
      <c r="J3" s="401"/>
      <c r="K3" s="401"/>
      <c r="L3" s="401"/>
      <c r="M3" s="401"/>
    </row>
    <row r="4" spans="1:13" s="11" customFormat="1" ht="6.75" customHeight="1">
      <c r="B4" s="377"/>
      <c r="C4" s="377"/>
      <c r="D4" s="377"/>
      <c r="E4" s="377"/>
      <c r="F4" s="377"/>
      <c r="G4" s="377"/>
      <c r="H4" s="377"/>
      <c r="J4" s="378"/>
      <c r="K4" s="378"/>
      <c r="L4" s="378"/>
      <c r="M4" s="378"/>
    </row>
    <row r="5" spans="1:13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6" spans="1:13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</row>
    <row r="7" spans="1:13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</row>
    <row r="8" spans="1:13">
      <c r="B8" s="15"/>
      <c r="L8" s="15" t="s">
        <v>19</v>
      </c>
    </row>
    <row r="9" spans="1:13" ht="30" customHeight="1">
      <c r="B9" s="403" t="s">
        <v>20</v>
      </c>
      <c r="C9" s="403" t="s">
        <v>21</v>
      </c>
      <c r="D9" s="403" t="s">
        <v>2</v>
      </c>
      <c r="E9" s="403"/>
      <c r="F9" s="403" t="s">
        <v>3</v>
      </c>
      <c r="G9" s="404" t="s">
        <v>73</v>
      </c>
      <c r="H9" s="404" t="s">
        <v>74</v>
      </c>
      <c r="I9" s="403" t="s">
        <v>22</v>
      </c>
      <c r="J9" s="403" t="s">
        <v>23</v>
      </c>
      <c r="K9" s="403"/>
      <c r="L9" s="403" t="s">
        <v>24</v>
      </c>
      <c r="M9" s="403" t="s">
        <v>4</v>
      </c>
    </row>
    <row r="10" spans="1:13" ht="20.25" customHeight="1">
      <c r="B10" s="403"/>
      <c r="C10" s="403"/>
      <c r="D10" s="379" t="s">
        <v>5</v>
      </c>
      <c r="E10" s="379" t="s">
        <v>6</v>
      </c>
      <c r="F10" s="403"/>
      <c r="G10" s="405"/>
      <c r="H10" s="405"/>
      <c r="I10" s="403"/>
      <c r="J10" s="379" t="s">
        <v>25</v>
      </c>
      <c r="K10" s="379" t="s">
        <v>26</v>
      </c>
      <c r="L10" s="403"/>
      <c r="M10" s="403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29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8" customHeight="1">
      <c r="B12" s="36"/>
      <c r="C12" s="36"/>
      <c r="D12" s="36"/>
      <c r="E12" s="36"/>
      <c r="F12" s="36" t="s">
        <v>28</v>
      </c>
      <c r="G12" s="36"/>
      <c r="H12" s="36"/>
      <c r="I12" s="37"/>
      <c r="J12" s="38"/>
      <c r="K12" s="36"/>
      <c r="L12" s="38">
        <f>'05'!L63</f>
        <v>385338777</v>
      </c>
      <c r="M12" s="36"/>
    </row>
    <row r="13" spans="1:13" ht="19.5" customHeight="1">
      <c r="A13" s="6" t="str">
        <f t="shared" ref="A13:A48" si="0">D13&amp;E13</f>
        <v>T01</v>
      </c>
      <c r="B13" s="3">
        <v>41426</v>
      </c>
      <c r="C13" s="3">
        <v>41426</v>
      </c>
      <c r="D13" s="4" t="s">
        <v>39</v>
      </c>
      <c r="E13" s="22"/>
      <c r="F13" s="5" t="s">
        <v>269</v>
      </c>
      <c r="G13" s="5"/>
      <c r="H13" s="5"/>
      <c r="I13" s="28" t="s">
        <v>36</v>
      </c>
      <c r="J13" s="21">
        <v>500000000</v>
      </c>
      <c r="K13" s="5"/>
      <c r="L13" s="4">
        <f t="shared" ref="L13:L74" si="1">IF(F13&lt;&gt;"",L12+J13-K13,0)</f>
        <v>885338777</v>
      </c>
      <c r="M13" s="19"/>
    </row>
    <row r="14" spans="1:13" ht="19.5" customHeight="1">
      <c r="A14" s="6" t="str">
        <f t="shared" si="0"/>
        <v>C01</v>
      </c>
      <c r="B14" s="3">
        <v>41426</v>
      </c>
      <c r="C14" s="3">
        <v>41424</v>
      </c>
      <c r="D14" s="4"/>
      <c r="E14" s="22" t="s">
        <v>75</v>
      </c>
      <c r="F14" s="5" t="s">
        <v>58</v>
      </c>
      <c r="G14" s="5"/>
      <c r="H14" s="5"/>
      <c r="I14" s="28" t="s">
        <v>53</v>
      </c>
      <c r="J14" s="21"/>
      <c r="K14" s="5">
        <v>15282350</v>
      </c>
      <c r="L14" s="4">
        <f t="shared" si="1"/>
        <v>870056427</v>
      </c>
      <c r="M14" s="19"/>
    </row>
    <row r="15" spans="1:13" ht="19.5" customHeight="1">
      <c r="A15" s="6" t="str">
        <f t="shared" si="0"/>
        <v>C01</v>
      </c>
      <c r="B15" s="3">
        <v>41426</v>
      </c>
      <c r="C15" s="3">
        <v>41424</v>
      </c>
      <c r="D15" s="4"/>
      <c r="E15" s="22" t="s">
        <v>75</v>
      </c>
      <c r="F15" s="5" t="s">
        <v>51</v>
      </c>
      <c r="G15" s="5"/>
      <c r="H15" s="5"/>
      <c r="I15" s="28" t="s">
        <v>35</v>
      </c>
      <c r="J15" s="21"/>
      <c r="K15" s="5">
        <v>569400</v>
      </c>
      <c r="L15" s="4">
        <f t="shared" si="1"/>
        <v>869487027</v>
      </c>
      <c r="M15" s="19"/>
    </row>
    <row r="16" spans="1:13" ht="19.5" customHeight="1">
      <c r="A16" s="6" t="str">
        <f t="shared" si="0"/>
        <v>C01</v>
      </c>
      <c r="B16" s="3">
        <v>41426</v>
      </c>
      <c r="C16" s="3">
        <v>41424</v>
      </c>
      <c r="D16" s="4"/>
      <c r="E16" s="22" t="s">
        <v>75</v>
      </c>
      <c r="F16" s="5" t="s">
        <v>340</v>
      </c>
      <c r="G16" s="5"/>
      <c r="H16" s="5"/>
      <c r="I16" s="28" t="s">
        <v>35</v>
      </c>
      <c r="J16" s="21"/>
      <c r="K16" s="5">
        <v>242075</v>
      </c>
      <c r="L16" s="4">
        <f t="shared" si="1"/>
        <v>869244952</v>
      </c>
      <c r="M16" s="19"/>
    </row>
    <row r="17" spans="1:13" ht="19.5" customHeight="1">
      <c r="A17" s="6" t="str">
        <f t="shared" si="0"/>
        <v>C02</v>
      </c>
      <c r="B17" s="3">
        <v>41426</v>
      </c>
      <c r="C17" s="3">
        <v>41425</v>
      </c>
      <c r="D17" s="4"/>
      <c r="E17" s="22" t="s">
        <v>76</v>
      </c>
      <c r="F17" s="5" t="s">
        <v>374</v>
      </c>
      <c r="G17" s="5"/>
      <c r="H17" s="5"/>
      <c r="I17" s="28" t="s">
        <v>192</v>
      </c>
      <c r="J17" s="21"/>
      <c r="K17" s="5">
        <v>2095913</v>
      </c>
      <c r="L17" s="4">
        <f t="shared" si="1"/>
        <v>867149039</v>
      </c>
      <c r="M17" s="19"/>
    </row>
    <row r="18" spans="1:13" ht="19.5" customHeight="1">
      <c r="A18" s="6" t="str">
        <f t="shared" si="0"/>
        <v>C02</v>
      </c>
      <c r="B18" s="3">
        <v>41426</v>
      </c>
      <c r="C18" s="3">
        <v>41425</v>
      </c>
      <c r="D18" s="4"/>
      <c r="E18" s="22" t="s">
        <v>76</v>
      </c>
      <c r="F18" s="5" t="s">
        <v>375</v>
      </c>
      <c r="G18" s="5"/>
      <c r="H18" s="5"/>
      <c r="I18" s="28" t="s">
        <v>35</v>
      </c>
      <c r="J18" s="21"/>
      <c r="K18" s="5">
        <v>209591</v>
      </c>
      <c r="L18" s="4">
        <f t="shared" si="1"/>
        <v>866939448</v>
      </c>
      <c r="M18" s="19"/>
    </row>
    <row r="19" spans="1:13" ht="19.5" customHeight="1">
      <c r="A19" s="6" t="str">
        <f t="shared" si="0"/>
        <v>C03</v>
      </c>
      <c r="B19" s="3">
        <v>41428</v>
      </c>
      <c r="C19" s="3">
        <v>41428</v>
      </c>
      <c r="D19" s="4"/>
      <c r="E19" s="22" t="s">
        <v>77</v>
      </c>
      <c r="F19" s="5" t="s">
        <v>376</v>
      </c>
      <c r="G19" s="5"/>
      <c r="H19" s="5"/>
      <c r="I19" s="28" t="s">
        <v>192</v>
      </c>
      <c r="J19" s="21"/>
      <c r="K19" s="5">
        <v>1570000</v>
      </c>
      <c r="L19" s="4">
        <f t="shared" si="1"/>
        <v>865369448</v>
      </c>
      <c r="M19" s="19"/>
    </row>
    <row r="20" spans="1:13" ht="19.5" customHeight="1">
      <c r="A20" s="6" t="str">
        <f t="shared" si="0"/>
        <v>C03</v>
      </c>
      <c r="B20" s="3">
        <v>41428</v>
      </c>
      <c r="C20" s="3">
        <v>41428</v>
      </c>
      <c r="D20" s="4"/>
      <c r="E20" s="22" t="s">
        <v>77</v>
      </c>
      <c r="F20" s="5" t="s">
        <v>377</v>
      </c>
      <c r="G20" s="5"/>
      <c r="H20" s="5"/>
      <c r="I20" s="28" t="s">
        <v>35</v>
      </c>
      <c r="J20" s="21"/>
      <c r="K20" s="5">
        <v>157000</v>
      </c>
      <c r="L20" s="4">
        <f t="shared" si="1"/>
        <v>865212448</v>
      </c>
      <c r="M20" s="19"/>
    </row>
    <row r="21" spans="1:13" ht="19.5" customHeight="1">
      <c r="A21" s="6" t="str">
        <f t="shared" si="0"/>
        <v>T02</v>
      </c>
      <c r="B21" s="3">
        <v>41429</v>
      </c>
      <c r="C21" s="3">
        <v>41429</v>
      </c>
      <c r="D21" s="4" t="s">
        <v>40</v>
      </c>
      <c r="E21" s="22"/>
      <c r="F21" s="5" t="s">
        <v>269</v>
      </c>
      <c r="G21" s="5"/>
      <c r="H21" s="5"/>
      <c r="I21" s="28" t="s">
        <v>36</v>
      </c>
      <c r="J21" s="21">
        <v>1102000000</v>
      </c>
      <c r="K21" s="5"/>
      <c r="L21" s="4">
        <f t="shared" si="1"/>
        <v>1967212448</v>
      </c>
      <c r="M21" s="19"/>
    </row>
    <row r="22" spans="1:13" ht="19.5" customHeight="1">
      <c r="A22" s="6" t="str">
        <f t="shared" si="0"/>
        <v>C04</v>
      </c>
      <c r="B22" s="3">
        <v>41429</v>
      </c>
      <c r="C22" s="3">
        <v>41429</v>
      </c>
      <c r="D22" s="4"/>
      <c r="E22" s="22" t="s">
        <v>78</v>
      </c>
      <c r="F22" s="5" t="s">
        <v>272</v>
      </c>
      <c r="G22" s="5"/>
      <c r="H22" s="5"/>
      <c r="I22" s="28" t="s">
        <v>120</v>
      </c>
      <c r="J22" s="21"/>
      <c r="K22" s="5">
        <v>650000000</v>
      </c>
      <c r="L22" s="4">
        <f t="shared" si="1"/>
        <v>1317212448</v>
      </c>
      <c r="M22" s="19"/>
    </row>
    <row r="23" spans="1:13" ht="19.5" customHeight="1">
      <c r="A23" s="6" t="str">
        <f t="shared" si="0"/>
        <v>C05</v>
      </c>
      <c r="B23" s="3">
        <v>41429</v>
      </c>
      <c r="C23" s="3">
        <v>41429</v>
      </c>
      <c r="D23" s="4"/>
      <c r="E23" s="52" t="s">
        <v>79</v>
      </c>
      <c r="F23" s="5" t="s">
        <v>194</v>
      </c>
      <c r="G23" s="5"/>
      <c r="H23" s="5"/>
      <c r="I23" s="28" t="s">
        <v>120</v>
      </c>
      <c r="J23" s="21"/>
      <c r="K23" s="5">
        <v>650000000</v>
      </c>
      <c r="L23" s="4">
        <f t="shared" si="1"/>
        <v>667212448</v>
      </c>
      <c r="M23" s="19"/>
    </row>
    <row r="24" spans="1:13" ht="19.5" customHeight="1">
      <c r="A24" s="6" t="str">
        <f t="shared" si="0"/>
        <v>C06</v>
      </c>
      <c r="B24" s="3">
        <v>41431</v>
      </c>
      <c r="C24" s="3">
        <v>41431</v>
      </c>
      <c r="D24" s="4"/>
      <c r="E24" s="22" t="s">
        <v>80</v>
      </c>
      <c r="F24" s="30" t="s">
        <v>201</v>
      </c>
      <c r="G24" s="50"/>
      <c r="H24" s="50"/>
      <c r="I24" s="28" t="s">
        <v>53</v>
      </c>
      <c r="J24" s="21"/>
      <c r="K24" s="5">
        <v>8700000</v>
      </c>
      <c r="L24" s="4">
        <f t="shared" si="1"/>
        <v>658512448</v>
      </c>
      <c r="M24" s="19"/>
    </row>
    <row r="25" spans="1:13" ht="19.5" customHeight="1">
      <c r="A25" s="6" t="str">
        <f t="shared" si="0"/>
        <v>C06</v>
      </c>
      <c r="B25" s="3">
        <v>41431</v>
      </c>
      <c r="C25" s="3">
        <v>41431</v>
      </c>
      <c r="D25" s="4"/>
      <c r="E25" s="22" t="s">
        <v>80</v>
      </c>
      <c r="F25" s="5" t="s">
        <v>202</v>
      </c>
      <c r="G25" s="5"/>
      <c r="H25" s="5"/>
      <c r="I25" s="28" t="s">
        <v>35</v>
      </c>
      <c r="J25" s="21"/>
      <c r="K25" s="5">
        <v>870000</v>
      </c>
      <c r="L25" s="4">
        <f t="shared" si="1"/>
        <v>657642448</v>
      </c>
      <c r="M25" s="19"/>
    </row>
    <row r="26" spans="1:13" ht="19.5" customHeight="1">
      <c r="A26" s="6" t="str">
        <f t="shared" si="0"/>
        <v>C07</v>
      </c>
      <c r="B26" s="3">
        <v>41433</v>
      </c>
      <c r="C26" s="3">
        <v>41433</v>
      </c>
      <c r="D26" s="4"/>
      <c r="E26" s="22" t="s">
        <v>81</v>
      </c>
      <c r="F26" s="5" t="s">
        <v>378</v>
      </c>
      <c r="G26" s="5"/>
      <c r="H26" s="5"/>
      <c r="I26" s="28" t="s">
        <v>192</v>
      </c>
      <c r="J26" s="21"/>
      <c r="K26" s="5">
        <v>4200982</v>
      </c>
      <c r="L26" s="4">
        <f t="shared" si="1"/>
        <v>653441466</v>
      </c>
      <c r="M26" s="19"/>
    </row>
    <row r="27" spans="1:13" ht="19.5" customHeight="1">
      <c r="A27" s="6" t="str">
        <f t="shared" si="0"/>
        <v>C07</v>
      </c>
      <c r="B27" s="3">
        <v>41433</v>
      </c>
      <c r="C27" s="3">
        <v>41433</v>
      </c>
      <c r="D27" s="4"/>
      <c r="E27" s="22" t="s">
        <v>81</v>
      </c>
      <c r="F27" s="5" t="s">
        <v>379</v>
      </c>
      <c r="G27" s="5"/>
      <c r="H27" s="5"/>
      <c r="I27" s="28" t="s">
        <v>35</v>
      </c>
      <c r="J27" s="21"/>
      <c r="K27" s="5">
        <v>420098</v>
      </c>
      <c r="L27" s="4">
        <f t="shared" si="1"/>
        <v>653021368</v>
      </c>
      <c r="M27" s="19"/>
    </row>
    <row r="28" spans="1:13" ht="19.5" customHeight="1">
      <c r="A28" s="6" t="str">
        <f t="shared" si="0"/>
        <v>C08</v>
      </c>
      <c r="B28" s="3">
        <v>41433</v>
      </c>
      <c r="C28" s="3">
        <v>41433</v>
      </c>
      <c r="D28" s="4"/>
      <c r="E28" s="22" t="s">
        <v>82</v>
      </c>
      <c r="F28" s="5" t="s">
        <v>283</v>
      </c>
      <c r="G28" s="5"/>
      <c r="H28" s="5"/>
      <c r="I28" s="28" t="s">
        <v>34</v>
      </c>
      <c r="J28" s="21"/>
      <c r="K28" s="5">
        <v>14529999</v>
      </c>
      <c r="L28" s="4">
        <f t="shared" si="1"/>
        <v>638491369</v>
      </c>
      <c r="M28" s="19"/>
    </row>
    <row r="29" spans="1:13" ht="19.5" customHeight="1">
      <c r="A29" s="6" t="str">
        <f>D29&amp;E29</f>
        <v>C09</v>
      </c>
      <c r="B29" s="3">
        <v>41435</v>
      </c>
      <c r="C29" s="3">
        <v>41435</v>
      </c>
      <c r="D29" s="4"/>
      <c r="E29" s="22" t="s">
        <v>83</v>
      </c>
      <c r="F29" s="5" t="s">
        <v>378</v>
      </c>
      <c r="G29" s="5"/>
      <c r="H29" s="5"/>
      <c r="I29" s="28" t="s">
        <v>192</v>
      </c>
      <c r="J29" s="21"/>
      <c r="K29" s="5">
        <v>3702927</v>
      </c>
      <c r="L29" s="4">
        <f t="shared" si="1"/>
        <v>634788442</v>
      </c>
      <c r="M29" s="19"/>
    </row>
    <row r="30" spans="1:13" ht="19.5" customHeight="1">
      <c r="A30" s="6" t="str">
        <f t="shared" si="0"/>
        <v>C09</v>
      </c>
      <c r="B30" s="3">
        <v>41435</v>
      </c>
      <c r="C30" s="3">
        <v>41435</v>
      </c>
      <c r="D30" s="4"/>
      <c r="E30" s="22" t="s">
        <v>83</v>
      </c>
      <c r="F30" s="30" t="s">
        <v>379</v>
      </c>
      <c r="G30" s="5"/>
      <c r="H30" s="5"/>
      <c r="I30" s="28" t="s">
        <v>35</v>
      </c>
      <c r="J30" s="21"/>
      <c r="K30" s="5">
        <v>370293</v>
      </c>
      <c r="L30" s="4">
        <f t="shared" si="1"/>
        <v>634418149</v>
      </c>
      <c r="M30" s="19"/>
    </row>
    <row r="31" spans="1:13" ht="19.5" customHeight="1">
      <c r="A31" s="6" t="str">
        <f t="shared" si="0"/>
        <v>C10</v>
      </c>
      <c r="B31" s="3">
        <v>41435</v>
      </c>
      <c r="C31" s="3">
        <v>41435</v>
      </c>
      <c r="D31" s="4"/>
      <c r="E31" s="22" t="s">
        <v>84</v>
      </c>
      <c r="F31" s="5" t="s">
        <v>201</v>
      </c>
      <c r="G31" s="5"/>
      <c r="H31" s="5"/>
      <c r="I31" s="28" t="s">
        <v>53</v>
      </c>
      <c r="J31" s="21"/>
      <c r="K31" s="5">
        <v>10320000</v>
      </c>
      <c r="L31" s="4">
        <f t="shared" si="1"/>
        <v>624098149</v>
      </c>
      <c r="M31" s="19"/>
    </row>
    <row r="32" spans="1:13" ht="19.5" customHeight="1">
      <c r="A32" s="6" t="str">
        <f t="shared" si="0"/>
        <v>C10</v>
      </c>
      <c r="B32" s="3">
        <v>41435</v>
      </c>
      <c r="C32" s="3">
        <v>41435</v>
      </c>
      <c r="D32" s="4"/>
      <c r="E32" s="22" t="s">
        <v>84</v>
      </c>
      <c r="F32" s="5" t="s">
        <v>202</v>
      </c>
      <c r="G32" s="5"/>
      <c r="H32" s="5"/>
      <c r="I32" s="28" t="s">
        <v>35</v>
      </c>
      <c r="J32" s="21"/>
      <c r="K32" s="5">
        <v>1032000</v>
      </c>
      <c r="L32" s="4">
        <f t="shared" si="1"/>
        <v>623066149</v>
      </c>
      <c r="M32" s="19"/>
    </row>
    <row r="33" spans="1:13" ht="19.5" customHeight="1">
      <c r="A33" s="6" t="str">
        <f t="shared" si="0"/>
        <v>T03</v>
      </c>
      <c r="B33" s="3">
        <v>41436</v>
      </c>
      <c r="C33" s="3">
        <v>41436</v>
      </c>
      <c r="D33" s="4" t="s">
        <v>41</v>
      </c>
      <c r="E33" s="52"/>
      <c r="F33" s="5" t="s">
        <v>269</v>
      </c>
      <c r="G33" s="5"/>
      <c r="H33" s="5"/>
      <c r="I33" s="28" t="s">
        <v>36</v>
      </c>
      <c r="J33" s="21">
        <v>1162000000</v>
      </c>
      <c r="K33" s="5"/>
      <c r="L33" s="4">
        <f t="shared" si="1"/>
        <v>1785066149</v>
      </c>
      <c r="M33" s="19"/>
    </row>
    <row r="34" spans="1:13" ht="19.5" customHeight="1">
      <c r="A34" s="6" t="str">
        <f>D34&amp;E34</f>
        <v>C11</v>
      </c>
      <c r="B34" s="3">
        <v>41436</v>
      </c>
      <c r="C34" s="3">
        <v>41436</v>
      </c>
      <c r="D34" s="4"/>
      <c r="E34" s="22" t="s">
        <v>85</v>
      </c>
      <c r="F34" s="30" t="s">
        <v>380</v>
      </c>
      <c r="G34" s="50"/>
      <c r="H34" s="50"/>
      <c r="I34" s="28" t="s">
        <v>192</v>
      </c>
      <c r="J34" s="21"/>
      <c r="K34" s="5">
        <v>43000</v>
      </c>
      <c r="L34" s="4">
        <f t="shared" si="1"/>
        <v>1785023149</v>
      </c>
      <c r="M34" s="19"/>
    </row>
    <row r="35" spans="1:13" ht="19.5" customHeight="1">
      <c r="A35" s="6" t="str">
        <f t="shared" si="0"/>
        <v>C11</v>
      </c>
      <c r="B35" s="3">
        <v>41436</v>
      </c>
      <c r="C35" s="3">
        <v>41436</v>
      </c>
      <c r="D35" s="4"/>
      <c r="E35" s="22" t="s">
        <v>85</v>
      </c>
      <c r="F35" s="30" t="s">
        <v>381</v>
      </c>
      <c r="G35" s="50"/>
      <c r="H35" s="50"/>
      <c r="I35" s="28" t="s">
        <v>35</v>
      </c>
      <c r="J35" s="21"/>
      <c r="K35" s="5">
        <v>4300</v>
      </c>
      <c r="L35" s="4">
        <f t="shared" si="1"/>
        <v>1785018849</v>
      </c>
      <c r="M35" s="19"/>
    </row>
    <row r="36" spans="1:13" ht="19.5" customHeight="1">
      <c r="A36" s="6" t="str">
        <f t="shared" si="0"/>
        <v>C12</v>
      </c>
      <c r="B36" s="3">
        <v>41436</v>
      </c>
      <c r="C36" s="3">
        <v>41436</v>
      </c>
      <c r="D36" s="4"/>
      <c r="E36" s="22" t="s">
        <v>86</v>
      </c>
      <c r="F36" s="5" t="s">
        <v>272</v>
      </c>
      <c r="G36" s="5"/>
      <c r="H36" s="5"/>
      <c r="I36" s="28" t="s">
        <v>120</v>
      </c>
      <c r="J36" s="21"/>
      <c r="K36" s="5">
        <v>590000000</v>
      </c>
      <c r="L36" s="4">
        <f t="shared" si="1"/>
        <v>1195018849</v>
      </c>
      <c r="M36" s="19"/>
    </row>
    <row r="37" spans="1:13" ht="19.5" customHeight="1">
      <c r="A37" s="6" t="str">
        <f t="shared" si="0"/>
        <v>C13</v>
      </c>
      <c r="B37" s="3">
        <v>41436</v>
      </c>
      <c r="C37" s="3">
        <v>41436</v>
      </c>
      <c r="D37" s="4"/>
      <c r="E37" s="22" t="s">
        <v>87</v>
      </c>
      <c r="F37" s="30" t="s">
        <v>194</v>
      </c>
      <c r="G37" s="5"/>
      <c r="H37" s="5"/>
      <c r="I37" s="28" t="s">
        <v>120</v>
      </c>
      <c r="J37" s="21"/>
      <c r="K37" s="5">
        <v>650000000</v>
      </c>
      <c r="L37" s="4">
        <f t="shared" si="1"/>
        <v>545018849</v>
      </c>
      <c r="M37" s="19"/>
    </row>
    <row r="38" spans="1:13" ht="19.5" customHeight="1">
      <c r="A38" s="6" t="str">
        <f t="shared" si="0"/>
        <v>C14</v>
      </c>
      <c r="B38" s="3">
        <v>41439</v>
      </c>
      <c r="C38" s="3">
        <v>41439</v>
      </c>
      <c r="D38" s="4"/>
      <c r="E38" s="22" t="s">
        <v>88</v>
      </c>
      <c r="F38" s="5" t="s">
        <v>378</v>
      </c>
      <c r="G38" s="5"/>
      <c r="H38" s="5"/>
      <c r="I38" s="28" t="s">
        <v>192</v>
      </c>
      <c r="J38" s="21"/>
      <c r="K38" s="5">
        <v>1840638</v>
      </c>
      <c r="L38" s="4">
        <f t="shared" si="1"/>
        <v>543178211</v>
      </c>
      <c r="M38" s="19"/>
    </row>
    <row r="39" spans="1:13" ht="19.5" customHeight="1">
      <c r="A39" s="6" t="str">
        <f t="shared" si="0"/>
        <v>C14</v>
      </c>
      <c r="B39" s="3">
        <v>41439</v>
      </c>
      <c r="C39" s="3">
        <v>41439</v>
      </c>
      <c r="D39" s="4"/>
      <c r="E39" s="22" t="s">
        <v>88</v>
      </c>
      <c r="F39" s="30" t="s">
        <v>379</v>
      </c>
      <c r="G39" s="50"/>
      <c r="H39" s="50"/>
      <c r="I39" s="28" t="s">
        <v>35</v>
      </c>
      <c r="J39" s="21"/>
      <c r="K39" s="5">
        <v>184064</v>
      </c>
      <c r="L39" s="4">
        <f t="shared" si="1"/>
        <v>542994147</v>
      </c>
      <c r="M39" s="19"/>
    </row>
    <row r="40" spans="1:13" ht="19.5" customHeight="1">
      <c r="A40" s="6" t="str">
        <f t="shared" si="0"/>
        <v>C15</v>
      </c>
      <c r="B40" s="3">
        <v>41439</v>
      </c>
      <c r="C40" s="3">
        <v>41439</v>
      </c>
      <c r="D40" s="4"/>
      <c r="E40" s="22" t="s">
        <v>89</v>
      </c>
      <c r="F40" s="30" t="s">
        <v>52</v>
      </c>
      <c r="G40" s="50"/>
      <c r="H40" s="50"/>
      <c r="I40" s="28" t="s">
        <v>53</v>
      </c>
      <c r="J40" s="21"/>
      <c r="K40" s="5">
        <v>3083636</v>
      </c>
      <c r="L40" s="4">
        <f t="shared" si="1"/>
        <v>539910511</v>
      </c>
      <c r="M40" s="19"/>
    </row>
    <row r="41" spans="1:13" ht="19.5" customHeight="1">
      <c r="A41" s="6" t="str">
        <f t="shared" si="0"/>
        <v>C15</v>
      </c>
      <c r="B41" s="3">
        <v>41439</v>
      </c>
      <c r="C41" s="3">
        <v>41439</v>
      </c>
      <c r="D41" s="4"/>
      <c r="E41" s="52" t="s">
        <v>89</v>
      </c>
      <c r="F41" s="5" t="s">
        <v>382</v>
      </c>
      <c r="G41" s="5"/>
      <c r="H41" s="5"/>
      <c r="I41" s="28" t="s">
        <v>192</v>
      </c>
      <c r="J41" s="21"/>
      <c r="K41" s="5">
        <v>360555</v>
      </c>
      <c r="L41" s="4">
        <f t="shared" si="1"/>
        <v>539549956</v>
      </c>
      <c r="M41" s="19"/>
    </row>
    <row r="42" spans="1:13" ht="19.5" customHeight="1">
      <c r="A42" s="6" t="str">
        <f t="shared" si="0"/>
        <v>C15</v>
      </c>
      <c r="B42" s="3">
        <v>41439</v>
      </c>
      <c r="C42" s="3">
        <v>41439</v>
      </c>
      <c r="D42" s="4"/>
      <c r="E42" s="22" t="s">
        <v>89</v>
      </c>
      <c r="F42" s="5" t="s">
        <v>119</v>
      </c>
      <c r="G42" s="5"/>
      <c r="H42" s="5"/>
      <c r="I42" s="28" t="s">
        <v>35</v>
      </c>
      <c r="J42" s="21"/>
      <c r="K42" s="5">
        <v>344419</v>
      </c>
      <c r="L42" s="4">
        <f t="shared" si="1"/>
        <v>539205537</v>
      </c>
      <c r="M42" s="19"/>
    </row>
    <row r="43" spans="1:13" ht="19.5" customHeight="1">
      <c r="A43" s="6" t="str">
        <f t="shared" si="0"/>
        <v>C16</v>
      </c>
      <c r="B43" s="3">
        <v>41439</v>
      </c>
      <c r="C43" s="3">
        <v>41439</v>
      </c>
      <c r="D43" s="4"/>
      <c r="E43" s="22" t="s">
        <v>90</v>
      </c>
      <c r="F43" s="5" t="s">
        <v>343</v>
      </c>
      <c r="G43" s="5"/>
      <c r="H43" s="5"/>
      <c r="I43" s="28" t="s">
        <v>53</v>
      </c>
      <c r="J43" s="21"/>
      <c r="K43" s="5">
        <v>2290000</v>
      </c>
      <c r="L43" s="4">
        <f t="shared" si="1"/>
        <v>536915537</v>
      </c>
      <c r="M43" s="19"/>
    </row>
    <row r="44" spans="1:13" ht="19.5" customHeight="1">
      <c r="A44" s="6" t="str">
        <f t="shared" si="0"/>
        <v>C17</v>
      </c>
      <c r="B44" s="3">
        <v>41439</v>
      </c>
      <c r="C44" s="3">
        <v>41439</v>
      </c>
      <c r="D44" s="4"/>
      <c r="E44" s="22" t="s">
        <v>91</v>
      </c>
      <c r="F44" s="5" t="s">
        <v>201</v>
      </c>
      <c r="G44" s="5"/>
      <c r="H44" s="5"/>
      <c r="I44" s="28" t="s">
        <v>53</v>
      </c>
      <c r="J44" s="21"/>
      <c r="K44" s="5">
        <v>9240000</v>
      </c>
      <c r="L44" s="4">
        <f t="shared" si="1"/>
        <v>527675537</v>
      </c>
      <c r="M44" s="19"/>
    </row>
    <row r="45" spans="1:13" ht="19.5" customHeight="1">
      <c r="A45" s="6" t="str">
        <f t="shared" si="0"/>
        <v>C17</v>
      </c>
      <c r="B45" s="3">
        <v>41439</v>
      </c>
      <c r="C45" s="3">
        <v>41439</v>
      </c>
      <c r="D45" s="4"/>
      <c r="E45" s="22" t="s">
        <v>91</v>
      </c>
      <c r="F45" s="5" t="s">
        <v>202</v>
      </c>
      <c r="G45" s="5"/>
      <c r="H45" s="5"/>
      <c r="I45" s="28" t="s">
        <v>35</v>
      </c>
      <c r="J45" s="21"/>
      <c r="K45" s="5">
        <v>924000</v>
      </c>
      <c r="L45" s="4">
        <f t="shared" si="1"/>
        <v>526751537</v>
      </c>
      <c r="M45" s="19"/>
    </row>
    <row r="46" spans="1:13" ht="19.5" customHeight="1">
      <c r="A46" s="6" t="str">
        <f t="shared" si="0"/>
        <v>C18</v>
      </c>
      <c r="B46" s="3">
        <v>41440</v>
      </c>
      <c r="C46" s="3">
        <v>41440</v>
      </c>
      <c r="D46" s="4"/>
      <c r="E46" s="52" t="s">
        <v>92</v>
      </c>
      <c r="F46" s="5" t="s">
        <v>383</v>
      </c>
      <c r="G46" s="5"/>
      <c r="H46" s="5"/>
      <c r="I46" s="28" t="s">
        <v>34</v>
      </c>
      <c r="J46" s="21"/>
      <c r="K46" s="5">
        <v>9364218</v>
      </c>
      <c r="L46" s="4">
        <f t="shared" si="1"/>
        <v>517387319</v>
      </c>
      <c r="M46" s="19"/>
    </row>
    <row r="47" spans="1:13" ht="19.5" customHeight="1">
      <c r="A47" s="6" t="str">
        <f t="shared" si="0"/>
        <v>T04</v>
      </c>
      <c r="B47" s="3">
        <v>41445</v>
      </c>
      <c r="C47" s="3">
        <v>41445</v>
      </c>
      <c r="D47" s="4" t="s">
        <v>42</v>
      </c>
      <c r="E47" s="22"/>
      <c r="F47" s="5" t="s">
        <v>269</v>
      </c>
      <c r="G47" s="5"/>
      <c r="H47" s="5"/>
      <c r="I47" s="28" t="s">
        <v>36</v>
      </c>
      <c r="J47" s="21">
        <v>840000000</v>
      </c>
      <c r="K47" s="5"/>
      <c r="L47" s="4">
        <f t="shared" si="1"/>
        <v>1357387319</v>
      </c>
      <c r="M47" s="19"/>
    </row>
    <row r="48" spans="1:13" ht="19.5" customHeight="1">
      <c r="A48" s="6" t="str">
        <f t="shared" si="0"/>
        <v>C19</v>
      </c>
      <c r="B48" s="3">
        <v>41445</v>
      </c>
      <c r="C48" s="3">
        <v>41445</v>
      </c>
      <c r="D48" s="4"/>
      <c r="E48" s="22" t="s">
        <v>93</v>
      </c>
      <c r="F48" s="30" t="s">
        <v>201</v>
      </c>
      <c r="G48" s="50"/>
      <c r="H48" s="50"/>
      <c r="I48" s="28" t="s">
        <v>53</v>
      </c>
      <c r="J48" s="21"/>
      <c r="K48" s="5">
        <v>12600000</v>
      </c>
      <c r="L48" s="4">
        <f t="shared" si="1"/>
        <v>1344787319</v>
      </c>
      <c r="M48" s="19"/>
    </row>
    <row r="49" spans="1:13" ht="19.5" customHeight="1">
      <c r="A49" s="6" t="str">
        <f t="shared" ref="A49:A74" si="2">D49&amp;E49</f>
        <v>C19</v>
      </c>
      <c r="B49" s="3">
        <v>41445</v>
      </c>
      <c r="C49" s="3">
        <v>41445</v>
      </c>
      <c r="D49" s="4"/>
      <c r="E49" s="22" t="s">
        <v>93</v>
      </c>
      <c r="F49" s="5" t="s">
        <v>202</v>
      </c>
      <c r="G49" s="5"/>
      <c r="H49" s="5"/>
      <c r="I49" s="28" t="s">
        <v>35</v>
      </c>
      <c r="J49" s="21"/>
      <c r="K49" s="5">
        <v>1260000</v>
      </c>
      <c r="L49" s="4">
        <f t="shared" si="1"/>
        <v>1343527319</v>
      </c>
      <c r="M49" s="19"/>
    </row>
    <row r="50" spans="1:13" ht="19.5" customHeight="1">
      <c r="A50" s="6" t="str">
        <f t="shared" si="2"/>
        <v>C20</v>
      </c>
      <c r="B50" s="3">
        <v>41445</v>
      </c>
      <c r="C50" s="3">
        <v>41445</v>
      </c>
      <c r="D50" s="4"/>
      <c r="E50" s="22" t="s">
        <v>94</v>
      </c>
      <c r="F50" s="5" t="s">
        <v>194</v>
      </c>
      <c r="G50" s="5"/>
      <c r="H50" s="5"/>
      <c r="I50" s="28" t="s">
        <v>120</v>
      </c>
      <c r="J50" s="21"/>
      <c r="K50" s="5">
        <v>470000000</v>
      </c>
      <c r="L50" s="4">
        <f t="shared" si="1"/>
        <v>873527319</v>
      </c>
      <c r="M50" s="19"/>
    </row>
    <row r="51" spans="1:13" ht="19.5" customHeight="1">
      <c r="A51" s="6" t="str">
        <f t="shared" si="2"/>
        <v>C21</v>
      </c>
      <c r="B51" s="3">
        <v>41446</v>
      </c>
      <c r="C51" s="3">
        <v>41446</v>
      </c>
      <c r="D51" s="4"/>
      <c r="E51" s="22" t="s">
        <v>95</v>
      </c>
      <c r="F51" s="5" t="s">
        <v>378</v>
      </c>
      <c r="G51" s="5"/>
      <c r="H51" s="5"/>
      <c r="I51" s="28" t="s">
        <v>192</v>
      </c>
      <c r="J51" s="21"/>
      <c r="K51" s="5">
        <v>1100909</v>
      </c>
      <c r="L51" s="4">
        <f t="shared" si="1"/>
        <v>872426410</v>
      </c>
      <c r="M51" s="19"/>
    </row>
    <row r="52" spans="1:13" ht="19.5" customHeight="1">
      <c r="A52" s="6" t="str">
        <f t="shared" si="2"/>
        <v>C21</v>
      </c>
      <c r="B52" s="3">
        <v>41446</v>
      </c>
      <c r="C52" s="3">
        <v>41446</v>
      </c>
      <c r="D52" s="4"/>
      <c r="E52" s="22" t="s">
        <v>95</v>
      </c>
      <c r="F52" s="30" t="s">
        <v>379</v>
      </c>
      <c r="G52" s="5"/>
      <c r="H52" s="5"/>
      <c r="I52" s="28" t="s">
        <v>35</v>
      </c>
      <c r="J52" s="21"/>
      <c r="K52" s="5">
        <v>110091</v>
      </c>
      <c r="L52" s="4">
        <f t="shared" si="1"/>
        <v>872316319</v>
      </c>
      <c r="M52" s="19"/>
    </row>
    <row r="53" spans="1:13" ht="19.5" customHeight="1">
      <c r="A53" s="6" t="str">
        <f t="shared" si="2"/>
        <v>T05</v>
      </c>
      <c r="B53" s="3">
        <v>41447</v>
      </c>
      <c r="C53" s="3">
        <v>41447</v>
      </c>
      <c r="D53" s="4" t="s">
        <v>43</v>
      </c>
      <c r="E53" s="22"/>
      <c r="F53" s="5" t="s">
        <v>269</v>
      </c>
      <c r="G53" s="5"/>
      <c r="H53" s="5"/>
      <c r="I53" s="28" t="s">
        <v>36</v>
      </c>
      <c r="J53" s="21">
        <v>738000000</v>
      </c>
      <c r="K53" s="5"/>
      <c r="L53" s="4">
        <f t="shared" si="1"/>
        <v>1610316319</v>
      </c>
      <c r="M53" s="19"/>
    </row>
    <row r="54" spans="1:13" ht="19.5" customHeight="1">
      <c r="A54" s="6" t="str">
        <f t="shared" si="2"/>
        <v>C22</v>
      </c>
      <c r="B54" s="3">
        <v>41447</v>
      </c>
      <c r="C54" s="3">
        <v>41447</v>
      </c>
      <c r="D54" s="4"/>
      <c r="E54" s="22" t="s">
        <v>96</v>
      </c>
      <c r="F54" s="5" t="s">
        <v>272</v>
      </c>
      <c r="G54" s="5"/>
      <c r="H54" s="5"/>
      <c r="I54" s="28" t="s">
        <v>120</v>
      </c>
      <c r="J54" s="21"/>
      <c r="K54" s="5">
        <v>650000000</v>
      </c>
      <c r="L54" s="4">
        <f t="shared" si="1"/>
        <v>960316319</v>
      </c>
      <c r="M54" s="19"/>
    </row>
    <row r="55" spans="1:13" ht="19.5" customHeight="1">
      <c r="A55" s="6" t="str">
        <f t="shared" si="2"/>
        <v>C23</v>
      </c>
      <c r="B55" s="3">
        <v>41448</v>
      </c>
      <c r="C55" s="3">
        <v>41448</v>
      </c>
      <c r="D55" s="4"/>
      <c r="E55" s="22" t="s">
        <v>97</v>
      </c>
      <c r="F55" s="5" t="s">
        <v>283</v>
      </c>
      <c r="G55" s="5"/>
      <c r="H55" s="5"/>
      <c r="I55" s="28" t="s">
        <v>34</v>
      </c>
      <c r="J55" s="21"/>
      <c r="K55" s="5">
        <v>14529999</v>
      </c>
      <c r="L55" s="4">
        <f t="shared" si="1"/>
        <v>945786320</v>
      </c>
      <c r="M55" s="19"/>
    </row>
    <row r="56" spans="1:13" ht="19.5" customHeight="1">
      <c r="A56" s="6" t="str">
        <f t="shared" si="2"/>
        <v>C24</v>
      </c>
      <c r="B56" s="3">
        <v>41450</v>
      </c>
      <c r="C56" s="3">
        <v>41450</v>
      </c>
      <c r="D56" s="4"/>
      <c r="E56" s="22" t="s">
        <v>98</v>
      </c>
      <c r="F56" s="5" t="s">
        <v>216</v>
      </c>
      <c r="G56" s="5"/>
      <c r="H56" s="5"/>
      <c r="I56" s="28" t="s">
        <v>192</v>
      </c>
      <c r="J56" s="21"/>
      <c r="K56" s="5">
        <v>2553000</v>
      </c>
      <c r="L56" s="4">
        <f t="shared" si="1"/>
        <v>943233320</v>
      </c>
      <c r="M56" s="19"/>
    </row>
    <row r="57" spans="1:13" ht="19.5" customHeight="1">
      <c r="A57" s="6" t="str">
        <f t="shared" si="2"/>
        <v>C24</v>
      </c>
      <c r="B57" s="3">
        <v>41450</v>
      </c>
      <c r="C57" s="3">
        <v>41450</v>
      </c>
      <c r="D57" s="4"/>
      <c r="E57" s="22" t="s">
        <v>98</v>
      </c>
      <c r="F57" s="5" t="s">
        <v>217</v>
      </c>
      <c r="G57" s="5"/>
      <c r="H57" s="5"/>
      <c r="I57" s="28" t="s">
        <v>35</v>
      </c>
      <c r="J57" s="21"/>
      <c r="K57" s="5">
        <v>255300</v>
      </c>
      <c r="L57" s="4">
        <f t="shared" si="1"/>
        <v>942978020</v>
      </c>
      <c r="M57" s="19"/>
    </row>
    <row r="58" spans="1:13" ht="19.5" customHeight="1">
      <c r="A58" s="6" t="str">
        <f t="shared" si="2"/>
        <v>T06</v>
      </c>
      <c r="B58" s="3">
        <v>41452</v>
      </c>
      <c r="C58" s="3">
        <v>41452</v>
      </c>
      <c r="D58" s="4" t="s">
        <v>44</v>
      </c>
      <c r="E58" s="22"/>
      <c r="F58" s="5" t="s">
        <v>269</v>
      </c>
      <c r="G58" s="5"/>
      <c r="H58" s="5"/>
      <c r="I58" s="28" t="s">
        <v>36</v>
      </c>
      <c r="J58" s="21">
        <v>300000000</v>
      </c>
      <c r="K58" s="5"/>
      <c r="L58" s="4">
        <f t="shared" si="1"/>
        <v>1242978020</v>
      </c>
      <c r="M58" s="19"/>
    </row>
    <row r="59" spans="1:13" ht="19.5" customHeight="1">
      <c r="A59" s="6" t="str">
        <f t="shared" si="2"/>
        <v>T06</v>
      </c>
      <c r="B59" s="3">
        <v>41452</v>
      </c>
      <c r="C59" s="3">
        <v>41452</v>
      </c>
      <c r="D59" s="4" t="s">
        <v>44</v>
      </c>
      <c r="E59" s="22"/>
      <c r="F59" s="30" t="s">
        <v>269</v>
      </c>
      <c r="G59" s="50"/>
      <c r="H59" s="50"/>
      <c r="I59" s="28" t="s">
        <v>36</v>
      </c>
      <c r="J59" s="21">
        <v>200000000</v>
      </c>
      <c r="K59" s="5"/>
      <c r="L59" s="4">
        <f t="shared" si="1"/>
        <v>1442978020</v>
      </c>
      <c r="M59" s="19"/>
    </row>
    <row r="60" spans="1:13" ht="19.5" customHeight="1">
      <c r="A60" s="6" t="str">
        <f t="shared" si="2"/>
        <v>C25</v>
      </c>
      <c r="B60" s="3">
        <v>41452</v>
      </c>
      <c r="C60" s="3">
        <v>41452</v>
      </c>
      <c r="D60" s="4"/>
      <c r="E60" s="22" t="s">
        <v>99</v>
      </c>
      <c r="F60" s="30" t="s">
        <v>276</v>
      </c>
      <c r="G60" s="50"/>
      <c r="H60" s="50"/>
      <c r="I60" s="28" t="s">
        <v>192</v>
      </c>
      <c r="J60" s="21"/>
      <c r="K60" s="5">
        <v>16000000</v>
      </c>
      <c r="L60" s="4">
        <f t="shared" si="1"/>
        <v>1426978020</v>
      </c>
      <c r="M60" s="19"/>
    </row>
    <row r="61" spans="1:13" ht="19.5" customHeight="1">
      <c r="A61" s="6" t="str">
        <f t="shared" si="2"/>
        <v>C25</v>
      </c>
      <c r="B61" s="3">
        <v>41452</v>
      </c>
      <c r="C61" s="3">
        <v>41452</v>
      </c>
      <c r="D61" s="4"/>
      <c r="E61" s="22" t="s">
        <v>99</v>
      </c>
      <c r="F61" s="5" t="s">
        <v>277</v>
      </c>
      <c r="G61" s="5"/>
      <c r="H61" s="5"/>
      <c r="I61" s="28" t="s">
        <v>35</v>
      </c>
      <c r="J61" s="21"/>
      <c r="K61" s="5">
        <v>1600000</v>
      </c>
      <c r="L61" s="4">
        <f t="shared" si="1"/>
        <v>1425378020</v>
      </c>
      <c r="M61" s="19"/>
    </row>
    <row r="62" spans="1:13" ht="19.5" customHeight="1">
      <c r="A62" s="6" t="str">
        <f t="shared" si="2"/>
        <v>C26</v>
      </c>
      <c r="B62" s="3">
        <v>41452</v>
      </c>
      <c r="C62" s="3">
        <v>41452</v>
      </c>
      <c r="D62" s="4"/>
      <c r="E62" s="22" t="s">
        <v>100</v>
      </c>
      <c r="F62" s="5" t="s">
        <v>194</v>
      </c>
      <c r="G62" s="5"/>
      <c r="H62" s="5"/>
      <c r="I62" s="28" t="s">
        <v>120</v>
      </c>
      <c r="J62" s="21"/>
      <c r="K62" s="5">
        <v>650000000</v>
      </c>
      <c r="L62" s="4">
        <f t="shared" si="1"/>
        <v>775378020</v>
      </c>
      <c r="M62" s="19"/>
    </row>
    <row r="63" spans="1:13" ht="19.5" customHeight="1">
      <c r="A63" s="6" t="str">
        <f t="shared" si="2"/>
        <v>C27</v>
      </c>
      <c r="B63" s="3">
        <v>41453</v>
      </c>
      <c r="C63" s="3">
        <v>41453</v>
      </c>
      <c r="D63" s="4"/>
      <c r="E63" s="52" t="s">
        <v>101</v>
      </c>
      <c r="F63" s="5" t="s">
        <v>52</v>
      </c>
      <c r="G63" s="5"/>
      <c r="H63" s="5"/>
      <c r="I63" s="28" t="s">
        <v>53</v>
      </c>
      <c r="J63" s="21"/>
      <c r="K63" s="5">
        <v>4478727</v>
      </c>
      <c r="L63" s="4">
        <f t="shared" si="1"/>
        <v>770899293</v>
      </c>
      <c r="M63" s="19"/>
    </row>
    <row r="64" spans="1:13" ht="19.5" customHeight="1">
      <c r="A64" s="6" t="str">
        <f t="shared" si="2"/>
        <v>C27</v>
      </c>
      <c r="B64" s="3">
        <v>41453</v>
      </c>
      <c r="C64" s="3">
        <v>41453</v>
      </c>
      <c r="D64" s="4"/>
      <c r="E64" s="22" t="s">
        <v>101</v>
      </c>
      <c r="F64" s="5" t="s">
        <v>382</v>
      </c>
      <c r="G64" s="5"/>
      <c r="H64" s="5"/>
      <c r="I64" s="28" t="s">
        <v>192</v>
      </c>
      <c r="J64" s="21"/>
      <c r="K64" s="5">
        <v>345455</v>
      </c>
      <c r="L64" s="4">
        <f t="shared" si="1"/>
        <v>770553838</v>
      </c>
      <c r="M64" s="19"/>
    </row>
    <row r="65" spans="1:13" ht="19.5" customHeight="1">
      <c r="A65" s="6" t="str">
        <f t="shared" si="2"/>
        <v>C27</v>
      </c>
      <c r="B65" s="3">
        <v>41453</v>
      </c>
      <c r="C65" s="3">
        <v>41453</v>
      </c>
      <c r="D65" s="4"/>
      <c r="E65" s="22" t="s">
        <v>101</v>
      </c>
      <c r="F65" s="5" t="s">
        <v>119</v>
      </c>
      <c r="G65" s="5"/>
      <c r="H65" s="5"/>
      <c r="I65" s="28" t="s">
        <v>35</v>
      </c>
      <c r="J65" s="21"/>
      <c r="K65" s="5">
        <v>482418</v>
      </c>
      <c r="L65" s="4">
        <f t="shared" si="1"/>
        <v>770071420</v>
      </c>
      <c r="M65" s="19"/>
    </row>
    <row r="66" spans="1:13" ht="19.5" customHeight="1">
      <c r="A66" s="6" t="str">
        <f t="shared" si="2"/>
        <v>C28</v>
      </c>
      <c r="B66" s="3">
        <v>41453</v>
      </c>
      <c r="C66" s="3">
        <v>41453</v>
      </c>
      <c r="D66" s="4"/>
      <c r="E66" s="22" t="s">
        <v>102</v>
      </c>
      <c r="F66" s="5" t="s">
        <v>378</v>
      </c>
      <c r="G66" s="5"/>
      <c r="H66" s="5"/>
      <c r="I66" s="28" t="s">
        <v>192</v>
      </c>
      <c r="J66" s="21"/>
      <c r="K66" s="5">
        <v>3412818</v>
      </c>
      <c r="L66" s="4">
        <f t="shared" si="1"/>
        <v>766658602</v>
      </c>
      <c r="M66" s="19"/>
    </row>
    <row r="67" spans="1:13" ht="19.5" customHeight="1">
      <c r="A67" s="6" t="str">
        <f t="shared" si="2"/>
        <v>C28</v>
      </c>
      <c r="B67" s="3">
        <v>41453</v>
      </c>
      <c r="C67" s="3">
        <v>41453</v>
      </c>
      <c r="D67" s="4"/>
      <c r="E67" s="22" t="s">
        <v>102</v>
      </c>
      <c r="F67" s="30" t="s">
        <v>379</v>
      </c>
      <c r="G67" s="5"/>
      <c r="H67" s="5"/>
      <c r="I67" s="28" t="s">
        <v>35</v>
      </c>
      <c r="J67" s="21"/>
      <c r="K67" s="5">
        <v>341282</v>
      </c>
      <c r="L67" s="4">
        <f t="shared" si="1"/>
        <v>766317320</v>
      </c>
      <c r="M67" s="19"/>
    </row>
    <row r="68" spans="1:13" ht="19.5" customHeight="1">
      <c r="A68" s="6" t="str">
        <f t="shared" si="2"/>
        <v>T07</v>
      </c>
      <c r="B68" s="3">
        <v>41454</v>
      </c>
      <c r="C68" s="3">
        <v>41454</v>
      </c>
      <c r="D68" s="4" t="s">
        <v>57</v>
      </c>
      <c r="E68" s="22"/>
      <c r="F68" s="5" t="s">
        <v>269</v>
      </c>
      <c r="G68" s="5"/>
      <c r="H68" s="5"/>
      <c r="I68" s="28" t="s">
        <v>36</v>
      </c>
      <c r="J68" s="21">
        <v>270000000</v>
      </c>
      <c r="K68" s="5"/>
      <c r="L68" s="4">
        <f t="shared" si="1"/>
        <v>1036317320</v>
      </c>
      <c r="M68" s="19"/>
    </row>
    <row r="69" spans="1:13" ht="19.5" customHeight="1">
      <c r="A69" s="6" t="str">
        <f t="shared" si="2"/>
        <v>C29</v>
      </c>
      <c r="B69" s="3">
        <v>41454</v>
      </c>
      <c r="C69" s="3">
        <v>41454</v>
      </c>
      <c r="D69" s="4"/>
      <c r="E69" s="22" t="s">
        <v>103</v>
      </c>
      <c r="F69" s="5" t="s">
        <v>378</v>
      </c>
      <c r="G69" s="5"/>
      <c r="H69" s="5"/>
      <c r="I69" s="28" t="s">
        <v>192</v>
      </c>
      <c r="J69" s="21"/>
      <c r="K69" s="5">
        <v>1957690</v>
      </c>
      <c r="L69" s="4">
        <f t="shared" si="1"/>
        <v>1034359630</v>
      </c>
      <c r="M69" s="19"/>
    </row>
    <row r="70" spans="1:13" ht="19.5" customHeight="1">
      <c r="A70" s="6" t="str">
        <f>D70&amp;E70</f>
        <v>C29</v>
      </c>
      <c r="B70" s="3">
        <v>41454</v>
      </c>
      <c r="C70" s="3">
        <v>41454</v>
      </c>
      <c r="D70" s="4"/>
      <c r="E70" s="22" t="s">
        <v>103</v>
      </c>
      <c r="F70" s="5" t="s">
        <v>379</v>
      </c>
      <c r="G70" s="5"/>
      <c r="H70" s="5"/>
      <c r="I70" s="28" t="s">
        <v>35</v>
      </c>
      <c r="J70" s="21"/>
      <c r="K70" s="5">
        <v>195770</v>
      </c>
      <c r="L70" s="4">
        <f t="shared" si="1"/>
        <v>1034163860</v>
      </c>
      <c r="M70" s="19"/>
    </row>
    <row r="71" spans="1:13" ht="19.5" customHeight="1">
      <c r="A71" s="6" t="str">
        <f>D71&amp;E71</f>
        <v>C30</v>
      </c>
      <c r="B71" s="3">
        <v>41455</v>
      </c>
      <c r="C71" s="3">
        <v>41455</v>
      </c>
      <c r="D71" s="4"/>
      <c r="E71" s="22" t="s">
        <v>104</v>
      </c>
      <c r="F71" s="5" t="s">
        <v>52</v>
      </c>
      <c r="G71" s="5"/>
      <c r="H71" s="5"/>
      <c r="I71" s="28" t="s">
        <v>53</v>
      </c>
      <c r="J71" s="21"/>
      <c r="K71" s="5">
        <v>891409</v>
      </c>
      <c r="L71" s="4">
        <f t="shared" si="1"/>
        <v>1033272451</v>
      </c>
      <c r="M71" s="19"/>
    </row>
    <row r="72" spans="1:13" ht="19.5" customHeight="1">
      <c r="A72" s="6" t="str">
        <f t="shared" si="2"/>
        <v>C30</v>
      </c>
      <c r="B72" s="3">
        <v>41455</v>
      </c>
      <c r="C72" s="3">
        <v>41455</v>
      </c>
      <c r="D72" s="4"/>
      <c r="E72" s="22" t="s">
        <v>104</v>
      </c>
      <c r="F72" s="30" t="s">
        <v>119</v>
      </c>
      <c r="G72" s="50"/>
      <c r="H72" s="50"/>
      <c r="I72" s="28" t="s">
        <v>35</v>
      </c>
      <c r="J72" s="21"/>
      <c r="K72" s="5">
        <v>89141</v>
      </c>
      <c r="L72" s="4">
        <f t="shared" si="1"/>
        <v>1033183310</v>
      </c>
      <c r="M72" s="19"/>
    </row>
    <row r="73" spans="1:13" ht="19.5" customHeight="1">
      <c r="A73" s="6" t="str">
        <f t="shared" si="2"/>
        <v>C31</v>
      </c>
      <c r="B73" s="3">
        <v>41455</v>
      </c>
      <c r="C73" s="3">
        <v>41455</v>
      </c>
      <c r="D73" s="4"/>
      <c r="E73" s="22" t="s">
        <v>105</v>
      </c>
      <c r="F73" s="5" t="s">
        <v>364</v>
      </c>
      <c r="G73" s="5"/>
      <c r="H73" s="5"/>
      <c r="I73" s="28" t="s">
        <v>193</v>
      </c>
      <c r="J73" s="21"/>
      <c r="K73" s="5">
        <v>672727</v>
      </c>
      <c r="L73" s="4">
        <f t="shared" si="1"/>
        <v>1032510583</v>
      </c>
      <c r="M73" s="19"/>
    </row>
    <row r="74" spans="1:13" ht="19.5" customHeight="1">
      <c r="A74" s="6" t="str">
        <f t="shared" si="2"/>
        <v>C31</v>
      </c>
      <c r="B74" s="3">
        <v>41455</v>
      </c>
      <c r="C74" s="3">
        <v>41455</v>
      </c>
      <c r="D74" s="22"/>
      <c r="E74" s="22" t="s">
        <v>105</v>
      </c>
      <c r="F74" s="5" t="s">
        <v>365</v>
      </c>
      <c r="G74" s="5"/>
      <c r="H74" s="5"/>
      <c r="I74" s="28" t="s">
        <v>35</v>
      </c>
      <c r="J74" s="21"/>
      <c r="K74" s="5">
        <v>67273</v>
      </c>
      <c r="L74" s="4">
        <f t="shared" si="1"/>
        <v>1032443310</v>
      </c>
      <c r="M74" s="19"/>
    </row>
    <row r="75" spans="1:13" ht="19.5" customHeight="1">
      <c r="A75" s="6" t="str">
        <f t="shared" ref="A75:A79" si="3">D75&amp;E75</f>
        <v>C32</v>
      </c>
      <c r="B75" s="3">
        <v>41455</v>
      </c>
      <c r="C75" s="3">
        <v>41455</v>
      </c>
      <c r="D75" s="22"/>
      <c r="E75" s="22" t="s">
        <v>106</v>
      </c>
      <c r="F75" s="5" t="s">
        <v>205</v>
      </c>
      <c r="G75" s="5"/>
      <c r="H75" s="5"/>
      <c r="I75" s="28" t="s">
        <v>193</v>
      </c>
      <c r="J75" s="21"/>
      <c r="K75" s="5">
        <v>6345455</v>
      </c>
      <c r="L75" s="4">
        <f t="shared" ref="L75:L79" si="4">IF(F75&lt;&gt;"",L74+J75-K75,0)</f>
        <v>1026097855</v>
      </c>
      <c r="M75" s="19"/>
    </row>
    <row r="76" spans="1:13" ht="19.5" customHeight="1">
      <c r="A76" s="6" t="str">
        <f t="shared" si="3"/>
        <v>C32</v>
      </c>
      <c r="B76" s="3">
        <v>41455</v>
      </c>
      <c r="C76" s="3">
        <v>41455</v>
      </c>
      <c r="D76" s="22"/>
      <c r="E76" s="22" t="s">
        <v>106</v>
      </c>
      <c r="F76" s="5" t="s">
        <v>206</v>
      </c>
      <c r="G76" s="5"/>
      <c r="H76" s="5"/>
      <c r="I76" s="28" t="s">
        <v>35</v>
      </c>
      <c r="J76" s="21"/>
      <c r="K76" s="5">
        <v>634545</v>
      </c>
      <c r="L76" s="4">
        <f t="shared" si="4"/>
        <v>1025463310</v>
      </c>
      <c r="M76" s="19"/>
    </row>
    <row r="77" spans="1:13" ht="19.5" customHeight="1">
      <c r="A77" s="6" t="str">
        <f t="shared" si="3"/>
        <v>C33</v>
      </c>
      <c r="B77" s="3">
        <v>41455</v>
      </c>
      <c r="C77" s="3">
        <v>41455</v>
      </c>
      <c r="D77" s="22"/>
      <c r="E77" s="22" t="s">
        <v>107</v>
      </c>
      <c r="F77" s="5" t="s">
        <v>384</v>
      </c>
      <c r="G77" s="5"/>
      <c r="H77" s="5"/>
      <c r="I77" s="28" t="s">
        <v>38</v>
      </c>
      <c r="J77" s="21"/>
      <c r="K77" s="5">
        <v>5673750</v>
      </c>
      <c r="L77" s="4">
        <f t="shared" si="4"/>
        <v>1019789560</v>
      </c>
      <c r="M77" s="19"/>
    </row>
    <row r="78" spans="1:13" ht="19.5" customHeight="1">
      <c r="A78" s="6" t="str">
        <f t="shared" si="3"/>
        <v>C34</v>
      </c>
      <c r="B78" s="3">
        <v>41455</v>
      </c>
      <c r="C78" s="3">
        <v>41455</v>
      </c>
      <c r="D78" s="22"/>
      <c r="E78" s="22" t="s">
        <v>108</v>
      </c>
      <c r="F78" s="5" t="s">
        <v>247</v>
      </c>
      <c r="G78" s="5"/>
      <c r="H78" s="5"/>
      <c r="I78" s="28" t="s">
        <v>182</v>
      </c>
      <c r="J78" s="21"/>
      <c r="K78" s="5">
        <v>400000000</v>
      </c>
      <c r="L78" s="4">
        <f t="shared" si="4"/>
        <v>619789560</v>
      </c>
      <c r="M78" s="19"/>
    </row>
    <row r="79" spans="1:13" ht="19.5" customHeight="1">
      <c r="A79" s="6" t="str">
        <f t="shared" si="3"/>
        <v>C35</v>
      </c>
      <c r="B79" s="3">
        <v>41455</v>
      </c>
      <c r="C79" s="3">
        <v>41455</v>
      </c>
      <c r="D79" s="22"/>
      <c r="E79" s="22" t="s">
        <v>109</v>
      </c>
      <c r="F79" s="5" t="s">
        <v>385</v>
      </c>
      <c r="G79" s="5"/>
      <c r="H79" s="5"/>
      <c r="I79" s="28" t="s">
        <v>37</v>
      </c>
      <c r="J79" s="21"/>
      <c r="K79" s="5">
        <v>110727855</v>
      </c>
      <c r="L79" s="4">
        <f t="shared" si="4"/>
        <v>509061705</v>
      </c>
      <c r="M79" s="19"/>
    </row>
    <row r="80" spans="1:13" ht="18" customHeight="1">
      <c r="A80" s="6" t="str">
        <f>D80&amp;E80</f>
        <v/>
      </c>
      <c r="B80" s="3"/>
      <c r="C80" s="3"/>
      <c r="D80" s="4"/>
      <c r="E80" s="22"/>
      <c r="F80" s="5"/>
      <c r="G80" s="5"/>
      <c r="H80" s="5"/>
      <c r="I80" s="28"/>
      <c r="J80" s="21"/>
      <c r="K80" s="5"/>
      <c r="L80" s="4"/>
      <c r="M80" s="19"/>
    </row>
    <row r="81" spans="1:13" s="44" customFormat="1" ht="18" customHeight="1">
      <c r="A81" s="6" t="str">
        <f>D81&amp;E81</f>
        <v/>
      </c>
      <c r="B81" s="42"/>
      <c r="C81" s="42"/>
      <c r="D81" s="42"/>
      <c r="E81" s="42"/>
      <c r="F81" s="42" t="s">
        <v>29</v>
      </c>
      <c r="G81" s="42"/>
      <c r="H81" s="42"/>
      <c r="I81" s="43" t="s">
        <v>30</v>
      </c>
      <c r="J81" s="42">
        <f>SUM(J13:J80)</f>
        <v>5112000000</v>
      </c>
      <c r="K81" s="42">
        <f>SUM(K13:K80)</f>
        <v>4988277072</v>
      </c>
      <c r="L81" s="43" t="s">
        <v>30</v>
      </c>
      <c r="M81" s="43" t="s">
        <v>30</v>
      </c>
    </row>
    <row r="82" spans="1:13" s="44" customFormat="1" ht="18" customHeight="1">
      <c r="A82" s="6" t="str">
        <f>D82&amp;E82</f>
        <v/>
      </c>
      <c r="B82" s="45"/>
      <c r="C82" s="45"/>
      <c r="D82" s="45"/>
      <c r="E82" s="45"/>
      <c r="F82" s="45" t="s">
        <v>31</v>
      </c>
      <c r="G82" s="45"/>
      <c r="H82" s="45"/>
      <c r="I82" s="46" t="s">
        <v>30</v>
      </c>
      <c r="J82" s="46" t="s">
        <v>30</v>
      </c>
      <c r="K82" s="46" t="s">
        <v>30</v>
      </c>
      <c r="L82" s="45">
        <f>L12+J81-K81</f>
        <v>509061705</v>
      </c>
      <c r="M82" s="46" t="s">
        <v>30</v>
      </c>
    </row>
    <row r="84" spans="1:13">
      <c r="B84" s="27" t="s">
        <v>32</v>
      </c>
    </row>
    <row r="85" spans="1:13">
      <c r="B85" s="27" t="s">
        <v>296</v>
      </c>
    </row>
    <row r="86" spans="1:13">
      <c r="L86" s="8" t="s">
        <v>297</v>
      </c>
    </row>
    <row r="87" spans="1:13" s="7" customFormat="1" ht="14.25">
      <c r="C87" s="7" t="s">
        <v>33</v>
      </c>
      <c r="F87" s="7" t="s">
        <v>13</v>
      </c>
      <c r="L87" s="7" t="s">
        <v>14</v>
      </c>
    </row>
    <row r="88" spans="1:13" s="2" customFormat="1">
      <c r="C88" s="2" t="s">
        <v>15</v>
      </c>
      <c r="F88" s="2" t="s">
        <v>15</v>
      </c>
      <c r="L88" s="2" t="s">
        <v>16</v>
      </c>
    </row>
    <row r="89" spans="1:13" s="2" customFormat="1"/>
  </sheetData>
  <autoFilter ref="B11:M82">
    <filterColumn colId="7"/>
  </autoFilter>
  <sortState ref="A13:M85">
    <sortCondition ref="B13:B85"/>
  </sortState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15 H29 H71">
    <cfRule type="expression" dxfId="0" priority="1" stopIfTrue="1">
      <formula>$C15&lt;&gt;""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indexed="31"/>
  </sheetPr>
  <dimension ref="A1:M97"/>
  <sheetViews>
    <sheetView topLeftCell="B1" zoomScale="90" workbookViewId="0">
      <selection activeCell="J1" sqref="J1:M3"/>
    </sheetView>
  </sheetViews>
  <sheetFormatPr defaultRowHeight="15"/>
  <cols>
    <col min="1" max="1" width="4.7109375" style="6" hidden="1" customWidth="1"/>
    <col min="2" max="3" width="11.28515625" style="6" customWidth="1"/>
    <col min="4" max="5" width="6.85546875" style="6" customWidth="1"/>
    <col min="6" max="6" width="35.85546875" style="6" customWidth="1"/>
    <col min="7" max="7" width="0.140625" style="6" customWidth="1"/>
    <col min="8" max="8" width="26.85546875" style="6" hidden="1" customWidth="1"/>
    <col min="9" max="9" width="6.85546875" style="6" customWidth="1"/>
    <col min="10" max="10" width="16" style="6" customWidth="1"/>
    <col min="11" max="11" width="16.28515625" style="6" customWidth="1"/>
    <col min="12" max="12" width="18.28515625" style="6" customWidth="1"/>
    <col min="13" max="13" width="6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0" t="s">
        <v>472</v>
      </c>
      <c r="K1" s="400"/>
      <c r="L1" s="400"/>
      <c r="M1" s="400"/>
    </row>
    <row r="2" spans="1:13" s="11" customFormat="1" ht="16.5" customHeight="1">
      <c r="B2" s="1" t="str">
        <f>'01'!B2</f>
        <v>Địa chỉ: Lô A14, Đường 4A - KCN Hải Sơn, Đức Hòa, Long An</v>
      </c>
      <c r="C2" s="377"/>
      <c r="D2" s="377"/>
      <c r="E2" s="377"/>
      <c r="F2" s="377"/>
      <c r="G2" s="377"/>
      <c r="H2" s="12"/>
      <c r="J2" s="401" t="s">
        <v>473</v>
      </c>
      <c r="K2" s="401"/>
      <c r="L2" s="401"/>
      <c r="M2" s="401"/>
    </row>
    <row r="3" spans="1:13" s="11" customFormat="1" ht="16.5" customHeight="1">
      <c r="B3" s="9"/>
      <c r="C3" s="377"/>
      <c r="D3" s="14"/>
      <c r="E3" s="14"/>
      <c r="F3" s="377"/>
      <c r="G3" s="377"/>
      <c r="H3" s="12"/>
      <c r="J3" s="401"/>
      <c r="K3" s="401"/>
      <c r="L3" s="401"/>
      <c r="M3" s="401"/>
    </row>
    <row r="4" spans="1:13" s="11" customFormat="1" ht="6.75" customHeight="1">
      <c r="B4" s="377"/>
      <c r="C4" s="377"/>
      <c r="D4" s="377"/>
      <c r="E4" s="377"/>
      <c r="F4" s="377"/>
      <c r="G4" s="377"/>
      <c r="H4" s="12"/>
      <c r="J4" s="378"/>
      <c r="K4" s="378"/>
      <c r="L4" s="378"/>
      <c r="M4" s="378"/>
    </row>
    <row r="5" spans="1:13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6" spans="1:13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</row>
    <row r="7" spans="1:13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</row>
    <row r="8" spans="1:13">
      <c r="B8" s="15"/>
      <c r="L8" s="15" t="s">
        <v>19</v>
      </c>
    </row>
    <row r="9" spans="1:13" ht="30" customHeight="1">
      <c r="B9" s="403" t="s">
        <v>20</v>
      </c>
      <c r="C9" s="403" t="s">
        <v>21</v>
      </c>
      <c r="D9" s="403" t="s">
        <v>2</v>
      </c>
      <c r="E9" s="403"/>
      <c r="F9" s="403" t="s">
        <v>3</v>
      </c>
      <c r="G9" s="404" t="s">
        <v>73</v>
      </c>
      <c r="H9" s="404" t="s">
        <v>74</v>
      </c>
      <c r="I9" s="403" t="s">
        <v>22</v>
      </c>
      <c r="J9" s="403" t="s">
        <v>23</v>
      </c>
      <c r="K9" s="403"/>
      <c r="L9" s="403" t="s">
        <v>24</v>
      </c>
      <c r="M9" s="403" t="s">
        <v>4</v>
      </c>
    </row>
    <row r="10" spans="1:13" ht="20.25" customHeight="1">
      <c r="B10" s="403"/>
      <c r="C10" s="403"/>
      <c r="D10" s="379" t="s">
        <v>5</v>
      </c>
      <c r="E10" s="379" t="s">
        <v>6</v>
      </c>
      <c r="F10" s="403"/>
      <c r="G10" s="405"/>
      <c r="H10" s="405"/>
      <c r="I10" s="403"/>
      <c r="J10" s="379" t="s">
        <v>25</v>
      </c>
      <c r="K10" s="379" t="s">
        <v>26</v>
      </c>
      <c r="L10" s="403"/>
      <c r="M10" s="403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29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8" customHeight="1">
      <c r="B12" s="36"/>
      <c r="C12" s="36"/>
      <c r="D12" s="36"/>
      <c r="E12" s="36"/>
      <c r="F12" s="36" t="s">
        <v>28</v>
      </c>
      <c r="G12" s="36"/>
      <c r="H12" s="36"/>
      <c r="I12" s="37"/>
      <c r="J12" s="38"/>
      <c r="K12" s="36"/>
      <c r="L12" s="38">
        <f>'06'!L82</f>
        <v>509061705</v>
      </c>
      <c r="M12" s="36"/>
    </row>
    <row r="13" spans="1:13" ht="18" customHeight="1">
      <c r="A13" s="6" t="str">
        <f>D13&amp;E13</f>
        <v>T01</v>
      </c>
      <c r="B13" s="3">
        <v>41456</v>
      </c>
      <c r="C13" s="3">
        <v>41456</v>
      </c>
      <c r="D13" s="4" t="s">
        <v>39</v>
      </c>
      <c r="E13" s="52"/>
      <c r="F13" s="5" t="s">
        <v>386</v>
      </c>
      <c r="G13" s="5"/>
      <c r="H13" s="5"/>
      <c r="I13" s="28" t="s">
        <v>387</v>
      </c>
      <c r="J13" s="21">
        <v>1400000000</v>
      </c>
      <c r="K13" s="5"/>
      <c r="L13" s="4">
        <f>IF(F13&lt;&gt;"",L12+J13-K13,0)</f>
        <v>1909061705</v>
      </c>
      <c r="M13" s="19"/>
    </row>
    <row r="14" spans="1:13" ht="18" customHeight="1">
      <c r="A14" s="6" t="str">
        <f t="shared" ref="A14:A87" si="0">D14&amp;E14</f>
        <v>T02</v>
      </c>
      <c r="B14" s="3">
        <v>41456</v>
      </c>
      <c r="C14" s="3">
        <v>41456</v>
      </c>
      <c r="D14" s="4" t="s">
        <v>40</v>
      </c>
      <c r="E14" s="22"/>
      <c r="F14" s="5" t="s">
        <v>388</v>
      </c>
      <c r="G14" s="123"/>
      <c r="H14" s="5"/>
      <c r="I14" s="28" t="s">
        <v>387</v>
      </c>
      <c r="J14" s="21">
        <v>1600000000</v>
      </c>
      <c r="K14" s="5"/>
      <c r="L14" s="4">
        <f t="shared" ref="L14:L87" si="1">IF(F14&lt;&gt;"",L13+J14-K14,0)</f>
        <v>3509061705</v>
      </c>
      <c r="M14" s="19"/>
    </row>
    <row r="15" spans="1:13" ht="18" customHeight="1">
      <c r="A15" s="6" t="str">
        <f t="shared" si="0"/>
        <v>C01</v>
      </c>
      <c r="B15" s="3">
        <v>41456</v>
      </c>
      <c r="C15" s="3">
        <v>41454</v>
      </c>
      <c r="D15" s="4"/>
      <c r="E15" s="22" t="s">
        <v>75</v>
      </c>
      <c r="F15" s="5" t="s">
        <v>58</v>
      </c>
      <c r="G15" s="123"/>
      <c r="H15" s="5"/>
      <c r="I15" s="28" t="s">
        <v>53</v>
      </c>
      <c r="J15" s="21"/>
      <c r="K15" s="5">
        <v>13736000</v>
      </c>
      <c r="L15" s="4">
        <f t="shared" si="1"/>
        <v>3495325705</v>
      </c>
      <c r="M15" s="19"/>
    </row>
    <row r="16" spans="1:13" ht="18" customHeight="1">
      <c r="A16" s="6" t="str">
        <f t="shared" si="0"/>
        <v>C01</v>
      </c>
      <c r="B16" s="3">
        <v>41456</v>
      </c>
      <c r="C16" s="3">
        <v>41454</v>
      </c>
      <c r="D16" s="4"/>
      <c r="E16" s="22" t="s">
        <v>75</v>
      </c>
      <c r="F16" s="5" t="s">
        <v>389</v>
      </c>
      <c r="G16" s="123"/>
      <c r="H16" s="5"/>
      <c r="I16" s="28" t="s">
        <v>35</v>
      </c>
      <c r="J16" s="21"/>
      <c r="K16" s="5">
        <v>496500</v>
      </c>
      <c r="L16" s="4">
        <f t="shared" si="1"/>
        <v>3494829205</v>
      </c>
      <c r="M16" s="19"/>
    </row>
    <row r="17" spans="1:13" ht="18" customHeight="1">
      <c r="A17" s="6" t="str">
        <f t="shared" si="0"/>
        <v>C01</v>
      </c>
      <c r="B17" s="3">
        <v>41456</v>
      </c>
      <c r="C17" s="3">
        <v>41454</v>
      </c>
      <c r="D17" s="4"/>
      <c r="E17" s="22" t="s">
        <v>75</v>
      </c>
      <c r="F17" s="5" t="s">
        <v>340</v>
      </c>
      <c r="G17" s="123"/>
      <c r="H17" s="5"/>
      <c r="I17" s="28" t="s">
        <v>35</v>
      </c>
      <c r="J17" s="21"/>
      <c r="K17" s="5">
        <v>243800</v>
      </c>
      <c r="L17" s="4">
        <f t="shared" si="1"/>
        <v>3494585405</v>
      </c>
      <c r="M17" s="19"/>
    </row>
    <row r="18" spans="1:13" ht="18" customHeight="1">
      <c r="A18" s="6" t="str">
        <f t="shared" si="0"/>
        <v>C02</v>
      </c>
      <c r="B18" s="3">
        <v>41456</v>
      </c>
      <c r="C18" s="3">
        <v>41455</v>
      </c>
      <c r="D18" s="4"/>
      <c r="E18" s="22" t="s">
        <v>76</v>
      </c>
      <c r="F18" s="5" t="s">
        <v>390</v>
      </c>
      <c r="G18" s="123"/>
      <c r="H18" s="5"/>
      <c r="I18" s="28" t="s">
        <v>192</v>
      </c>
      <c r="J18" s="21"/>
      <c r="K18" s="5">
        <v>2075256</v>
      </c>
      <c r="L18" s="4">
        <f t="shared" si="1"/>
        <v>3492510149</v>
      </c>
      <c r="M18" s="19"/>
    </row>
    <row r="19" spans="1:13" ht="18" customHeight="1">
      <c r="A19" s="6" t="str">
        <f t="shared" si="0"/>
        <v>C02</v>
      </c>
      <c r="B19" s="3">
        <v>41456</v>
      </c>
      <c r="C19" s="3">
        <v>41455</v>
      </c>
      <c r="D19" s="4"/>
      <c r="E19" s="22" t="s">
        <v>76</v>
      </c>
      <c r="F19" s="5" t="s">
        <v>391</v>
      </c>
      <c r="G19" s="123"/>
      <c r="H19" s="5"/>
      <c r="I19" s="28" t="s">
        <v>35</v>
      </c>
      <c r="J19" s="21"/>
      <c r="K19" s="5">
        <v>207526</v>
      </c>
      <c r="L19" s="4">
        <f t="shared" si="1"/>
        <v>3492302623</v>
      </c>
      <c r="M19" s="19"/>
    </row>
    <row r="20" spans="1:13" ht="18" customHeight="1">
      <c r="A20" s="6" t="str">
        <f t="shared" si="0"/>
        <v>C03</v>
      </c>
      <c r="B20" s="3">
        <v>41456</v>
      </c>
      <c r="C20" s="3">
        <v>41455</v>
      </c>
      <c r="D20" s="4"/>
      <c r="E20" s="22" t="s">
        <v>77</v>
      </c>
      <c r="F20" s="5" t="s">
        <v>392</v>
      </c>
      <c r="G20" s="123"/>
      <c r="H20" s="5"/>
      <c r="I20" s="28" t="s">
        <v>192</v>
      </c>
      <c r="J20" s="21"/>
      <c r="K20" s="5">
        <v>500000</v>
      </c>
      <c r="L20" s="4">
        <f t="shared" si="1"/>
        <v>3491802623</v>
      </c>
      <c r="M20" s="19"/>
    </row>
    <row r="21" spans="1:13" ht="18" customHeight="1">
      <c r="A21" s="6" t="str">
        <f t="shared" si="0"/>
        <v>C04</v>
      </c>
      <c r="B21" s="3">
        <v>41456</v>
      </c>
      <c r="C21" s="3">
        <v>41456</v>
      </c>
      <c r="D21" s="4"/>
      <c r="E21" s="22" t="s">
        <v>78</v>
      </c>
      <c r="F21" s="5" t="s">
        <v>283</v>
      </c>
      <c r="G21" s="123"/>
      <c r="H21" s="5"/>
      <c r="I21" s="28" t="s">
        <v>34</v>
      </c>
      <c r="J21" s="21"/>
      <c r="K21" s="5">
        <v>15070000</v>
      </c>
      <c r="L21" s="4">
        <f t="shared" si="1"/>
        <v>3476732623</v>
      </c>
      <c r="M21" s="19"/>
    </row>
    <row r="22" spans="1:13" ht="18" customHeight="1">
      <c r="A22" s="6" t="str">
        <f t="shared" si="0"/>
        <v>C05</v>
      </c>
      <c r="B22" s="3">
        <v>41456</v>
      </c>
      <c r="C22" s="3">
        <v>41456</v>
      </c>
      <c r="D22" s="4"/>
      <c r="E22" s="22" t="s">
        <v>79</v>
      </c>
      <c r="F22" s="5" t="s">
        <v>272</v>
      </c>
      <c r="G22" s="123"/>
      <c r="H22" s="5"/>
      <c r="I22" s="28" t="s">
        <v>120</v>
      </c>
      <c r="J22" s="21"/>
      <c r="K22" s="5">
        <v>650000000</v>
      </c>
      <c r="L22" s="4">
        <f t="shared" si="1"/>
        <v>2826732623</v>
      </c>
      <c r="M22" s="19"/>
    </row>
    <row r="23" spans="1:13" ht="18" customHeight="1">
      <c r="A23" s="6" t="str">
        <f t="shared" si="0"/>
        <v>T03</v>
      </c>
      <c r="B23" s="3">
        <v>41458</v>
      </c>
      <c r="C23" s="3">
        <v>41458</v>
      </c>
      <c r="D23" s="4" t="s">
        <v>41</v>
      </c>
      <c r="E23" s="22"/>
      <c r="F23" s="5" t="s">
        <v>269</v>
      </c>
      <c r="G23" s="123"/>
      <c r="H23" s="5"/>
      <c r="I23" s="28" t="s">
        <v>36</v>
      </c>
      <c r="J23" s="21">
        <v>497000000</v>
      </c>
      <c r="K23" s="5"/>
      <c r="L23" s="4">
        <f t="shared" si="1"/>
        <v>3323732623</v>
      </c>
      <c r="M23" s="19"/>
    </row>
    <row r="24" spans="1:13" ht="18" customHeight="1">
      <c r="A24" s="6" t="str">
        <f t="shared" si="0"/>
        <v>C06</v>
      </c>
      <c r="B24" s="3">
        <v>41458</v>
      </c>
      <c r="C24" s="3">
        <v>41458</v>
      </c>
      <c r="D24" s="4"/>
      <c r="E24" s="22" t="s">
        <v>80</v>
      </c>
      <c r="F24" s="5" t="s">
        <v>194</v>
      </c>
      <c r="G24" s="123"/>
      <c r="H24" s="5"/>
      <c r="I24" s="28" t="s">
        <v>120</v>
      </c>
      <c r="J24" s="21"/>
      <c r="K24" s="5">
        <v>650000000</v>
      </c>
      <c r="L24" s="4">
        <f t="shared" si="1"/>
        <v>2673732623</v>
      </c>
      <c r="M24" s="19"/>
    </row>
    <row r="25" spans="1:13" ht="18" customHeight="1">
      <c r="A25" s="6" t="str">
        <f t="shared" si="0"/>
        <v>C07</v>
      </c>
      <c r="B25" s="3">
        <v>41458</v>
      </c>
      <c r="C25" s="3">
        <v>41458</v>
      </c>
      <c r="D25" s="4"/>
      <c r="E25" s="22" t="s">
        <v>81</v>
      </c>
      <c r="F25" s="5" t="s">
        <v>272</v>
      </c>
      <c r="G25" s="123"/>
      <c r="H25" s="5"/>
      <c r="I25" s="28" t="s">
        <v>120</v>
      </c>
      <c r="J25" s="21"/>
      <c r="K25" s="5">
        <v>650000000</v>
      </c>
      <c r="L25" s="4">
        <f t="shared" si="1"/>
        <v>2023732623</v>
      </c>
      <c r="M25" s="19"/>
    </row>
    <row r="26" spans="1:13" ht="18" customHeight="1">
      <c r="A26" s="6" t="str">
        <f t="shared" si="0"/>
        <v>C08</v>
      </c>
      <c r="B26" s="3">
        <v>41459</v>
      </c>
      <c r="C26" s="3">
        <v>41459</v>
      </c>
      <c r="D26" s="4"/>
      <c r="E26" s="22" t="s">
        <v>82</v>
      </c>
      <c r="F26" s="5" t="s">
        <v>393</v>
      </c>
      <c r="G26" s="123"/>
      <c r="H26" s="5"/>
      <c r="I26" s="28" t="s">
        <v>192</v>
      </c>
      <c r="J26" s="21"/>
      <c r="K26" s="5">
        <v>3900000</v>
      </c>
      <c r="L26" s="4">
        <f t="shared" si="1"/>
        <v>2019832623</v>
      </c>
      <c r="M26" s="19"/>
    </row>
    <row r="27" spans="1:13" ht="18" customHeight="1">
      <c r="A27" s="6" t="str">
        <f t="shared" si="0"/>
        <v>C09</v>
      </c>
      <c r="B27" s="3">
        <v>41459</v>
      </c>
      <c r="C27" s="3">
        <v>41459</v>
      </c>
      <c r="D27" s="4"/>
      <c r="E27" s="22" t="s">
        <v>83</v>
      </c>
      <c r="F27" s="5" t="s">
        <v>194</v>
      </c>
      <c r="G27" s="123"/>
      <c r="H27" s="5"/>
      <c r="I27" s="28" t="s">
        <v>120</v>
      </c>
      <c r="J27" s="21"/>
      <c r="K27" s="5">
        <v>650000000</v>
      </c>
      <c r="L27" s="4">
        <f t="shared" si="1"/>
        <v>1369832623</v>
      </c>
      <c r="M27" s="19"/>
    </row>
    <row r="28" spans="1:13" ht="18" customHeight="1">
      <c r="A28" s="6" t="str">
        <f t="shared" si="0"/>
        <v>C10</v>
      </c>
      <c r="B28" s="3">
        <v>41460</v>
      </c>
      <c r="C28" s="3">
        <v>41460</v>
      </c>
      <c r="D28" s="4"/>
      <c r="E28" s="22" t="s">
        <v>84</v>
      </c>
      <c r="F28" s="5" t="s">
        <v>394</v>
      </c>
      <c r="G28" s="123"/>
      <c r="H28" s="5"/>
      <c r="I28" s="28" t="s">
        <v>193</v>
      </c>
      <c r="J28" s="21"/>
      <c r="K28" s="5">
        <v>380000</v>
      </c>
      <c r="L28" s="4">
        <f t="shared" si="1"/>
        <v>1369452623</v>
      </c>
      <c r="M28" s="19"/>
    </row>
    <row r="29" spans="1:13" ht="18" customHeight="1">
      <c r="A29" s="6" t="str">
        <f t="shared" si="0"/>
        <v>C10</v>
      </c>
      <c r="B29" s="3">
        <v>41460</v>
      </c>
      <c r="C29" s="3">
        <v>41460</v>
      </c>
      <c r="D29" s="4"/>
      <c r="E29" s="22" t="s">
        <v>84</v>
      </c>
      <c r="F29" s="5" t="s">
        <v>395</v>
      </c>
      <c r="G29" s="123"/>
      <c r="H29" s="5"/>
      <c r="I29" s="28" t="s">
        <v>35</v>
      </c>
      <c r="J29" s="21"/>
      <c r="K29" s="5">
        <v>19000</v>
      </c>
      <c r="L29" s="4">
        <f t="shared" si="1"/>
        <v>1369433623</v>
      </c>
      <c r="M29" s="19"/>
    </row>
    <row r="30" spans="1:13" ht="18" customHeight="1">
      <c r="A30" s="6" t="str">
        <f t="shared" si="0"/>
        <v>C11</v>
      </c>
      <c r="B30" s="3">
        <v>41460</v>
      </c>
      <c r="C30" s="3">
        <v>41460</v>
      </c>
      <c r="D30" s="4"/>
      <c r="E30" s="22" t="s">
        <v>85</v>
      </c>
      <c r="F30" s="5" t="s">
        <v>272</v>
      </c>
      <c r="G30" s="123"/>
      <c r="H30" s="5"/>
      <c r="I30" s="28" t="s">
        <v>120</v>
      </c>
      <c r="J30" s="21"/>
      <c r="K30" s="5">
        <v>550000000</v>
      </c>
      <c r="L30" s="4">
        <f t="shared" si="1"/>
        <v>819433623</v>
      </c>
      <c r="M30" s="19"/>
    </row>
    <row r="31" spans="1:13" ht="18" customHeight="1">
      <c r="A31" s="6" t="str">
        <f t="shared" si="0"/>
        <v>T04</v>
      </c>
      <c r="B31" s="3">
        <v>41461</v>
      </c>
      <c r="C31" s="3">
        <v>41461</v>
      </c>
      <c r="D31" s="4" t="s">
        <v>42</v>
      </c>
      <c r="E31" s="52"/>
      <c r="F31" s="5" t="s">
        <v>269</v>
      </c>
      <c r="G31" s="5"/>
      <c r="H31" s="5"/>
      <c r="I31" s="28" t="s">
        <v>36</v>
      </c>
      <c r="J31" s="21">
        <v>595000000</v>
      </c>
      <c r="K31" s="5"/>
      <c r="L31" s="4">
        <f t="shared" si="1"/>
        <v>1414433623</v>
      </c>
      <c r="M31" s="19"/>
    </row>
    <row r="32" spans="1:13" ht="18" customHeight="1">
      <c r="A32" s="6" t="str">
        <f t="shared" si="0"/>
        <v>C12</v>
      </c>
      <c r="B32" s="3">
        <v>41461</v>
      </c>
      <c r="C32" s="3">
        <v>41461</v>
      </c>
      <c r="D32" s="4"/>
      <c r="E32" s="22" t="s">
        <v>86</v>
      </c>
      <c r="F32" s="5" t="s">
        <v>194</v>
      </c>
      <c r="G32" s="123"/>
      <c r="H32" s="5"/>
      <c r="I32" s="28" t="s">
        <v>120</v>
      </c>
      <c r="J32" s="21"/>
      <c r="K32" s="5">
        <v>650000000</v>
      </c>
      <c r="L32" s="4">
        <f t="shared" si="1"/>
        <v>764433623</v>
      </c>
      <c r="M32" s="19"/>
    </row>
    <row r="33" spans="1:13" ht="18" customHeight="1">
      <c r="A33" s="6" t="str">
        <f t="shared" si="0"/>
        <v>C13</v>
      </c>
      <c r="B33" s="3">
        <v>41463</v>
      </c>
      <c r="C33" s="3">
        <v>41463</v>
      </c>
      <c r="D33" s="4"/>
      <c r="E33" s="22" t="s">
        <v>87</v>
      </c>
      <c r="F33" s="5" t="s">
        <v>50</v>
      </c>
      <c r="G33" s="123"/>
      <c r="H33" s="5"/>
      <c r="I33" s="28" t="s">
        <v>36</v>
      </c>
      <c r="J33" s="21"/>
      <c r="K33" s="5">
        <v>130000000</v>
      </c>
      <c r="L33" s="4">
        <f t="shared" si="1"/>
        <v>634433623</v>
      </c>
      <c r="M33" s="19"/>
    </row>
    <row r="34" spans="1:13" ht="18" customHeight="1">
      <c r="A34" s="6" t="str">
        <f t="shared" si="0"/>
        <v>T05</v>
      </c>
      <c r="B34" s="3">
        <v>41464</v>
      </c>
      <c r="C34" s="3">
        <v>41464</v>
      </c>
      <c r="D34" s="4" t="s">
        <v>43</v>
      </c>
      <c r="E34" s="22"/>
      <c r="F34" s="5" t="s">
        <v>269</v>
      </c>
      <c r="G34" s="123"/>
      <c r="H34" s="5"/>
      <c r="I34" s="28" t="s">
        <v>36</v>
      </c>
      <c r="J34" s="21">
        <v>1600000000</v>
      </c>
      <c r="K34" s="5"/>
      <c r="L34" s="4">
        <f t="shared" si="1"/>
        <v>2234433623</v>
      </c>
      <c r="M34" s="19"/>
    </row>
    <row r="35" spans="1:13" ht="18" customHeight="1">
      <c r="A35" s="6" t="str">
        <f t="shared" si="0"/>
        <v>C14</v>
      </c>
      <c r="B35" s="3">
        <v>41464</v>
      </c>
      <c r="C35" s="3">
        <v>41464</v>
      </c>
      <c r="D35" s="4"/>
      <c r="E35" s="22" t="s">
        <v>88</v>
      </c>
      <c r="F35" s="5" t="s">
        <v>272</v>
      </c>
      <c r="G35" s="123"/>
      <c r="H35" s="5"/>
      <c r="I35" s="28" t="s">
        <v>120</v>
      </c>
      <c r="J35" s="21"/>
      <c r="K35" s="5">
        <v>420000000</v>
      </c>
      <c r="L35" s="4">
        <f t="shared" si="1"/>
        <v>1814433623</v>
      </c>
      <c r="M35" s="19"/>
    </row>
    <row r="36" spans="1:13" ht="18" customHeight="1">
      <c r="A36" s="6" t="str">
        <f t="shared" si="0"/>
        <v>C15</v>
      </c>
      <c r="B36" s="3">
        <v>41464</v>
      </c>
      <c r="C36" s="3">
        <v>41464</v>
      </c>
      <c r="D36" s="4"/>
      <c r="E36" s="22" t="s">
        <v>89</v>
      </c>
      <c r="F36" s="5" t="s">
        <v>194</v>
      </c>
      <c r="G36" s="123"/>
      <c r="H36" s="5"/>
      <c r="I36" s="28" t="s">
        <v>120</v>
      </c>
      <c r="J36" s="21"/>
      <c r="K36" s="5">
        <v>560000000</v>
      </c>
      <c r="L36" s="4">
        <f t="shared" si="1"/>
        <v>1254433623</v>
      </c>
      <c r="M36" s="19"/>
    </row>
    <row r="37" spans="1:13" ht="18" customHeight="1">
      <c r="A37" s="6" t="str">
        <f t="shared" si="0"/>
        <v>C16</v>
      </c>
      <c r="B37" s="3">
        <v>41465</v>
      </c>
      <c r="C37" s="3">
        <v>41465</v>
      </c>
      <c r="D37" s="4"/>
      <c r="E37" s="22" t="s">
        <v>90</v>
      </c>
      <c r="F37" s="5" t="s">
        <v>378</v>
      </c>
      <c r="G37" s="123"/>
      <c r="H37" s="5"/>
      <c r="I37" s="28" t="s">
        <v>192</v>
      </c>
      <c r="J37" s="21"/>
      <c r="K37" s="5">
        <v>3955146</v>
      </c>
      <c r="L37" s="4">
        <f t="shared" si="1"/>
        <v>1250478477</v>
      </c>
      <c r="M37" s="19"/>
    </row>
    <row r="38" spans="1:13" ht="18" customHeight="1">
      <c r="A38" s="6" t="str">
        <f t="shared" si="0"/>
        <v>C16</v>
      </c>
      <c r="B38" s="3">
        <v>41465</v>
      </c>
      <c r="C38" s="3">
        <v>41465</v>
      </c>
      <c r="D38" s="4"/>
      <c r="E38" s="22" t="s">
        <v>90</v>
      </c>
      <c r="F38" s="5" t="s">
        <v>379</v>
      </c>
      <c r="G38" s="123"/>
      <c r="H38" s="5"/>
      <c r="I38" s="28" t="s">
        <v>35</v>
      </c>
      <c r="J38" s="21"/>
      <c r="K38" s="5">
        <v>395514</v>
      </c>
      <c r="L38" s="4">
        <f t="shared" si="1"/>
        <v>1250082963</v>
      </c>
      <c r="M38" s="19"/>
    </row>
    <row r="39" spans="1:13" ht="18" customHeight="1">
      <c r="A39" s="6" t="str">
        <f t="shared" si="0"/>
        <v>C17</v>
      </c>
      <c r="B39" s="3">
        <v>41466</v>
      </c>
      <c r="C39" s="3">
        <v>41466</v>
      </c>
      <c r="D39" s="4"/>
      <c r="E39" s="22" t="s">
        <v>91</v>
      </c>
      <c r="F39" s="5" t="s">
        <v>364</v>
      </c>
      <c r="G39" s="123"/>
      <c r="H39" s="5"/>
      <c r="I39" s="28" t="s">
        <v>193</v>
      </c>
      <c r="J39" s="21"/>
      <c r="K39" s="5">
        <v>490909</v>
      </c>
      <c r="L39" s="4">
        <f t="shared" si="1"/>
        <v>1249592054</v>
      </c>
      <c r="M39" s="19"/>
    </row>
    <row r="40" spans="1:13" ht="18" customHeight="1">
      <c r="A40" s="6" t="str">
        <f t="shared" si="0"/>
        <v>C17</v>
      </c>
      <c r="B40" s="3">
        <v>41466</v>
      </c>
      <c r="C40" s="3">
        <v>41466</v>
      </c>
      <c r="D40" s="4"/>
      <c r="E40" s="22" t="s">
        <v>91</v>
      </c>
      <c r="F40" s="5" t="s">
        <v>365</v>
      </c>
      <c r="G40" s="123"/>
      <c r="H40" s="5"/>
      <c r="I40" s="28" t="s">
        <v>35</v>
      </c>
      <c r="J40" s="21"/>
      <c r="K40" s="5">
        <v>49091</v>
      </c>
      <c r="L40" s="4">
        <f t="shared" si="1"/>
        <v>1249542963</v>
      </c>
      <c r="M40" s="19"/>
    </row>
    <row r="41" spans="1:13" ht="18" customHeight="1">
      <c r="A41" s="6" t="str">
        <f t="shared" si="0"/>
        <v>C18</v>
      </c>
      <c r="B41" s="3">
        <v>41466</v>
      </c>
      <c r="C41" s="3">
        <v>41466</v>
      </c>
      <c r="D41" s="4"/>
      <c r="E41" s="22" t="s">
        <v>92</v>
      </c>
      <c r="F41" s="5" t="s">
        <v>364</v>
      </c>
      <c r="G41" s="123"/>
      <c r="H41" s="5"/>
      <c r="I41" s="28" t="s">
        <v>193</v>
      </c>
      <c r="J41" s="21"/>
      <c r="K41" s="5">
        <v>1500000</v>
      </c>
      <c r="L41" s="4">
        <f t="shared" si="1"/>
        <v>1248042963</v>
      </c>
      <c r="M41" s="19"/>
    </row>
    <row r="42" spans="1:13" ht="18" customHeight="1">
      <c r="A42" s="6" t="str">
        <f t="shared" si="0"/>
        <v>C18</v>
      </c>
      <c r="B42" s="3">
        <v>41466</v>
      </c>
      <c r="C42" s="3">
        <v>41466</v>
      </c>
      <c r="D42" s="4"/>
      <c r="E42" s="22" t="s">
        <v>92</v>
      </c>
      <c r="F42" s="5" t="s">
        <v>365</v>
      </c>
      <c r="G42" s="123"/>
      <c r="H42" s="346"/>
      <c r="I42" s="28" t="s">
        <v>35</v>
      </c>
      <c r="J42" s="21"/>
      <c r="K42" s="5">
        <v>75000</v>
      </c>
      <c r="L42" s="4">
        <f t="shared" si="1"/>
        <v>1247967963</v>
      </c>
      <c r="M42" s="19"/>
    </row>
    <row r="43" spans="1:13" ht="18" customHeight="1">
      <c r="A43" s="6" t="str">
        <f t="shared" si="0"/>
        <v>C19</v>
      </c>
      <c r="B43" s="3">
        <v>41466</v>
      </c>
      <c r="C43" s="3">
        <v>41466</v>
      </c>
      <c r="D43" s="4"/>
      <c r="E43" s="22" t="s">
        <v>93</v>
      </c>
      <c r="F43" s="5" t="s">
        <v>50</v>
      </c>
      <c r="G43" s="123"/>
      <c r="H43" s="5"/>
      <c r="I43" s="28" t="s">
        <v>36</v>
      </c>
      <c r="J43" s="21"/>
      <c r="K43" s="5">
        <v>225000000</v>
      </c>
      <c r="L43" s="4">
        <f t="shared" si="1"/>
        <v>1022967963</v>
      </c>
      <c r="M43" s="19"/>
    </row>
    <row r="44" spans="1:13" ht="18" customHeight="1">
      <c r="A44" s="6" t="str">
        <f t="shared" si="0"/>
        <v>C20</v>
      </c>
      <c r="B44" s="3">
        <v>41466</v>
      </c>
      <c r="C44" s="3">
        <v>41466</v>
      </c>
      <c r="D44" s="4"/>
      <c r="E44" s="22" t="s">
        <v>94</v>
      </c>
      <c r="F44" s="5" t="s">
        <v>272</v>
      </c>
      <c r="G44" s="123"/>
      <c r="H44" s="5"/>
      <c r="I44" s="28" t="s">
        <v>120</v>
      </c>
      <c r="J44" s="21"/>
      <c r="K44" s="5">
        <v>600000000</v>
      </c>
      <c r="L44" s="4">
        <f t="shared" si="1"/>
        <v>422967963</v>
      </c>
      <c r="M44" s="19"/>
    </row>
    <row r="45" spans="1:13" ht="18" customHeight="1">
      <c r="A45" s="6" t="str">
        <f t="shared" si="0"/>
        <v>C21</v>
      </c>
      <c r="B45" s="3">
        <v>41467</v>
      </c>
      <c r="C45" s="3">
        <v>41467</v>
      </c>
      <c r="D45" s="4"/>
      <c r="E45" s="22" t="s">
        <v>95</v>
      </c>
      <c r="F45" s="5" t="s">
        <v>364</v>
      </c>
      <c r="G45" s="123"/>
      <c r="H45" s="5"/>
      <c r="I45" s="28" t="s">
        <v>193</v>
      </c>
      <c r="J45" s="21"/>
      <c r="K45" s="5">
        <v>390000</v>
      </c>
      <c r="L45" s="4">
        <f t="shared" si="1"/>
        <v>422577963</v>
      </c>
      <c r="M45" s="19"/>
    </row>
    <row r="46" spans="1:13" ht="18" customHeight="1">
      <c r="A46" s="6" t="str">
        <f t="shared" si="0"/>
        <v>C21</v>
      </c>
      <c r="B46" s="3">
        <v>41467</v>
      </c>
      <c r="C46" s="3">
        <v>41467</v>
      </c>
      <c r="D46" s="4"/>
      <c r="E46" s="22" t="s">
        <v>95</v>
      </c>
      <c r="F46" s="5" t="s">
        <v>396</v>
      </c>
      <c r="G46" s="123"/>
      <c r="H46" s="5"/>
      <c r="I46" s="28" t="s">
        <v>35</v>
      </c>
      <c r="J46" s="21"/>
      <c r="K46" s="5">
        <v>19500</v>
      </c>
      <c r="L46" s="4">
        <f t="shared" si="1"/>
        <v>422558463</v>
      </c>
      <c r="M46" s="19"/>
    </row>
    <row r="47" spans="1:13" ht="18.75" customHeight="1">
      <c r="A47" s="6" t="str">
        <f t="shared" si="0"/>
        <v>C22</v>
      </c>
      <c r="B47" s="3">
        <v>41470</v>
      </c>
      <c r="C47" s="3">
        <v>41470</v>
      </c>
      <c r="D47" s="4"/>
      <c r="E47" s="52" t="s">
        <v>96</v>
      </c>
      <c r="F47" s="5" t="s">
        <v>397</v>
      </c>
      <c r="G47" s="5"/>
      <c r="H47" s="5"/>
      <c r="I47" s="28" t="s">
        <v>192</v>
      </c>
      <c r="J47" s="21"/>
      <c r="K47" s="5">
        <v>53760</v>
      </c>
      <c r="L47" s="4">
        <f t="shared" si="1"/>
        <v>422504703</v>
      </c>
      <c r="M47" s="19"/>
    </row>
    <row r="48" spans="1:13" ht="18.75" customHeight="1">
      <c r="A48" s="6" t="str">
        <f t="shared" si="0"/>
        <v>C22</v>
      </c>
      <c r="B48" s="3">
        <v>41470</v>
      </c>
      <c r="C48" s="3">
        <v>41470</v>
      </c>
      <c r="D48" s="4"/>
      <c r="E48" s="22" t="s">
        <v>96</v>
      </c>
      <c r="F48" s="5" t="s">
        <v>398</v>
      </c>
      <c r="G48" s="5"/>
      <c r="H48" s="346"/>
      <c r="I48" s="28" t="s">
        <v>35</v>
      </c>
      <c r="J48" s="21"/>
      <c r="K48" s="5">
        <v>5376</v>
      </c>
      <c r="L48" s="4">
        <f t="shared" si="1"/>
        <v>422499327</v>
      </c>
      <c r="M48" s="19"/>
    </row>
    <row r="49" spans="1:13" ht="18.75" customHeight="1">
      <c r="A49" s="6" t="str">
        <f t="shared" si="0"/>
        <v>C23</v>
      </c>
      <c r="B49" s="3">
        <v>41470</v>
      </c>
      <c r="C49" s="3">
        <v>41470</v>
      </c>
      <c r="D49" s="4"/>
      <c r="E49" s="22" t="s">
        <v>97</v>
      </c>
      <c r="F49" s="5" t="s">
        <v>382</v>
      </c>
      <c r="G49" s="5"/>
      <c r="H49" s="346"/>
      <c r="I49" s="28" t="s">
        <v>192</v>
      </c>
      <c r="J49" s="21"/>
      <c r="K49" s="5">
        <v>350691</v>
      </c>
      <c r="L49" s="4">
        <f t="shared" si="1"/>
        <v>422148636</v>
      </c>
      <c r="M49" s="19"/>
    </row>
    <row r="50" spans="1:13" ht="18.75" customHeight="1">
      <c r="A50" s="6" t="str">
        <f t="shared" si="0"/>
        <v>C23</v>
      </c>
      <c r="B50" s="3">
        <v>41470</v>
      </c>
      <c r="C50" s="3">
        <v>41470</v>
      </c>
      <c r="D50" s="4"/>
      <c r="E50" s="22" t="s">
        <v>97</v>
      </c>
      <c r="F50" s="5" t="s">
        <v>52</v>
      </c>
      <c r="G50" s="123"/>
      <c r="H50" s="5"/>
      <c r="I50" s="28" t="s">
        <v>53</v>
      </c>
      <c r="J50" s="21"/>
      <c r="K50" s="5">
        <v>6041773</v>
      </c>
      <c r="L50" s="4">
        <f t="shared" si="1"/>
        <v>416106863</v>
      </c>
      <c r="M50" s="19"/>
    </row>
    <row r="51" spans="1:13" ht="18.75" customHeight="1">
      <c r="A51" s="6" t="str">
        <f t="shared" si="0"/>
        <v>C23</v>
      </c>
      <c r="B51" s="3">
        <v>41470</v>
      </c>
      <c r="C51" s="3">
        <v>41470</v>
      </c>
      <c r="D51" s="4"/>
      <c r="E51" s="22" t="s">
        <v>97</v>
      </c>
      <c r="F51" s="5" t="s">
        <v>180</v>
      </c>
      <c r="G51" s="123"/>
      <c r="H51" s="5"/>
      <c r="I51" s="28" t="s">
        <v>35</v>
      </c>
      <c r="J51" s="21"/>
      <c r="K51" s="5">
        <v>639246</v>
      </c>
      <c r="L51" s="4">
        <f t="shared" si="1"/>
        <v>415467617</v>
      </c>
      <c r="M51" s="19"/>
    </row>
    <row r="52" spans="1:13" ht="18" customHeight="1">
      <c r="A52" s="6" t="str">
        <f t="shared" si="0"/>
        <v>T06</v>
      </c>
      <c r="B52" s="3">
        <v>41472</v>
      </c>
      <c r="C52" s="3">
        <v>41472</v>
      </c>
      <c r="D52" s="4" t="s">
        <v>44</v>
      </c>
      <c r="E52" s="22"/>
      <c r="F52" s="5" t="s">
        <v>269</v>
      </c>
      <c r="G52" s="123"/>
      <c r="H52" s="5"/>
      <c r="I52" s="28" t="s">
        <v>36</v>
      </c>
      <c r="J52" s="21">
        <v>1600000000</v>
      </c>
      <c r="K52" s="5"/>
      <c r="L52" s="4">
        <f t="shared" si="1"/>
        <v>2015467617</v>
      </c>
      <c r="M52" s="19"/>
    </row>
    <row r="53" spans="1:13" ht="18" customHeight="1">
      <c r="A53" s="6" t="str">
        <f t="shared" si="0"/>
        <v>C24</v>
      </c>
      <c r="B53" s="3">
        <v>41472</v>
      </c>
      <c r="C53" s="3">
        <v>41472</v>
      </c>
      <c r="D53" s="4"/>
      <c r="E53" s="22" t="s">
        <v>98</v>
      </c>
      <c r="F53" s="5" t="s">
        <v>272</v>
      </c>
      <c r="G53" s="123"/>
      <c r="H53" s="5"/>
      <c r="I53" s="28" t="s">
        <v>120</v>
      </c>
      <c r="J53" s="21"/>
      <c r="K53" s="5">
        <v>500000000</v>
      </c>
      <c r="L53" s="4">
        <f t="shared" si="1"/>
        <v>1515467617</v>
      </c>
      <c r="M53" s="19"/>
    </row>
    <row r="54" spans="1:13" ht="18" customHeight="1">
      <c r="A54" s="6" t="str">
        <f t="shared" si="0"/>
        <v>C25</v>
      </c>
      <c r="B54" s="3">
        <v>41472</v>
      </c>
      <c r="C54" s="3">
        <v>41472</v>
      </c>
      <c r="D54" s="4"/>
      <c r="E54" s="22" t="s">
        <v>99</v>
      </c>
      <c r="F54" s="5" t="s">
        <v>194</v>
      </c>
      <c r="G54" s="123"/>
      <c r="H54" s="5"/>
      <c r="I54" s="28" t="s">
        <v>120</v>
      </c>
      <c r="J54" s="21"/>
      <c r="K54" s="5">
        <v>650000000</v>
      </c>
      <c r="L54" s="4">
        <f t="shared" si="1"/>
        <v>865467617</v>
      </c>
      <c r="M54" s="19"/>
    </row>
    <row r="55" spans="1:13" ht="18" customHeight="1">
      <c r="A55" s="6" t="str">
        <f t="shared" si="0"/>
        <v>C26</v>
      </c>
      <c r="B55" s="3">
        <v>41472</v>
      </c>
      <c r="C55" s="3">
        <v>41472</v>
      </c>
      <c r="D55" s="4"/>
      <c r="E55" s="22" t="s">
        <v>100</v>
      </c>
      <c r="F55" s="5" t="s">
        <v>378</v>
      </c>
      <c r="G55" s="123"/>
      <c r="H55" s="5"/>
      <c r="I55" s="28" t="s">
        <v>192</v>
      </c>
      <c r="J55" s="21"/>
      <c r="K55" s="5">
        <v>2882564</v>
      </c>
      <c r="L55" s="4">
        <f t="shared" si="1"/>
        <v>862585053</v>
      </c>
      <c r="M55" s="19"/>
    </row>
    <row r="56" spans="1:13" ht="18" customHeight="1">
      <c r="A56" s="6" t="str">
        <f t="shared" si="0"/>
        <v>C26</v>
      </c>
      <c r="B56" s="3">
        <v>41472</v>
      </c>
      <c r="C56" s="3">
        <v>41472</v>
      </c>
      <c r="D56" s="4"/>
      <c r="E56" s="22" t="s">
        <v>100</v>
      </c>
      <c r="F56" s="5" t="s">
        <v>379</v>
      </c>
      <c r="G56" s="123"/>
      <c r="H56" s="5"/>
      <c r="I56" s="28" t="s">
        <v>35</v>
      </c>
      <c r="J56" s="21"/>
      <c r="K56" s="5">
        <v>288256</v>
      </c>
      <c r="L56" s="4">
        <f t="shared" si="1"/>
        <v>862296797</v>
      </c>
      <c r="M56" s="19"/>
    </row>
    <row r="57" spans="1:13" ht="18" customHeight="1">
      <c r="A57" s="6" t="str">
        <f t="shared" si="0"/>
        <v>C27</v>
      </c>
      <c r="B57" s="3">
        <v>41472</v>
      </c>
      <c r="C57" s="3">
        <v>41472</v>
      </c>
      <c r="D57" s="4"/>
      <c r="E57" s="52" t="s">
        <v>101</v>
      </c>
      <c r="F57" s="5" t="s">
        <v>52</v>
      </c>
      <c r="G57" s="5"/>
      <c r="H57" s="5"/>
      <c r="I57" s="28" t="s">
        <v>53</v>
      </c>
      <c r="J57" s="21"/>
      <c r="K57" s="5">
        <v>792364</v>
      </c>
      <c r="L57" s="4">
        <f t="shared" si="1"/>
        <v>861504433</v>
      </c>
      <c r="M57" s="19"/>
    </row>
    <row r="58" spans="1:13" ht="18" customHeight="1">
      <c r="A58" s="6" t="str">
        <f t="shared" si="0"/>
        <v>C27</v>
      </c>
      <c r="B58" s="3">
        <v>41472</v>
      </c>
      <c r="C58" s="3">
        <v>41472</v>
      </c>
      <c r="D58" s="4"/>
      <c r="E58" s="22" t="s">
        <v>101</v>
      </c>
      <c r="F58" s="5" t="s">
        <v>190</v>
      </c>
      <c r="G58" s="123"/>
      <c r="H58" s="5"/>
      <c r="I58" s="28" t="s">
        <v>35</v>
      </c>
      <c r="J58" s="21"/>
      <c r="K58" s="5">
        <v>79236</v>
      </c>
      <c r="L58" s="4">
        <f t="shared" si="1"/>
        <v>861425197</v>
      </c>
      <c r="M58" s="19"/>
    </row>
    <row r="59" spans="1:13" ht="18" customHeight="1">
      <c r="A59" s="6" t="str">
        <f t="shared" si="0"/>
        <v>C28</v>
      </c>
      <c r="B59" s="3">
        <v>41472</v>
      </c>
      <c r="C59" s="3">
        <v>41472</v>
      </c>
      <c r="D59" s="4"/>
      <c r="E59" s="22" t="s">
        <v>102</v>
      </c>
      <c r="F59" s="5" t="s">
        <v>283</v>
      </c>
      <c r="G59" s="123"/>
      <c r="H59" s="5"/>
      <c r="I59" s="28" t="s">
        <v>34</v>
      </c>
      <c r="J59" s="21"/>
      <c r="K59" s="5">
        <v>15070000</v>
      </c>
      <c r="L59" s="4">
        <f t="shared" si="1"/>
        <v>846355197</v>
      </c>
      <c r="M59" s="19"/>
    </row>
    <row r="60" spans="1:13" ht="18" customHeight="1">
      <c r="A60" s="6" t="str">
        <f t="shared" si="0"/>
        <v>T07</v>
      </c>
      <c r="B60" s="3">
        <v>41473</v>
      </c>
      <c r="C60" s="3">
        <v>41473</v>
      </c>
      <c r="D60" s="4" t="s">
        <v>57</v>
      </c>
      <c r="E60" s="22"/>
      <c r="F60" s="5" t="s">
        <v>269</v>
      </c>
      <c r="G60" s="123"/>
      <c r="H60" s="5"/>
      <c r="I60" s="28" t="s">
        <v>36</v>
      </c>
      <c r="J60" s="21">
        <v>739000000</v>
      </c>
      <c r="K60" s="5"/>
      <c r="L60" s="4">
        <f t="shared" si="1"/>
        <v>1585355197</v>
      </c>
      <c r="M60" s="19"/>
    </row>
    <row r="61" spans="1:13" ht="18" customHeight="1">
      <c r="A61" s="6" t="str">
        <f t="shared" si="0"/>
        <v>T08</v>
      </c>
      <c r="B61" s="3">
        <v>41473</v>
      </c>
      <c r="C61" s="3">
        <v>41473</v>
      </c>
      <c r="D61" s="4" t="s">
        <v>59</v>
      </c>
      <c r="E61" s="22"/>
      <c r="F61" s="5" t="s">
        <v>269</v>
      </c>
      <c r="G61" s="123"/>
      <c r="H61" s="5"/>
      <c r="I61" s="28" t="s">
        <v>36</v>
      </c>
      <c r="J61" s="21">
        <v>759000000</v>
      </c>
      <c r="K61" s="5"/>
      <c r="L61" s="4">
        <f t="shared" si="1"/>
        <v>2344355197</v>
      </c>
      <c r="M61" s="19"/>
    </row>
    <row r="62" spans="1:13" ht="18" customHeight="1">
      <c r="A62" s="6" t="str">
        <f t="shared" si="0"/>
        <v>C29</v>
      </c>
      <c r="B62" s="3">
        <v>41473</v>
      </c>
      <c r="C62" s="3">
        <v>41473</v>
      </c>
      <c r="D62" s="4"/>
      <c r="E62" s="22" t="s">
        <v>103</v>
      </c>
      <c r="F62" s="5" t="s">
        <v>224</v>
      </c>
      <c r="G62" s="123"/>
      <c r="H62" s="5"/>
      <c r="I62" s="28" t="s">
        <v>192</v>
      </c>
      <c r="J62" s="21"/>
      <c r="K62" s="5">
        <v>20000</v>
      </c>
      <c r="L62" s="4">
        <f t="shared" si="1"/>
        <v>2344335197</v>
      </c>
      <c r="M62" s="19"/>
    </row>
    <row r="63" spans="1:13" ht="18" customHeight="1">
      <c r="A63" s="6" t="str">
        <f t="shared" si="0"/>
        <v>C30</v>
      </c>
      <c r="B63" s="3">
        <v>41473</v>
      </c>
      <c r="C63" s="3">
        <v>41473</v>
      </c>
      <c r="D63" s="4"/>
      <c r="E63" s="22" t="s">
        <v>104</v>
      </c>
      <c r="F63" s="5" t="s">
        <v>194</v>
      </c>
      <c r="G63" s="123"/>
      <c r="H63" s="5"/>
      <c r="I63" s="28" t="s">
        <v>120</v>
      </c>
      <c r="J63" s="21"/>
      <c r="K63" s="5">
        <v>650000000</v>
      </c>
      <c r="L63" s="4">
        <f t="shared" si="1"/>
        <v>1694335197</v>
      </c>
      <c r="M63" s="19"/>
    </row>
    <row r="64" spans="1:13" ht="18" customHeight="1">
      <c r="A64" s="6" t="str">
        <f t="shared" si="0"/>
        <v>C31</v>
      </c>
      <c r="B64" s="3">
        <v>41473</v>
      </c>
      <c r="C64" s="3">
        <v>41473</v>
      </c>
      <c r="D64" s="4"/>
      <c r="E64" s="22" t="s">
        <v>105</v>
      </c>
      <c r="F64" s="5" t="s">
        <v>272</v>
      </c>
      <c r="G64" s="123"/>
      <c r="H64" s="5"/>
      <c r="I64" s="28" t="s">
        <v>120</v>
      </c>
      <c r="J64" s="21"/>
      <c r="K64" s="5">
        <v>600000000</v>
      </c>
      <c r="L64" s="4">
        <f t="shared" si="1"/>
        <v>1094335197</v>
      </c>
      <c r="M64" s="19"/>
    </row>
    <row r="65" spans="1:13" ht="18" customHeight="1">
      <c r="A65" s="6" t="str">
        <f t="shared" si="0"/>
        <v>C32</v>
      </c>
      <c r="B65" s="3">
        <v>41475</v>
      </c>
      <c r="C65" s="3">
        <v>41475</v>
      </c>
      <c r="D65" s="4"/>
      <c r="E65" s="22" t="s">
        <v>106</v>
      </c>
      <c r="F65" s="5" t="s">
        <v>378</v>
      </c>
      <c r="G65" s="123"/>
      <c r="H65" s="5"/>
      <c r="I65" s="28" t="s">
        <v>192</v>
      </c>
      <c r="J65" s="21"/>
      <c r="K65" s="5">
        <v>1138182</v>
      </c>
      <c r="L65" s="4">
        <f t="shared" si="1"/>
        <v>1093197015</v>
      </c>
      <c r="M65" s="19"/>
    </row>
    <row r="66" spans="1:13" ht="18" customHeight="1">
      <c r="A66" s="6" t="str">
        <f t="shared" si="0"/>
        <v>C32</v>
      </c>
      <c r="B66" s="3">
        <v>41475</v>
      </c>
      <c r="C66" s="3">
        <v>41475</v>
      </c>
      <c r="D66" s="4"/>
      <c r="E66" s="22" t="s">
        <v>106</v>
      </c>
      <c r="F66" s="5" t="s">
        <v>379</v>
      </c>
      <c r="G66" s="123"/>
      <c r="H66" s="5"/>
      <c r="I66" s="28" t="s">
        <v>35</v>
      </c>
      <c r="J66" s="21"/>
      <c r="K66" s="5">
        <v>113818</v>
      </c>
      <c r="L66" s="4">
        <f t="shared" si="1"/>
        <v>1093083197</v>
      </c>
      <c r="M66" s="19"/>
    </row>
    <row r="67" spans="1:13" ht="18" customHeight="1">
      <c r="A67" s="6" t="str">
        <f t="shared" si="0"/>
        <v>C33</v>
      </c>
      <c r="B67" s="3">
        <v>41475</v>
      </c>
      <c r="C67" s="3">
        <v>41475</v>
      </c>
      <c r="D67" s="4"/>
      <c r="E67" s="22" t="s">
        <v>107</v>
      </c>
      <c r="F67" s="5" t="s">
        <v>399</v>
      </c>
      <c r="G67" s="123"/>
      <c r="H67" s="5"/>
      <c r="I67" s="28" t="s">
        <v>53</v>
      </c>
      <c r="J67" s="21"/>
      <c r="K67" s="5">
        <v>1250000</v>
      </c>
      <c r="L67" s="4">
        <f t="shared" si="1"/>
        <v>1091833197</v>
      </c>
      <c r="M67" s="19"/>
    </row>
    <row r="68" spans="1:13" ht="18" customHeight="1">
      <c r="A68" s="6" t="str">
        <f t="shared" si="0"/>
        <v>C34</v>
      </c>
      <c r="B68" s="3">
        <v>41479</v>
      </c>
      <c r="C68" s="3">
        <v>41479</v>
      </c>
      <c r="D68" s="4"/>
      <c r="E68" s="22" t="s">
        <v>108</v>
      </c>
      <c r="F68" s="5" t="s">
        <v>400</v>
      </c>
      <c r="G68" s="123"/>
      <c r="H68" s="5"/>
      <c r="I68" s="28" t="s">
        <v>193</v>
      </c>
      <c r="J68" s="21"/>
      <c r="K68" s="5">
        <v>1000000</v>
      </c>
      <c r="L68" s="4">
        <f t="shared" si="1"/>
        <v>1090833197</v>
      </c>
      <c r="M68" s="19"/>
    </row>
    <row r="69" spans="1:13" ht="18" customHeight="1">
      <c r="A69" s="6" t="str">
        <f t="shared" si="0"/>
        <v>C34</v>
      </c>
      <c r="B69" s="3">
        <v>41479</v>
      </c>
      <c r="C69" s="3">
        <v>41479</v>
      </c>
      <c r="D69" s="4"/>
      <c r="E69" s="22" t="s">
        <v>108</v>
      </c>
      <c r="F69" s="5" t="s">
        <v>401</v>
      </c>
      <c r="G69" s="123"/>
      <c r="H69" s="5"/>
      <c r="I69" s="28" t="s">
        <v>35</v>
      </c>
      <c r="J69" s="21"/>
      <c r="K69" s="5">
        <v>50000</v>
      </c>
      <c r="L69" s="4">
        <f t="shared" si="1"/>
        <v>1090783197</v>
      </c>
      <c r="M69" s="19"/>
    </row>
    <row r="70" spans="1:13" ht="18" customHeight="1">
      <c r="A70" s="6" t="str">
        <f t="shared" si="0"/>
        <v>C35</v>
      </c>
      <c r="B70" s="3">
        <v>41480</v>
      </c>
      <c r="C70" s="3">
        <v>41480</v>
      </c>
      <c r="D70" s="4"/>
      <c r="E70" s="22" t="s">
        <v>109</v>
      </c>
      <c r="F70" s="5" t="s">
        <v>399</v>
      </c>
      <c r="G70" s="5"/>
      <c r="H70" s="5"/>
      <c r="I70" s="28" t="s">
        <v>53</v>
      </c>
      <c r="J70" s="21"/>
      <c r="K70" s="5">
        <v>800000</v>
      </c>
      <c r="L70" s="4">
        <f t="shared" si="1"/>
        <v>1089983197</v>
      </c>
      <c r="M70" s="19"/>
    </row>
    <row r="71" spans="1:13" ht="18" customHeight="1">
      <c r="A71" s="6" t="str">
        <f t="shared" si="0"/>
        <v>T09</v>
      </c>
      <c r="B71" s="3">
        <v>41481</v>
      </c>
      <c r="C71" s="3">
        <v>41481</v>
      </c>
      <c r="D71" s="4" t="s">
        <v>60</v>
      </c>
      <c r="E71" s="22"/>
      <c r="F71" s="5" t="s">
        <v>269</v>
      </c>
      <c r="G71" s="123"/>
      <c r="H71" s="5"/>
      <c r="I71" s="28" t="s">
        <v>36</v>
      </c>
      <c r="J71" s="21">
        <v>300000000</v>
      </c>
      <c r="K71" s="5"/>
      <c r="L71" s="4">
        <f t="shared" si="1"/>
        <v>1389983197</v>
      </c>
      <c r="M71" s="19"/>
    </row>
    <row r="72" spans="1:13" ht="18" customHeight="1">
      <c r="A72" s="6" t="str">
        <f t="shared" si="0"/>
        <v>C36</v>
      </c>
      <c r="B72" s="3">
        <v>41481</v>
      </c>
      <c r="C72" s="3">
        <v>41481</v>
      </c>
      <c r="D72" s="4"/>
      <c r="E72" s="22" t="s">
        <v>110</v>
      </c>
      <c r="F72" s="5" t="s">
        <v>194</v>
      </c>
      <c r="G72" s="123"/>
      <c r="H72" s="5"/>
      <c r="I72" s="28" t="s">
        <v>120</v>
      </c>
      <c r="J72" s="21"/>
      <c r="K72" s="5">
        <v>610000000</v>
      </c>
      <c r="L72" s="4">
        <f t="shared" si="1"/>
        <v>779983197</v>
      </c>
      <c r="M72" s="19"/>
    </row>
    <row r="73" spans="1:13" ht="18" customHeight="1">
      <c r="A73" s="6" t="str">
        <f t="shared" si="0"/>
        <v>C37</v>
      </c>
      <c r="B73" s="3">
        <v>41482</v>
      </c>
      <c r="C73" s="3">
        <v>41482</v>
      </c>
      <c r="D73" s="4"/>
      <c r="E73" s="22" t="s">
        <v>111</v>
      </c>
      <c r="F73" s="5" t="s">
        <v>276</v>
      </c>
      <c r="G73" s="123"/>
      <c r="H73" s="5"/>
      <c r="I73" s="28" t="s">
        <v>192</v>
      </c>
      <c r="J73" s="21"/>
      <c r="K73" s="5">
        <v>16000000</v>
      </c>
      <c r="L73" s="4">
        <f t="shared" si="1"/>
        <v>763983197</v>
      </c>
      <c r="M73" s="19"/>
    </row>
    <row r="74" spans="1:13" ht="18" customHeight="1">
      <c r="A74" s="6" t="str">
        <f t="shared" si="0"/>
        <v>C37</v>
      </c>
      <c r="B74" s="3">
        <v>41482</v>
      </c>
      <c r="C74" s="3">
        <v>41482</v>
      </c>
      <c r="D74" s="4"/>
      <c r="E74" s="22" t="s">
        <v>111</v>
      </c>
      <c r="F74" s="5" t="s">
        <v>200</v>
      </c>
      <c r="G74" s="123"/>
      <c r="H74" s="5"/>
      <c r="I74" s="28" t="s">
        <v>35</v>
      </c>
      <c r="J74" s="21"/>
      <c r="K74" s="5">
        <v>1600000</v>
      </c>
      <c r="L74" s="4">
        <f t="shared" si="1"/>
        <v>762383197</v>
      </c>
      <c r="M74" s="19"/>
    </row>
    <row r="75" spans="1:13" ht="18" customHeight="1">
      <c r="A75" s="6" t="str">
        <f t="shared" si="0"/>
        <v>C38</v>
      </c>
      <c r="B75" s="3">
        <v>41482</v>
      </c>
      <c r="C75" s="3">
        <v>41482</v>
      </c>
      <c r="D75" s="4"/>
      <c r="E75" s="22" t="s">
        <v>121</v>
      </c>
      <c r="F75" s="5" t="s">
        <v>283</v>
      </c>
      <c r="G75" s="5"/>
      <c r="H75" s="346"/>
      <c r="I75" s="28" t="s">
        <v>34</v>
      </c>
      <c r="J75" s="21"/>
      <c r="K75" s="5">
        <v>15070000</v>
      </c>
      <c r="L75" s="4">
        <f t="shared" si="1"/>
        <v>747313197</v>
      </c>
      <c r="M75" s="19"/>
    </row>
    <row r="76" spans="1:13" ht="18" customHeight="1">
      <c r="A76" s="6" t="str">
        <f t="shared" si="0"/>
        <v>C39</v>
      </c>
      <c r="B76" s="3">
        <v>41482</v>
      </c>
      <c r="C76" s="3">
        <v>41482</v>
      </c>
      <c r="D76" s="4"/>
      <c r="E76" s="22" t="s">
        <v>122</v>
      </c>
      <c r="F76" s="5" t="s">
        <v>184</v>
      </c>
      <c r="G76" s="5"/>
      <c r="H76" s="346"/>
      <c r="I76" s="28" t="s">
        <v>34</v>
      </c>
      <c r="J76" s="21"/>
      <c r="K76" s="5">
        <v>3210250</v>
      </c>
      <c r="L76" s="4">
        <f t="shared" si="1"/>
        <v>744102947</v>
      </c>
      <c r="M76" s="19"/>
    </row>
    <row r="77" spans="1:13" ht="18" customHeight="1">
      <c r="A77" s="6" t="str">
        <f t="shared" si="0"/>
        <v>T10</v>
      </c>
      <c r="B77" s="3">
        <v>41485</v>
      </c>
      <c r="C77" s="3">
        <v>41485</v>
      </c>
      <c r="D77" s="4" t="s">
        <v>230</v>
      </c>
      <c r="E77" s="22"/>
      <c r="F77" s="5" t="s">
        <v>269</v>
      </c>
      <c r="G77" s="5"/>
      <c r="H77" s="346"/>
      <c r="I77" s="28" t="s">
        <v>36</v>
      </c>
      <c r="J77" s="21">
        <v>400000000</v>
      </c>
      <c r="K77" s="5"/>
      <c r="L77" s="4">
        <f t="shared" si="1"/>
        <v>1144102947</v>
      </c>
      <c r="M77" s="19"/>
    </row>
    <row r="78" spans="1:13" ht="18" customHeight="1">
      <c r="A78" s="6" t="str">
        <f t="shared" si="0"/>
        <v>C40</v>
      </c>
      <c r="B78" s="3">
        <v>41485</v>
      </c>
      <c r="C78" s="3">
        <v>41485</v>
      </c>
      <c r="D78" s="4"/>
      <c r="E78" s="22" t="s">
        <v>123</v>
      </c>
      <c r="F78" s="5" t="s">
        <v>364</v>
      </c>
      <c r="G78" s="5"/>
      <c r="H78" s="346"/>
      <c r="I78" s="28" t="s">
        <v>193</v>
      </c>
      <c r="J78" s="21"/>
      <c r="K78" s="5">
        <v>2600000</v>
      </c>
      <c r="L78" s="4">
        <f t="shared" si="1"/>
        <v>1141502947</v>
      </c>
      <c r="M78" s="19"/>
    </row>
    <row r="79" spans="1:13" ht="18" customHeight="1">
      <c r="A79" s="6" t="str">
        <f t="shared" si="0"/>
        <v>C40</v>
      </c>
      <c r="B79" s="3">
        <v>41485</v>
      </c>
      <c r="C79" s="3">
        <v>41485</v>
      </c>
      <c r="D79" s="4"/>
      <c r="E79" s="22" t="s">
        <v>123</v>
      </c>
      <c r="F79" s="5" t="s">
        <v>365</v>
      </c>
      <c r="G79" s="5"/>
      <c r="H79" s="346"/>
      <c r="I79" s="28" t="s">
        <v>35</v>
      </c>
      <c r="J79" s="21"/>
      <c r="K79" s="5">
        <v>130000</v>
      </c>
      <c r="L79" s="4">
        <f t="shared" si="1"/>
        <v>1141372947</v>
      </c>
      <c r="M79" s="19"/>
    </row>
    <row r="80" spans="1:13" ht="18" customHeight="1">
      <c r="A80" s="6" t="str">
        <f t="shared" si="0"/>
        <v>C41</v>
      </c>
      <c r="B80" s="3">
        <v>41486</v>
      </c>
      <c r="C80" s="3">
        <v>41486</v>
      </c>
      <c r="D80" s="4"/>
      <c r="E80" s="22" t="s">
        <v>124</v>
      </c>
      <c r="F80" s="5" t="s">
        <v>378</v>
      </c>
      <c r="G80" s="5"/>
      <c r="H80" s="346"/>
      <c r="I80" s="28" t="s">
        <v>192</v>
      </c>
      <c r="J80" s="21"/>
      <c r="K80" s="5">
        <v>865018</v>
      </c>
      <c r="L80" s="4">
        <f t="shared" si="1"/>
        <v>1140507929</v>
      </c>
      <c r="M80" s="19"/>
    </row>
    <row r="81" spans="1:13" ht="18" customHeight="1">
      <c r="A81" s="6" t="str">
        <f t="shared" si="0"/>
        <v>C41</v>
      </c>
      <c r="B81" s="3">
        <v>41486</v>
      </c>
      <c r="C81" s="3">
        <v>41486</v>
      </c>
      <c r="D81" s="4"/>
      <c r="E81" s="22" t="s">
        <v>124</v>
      </c>
      <c r="F81" s="5" t="s">
        <v>379</v>
      </c>
      <c r="G81" s="5"/>
      <c r="H81" s="346"/>
      <c r="I81" s="28" t="s">
        <v>35</v>
      </c>
      <c r="J81" s="21"/>
      <c r="K81" s="5">
        <v>86502</v>
      </c>
      <c r="L81" s="4">
        <f t="shared" si="1"/>
        <v>1140421427</v>
      </c>
      <c r="M81" s="19"/>
    </row>
    <row r="82" spans="1:13" ht="18" customHeight="1">
      <c r="A82" s="6" t="str">
        <f t="shared" si="0"/>
        <v>C42</v>
      </c>
      <c r="B82" s="3">
        <v>41486</v>
      </c>
      <c r="C82" s="3">
        <v>41486</v>
      </c>
      <c r="D82" s="4"/>
      <c r="E82" s="22" t="s">
        <v>125</v>
      </c>
      <c r="F82" s="5" t="s">
        <v>382</v>
      </c>
      <c r="G82" s="5"/>
      <c r="H82" s="346"/>
      <c r="I82" s="28" t="s">
        <v>192</v>
      </c>
      <c r="J82" s="21"/>
      <c r="K82" s="5">
        <v>2211300</v>
      </c>
      <c r="L82" s="4">
        <f t="shared" si="1"/>
        <v>1138210127</v>
      </c>
      <c r="M82" s="19"/>
    </row>
    <row r="83" spans="1:13" ht="18" customHeight="1">
      <c r="A83" s="6" t="str">
        <f t="shared" si="0"/>
        <v>C42</v>
      </c>
      <c r="B83" s="3">
        <v>41486</v>
      </c>
      <c r="C83" s="3">
        <v>41486</v>
      </c>
      <c r="D83" s="4"/>
      <c r="E83" s="22" t="s">
        <v>125</v>
      </c>
      <c r="F83" s="5" t="s">
        <v>52</v>
      </c>
      <c r="G83" s="5"/>
      <c r="H83" s="346"/>
      <c r="I83" s="28" t="s">
        <v>53</v>
      </c>
      <c r="J83" s="21"/>
      <c r="K83" s="5">
        <v>4452000</v>
      </c>
      <c r="L83" s="4">
        <f t="shared" si="1"/>
        <v>1133758127</v>
      </c>
      <c r="M83" s="19"/>
    </row>
    <row r="84" spans="1:13" ht="18" customHeight="1">
      <c r="A84" s="6" t="str">
        <f t="shared" si="0"/>
        <v>C42</v>
      </c>
      <c r="B84" s="3">
        <v>41486</v>
      </c>
      <c r="C84" s="3">
        <v>41486</v>
      </c>
      <c r="D84" s="4"/>
      <c r="E84" s="22" t="s">
        <v>125</v>
      </c>
      <c r="F84" s="5" t="s">
        <v>119</v>
      </c>
      <c r="G84" s="5"/>
      <c r="H84" s="346"/>
      <c r="I84" s="28" t="s">
        <v>35</v>
      </c>
      <c r="J84" s="21"/>
      <c r="K84" s="5">
        <v>666330</v>
      </c>
      <c r="L84" s="4">
        <f t="shared" si="1"/>
        <v>1133091797</v>
      </c>
      <c r="M84" s="19"/>
    </row>
    <row r="85" spans="1:13" ht="18" customHeight="1">
      <c r="A85" s="6" t="str">
        <f t="shared" si="0"/>
        <v>C43</v>
      </c>
      <c r="B85" s="3">
        <v>41486</v>
      </c>
      <c r="C85" s="3">
        <v>41486</v>
      </c>
      <c r="D85" s="4"/>
      <c r="E85" s="22" t="s">
        <v>126</v>
      </c>
      <c r="F85" s="5" t="s">
        <v>402</v>
      </c>
      <c r="G85" s="5"/>
      <c r="H85" s="346"/>
      <c r="I85" s="28" t="s">
        <v>192</v>
      </c>
      <c r="J85" s="21"/>
      <c r="K85" s="5">
        <v>500000</v>
      </c>
      <c r="L85" s="4">
        <f t="shared" si="1"/>
        <v>1132591797</v>
      </c>
      <c r="M85" s="19"/>
    </row>
    <row r="86" spans="1:13" ht="18" customHeight="1">
      <c r="A86" s="6" t="str">
        <f t="shared" si="0"/>
        <v>C44</v>
      </c>
      <c r="B86" s="3">
        <v>41486</v>
      </c>
      <c r="C86" s="3">
        <v>41486</v>
      </c>
      <c r="D86" s="4"/>
      <c r="E86" s="22" t="s">
        <v>221</v>
      </c>
      <c r="F86" s="5" t="s">
        <v>403</v>
      </c>
      <c r="G86" s="5"/>
      <c r="H86" s="346"/>
      <c r="I86" s="28" t="s">
        <v>37</v>
      </c>
      <c r="J86" s="21"/>
      <c r="K86" s="5">
        <v>110662856</v>
      </c>
      <c r="L86" s="4">
        <f t="shared" si="1"/>
        <v>1021928941</v>
      </c>
      <c r="M86" s="19"/>
    </row>
    <row r="87" spans="1:13" ht="18" customHeight="1">
      <c r="A87" s="6" t="str">
        <f t="shared" si="0"/>
        <v>C45</v>
      </c>
      <c r="B87" s="3">
        <v>41486</v>
      </c>
      <c r="C87" s="3">
        <v>41486</v>
      </c>
      <c r="D87" s="4"/>
      <c r="E87" s="22" t="s">
        <v>222</v>
      </c>
      <c r="F87" s="5" t="s">
        <v>247</v>
      </c>
      <c r="G87" s="5"/>
      <c r="H87" s="346"/>
      <c r="I87" s="28" t="s">
        <v>56</v>
      </c>
      <c r="J87" s="21"/>
      <c r="K87" s="5">
        <v>400000000</v>
      </c>
      <c r="L87" s="4">
        <f t="shared" si="1"/>
        <v>621928941</v>
      </c>
      <c r="M87" s="19"/>
    </row>
    <row r="88" spans="1:13" ht="18" customHeight="1">
      <c r="A88" s="6" t="str">
        <f t="shared" ref="A88:A89" si="2">D88&amp;E88</f>
        <v/>
      </c>
      <c r="B88" s="3"/>
      <c r="C88" s="3"/>
      <c r="D88" s="4"/>
      <c r="E88" s="22"/>
      <c r="F88" s="5"/>
      <c r="G88" s="5"/>
      <c r="H88" s="5"/>
      <c r="I88" s="28"/>
      <c r="J88" s="21"/>
      <c r="K88" s="5"/>
      <c r="L88" s="4"/>
      <c r="M88" s="19"/>
    </row>
    <row r="89" spans="1:13" s="44" customFormat="1" ht="18" customHeight="1">
      <c r="A89" s="6" t="str">
        <f t="shared" si="2"/>
        <v/>
      </c>
      <c r="B89" s="42"/>
      <c r="C89" s="42"/>
      <c r="D89" s="42"/>
      <c r="E89" s="42"/>
      <c r="F89" s="42" t="s">
        <v>29</v>
      </c>
      <c r="G89" s="42"/>
      <c r="H89" s="42"/>
      <c r="I89" s="43" t="s">
        <v>30</v>
      </c>
      <c r="J89" s="42">
        <f>SUM(J13:J87)</f>
        <v>9490000000</v>
      </c>
      <c r="K89" s="42">
        <f>SUM(K13:K87)</f>
        <v>9377132764</v>
      </c>
      <c r="L89" s="43" t="s">
        <v>30</v>
      </c>
      <c r="M89" s="43" t="s">
        <v>30</v>
      </c>
    </row>
    <row r="90" spans="1:13" s="44" customFormat="1" ht="18" customHeight="1">
      <c r="A90" s="6" t="str">
        <f t="shared" ref="A90" si="3">D90&amp;E90</f>
        <v/>
      </c>
      <c r="B90" s="45"/>
      <c r="C90" s="45"/>
      <c r="D90" s="45"/>
      <c r="E90" s="45"/>
      <c r="F90" s="45" t="s">
        <v>31</v>
      </c>
      <c r="G90" s="45"/>
      <c r="H90" s="45"/>
      <c r="I90" s="46" t="s">
        <v>30</v>
      </c>
      <c r="J90" s="46" t="s">
        <v>30</v>
      </c>
      <c r="K90" s="46" t="s">
        <v>30</v>
      </c>
      <c r="L90" s="45">
        <f>L12+J89-K89</f>
        <v>621928941</v>
      </c>
      <c r="M90" s="46" t="s">
        <v>30</v>
      </c>
    </row>
    <row r="92" spans="1:13">
      <c r="B92" s="27" t="s">
        <v>46</v>
      </c>
    </row>
    <row r="93" spans="1:13">
      <c r="B93" s="27" t="s">
        <v>298</v>
      </c>
    </row>
    <row r="94" spans="1:13">
      <c r="L94" s="8" t="s">
        <v>299</v>
      </c>
    </row>
    <row r="95" spans="1:13" s="7" customFormat="1" ht="14.25">
      <c r="C95" s="7" t="s">
        <v>33</v>
      </c>
      <c r="F95" s="7" t="s">
        <v>13</v>
      </c>
      <c r="L95" s="7" t="s">
        <v>14</v>
      </c>
    </row>
    <row r="96" spans="1:13" s="2" customFormat="1">
      <c r="C96" s="2" t="s">
        <v>15</v>
      </c>
      <c r="F96" s="2" t="s">
        <v>15</v>
      </c>
      <c r="L96" s="2" t="s">
        <v>16</v>
      </c>
    </row>
    <row r="97" s="2" customFormat="1"/>
  </sheetData>
  <autoFilter ref="B11:M90">
    <filterColumn colId="8"/>
  </autoFilter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31"/>
  </sheetPr>
  <dimension ref="A1:M92"/>
  <sheetViews>
    <sheetView topLeftCell="B1" zoomScale="90" workbookViewId="0">
      <selection activeCell="J1" sqref="J1:M3"/>
    </sheetView>
  </sheetViews>
  <sheetFormatPr defaultRowHeight="15"/>
  <cols>
    <col min="1" max="1" width="4.7109375" style="6" hidden="1" customWidth="1"/>
    <col min="2" max="3" width="10.140625" style="6" customWidth="1"/>
    <col min="4" max="5" width="6.85546875" style="6" customWidth="1"/>
    <col min="6" max="6" width="49.85546875" style="6" bestFit="1" customWidth="1"/>
    <col min="7" max="7" width="11.7109375" style="6" hidden="1" customWidth="1"/>
    <col min="8" max="8" width="40.7109375" style="6" hidden="1" customWidth="1"/>
    <col min="9" max="9" width="6.85546875" style="6" customWidth="1"/>
    <col min="10" max="10" width="16" style="6" customWidth="1"/>
    <col min="11" max="11" width="16.28515625" style="6" customWidth="1"/>
    <col min="12" max="12" width="16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0" t="s">
        <v>472</v>
      </c>
      <c r="K1" s="400"/>
      <c r="L1" s="400"/>
      <c r="M1" s="400"/>
    </row>
    <row r="2" spans="1:13" s="11" customFormat="1" ht="16.5" customHeight="1">
      <c r="B2" s="1" t="str">
        <f>'01'!B2</f>
        <v>Địa chỉ: Lô A14, Đường 4A - KCN Hải Sơn, Đức Hòa, Long An</v>
      </c>
      <c r="C2" s="12"/>
      <c r="D2" s="12"/>
      <c r="E2" s="12"/>
      <c r="F2" s="12"/>
      <c r="G2" s="12"/>
      <c r="H2" s="12"/>
      <c r="J2" s="401" t="s">
        <v>473</v>
      </c>
      <c r="K2" s="401"/>
      <c r="L2" s="401"/>
      <c r="M2" s="401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01"/>
      <c r="K3" s="401"/>
      <c r="L3" s="401"/>
      <c r="M3" s="401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6" spans="1:13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</row>
    <row r="7" spans="1:13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</row>
    <row r="8" spans="1:13">
      <c r="B8" s="15"/>
      <c r="L8" s="15" t="s">
        <v>19</v>
      </c>
    </row>
    <row r="9" spans="1:13" ht="30" customHeight="1">
      <c r="B9" s="403" t="s">
        <v>20</v>
      </c>
      <c r="C9" s="403" t="s">
        <v>21</v>
      </c>
      <c r="D9" s="403" t="s">
        <v>2</v>
      </c>
      <c r="E9" s="403"/>
      <c r="F9" s="403" t="s">
        <v>3</v>
      </c>
      <c r="G9" s="404" t="s">
        <v>73</v>
      </c>
      <c r="H9" s="404" t="s">
        <v>74</v>
      </c>
      <c r="I9" s="403" t="s">
        <v>22</v>
      </c>
      <c r="J9" s="403" t="s">
        <v>23</v>
      </c>
      <c r="K9" s="403"/>
      <c r="L9" s="403" t="s">
        <v>24</v>
      </c>
      <c r="M9" s="403" t="s">
        <v>4</v>
      </c>
    </row>
    <row r="10" spans="1:13" ht="20.25" customHeight="1">
      <c r="B10" s="403"/>
      <c r="C10" s="403"/>
      <c r="D10" s="16" t="s">
        <v>5</v>
      </c>
      <c r="E10" s="16" t="s">
        <v>6</v>
      </c>
      <c r="F10" s="403"/>
      <c r="G10" s="405"/>
      <c r="H10" s="405"/>
      <c r="I10" s="403"/>
      <c r="J10" s="16" t="s">
        <v>25</v>
      </c>
      <c r="K10" s="16" t="s">
        <v>26</v>
      </c>
      <c r="L10" s="403"/>
      <c r="M10" s="403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29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8" customHeight="1">
      <c r="B12" s="36"/>
      <c r="C12" s="36"/>
      <c r="D12" s="36"/>
      <c r="E12" s="36"/>
      <c r="F12" s="36" t="s">
        <v>28</v>
      </c>
      <c r="G12" s="36"/>
      <c r="H12" s="36"/>
      <c r="I12" s="37"/>
      <c r="J12" s="38"/>
      <c r="K12" s="36"/>
      <c r="L12" s="38">
        <f>'07'!L90</f>
        <v>621928941</v>
      </c>
      <c r="M12" s="36"/>
    </row>
    <row r="13" spans="1:13" ht="18" customHeight="1">
      <c r="A13" s="6" t="str">
        <f t="shared" ref="A13:A19" si="0">D13&amp;E13</f>
        <v>C01</v>
      </c>
      <c r="B13" s="3">
        <v>41487</v>
      </c>
      <c r="C13" s="3">
        <v>41487</v>
      </c>
      <c r="D13" s="4"/>
      <c r="E13" s="22" t="s">
        <v>75</v>
      </c>
      <c r="F13" s="5" t="s">
        <v>404</v>
      </c>
      <c r="G13" s="5"/>
      <c r="H13" s="5"/>
      <c r="I13" s="28" t="s">
        <v>192</v>
      </c>
      <c r="J13" s="21"/>
      <c r="K13" s="5">
        <v>2393175</v>
      </c>
      <c r="L13" s="4">
        <f>IF(F13&lt;&gt;"",L12+J13-K13,0)</f>
        <v>619535766</v>
      </c>
      <c r="M13" s="19"/>
    </row>
    <row r="14" spans="1:13" ht="18" customHeight="1">
      <c r="A14" s="6" t="str">
        <f t="shared" si="0"/>
        <v>C01</v>
      </c>
      <c r="B14" s="3">
        <v>41487</v>
      </c>
      <c r="C14" s="3">
        <v>41487</v>
      </c>
      <c r="D14" s="4"/>
      <c r="E14" s="22" t="s">
        <v>75</v>
      </c>
      <c r="F14" s="5" t="s">
        <v>405</v>
      </c>
      <c r="G14" s="5"/>
      <c r="H14" s="5"/>
      <c r="I14" s="28" t="s">
        <v>35</v>
      </c>
      <c r="J14" s="21"/>
      <c r="K14" s="5">
        <v>239318</v>
      </c>
      <c r="L14" s="4">
        <f t="shared" ref="L14:L79" si="1">IF(F14&lt;&gt;"",L13+J14-K14,0)</f>
        <v>619296448</v>
      </c>
      <c r="M14" s="19"/>
    </row>
    <row r="15" spans="1:13" ht="18" customHeight="1">
      <c r="A15" s="6" t="str">
        <f t="shared" si="0"/>
        <v>C02</v>
      </c>
      <c r="B15" s="3">
        <v>41487</v>
      </c>
      <c r="C15" s="3">
        <v>41487</v>
      </c>
      <c r="D15" s="4"/>
      <c r="E15" s="22" t="s">
        <v>76</v>
      </c>
      <c r="F15" s="5" t="s">
        <v>58</v>
      </c>
      <c r="G15" s="5"/>
      <c r="H15" s="5"/>
      <c r="I15" s="28" t="s">
        <v>53</v>
      </c>
      <c r="J15" s="21"/>
      <c r="K15" s="5">
        <v>13726650</v>
      </c>
      <c r="L15" s="4">
        <f t="shared" si="1"/>
        <v>605569798</v>
      </c>
      <c r="M15" s="19"/>
    </row>
    <row r="16" spans="1:13" ht="18" customHeight="1">
      <c r="A16" s="6" t="str">
        <f t="shared" si="0"/>
        <v>C02</v>
      </c>
      <c r="B16" s="3">
        <v>41487</v>
      </c>
      <c r="C16" s="3">
        <v>41487</v>
      </c>
      <c r="D16" s="4"/>
      <c r="E16" s="22" t="s">
        <v>76</v>
      </c>
      <c r="F16" s="5" t="s">
        <v>51</v>
      </c>
      <c r="G16" s="5"/>
      <c r="H16" s="5"/>
      <c r="I16" s="28" t="s">
        <v>35</v>
      </c>
      <c r="J16" s="21"/>
      <c r="K16" s="5">
        <v>514800</v>
      </c>
      <c r="L16" s="4">
        <f t="shared" si="1"/>
        <v>605054998</v>
      </c>
      <c r="M16" s="19"/>
    </row>
    <row r="17" spans="1:13" ht="18" customHeight="1">
      <c r="A17" s="6" t="str">
        <f t="shared" si="0"/>
        <v>C02</v>
      </c>
      <c r="B17" s="3">
        <v>41487</v>
      </c>
      <c r="C17" s="3">
        <v>41487</v>
      </c>
      <c r="D17" s="4"/>
      <c r="E17" s="22" t="s">
        <v>76</v>
      </c>
      <c r="F17" s="5" t="s">
        <v>406</v>
      </c>
      <c r="G17" s="5"/>
      <c r="H17" s="5"/>
      <c r="I17" s="28" t="s">
        <v>35</v>
      </c>
      <c r="J17" s="21"/>
      <c r="K17" s="5">
        <v>243225</v>
      </c>
      <c r="L17" s="4">
        <f t="shared" si="1"/>
        <v>604811773</v>
      </c>
      <c r="M17" s="19"/>
    </row>
    <row r="18" spans="1:13" ht="18" customHeight="1">
      <c r="A18" s="6" t="str">
        <f t="shared" si="0"/>
        <v>T01</v>
      </c>
      <c r="B18" s="3">
        <v>41488</v>
      </c>
      <c r="C18" s="3">
        <v>41488</v>
      </c>
      <c r="D18" s="4" t="s">
        <v>39</v>
      </c>
      <c r="E18" s="22"/>
      <c r="F18" s="5" t="s">
        <v>269</v>
      </c>
      <c r="G18" s="5"/>
      <c r="H18" s="5"/>
      <c r="I18" s="28" t="s">
        <v>36</v>
      </c>
      <c r="J18" s="21">
        <v>100000000</v>
      </c>
      <c r="K18" s="5"/>
      <c r="L18" s="4">
        <f t="shared" si="1"/>
        <v>704811773</v>
      </c>
      <c r="M18" s="19"/>
    </row>
    <row r="19" spans="1:13" ht="18" customHeight="1">
      <c r="A19" s="6" t="str">
        <f t="shared" si="0"/>
        <v>C03</v>
      </c>
      <c r="B19" s="3">
        <v>41488</v>
      </c>
      <c r="C19" s="3">
        <v>41488</v>
      </c>
      <c r="D19" s="4"/>
      <c r="E19" s="22" t="s">
        <v>77</v>
      </c>
      <c r="F19" s="5" t="s">
        <v>399</v>
      </c>
      <c r="G19" s="5"/>
      <c r="H19" s="5"/>
      <c r="I19" s="28" t="s">
        <v>53</v>
      </c>
      <c r="J19" s="21"/>
      <c r="K19" s="5">
        <v>2120000</v>
      </c>
      <c r="L19" s="4">
        <f t="shared" si="1"/>
        <v>702691773</v>
      </c>
      <c r="M19" s="19"/>
    </row>
    <row r="20" spans="1:13" ht="18" customHeight="1">
      <c r="A20" s="6" t="str">
        <f t="shared" ref="A20:A74" si="2">D20&amp;E20</f>
        <v>T02</v>
      </c>
      <c r="B20" s="3">
        <v>41491</v>
      </c>
      <c r="C20" s="3">
        <v>41491</v>
      </c>
      <c r="D20" s="4" t="s">
        <v>40</v>
      </c>
      <c r="E20" s="22"/>
      <c r="F20" s="5" t="s">
        <v>269</v>
      </c>
      <c r="G20" s="5"/>
      <c r="H20" s="5"/>
      <c r="I20" s="28" t="s">
        <v>36</v>
      </c>
      <c r="J20" s="21">
        <v>400000000</v>
      </c>
      <c r="K20" s="5"/>
      <c r="L20" s="4">
        <f t="shared" si="1"/>
        <v>1102691773</v>
      </c>
      <c r="M20" s="19"/>
    </row>
    <row r="21" spans="1:13" ht="18" customHeight="1">
      <c r="A21" s="6" t="str">
        <f>D21&amp;E21</f>
        <v>C04</v>
      </c>
      <c r="B21" s="3">
        <v>41491</v>
      </c>
      <c r="C21" s="3">
        <v>41491</v>
      </c>
      <c r="D21" s="4"/>
      <c r="E21" s="22" t="s">
        <v>78</v>
      </c>
      <c r="F21" s="5" t="s">
        <v>201</v>
      </c>
      <c r="G21" s="5"/>
      <c r="H21" s="5"/>
      <c r="I21" s="28" t="s">
        <v>53</v>
      </c>
      <c r="J21" s="21"/>
      <c r="K21" s="5">
        <v>11100000</v>
      </c>
      <c r="L21" s="4">
        <f t="shared" si="1"/>
        <v>1091591773</v>
      </c>
      <c r="M21" s="19"/>
    </row>
    <row r="22" spans="1:13" ht="18" customHeight="1">
      <c r="A22" s="6" t="str">
        <f t="shared" si="2"/>
        <v>C04</v>
      </c>
      <c r="B22" s="3">
        <v>41491</v>
      </c>
      <c r="C22" s="3">
        <v>41491</v>
      </c>
      <c r="D22" s="4"/>
      <c r="E22" s="22" t="s">
        <v>78</v>
      </c>
      <c r="F22" s="5" t="s">
        <v>202</v>
      </c>
      <c r="G22" s="5"/>
      <c r="H22" s="5"/>
      <c r="I22" s="28" t="s">
        <v>35</v>
      </c>
      <c r="J22" s="21"/>
      <c r="K22" s="5">
        <v>1110000</v>
      </c>
      <c r="L22" s="4">
        <f t="shared" si="1"/>
        <v>1090481773</v>
      </c>
      <c r="M22" s="19"/>
    </row>
    <row r="23" spans="1:13" ht="18" customHeight="1">
      <c r="A23" s="6" t="str">
        <f>D23&amp;E23</f>
        <v>C05</v>
      </c>
      <c r="B23" s="3">
        <v>41492</v>
      </c>
      <c r="C23" s="3">
        <v>41492</v>
      </c>
      <c r="D23" s="4"/>
      <c r="E23" s="22" t="s">
        <v>79</v>
      </c>
      <c r="F23" s="5" t="s">
        <v>283</v>
      </c>
      <c r="G23" s="5"/>
      <c r="H23" s="5"/>
      <c r="I23" s="28" t="s">
        <v>34</v>
      </c>
      <c r="J23" s="21"/>
      <c r="K23" s="5">
        <v>15400000</v>
      </c>
      <c r="L23" s="4">
        <f t="shared" si="1"/>
        <v>1075081773</v>
      </c>
      <c r="M23" s="19"/>
    </row>
    <row r="24" spans="1:13" ht="18" customHeight="1">
      <c r="A24" s="6" t="str">
        <f>D24&amp;E24</f>
        <v>C06</v>
      </c>
      <c r="B24" s="3">
        <v>41493</v>
      </c>
      <c r="C24" s="3">
        <v>41493</v>
      </c>
      <c r="D24" s="4"/>
      <c r="E24" s="22" t="s">
        <v>80</v>
      </c>
      <c r="F24" s="5" t="s">
        <v>407</v>
      </c>
      <c r="G24" s="5"/>
      <c r="H24" s="5"/>
      <c r="I24" s="28" t="s">
        <v>192</v>
      </c>
      <c r="J24" s="21"/>
      <c r="K24" s="5">
        <v>48600</v>
      </c>
      <c r="L24" s="4">
        <f t="shared" si="1"/>
        <v>1075033173</v>
      </c>
      <c r="M24" s="19"/>
    </row>
    <row r="25" spans="1:13" ht="18" customHeight="1">
      <c r="A25" s="6" t="str">
        <f>D25&amp;E25</f>
        <v>C06</v>
      </c>
      <c r="B25" s="3">
        <v>41493</v>
      </c>
      <c r="C25" s="3">
        <v>41493</v>
      </c>
      <c r="D25" s="4"/>
      <c r="E25" s="22" t="s">
        <v>80</v>
      </c>
      <c r="F25" s="5" t="s">
        <v>408</v>
      </c>
      <c r="G25" s="5"/>
      <c r="H25" s="5"/>
      <c r="I25" s="28" t="s">
        <v>35</v>
      </c>
      <c r="J25" s="21"/>
      <c r="K25" s="5">
        <v>4860</v>
      </c>
      <c r="L25" s="4">
        <f t="shared" si="1"/>
        <v>1075028313</v>
      </c>
      <c r="M25" s="19"/>
    </row>
    <row r="26" spans="1:13" ht="18" customHeight="1">
      <c r="A26" s="6" t="str">
        <f t="shared" si="2"/>
        <v>T03</v>
      </c>
      <c r="B26" s="3">
        <v>41494</v>
      </c>
      <c r="C26" s="3">
        <v>41494</v>
      </c>
      <c r="D26" s="4" t="s">
        <v>41</v>
      </c>
      <c r="E26" s="22"/>
      <c r="F26" s="30" t="s">
        <v>269</v>
      </c>
      <c r="G26" s="50"/>
      <c r="H26" s="50"/>
      <c r="I26" s="28" t="s">
        <v>36</v>
      </c>
      <c r="J26" s="21">
        <v>450000000</v>
      </c>
      <c r="K26" s="5"/>
      <c r="L26" s="4">
        <f t="shared" si="1"/>
        <v>1525028313</v>
      </c>
      <c r="M26" s="19"/>
    </row>
    <row r="27" spans="1:13" ht="18" customHeight="1">
      <c r="A27" s="6" t="str">
        <f t="shared" si="2"/>
        <v>C07</v>
      </c>
      <c r="B27" s="3">
        <v>41494</v>
      </c>
      <c r="C27" s="3">
        <v>41494</v>
      </c>
      <c r="D27" s="4"/>
      <c r="E27" s="52" t="s">
        <v>81</v>
      </c>
      <c r="F27" s="5" t="s">
        <v>194</v>
      </c>
      <c r="G27" s="5"/>
      <c r="H27" s="5"/>
      <c r="I27" s="28" t="s">
        <v>120</v>
      </c>
      <c r="J27" s="21"/>
      <c r="K27" s="5">
        <v>650000000</v>
      </c>
      <c r="L27" s="4">
        <f t="shared" si="1"/>
        <v>875028313</v>
      </c>
      <c r="M27" s="19"/>
    </row>
    <row r="28" spans="1:13" ht="18" customHeight="1">
      <c r="A28" s="6" t="str">
        <f t="shared" si="2"/>
        <v>C08</v>
      </c>
      <c r="B28" s="3">
        <v>41495</v>
      </c>
      <c r="C28" s="3">
        <v>41495</v>
      </c>
      <c r="D28" s="4"/>
      <c r="E28" s="4" t="s">
        <v>82</v>
      </c>
      <c r="F28" s="5" t="s">
        <v>201</v>
      </c>
      <c r="G28" s="5"/>
      <c r="H28" s="5"/>
      <c r="I28" s="28" t="s">
        <v>53</v>
      </c>
      <c r="J28" s="21"/>
      <c r="K28" s="5">
        <v>9840000</v>
      </c>
      <c r="L28" s="4">
        <f t="shared" si="1"/>
        <v>865188313</v>
      </c>
      <c r="M28" s="19"/>
    </row>
    <row r="29" spans="1:13" ht="18" customHeight="1">
      <c r="A29" s="6" t="str">
        <f t="shared" si="2"/>
        <v>C08</v>
      </c>
      <c r="B29" s="3">
        <v>41495</v>
      </c>
      <c r="C29" s="3">
        <v>41495</v>
      </c>
      <c r="D29" s="4"/>
      <c r="E29" s="22" t="s">
        <v>82</v>
      </c>
      <c r="F29" s="5" t="s">
        <v>202</v>
      </c>
      <c r="G29" s="5"/>
      <c r="H29" s="5"/>
      <c r="I29" s="28" t="s">
        <v>35</v>
      </c>
      <c r="J29" s="21"/>
      <c r="K29" s="5">
        <v>984000</v>
      </c>
      <c r="L29" s="4">
        <f t="shared" si="1"/>
        <v>864204313</v>
      </c>
      <c r="M29" s="19"/>
    </row>
    <row r="30" spans="1:13" ht="18" customHeight="1">
      <c r="A30" s="6" t="str">
        <f t="shared" si="2"/>
        <v>C09</v>
      </c>
      <c r="B30" s="3">
        <v>41495</v>
      </c>
      <c r="C30" s="3">
        <v>41495</v>
      </c>
      <c r="D30" s="4"/>
      <c r="E30" s="22" t="s">
        <v>83</v>
      </c>
      <c r="F30" s="5" t="s">
        <v>409</v>
      </c>
      <c r="G30" s="5"/>
      <c r="H30" s="5"/>
      <c r="I30" s="28" t="s">
        <v>34</v>
      </c>
      <c r="J30" s="21"/>
      <c r="K30" s="5">
        <v>2402400</v>
      </c>
      <c r="L30" s="4">
        <f t="shared" si="1"/>
        <v>861801913</v>
      </c>
      <c r="M30" s="19"/>
    </row>
    <row r="31" spans="1:13" ht="18" customHeight="1">
      <c r="A31" s="6" t="str">
        <f t="shared" si="2"/>
        <v>C10</v>
      </c>
      <c r="B31" s="3">
        <v>41496</v>
      </c>
      <c r="C31" s="3">
        <v>41496</v>
      </c>
      <c r="D31" s="4"/>
      <c r="E31" s="22" t="s">
        <v>84</v>
      </c>
      <c r="F31" s="5" t="s">
        <v>364</v>
      </c>
      <c r="G31" s="5"/>
      <c r="H31" s="5"/>
      <c r="I31" s="28" t="s">
        <v>193</v>
      </c>
      <c r="J31" s="21"/>
      <c r="K31" s="5">
        <v>1320000</v>
      </c>
      <c r="L31" s="4">
        <f t="shared" si="1"/>
        <v>860481913</v>
      </c>
      <c r="M31" s="19"/>
    </row>
    <row r="32" spans="1:13" ht="18" customHeight="1">
      <c r="A32" s="6" t="str">
        <f t="shared" si="2"/>
        <v>C10</v>
      </c>
      <c r="B32" s="3">
        <v>41496</v>
      </c>
      <c r="C32" s="3">
        <v>41496</v>
      </c>
      <c r="D32" s="4"/>
      <c r="E32" s="22" t="s">
        <v>84</v>
      </c>
      <c r="F32" s="5" t="s">
        <v>365</v>
      </c>
      <c r="G32" s="5"/>
      <c r="H32" s="5"/>
      <c r="I32" s="28" t="s">
        <v>35</v>
      </c>
      <c r="J32" s="21"/>
      <c r="K32" s="5">
        <v>66000</v>
      </c>
      <c r="L32" s="4">
        <f t="shared" si="1"/>
        <v>860415913</v>
      </c>
      <c r="M32" s="19"/>
    </row>
    <row r="33" spans="1:13" ht="18" customHeight="1">
      <c r="A33" s="6" t="str">
        <f t="shared" si="2"/>
        <v>T04</v>
      </c>
      <c r="B33" s="3">
        <v>41498</v>
      </c>
      <c r="C33" s="3">
        <v>41498</v>
      </c>
      <c r="D33" s="4" t="s">
        <v>42</v>
      </c>
      <c r="E33" s="22"/>
      <c r="F33" s="5" t="s">
        <v>269</v>
      </c>
      <c r="G33" s="5"/>
      <c r="H33" s="5"/>
      <c r="I33" s="28" t="s">
        <v>36</v>
      </c>
      <c r="J33" s="21">
        <v>1000000000</v>
      </c>
      <c r="K33" s="5"/>
      <c r="L33" s="4">
        <f t="shared" si="1"/>
        <v>1860415913</v>
      </c>
      <c r="M33" s="19"/>
    </row>
    <row r="34" spans="1:13" ht="18" customHeight="1">
      <c r="A34" s="6" t="str">
        <f t="shared" si="2"/>
        <v>C11</v>
      </c>
      <c r="B34" s="3">
        <v>41498</v>
      </c>
      <c r="C34" s="3">
        <v>41498</v>
      </c>
      <c r="D34" s="4"/>
      <c r="E34" s="22" t="s">
        <v>85</v>
      </c>
      <c r="F34" s="5" t="s">
        <v>272</v>
      </c>
      <c r="G34" s="5"/>
      <c r="H34" s="5"/>
      <c r="I34" s="28" t="s">
        <v>120</v>
      </c>
      <c r="J34" s="21"/>
      <c r="K34" s="5">
        <v>600000000</v>
      </c>
      <c r="L34" s="4">
        <f t="shared" si="1"/>
        <v>1260415913</v>
      </c>
      <c r="M34" s="19"/>
    </row>
    <row r="35" spans="1:13" ht="18" customHeight="1">
      <c r="A35" s="6" t="str">
        <f t="shared" si="2"/>
        <v>C12</v>
      </c>
      <c r="B35" s="3">
        <v>41498</v>
      </c>
      <c r="C35" s="3">
        <v>41498</v>
      </c>
      <c r="D35" s="4"/>
      <c r="E35" s="22" t="s">
        <v>86</v>
      </c>
      <c r="F35" s="5" t="s">
        <v>213</v>
      </c>
      <c r="G35" s="5"/>
      <c r="H35" s="5"/>
      <c r="I35" s="28" t="s">
        <v>193</v>
      </c>
      <c r="J35" s="21"/>
      <c r="K35" s="5">
        <v>2000000</v>
      </c>
      <c r="L35" s="4">
        <f t="shared" si="1"/>
        <v>1258415913</v>
      </c>
      <c r="M35" s="19"/>
    </row>
    <row r="36" spans="1:13" ht="18" customHeight="1">
      <c r="A36" s="6" t="str">
        <f t="shared" si="2"/>
        <v>T05</v>
      </c>
      <c r="B36" s="3">
        <v>41499</v>
      </c>
      <c r="C36" s="3">
        <v>41499</v>
      </c>
      <c r="D36" s="4" t="s">
        <v>43</v>
      </c>
      <c r="E36" s="22"/>
      <c r="F36" s="5" t="s">
        <v>269</v>
      </c>
      <c r="G36" s="5"/>
      <c r="H36" s="5"/>
      <c r="I36" s="28" t="s">
        <v>36</v>
      </c>
      <c r="J36" s="21">
        <v>2000000000</v>
      </c>
      <c r="K36" s="5"/>
      <c r="L36" s="4">
        <f t="shared" si="1"/>
        <v>3258415913</v>
      </c>
      <c r="M36" s="19"/>
    </row>
    <row r="37" spans="1:13" ht="18" customHeight="1">
      <c r="A37" s="6" t="str">
        <f>D37&amp;E37</f>
        <v>C13</v>
      </c>
      <c r="B37" s="3">
        <v>41499</v>
      </c>
      <c r="C37" s="3">
        <v>41499</v>
      </c>
      <c r="D37" s="4"/>
      <c r="E37" s="22" t="s">
        <v>87</v>
      </c>
      <c r="F37" s="5" t="s">
        <v>50</v>
      </c>
      <c r="G37" s="5"/>
      <c r="H37" s="5"/>
      <c r="I37" s="28" t="s">
        <v>36</v>
      </c>
      <c r="J37" s="21"/>
      <c r="K37" s="5">
        <v>200000000</v>
      </c>
      <c r="L37" s="4">
        <f t="shared" si="1"/>
        <v>3058415913</v>
      </c>
      <c r="M37" s="19"/>
    </row>
    <row r="38" spans="1:13" ht="18" customHeight="1">
      <c r="A38" s="6" t="str">
        <f t="shared" si="2"/>
        <v>C14</v>
      </c>
      <c r="B38" s="3">
        <v>41499</v>
      </c>
      <c r="C38" s="3">
        <v>41499</v>
      </c>
      <c r="D38" s="4"/>
      <c r="E38" s="22" t="s">
        <v>88</v>
      </c>
      <c r="F38" s="5" t="s">
        <v>194</v>
      </c>
      <c r="G38" s="5"/>
      <c r="H38" s="5"/>
      <c r="I38" s="28" t="s">
        <v>120</v>
      </c>
      <c r="J38" s="21"/>
      <c r="K38" s="5">
        <v>650000000</v>
      </c>
      <c r="L38" s="4">
        <f t="shared" si="1"/>
        <v>2408415913</v>
      </c>
      <c r="M38" s="19"/>
    </row>
    <row r="39" spans="1:13" ht="18" customHeight="1">
      <c r="A39" s="6" t="str">
        <f t="shared" si="2"/>
        <v>C15</v>
      </c>
      <c r="B39" s="3">
        <v>41499</v>
      </c>
      <c r="C39" s="3">
        <v>41499</v>
      </c>
      <c r="D39" s="4"/>
      <c r="E39" s="22" t="s">
        <v>89</v>
      </c>
      <c r="F39" s="5" t="s">
        <v>272</v>
      </c>
      <c r="G39" s="5"/>
      <c r="H39" s="5"/>
      <c r="I39" s="28" t="s">
        <v>120</v>
      </c>
      <c r="J39" s="21"/>
      <c r="K39" s="5">
        <v>550000000</v>
      </c>
      <c r="L39" s="4">
        <f t="shared" si="1"/>
        <v>1858415913</v>
      </c>
      <c r="M39" s="19"/>
    </row>
    <row r="40" spans="1:13" ht="18" customHeight="1">
      <c r="A40" s="6" t="str">
        <f t="shared" si="2"/>
        <v>C16</v>
      </c>
      <c r="B40" s="3">
        <v>41499</v>
      </c>
      <c r="C40" s="3">
        <v>41499</v>
      </c>
      <c r="D40" s="4"/>
      <c r="E40" s="22" t="s">
        <v>90</v>
      </c>
      <c r="F40" s="5" t="s">
        <v>201</v>
      </c>
      <c r="G40" s="5"/>
      <c r="H40" s="5"/>
      <c r="I40" s="28" t="s">
        <v>53</v>
      </c>
      <c r="J40" s="21"/>
      <c r="K40" s="5">
        <v>9180000</v>
      </c>
      <c r="L40" s="4">
        <f t="shared" si="1"/>
        <v>1849235913</v>
      </c>
      <c r="M40" s="19"/>
    </row>
    <row r="41" spans="1:13" ht="18" customHeight="1">
      <c r="A41" s="6" t="str">
        <f t="shared" si="2"/>
        <v>C16</v>
      </c>
      <c r="B41" s="3">
        <v>41499</v>
      </c>
      <c r="C41" s="3">
        <v>41499</v>
      </c>
      <c r="D41" s="4"/>
      <c r="E41" s="22" t="s">
        <v>90</v>
      </c>
      <c r="F41" s="5" t="s">
        <v>202</v>
      </c>
      <c r="G41" s="5"/>
      <c r="H41" s="5"/>
      <c r="I41" s="28" t="s">
        <v>35</v>
      </c>
      <c r="J41" s="21"/>
      <c r="K41" s="5">
        <v>918000</v>
      </c>
      <c r="L41" s="4">
        <f t="shared" si="1"/>
        <v>1848317913</v>
      </c>
      <c r="M41" s="19"/>
    </row>
    <row r="42" spans="1:13" ht="18" customHeight="1">
      <c r="A42" s="6" t="str">
        <f t="shared" si="2"/>
        <v>C17</v>
      </c>
      <c r="B42" s="3">
        <v>41501</v>
      </c>
      <c r="C42" s="3">
        <v>41501</v>
      </c>
      <c r="D42" s="4"/>
      <c r="E42" s="22" t="s">
        <v>91</v>
      </c>
      <c r="F42" s="5" t="s">
        <v>211</v>
      </c>
      <c r="G42" s="5"/>
      <c r="H42" s="5"/>
      <c r="I42" s="28" t="s">
        <v>193</v>
      </c>
      <c r="J42" s="21"/>
      <c r="K42" s="5">
        <v>1077273</v>
      </c>
      <c r="L42" s="4">
        <f t="shared" si="1"/>
        <v>1847240640</v>
      </c>
      <c r="M42" s="19"/>
    </row>
    <row r="43" spans="1:13" ht="18" customHeight="1">
      <c r="A43" s="6" t="str">
        <f t="shared" si="2"/>
        <v>C17</v>
      </c>
      <c r="B43" s="3">
        <v>41501</v>
      </c>
      <c r="C43" s="3">
        <v>41501</v>
      </c>
      <c r="D43" s="4"/>
      <c r="E43" s="22" t="s">
        <v>91</v>
      </c>
      <c r="F43" s="5" t="s">
        <v>212</v>
      </c>
      <c r="G43" s="5"/>
      <c r="H43" s="5"/>
      <c r="I43" s="28" t="s">
        <v>35</v>
      </c>
      <c r="J43" s="21"/>
      <c r="K43" s="5">
        <v>107727</v>
      </c>
      <c r="L43" s="4">
        <f t="shared" si="1"/>
        <v>1847132913</v>
      </c>
      <c r="M43" s="19"/>
    </row>
    <row r="44" spans="1:13" ht="18" customHeight="1">
      <c r="A44" s="6" t="str">
        <f t="shared" si="2"/>
        <v>C18</v>
      </c>
      <c r="B44" s="3">
        <v>41501</v>
      </c>
      <c r="C44" s="3">
        <v>41501</v>
      </c>
      <c r="D44" s="4"/>
      <c r="E44" s="22" t="s">
        <v>92</v>
      </c>
      <c r="F44" s="5" t="s">
        <v>382</v>
      </c>
      <c r="G44" s="5"/>
      <c r="H44" s="5"/>
      <c r="I44" s="28" t="s">
        <v>192</v>
      </c>
      <c r="J44" s="21"/>
      <c r="K44" s="5">
        <v>2479336</v>
      </c>
      <c r="L44" s="4">
        <f t="shared" si="1"/>
        <v>1844653577</v>
      </c>
      <c r="M44" s="19"/>
    </row>
    <row r="45" spans="1:13" ht="18" customHeight="1">
      <c r="A45" s="6" t="str">
        <f t="shared" si="2"/>
        <v>C18</v>
      </c>
      <c r="B45" s="3">
        <v>41501</v>
      </c>
      <c r="C45" s="3">
        <v>41501</v>
      </c>
      <c r="D45" s="4"/>
      <c r="E45" s="22" t="s">
        <v>92</v>
      </c>
      <c r="F45" s="5" t="s">
        <v>52</v>
      </c>
      <c r="G45" s="5"/>
      <c r="H45" s="5"/>
      <c r="I45" s="28" t="s">
        <v>53</v>
      </c>
      <c r="J45" s="21"/>
      <c r="K45" s="5">
        <v>2630727</v>
      </c>
      <c r="L45" s="4">
        <f t="shared" si="1"/>
        <v>1842022850</v>
      </c>
      <c r="M45" s="19"/>
    </row>
    <row r="46" spans="1:13" ht="18" customHeight="1">
      <c r="A46" s="6" t="str">
        <f>D46&amp;E46</f>
        <v>C18</v>
      </c>
      <c r="B46" s="3">
        <v>41501</v>
      </c>
      <c r="C46" s="3">
        <v>41501</v>
      </c>
      <c r="D46" s="4"/>
      <c r="E46" s="22" t="s">
        <v>92</v>
      </c>
      <c r="F46" s="5" t="s">
        <v>180</v>
      </c>
      <c r="G46" s="5"/>
      <c r="H46" s="5"/>
      <c r="I46" s="28" t="s">
        <v>35</v>
      </c>
      <c r="J46" s="21"/>
      <c r="K46" s="5">
        <v>511007</v>
      </c>
      <c r="L46" s="4">
        <f t="shared" si="1"/>
        <v>1841511843</v>
      </c>
      <c r="M46" s="19"/>
    </row>
    <row r="47" spans="1:13" ht="18" customHeight="1">
      <c r="A47" s="6" t="str">
        <f>D47&amp;E47</f>
        <v>C19</v>
      </c>
      <c r="B47" s="3">
        <v>41501</v>
      </c>
      <c r="C47" s="3">
        <v>41501</v>
      </c>
      <c r="D47" s="4"/>
      <c r="E47" s="22" t="s">
        <v>93</v>
      </c>
      <c r="F47" s="5" t="s">
        <v>272</v>
      </c>
      <c r="G47" s="5"/>
      <c r="H47" s="5"/>
      <c r="I47" s="28" t="s">
        <v>120</v>
      </c>
      <c r="J47" s="21"/>
      <c r="K47" s="5">
        <v>550000000</v>
      </c>
      <c r="L47" s="4">
        <f t="shared" si="1"/>
        <v>1291511843</v>
      </c>
      <c r="M47" s="19"/>
    </row>
    <row r="48" spans="1:13" ht="18" customHeight="1">
      <c r="A48" s="6" t="str">
        <f>D48&amp;E48</f>
        <v>C20</v>
      </c>
      <c r="B48" s="3">
        <v>41504</v>
      </c>
      <c r="C48" s="3">
        <v>41504</v>
      </c>
      <c r="D48" s="4"/>
      <c r="E48" s="22" t="s">
        <v>94</v>
      </c>
      <c r="F48" s="5" t="s">
        <v>201</v>
      </c>
      <c r="G48" s="5"/>
      <c r="H48" s="5"/>
      <c r="I48" s="28" t="s">
        <v>53</v>
      </c>
      <c r="J48" s="21"/>
      <c r="K48" s="5">
        <v>9420000</v>
      </c>
      <c r="L48" s="4">
        <f t="shared" si="1"/>
        <v>1282091843</v>
      </c>
      <c r="M48" s="19"/>
    </row>
    <row r="49" spans="1:13" ht="18" customHeight="1">
      <c r="A49" s="6" t="str">
        <f>D49&amp;E49</f>
        <v>C20</v>
      </c>
      <c r="B49" s="3">
        <v>41504</v>
      </c>
      <c r="C49" s="3">
        <v>41504</v>
      </c>
      <c r="D49" s="4"/>
      <c r="E49" s="22" t="s">
        <v>94</v>
      </c>
      <c r="F49" s="5" t="s">
        <v>202</v>
      </c>
      <c r="G49" s="5"/>
      <c r="H49" s="5"/>
      <c r="I49" s="28" t="s">
        <v>35</v>
      </c>
      <c r="J49" s="21"/>
      <c r="K49" s="5">
        <v>942000</v>
      </c>
      <c r="L49" s="4">
        <f t="shared" si="1"/>
        <v>1281149843</v>
      </c>
      <c r="M49" s="19"/>
    </row>
    <row r="50" spans="1:13" ht="18" customHeight="1">
      <c r="A50" s="6" t="str">
        <f>D50&amp;E50</f>
        <v>C21</v>
      </c>
      <c r="B50" s="3">
        <v>41505</v>
      </c>
      <c r="C50" s="3">
        <v>41505</v>
      </c>
      <c r="D50" s="4"/>
      <c r="E50" s="22" t="s">
        <v>95</v>
      </c>
      <c r="F50" s="5" t="s">
        <v>410</v>
      </c>
      <c r="G50" s="5"/>
      <c r="H50" s="5"/>
      <c r="I50" s="28" t="s">
        <v>34</v>
      </c>
      <c r="J50" s="21"/>
      <c r="K50" s="5">
        <v>14700000</v>
      </c>
      <c r="L50" s="4">
        <f t="shared" si="1"/>
        <v>1266449843</v>
      </c>
      <c r="M50" s="19"/>
    </row>
    <row r="51" spans="1:13" ht="18" customHeight="1">
      <c r="A51" s="6" t="str">
        <f t="shared" si="2"/>
        <v>C22</v>
      </c>
      <c r="B51" s="3">
        <v>41506</v>
      </c>
      <c r="C51" s="3">
        <v>41506</v>
      </c>
      <c r="D51" s="4"/>
      <c r="E51" s="22" t="s">
        <v>96</v>
      </c>
      <c r="F51" s="5" t="s">
        <v>378</v>
      </c>
      <c r="G51" s="5"/>
      <c r="H51" s="5"/>
      <c r="I51" s="28" t="s">
        <v>192</v>
      </c>
      <c r="J51" s="21"/>
      <c r="K51" s="5">
        <v>3050327</v>
      </c>
      <c r="L51" s="4">
        <f t="shared" si="1"/>
        <v>1263399516</v>
      </c>
      <c r="M51" s="19"/>
    </row>
    <row r="52" spans="1:13" ht="18" customHeight="1">
      <c r="A52" s="6" t="str">
        <f t="shared" si="2"/>
        <v>C22</v>
      </c>
      <c r="B52" s="3">
        <v>41506</v>
      </c>
      <c r="C52" s="3">
        <v>41506</v>
      </c>
      <c r="D52" s="4"/>
      <c r="E52" s="22" t="s">
        <v>96</v>
      </c>
      <c r="F52" s="30" t="s">
        <v>379</v>
      </c>
      <c r="G52" s="50"/>
      <c r="H52" s="50"/>
      <c r="I52" s="28" t="s">
        <v>35</v>
      </c>
      <c r="J52" s="21"/>
      <c r="K52" s="5">
        <v>305033</v>
      </c>
      <c r="L52" s="4">
        <f t="shared" si="1"/>
        <v>1263094483</v>
      </c>
      <c r="M52" s="19"/>
    </row>
    <row r="53" spans="1:13" ht="18" customHeight="1">
      <c r="A53" s="6" t="str">
        <f t="shared" si="2"/>
        <v>C23</v>
      </c>
      <c r="B53" s="3">
        <v>41506</v>
      </c>
      <c r="C53" s="3">
        <v>41506</v>
      </c>
      <c r="D53" s="4"/>
      <c r="E53" s="22" t="s">
        <v>97</v>
      </c>
      <c r="F53" s="5" t="s">
        <v>283</v>
      </c>
      <c r="G53" s="5"/>
      <c r="H53" s="5"/>
      <c r="I53" s="28" t="s">
        <v>34</v>
      </c>
      <c r="J53" s="21"/>
      <c r="K53" s="5">
        <v>15400000</v>
      </c>
      <c r="L53" s="4">
        <f t="shared" si="1"/>
        <v>1247694483</v>
      </c>
      <c r="M53" s="19"/>
    </row>
    <row r="54" spans="1:13" ht="18" customHeight="1">
      <c r="A54" s="6" t="str">
        <f t="shared" si="2"/>
        <v>C24</v>
      </c>
      <c r="B54" s="3">
        <v>41508</v>
      </c>
      <c r="C54" s="3">
        <v>41508</v>
      </c>
      <c r="D54" s="4"/>
      <c r="E54" s="22" t="s">
        <v>98</v>
      </c>
      <c r="F54" s="5" t="s">
        <v>382</v>
      </c>
      <c r="G54" s="5"/>
      <c r="H54" s="5"/>
      <c r="I54" s="28" t="s">
        <v>192</v>
      </c>
      <c r="J54" s="21"/>
      <c r="K54" s="5">
        <v>1295509</v>
      </c>
      <c r="L54" s="4">
        <f t="shared" si="1"/>
        <v>1246398974</v>
      </c>
      <c r="M54" s="19"/>
    </row>
    <row r="55" spans="1:13" ht="18" customHeight="1">
      <c r="A55" s="6" t="str">
        <f>D55&amp;E55</f>
        <v>C24</v>
      </c>
      <c r="B55" s="3">
        <v>41508</v>
      </c>
      <c r="C55" s="3">
        <v>41508</v>
      </c>
      <c r="D55" s="4"/>
      <c r="E55" s="52" t="s">
        <v>98</v>
      </c>
      <c r="F55" s="5" t="s">
        <v>52</v>
      </c>
      <c r="G55" s="5"/>
      <c r="H55" s="5"/>
      <c r="I55" s="28" t="s">
        <v>53</v>
      </c>
      <c r="J55" s="21"/>
      <c r="K55" s="5">
        <v>3500891</v>
      </c>
      <c r="L55" s="4">
        <f t="shared" si="1"/>
        <v>1242898083</v>
      </c>
      <c r="M55" s="19"/>
    </row>
    <row r="56" spans="1:13" ht="18" customHeight="1">
      <c r="A56" s="6" t="str">
        <f t="shared" si="2"/>
        <v>C24</v>
      </c>
      <c r="B56" s="3">
        <v>41508</v>
      </c>
      <c r="C56" s="3">
        <v>41508</v>
      </c>
      <c r="D56" s="4"/>
      <c r="E56" s="22" t="s">
        <v>98</v>
      </c>
      <c r="F56" s="5" t="s">
        <v>119</v>
      </c>
      <c r="G56" s="5"/>
      <c r="H56" s="5"/>
      <c r="I56" s="28" t="s">
        <v>35</v>
      </c>
      <c r="J56" s="21"/>
      <c r="K56" s="5">
        <v>479640</v>
      </c>
      <c r="L56" s="4">
        <f t="shared" si="1"/>
        <v>1242418443</v>
      </c>
      <c r="M56" s="19"/>
    </row>
    <row r="57" spans="1:13" ht="18" customHeight="1">
      <c r="A57" s="6" t="str">
        <f t="shared" si="2"/>
        <v>C25</v>
      </c>
      <c r="B57" s="3">
        <v>41508</v>
      </c>
      <c r="C57" s="3">
        <v>41508</v>
      </c>
      <c r="D57" s="4"/>
      <c r="E57" s="52" t="s">
        <v>99</v>
      </c>
      <c r="F57" s="5" t="s">
        <v>201</v>
      </c>
      <c r="G57" s="5"/>
      <c r="H57" s="5"/>
      <c r="I57" s="28" t="s">
        <v>53</v>
      </c>
      <c r="J57" s="21"/>
      <c r="K57" s="5">
        <v>9900000</v>
      </c>
      <c r="L57" s="4">
        <f t="shared" si="1"/>
        <v>1232518443</v>
      </c>
      <c r="M57" s="19"/>
    </row>
    <row r="58" spans="1:13" ht="18" customHeight="1">
      <c r="A58" s="6" t="str">
        <f t="shared" si="2"/>
        <v>C25</v>
      </c>
      <c r="B58" s="3">
        <v>41508</v>
      </c>
      <c r="C58" s="3">
        <v>41508</v>
      </c>
      <c r="D58" s="4"/>
      <c r="E58" s="22" t="s">
        <v>99</v>
      </c>
      <c r="F58" s="5" t="s">
        <v>202</v>
      </c>
      <c r="G58" s="5"/>
      <c r="H58" s="5"/>
      <c r="I58" s="28" t="s">
        <v>35</v>
      </c>
      <c r="J58" s="21"/>
      <c r="K58" s="5">
        <v>990000</v>
      </c>
      <c r="L58" s="4">
        <f t="shared" si="1"/>
        <v>1231528443</v>
      </c>
      <c r="M58" s="19"/>
    </row>
    <row r="59" spans="1:13" ht="18" customHeight="1">
      <c r="A59" s="6" t="str">
        <f t="shared" si="2"/>
        <v>C26</v>
      </c>
      <c r="B59" s="3">
        <v>41509</v>
      </c>
      <c r="C59" s="3">
        <v>41509</v>
      </c>
      <c r="D59" s="4"/>
      <c r="E59" s="22" t="s">
        <v>100</v>
      </c>
      <c r="F59" s="5" t="s">
        <v>411</v>
      </c>
      <c r="G59" s="5"/>
      <c r="H59" s="5"/>
      <c r="I59" s="28" t="s">
        <v>34</v>
      </c>
      <c r="J59" s="21"/>
      <c r="K59" s="5">
        <v>18000400</v>
      </c>
      <c r="L59" s="4">
        <f t="shared" si="1"/>
        <v>1213528043</v>
      </c>
      <c r="M59" s="19"/>
    </row>
    <row r="60" spans="1:13" ht="18" customHeight="1">
      <c r="A60" s="6" t="str">
        <f>D60&amp;E60</f>
        <v>C27</v>
      </c>
      <c r="B60" s="3">
        <v>41510</v>
      </c>
      <c r="C60" s="3">
        <v>41510</v>
      </c>
      <c r="D60" s="4"/>
      <c r="E60" s="22" t="s">
        <v>101</v>
      </c>
      <c r="F60" s="5" t="s">
        <v>213</v>
      </c>
      <c r="G60" s="5"/>
      <c r="H60" s="5"/>
      <c r="I60" s="28" t="s">
        <v>193</v>
      </c>
      <c r="J60" s="21"/>
      <c r="K60" s="5">
        <v>7800000</v>
      </c>
      <c r="L60" s="4">
        <f t="shared" si="1"/>
        <v>1205728043</v>
      </c>
      <c r="M60" s="19"/>
    </row>
    <row r="61" spans="1:13" ht="18" customHeight="1">
      <c r="A61" s="6" t="str">
        <f>D61&amp;E61</f>
        <v>C27</v>
      </c>
      <c r="B61" s="3">
        <v>41510</v>
      </c>
      <c r="C61" s="3">
        <v>41510</v>
      </c>
      <c r="D61" s="4"/>
      <c r="E61" s="22" t="s">
        <v>101</v>
      </c>
      <c r="F61" s="5" t="s">
        <v>214</v>
      </c>
      <c r="G61" s="5"/>
      <c r="H61" s="5"/>
      <c r="I61" s="28" t="s">
        <v>35</v>
      </c>
      <c r="J61" s="21"/>
      <c r="K61" s="5">
        <v>390000</v>
      </c>
      <c r="L61" s="4">
        <f t="shared" si="1"/>
        <v>1205338043</v>
      </c>
      <c r="M61" s="19"/>
    </row>
    <row r="62" spans="1:13" ht="18" customHeight="1">
      <c r="A62" s="6" t="str">
        <f>D62&amp;E62</f>
        <v>C28</v>
      </c>
      <c r="B62" s="3">
        <v>41510</v>
      </c>
      <c r="C62" s="3">
        <v>41510</v>
      </c>
      <c r="D62" s="4"/>
      <c r="E62" s="22" t="s">
        <v>102</v>
      </c>
      <c r="F62" s="5" t="s">
        <v>411</v>
      </c>
      <c r="G62" s="5"/>
      <c r="H62" s="5"/>
      <c r="I62" s="28" t="s">
        <v>34</v>
      </c>
      <c r="J62" s="21"/>
      <c r="K62" s="5">
        <v>18000400</v>
      </c>
      <c r="L62" s="4">
        <f t="shared" ref="L62:L72" si="3">IF(F62&lt;&gt;"",L61+J62-K62,0)</f>
        <v>1187337643</v>
      </c>
      <c r="M62" s="19"/>
    </row>
    <row r="63" spans="1:13" ht="18" customHeight="1">
      <c r="A63" s="6" t="str">
        <f t="shared" si="2"/>
        <v>C29</v>
      </c>
      <c r="B63" s="3">
        <v>41513</v>
      </c>
      <c r="C63" s="3">
        <v>41513</v>
      </c>
      <c r="D63" s="4"/>
      <c r="E63" s="22" t="s">
        <v>103</v>
      </c>
      <c r="F63" s="5" t="s">
        <v>412</v>
      </c>
      <c r="G63" s="5"/>
      <c r="H63" s="5"/>
      <c r="I63" s="28" t="s">
        <v>192</v>
      </c>
      <c r="J63" s="21"/>
      <c r="K63" s="5">
        <v>16000000</v>
      </c>
      <c r="L63" s="4">
        <f t="shared" si="3"/>
        <v>1171337643</v>
      </c>
      <c r="M63" s="19"/>
    </row>
    <row r="64" spans="1:13" ht="18" customHeight="1">
      <c r="A64" s="6" t="str">
        <f t="shared" si="2"/>
        <v>C29</v>
      </c>
      <c r="B64" s="3">
        <v>41513</v>
      </c>
      <c r="C64" s="3">
        <v>41513</v>
      </c>
      <c r="D64" s="4"/>
      <c r="E64" s="22" t="s">
        <v>103</v>
      </c>
      <c r="F64" s="5" t="s">
        <v>413</v>
      </c>
      <c r="G64" s="5"/>
      <c r="H64" s="5"/>
      <c r="I64" s="28" t="s">
        <v>35</v>
      </c>
      <c r="J64" s="21"/>
      <c r="K64" s="5">
        <v>1600000</v>
      </c>
      <c r="L64" s="4">
        <f t="shared" si="3"/>
        <v>1169737643</v>
      </c>
      <c r="M64" s="19"/>
    </row>
    <row r="65" spans="1:13" ht="18" customHeight="1">
      <c r="A65" s="6" t="str">
        <f t="shared" si="2"/>
        <v>C30</v>
      </c>
      <c r="B65" s="3">
        <v>41513</v>
      </c>
      <c r="C65" s="3">
        <v>41513</v>
      </c>
      <c r="D65" s="4"/>
      <c r="E65" s="22" t="s">
        <v>104</v>
      </c>
      <c r="F65" s="5" t="s">
        <v>411</v>
      </c>
      <c r="G65" s="5"/>
      <c r="H65" s="5"/>
      <c r="I65" s="28" t="s">
        <v>34</v>
      </c>
      <c r="J65" s="21"/>
      <c r="K65" s="5">
        <v>18000400</v>
      </c>
      <c r="L65" s="4">
        <f t="shared" si="3"/>
        <v>1151737243</v>
      </c>
      <c r="M65" s="19"/>
    </row>
    <row r="66" spans="1:13" ht="18" customHeight="1">
      <c r="A66" s="6" t="str">
        <f t="shared" si="2"/>
        <v>T06</v>
      </c>
      <c r="B66" s="3">
        <v>41514</v>
      </c>
      <c r="C66" s="3">
        <v>41514</v>
      </c>
      <c r="D66" s="4" t="s">
        <v>44</v>
      </c>
      <c r="E66" s="22"/>
      <c r="F66" s="5" t="s">
        <v>269</v>
      </c>
      <c r="G66" s="5"/>
      <c r="H66" s="5"/>
      <c r="I66" s="28" t="s">
        <v>36</v>
      </c>
      <c r="J66" s="21">
        <v>2000000000</v>
      </c>
      <c r="K66" s="5"/>
      <c r="L66" s="4">
        <f t="shared" si="3"/>
        <v>3151737243</v>
      </c>
      <c r="M66" s="19"/>
    </row>
    <row r="67" spans="1:13" ht="18" customHeight="1">
      <c r="A67" s="6" t="str">
        <f>D67&amp;E67</f>
        <v>C31</v>
      </c>
      <c r="B67" s="3">
        <v>41514</v>
      </c>
      <c r="C67" s="3">
        <v>41514</v>
      </c>
      <c r="D67" s="4"/>
      <c r="E67" s="22" t="s">
        <v>105</v>
      </c>
      <c r="F67" s="30" t="s">
        <v>194</v>
      </c>
      <c r="G67" s="50"/>
      <c r="H67" s="50"/>
      <c r="I67" s="28" t="s">
        <v>120</v>
      </c>
      <c r="J67" s="21"/>
      <c r="K67" s="5">
        <v>650000000</v>
      </c>
      <c r="L67" s="4">
        <f t="shared" si="3"/>
        <v>2501737243</v>
      </c>
      <c r="M67" s="19"/>
    </row>
    <row r="68" spans="1:13" ht="18" customHeight="1">
      <c r="A68" s="6" t="str">
        <f>D68&amp;E68</f>
        <v>C32</v>
      </c>
      <c r="B68" s="3">
        <v>41514</v>
      </c>
      <c r="C68" s="3">
        <v>41514</v>
      </c>
      <c r="D68" s="4"/>
      <c r="E68" s="22" t="s">
        <v>106</v>
      </c>
      <c r="F68" s="30" t="s">
        <v>272</v>
      </c>
      <c r="G68" s="50"/>
      <c r="H68" s="50"/>
      <c r="I68" s="28" t="s">
        <v>120</v>
      </c>
      <c r="J68" s="21"/>
      <c r="K68" s="5">
        <v>450000000</v>
      </c>
      <c r="L68" s="4">
        <f t="shared" si="3"/>
        <v>2051737243</v>
      </c>
      <c r="M68" s="19"/>
    </row>
    <row r="69" spans="1:13" ht="18" customHeight="1">
      <c r="A69" s="6" t="str">
        <f>D69&amp;E69</f>
        <v>T07</v>
      </c>
      <c r="B69" s="3">
        <v>41515</v>
      </c>
      <c r="C69" s="3">
        <v>41515</v>
      </c>
      <c r="D69" s="4" t="s">
        <v>57</v>
      </c>
      <c r="E69" s="52"/>
      <c r="F69" s="5" t="s">
        <v>269</v>
      </c>
      <c r="G69" s="5"/>
      <c r="H69" s="5"/>
      <c r="I69" s="28" t="s">
        <v>36</v>
      </c>
      <c r="J69" s="21">
        <v>100000000</v>
      </c>
      <c r="K69" s="5"/>
      <c r="L69" s="4">
        <f t="shared" si="3"/>
        <v>2151737243</v>
      </c>
      <c r="M69" s="19"/>
    </row>
    <row r="70" spans="1:13" ht="18" customHeight="1">
      <c r="A70" s="6" t="str">
        <f t="shared" si="2"/>
        <v>C33</v>
      </c>
      <c r="B70" s="3">
        <v>41515</v>
      </c>
      <c r="C70" s="3">
        <v>41515</v>
      </c>
      <c r="D70" s="4"/>
      <c r="E70" s="22" t="s">
        <v>107</v>
      </c>
      <c r="F70" s="5" t="s">
        <v>209</v>
      </c>
      <c r="G70" s="5"/>
      <c r="H70" s="5"/>
      <c r="I70" s="28" t="s">
        <v>192</v>
      </c>
      <c r="J70" s="21"/>
      <c r="K70" s="5">
        <v>3120000</v>
      </c>
      <c r="L70" s="4">
        <f t="shared" si="3"/>
        <v>2148617243</v>
      </c>
      <c r="M70" s="19"/>
    </row>
    <row r="71" spans="1:13" ht="18" customHeight="1">
      <c r="A71" s="6" t="str">
        <f>D71&amp;E71</f>
        <v>C33</v>
      </c>
      <c r="B71" s="3">
        <v>41515</v>
      </c>
      <c r="C71" s="3">
        <v>41515</v>
      </c>
      <c r="D71" s="4"/>
      <c r="E71" s="22" t="s">
        <v>107</v>
      </c>
      <c r="F71" s="5" t="s">
        <v>210</v>
      </c>
      <c r="G71" s="5"/>
      <c r="H71" s="5"/>
      <c r="I71" s="28" t="s">
        <v>35</v>
      </c>
      <c r="J71" s="21"/>
      <c r="K71" s="5">
        <v>312000</v>
      </c>
      <c r="L71" s="4">
        <f t="shared" si="3"/>
        <v>2148305243</v>
      </c>
      <c r="M71" s="19"/>
    </row>
    <row r="72" spans="1:13" ht="18" customHeight="1">
      <c r="A72" s="6" t="str">
        <f>D72&amp;E72</f>
        <v>C34</v>
      </c>
      <c r="B72" s="3">
        <v>41515</v>
      </c>
      <c r="C72" s="3">
        <v>41515</v>
      </c>
      <c r="D72" s="4"/>
      <c r="E72" s="22" t="s">
        <v>108</v>
      </c>
      <c r="F72" s="5" t="s">
        <v>411</v>
      </c>
      <c r="G72" s="5"/>
      <c r="H72" s="5"/>
      <c r="I72" s="28" t="s">
        <v>34</v>
      </c>
      <c r="J72" s="21"/>
      <c r="K72" s="5">
        <v>18000400</v>
      </c>
      <c r="L72" s="4">
        <f t="shared" si="3"/>
        <v>2130304843</v>
      </c>
      <c r="M72" s="19"/>
    </row>
    <row r="73" spans="1:13" ht="18" customHeight="1">
      <c r="A73" s="6" t="str">
        <f>D73&amp;E73</f>
        <v>C35</v>
      </c>
      <c r="B73" s="3">
        <v>41515</v>
      </c>
      <c r="C73" s="3">
        <v>41515</v>
      </c>
      <c r="D73" s="4"/>
      <c r="E73" s="22" t="s">
        <v>109</v>
      </c>
      <c r="F73" s="5" t="s">
        <v>194</v>
      </c>
      <c r="G73" s="5"/>
      <c r="H73" s="5"/>
      <c r="I73" s="28" t="s">
        <v>120</v>
      </c>
      <c r="J73" s="21"/>
      <c r="K73" s="5">
        <v>530000000</v>
      </c>
      <c r="L73" s="4">
        <f t="shared" si="1"/>
        <v>1600304843</v>
      </c>
      <c r="M73" s="19"/>
    </row>
    <row r="74" spans="1:13" ht="18" customHeight="1">
      <c r="A74" s="6" t="str">
        <f t="shared" si="2"/>
        <v>C36</v>
      </c>
      <c r="B74" s="3">
        <v>41515</v>
      </c>
      <c r="C74" s="3">
        <v>41515</v>
      </c>
      <c r="D74" s="4"/>
      <c r="E74" s="22" t="s">
        <v>110</v>
      </c>
      <c r="F74" s="5" t="s">
        <v>272</v>
      </c>
      <c r="G74" s="5"/>
      <c r="H74" s="5"/>
      <c r="I74" s="28" t="s">
        <v>120</v>
      </c>
      <c r="J74" s="21"/>
      <c r="K74" s="5">
        <v>350000000</v>
      </c>
      <c r="L74" s="4">
        <f t="shared" si="1"/>
        <v>1250304843</v>
      </c>
      <c r="M74" s="19"/>
    </row>
    <row r="75" spans="1:13" ht="18" customHeight="1">
      <c r="A75" s="6" t="str">
        <f>D75&amp;E75</f>
        <v>T08</v>
      </c>
      <c r="B75" s="3">
        <v>41517</v>
      </c>
      <c r="C75" s="3">
        <v>41517</v>
      </c>
      <c r="D75" s="4" t="s">
        <v>59</v>
      </c>
      <c r="E75" s="22"/>
      <c r="F75" s="5" t="s">
        <v>269</v>
      </c>
      <c r="G75" s="5"/>
      <c r="H75" s="5"/>
      <c r="I75" s="28" t="s">
        <v>36</v>
      </c>
      <c r="J75" s="21">
        <v>200000000</v>
      </c>
      <c r="K75" s="5"/>
      <c r="L75" s="4">
        <f t="shared" si="1"/>
        <v>1450304843</v>
      </c>
      <c r="M75" s="19"/>
    </row>
    <row r="76" spans="1:13" ht="18" customHeight="1">
      <c r="A76" s="6" t="str">
        <f>D76&amp;E76</f>
        <v>C37</v>
      </c>
      <c r="B76" s="3">
        <v>41517</v>
      </c>
      <c r="C76" s="3">
        <v>41517</v>
      </c>
      <c r="D76" s="4"/>
      <c r="E76" s="22" t="s">
        <v>111</v>
      </c>
      <c r="F76" s="5" t="s">
        <v>378</v>
      </c>
      <c r="G76" s="5"/>
      <c r="H76" s="5"/>
      <c r="I76" s="28" t="s">
        <v>192</v>
      </c>
      <c r="J76" s="21"/>
      <c r="K76" s="5">
        <v>4340745</v>
      </c>
      <c r="L76" s="4">
        <f t="shared" si="1"/>
        <v>1445964098</v>
      </c>
      <c r="M76" s="19"/>
    </row>
    <row r="77" spans="1:13" ht="18" customHeight="1">
      <c r="A77" s="6" t="str">
        <f>D77&amp;E77</f>
        <v>C37</v>
      </c>
      <c r="B77" s="3">
        <v>41517</v>
      </c>
      <c r="C77" s="3">
        <v>41517</v>
      </c>
      <c r="D77" s="4"/>
      <c r="E77" s="22" t="s">
        <v>111</v>
      </c>
      <c r="F77" s="5" t="s">
        <v>379</v>
      </c>
      <c r="G77" s="5"/>
      <c r="H77" s="5"/>
      <c r="I77" s="28" t="s">
        <v>35</v>
      </c>
      <c r="J77" s="21"/>
      <c r="K77" s="5">
        <v>434075</v>
      </c>
      <c r="L77" s="4">
        <f t="shared" si="1"/>
        <v>1445530023</v>
      </c>
      <c r="M77" s="19"/>
    </row>
    <row r="78" spans="1:13" ht="18" customHeight="1">
      <c r="A78" s="6" t="str">
        <f>D78&amp;E78</f>
        <v>C38</v>
      </c>
      <c r="B78" s="3">
        <v>41517</v>
      </c>
      <c r="C78" s="3">
        <v>41517</v>
      </c>
      <c r="D78" s="4"/>
      <c r="E78" s="22" t="s">
        <v>121</v>
      </c>
      <c r="F78" s="5" t="s">
        <v>382</v>
      </c>
      <c r="G78" s="5"/>
      <c r="H78" s="5"/>
      <c r="I78" s="28" t="s">
        <v>192</v>
      </c>
      <c r="J78" s="21"/>
      <c r="K78" s="5">
        <v>463336</v>
      </c>
      <c r="L78" s="4">
        <f t="shared" si="1"/>
        <v>1445066687</v>
      </c>
      <c r="M78" s="19"/>
    </row>
    <row r="79" spans="1:13" ht="18" customHeight="1">
      <c r="A79" s="6" t="str">
        <f>D79&amp;E79</f>
        <v>C38</v>
      </c>
      <c r="B79" s="3">
        <v>41517</v>
      </c>
      <c r="C79" s="3">
        <v>41517</v>
      </c>
      <c r="D79" s="4"/>
      <c r="E79" s="22" t="s">
        <v>121</v>
      </c>
      <c r="F79" s="5" t="s">
        <v>52</v>
      </c>
      <c r="G79" s="5"/>
      <c r="H79" s="5"/>
      <c r="I79" s="28" t="s">
        <v>53</v>
      </c>
      <c r="J79" s="21"/>
      <c r="K79" s="5">
        <v>3136636</v>
      </c>
      <c r="L79" s="4">
        <f t="shared" si="1"/>
        <v>1441930051</v>
      </c>
      <c r="M79" s="19"/>
    </row>
    <row r="80" spans="1:13" ht="18" customHeight="1">
      <c r="A80" s="6" t="str">
        <f t="shared" ref="A80:A82" si="4">D80&amp;E80</f>
        <v>C38</v>
      </c>
      <c r="B80" s="3">
        <v>41517</v>
      </c>
      <c r="C80" s="3">
        <v>41517</v>
      </c>
      <c r="D80" s="4"/>
      <c r="E80" s="22" t="s">
        <v>121</v>
      </c>
      <c r="F80" s="5" t="s">
        <v>119</v>
      </c>
      <c r="G80" s="5"/>
      <c r="H80" s="5"/>
      <c r="I80" s="28" t="s">
        <v>35</v>
      </c>
      <c r="J80" s="21"/>
      <c r="K80" s="5">
        <v>359998</v>
      </c>
      <c r="L80" s="4">
        <f t="shared" ref="L80:L82" si="5">IF(F80&lt;&gt;"",L79+J80-K80,0)</f>
        <v>1441570053</v>
      </c>
      <c r="M80" s="19"/>
    </row>
    <row r="81" spans="1:13" ht="18" customHeight="1">
      <c r="A81" s="6" t="str">
        <f t="shared" si="4"/>
        <v>C39</v>
      </c>
      <c r="B81" s="3">
        <v>41517</v>
      </c>
      <c r="C81" s="3">
        <v>41517</v>
      </c>
      <c r="D81" s="4"/>
      <c r="E81" s="22" t="s">
        <v>122</v>
      </c>
      <c r="F81" s="5" t="s">
        <v>247</v>
      </c>
      <c r="G81" s="5"/>
      <c r="H81" s="5"/>
      <c r="I81" s="28" t="s">
        <v>56</v>
      </c>
      <c r="J81" s="21"/>
      <c r="K81" s="5">
        <v>400000000</v>
      </c>
      <c r="L81" s="4">
        <f t="shared" si="5"/>
        <v>1041570053</v>
      </c>
      <c r="M81" s="19"/>
    </row>
    <row r="82" spans="1:13" ht="18" customHeight="1">
      <c r="A82" s="6" t="str">
        <f t="shared" si="4"/>
        <v>C40</v>
      </c>
      <c r="B82" s="3">
        <v>41517</v>
      </c>
      <c r="C82" s="3">
        <v>41517</v>
      </c>
      <c r="D82" s="4"/>
      <c r="E82" s="22" t="s">
        <v>123</v>
      </c>
      <c r="F82" s="5" t="s">
        <v>414</v>
      </c>
      <c r="G82" s="5"/>
      <c r="H82" s="5"/>
      <c r="I82" s="28" t="s">
        <v>37</v>
      </c>
      <c r="J82" s="21"/>
      <c r="K82" s="5">
        <v>117257439</v>
      </c>
      <c r="L82" s="4">
        <f t="shared" si="5"/>
        <v>924312614</v>
      </c>
      <c r="M82" s="19"/>
    </row>
    <row r="83" spans="1:13" ht="18" customHeight="1">
      <c r="B83" s="3"/>
      <c r="C83" s="3"/>
      <c r="D83" s="4"/>
      <c r="E83" s="4"/>
      <c r="F83" s="5"/>
      <c r="G83" s="5"/>
      <c r="H83" s="5"/>
      <c r="I83" s="4"/>
      <c r="J83" s="21"/>
      <c r="K83" s="5"/>
      <c r="L83" s="4"/>
      <c r="M83" s="19"/>
    </row>
    <row r="84" spans="1:13" s="44" customFormat="1" ht="18" customHeight="1">
      <c r="B84" s="42"/>
      <c r="C84" s="42"/>
      <c r="D84" s="42"/>
      <c r="E84" s="42"/>
      <c r="F84" s="42" t="s">
        <v>29</v>
      </c>
      <c r="G84" s="42"/>
      <c r="H84" s="42"/>
      <c r="I84" s="43" t="s">
        <v>30</v>
      </c>
      <c r="J84" s="42">
        <f>SUM(J13:J83)</f>
        <v>6250000000</v>
      </c>
      <c r="K84" s="42">
        <f>SUM(K13:K83)</f>
        <v>5947616327</v>
      </c>
      <c r="L84" s="43" t="s">
        <v>30</v>
      </c>
      <c r="M84" s="43" t="s">
        <v>30</v>
      </c>
    </row>
    <row r="85" spans="1:13" s="44" customFormat="1" ht="18" customHeight="1">
      <c r="B85" s="45"/>
      <c r="C85" s="45"/>
      <c r="D85" s="45"/>
      <c r="E85" s="45"/>
      <c r="F85" s="45" t="s">
        <v>31</v>
      </c>
      <c r="G85" s="45"/>
      <c r="H85" s="45"/>
      <c r="I85" s="46" t="s">
        <v>30</v>
      </c>
      <c r="J85" s="46" t="s">
        <v>30</v>
      </c>
      <c r="K85" s="46" t="s">
        <v>30</v>
      </c>
      <c r="L85" s="45">
        <f>L12+J84-K84</f>
        <v>924312614</v>
      </c>
      <c r="M85" s="46" t="s">
        <v>30</v>
      </c>
    </row>
    <row r="87" spans="1:13">
      <c r="B87" s="27" t="s">
        <v>46</v>
      </c>
    </row>
    <row r="88" spans="1:13">
      <c r="B88" s="27" t="s">
        <v>300</v>
      </c>
    </row>
    <row r="89" spans="1:13">
      <c r="L89" s="8" t="s">
        <v>301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B11:M85"/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63</vt:i4>
      </vt:variant>
    </vt:vector>
  </HeadingPairs>
  <TitlesOfParts>
    <vt:vector size="82" baseType="lpstr">
      <vt:lpstr>IN-TC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Q11-VND</vt:lpstr>
      <vt:lpstr>Q11-USD</vt:lpstr>
      <vt:lpstr>Q4-VND</vt:lpstr>
      <vt:lpstr>Q4-USD</vt:lpstr>
      <vt:lpstr>CT-VND</vt:lpstr>
      <vt:lpstr>CT-USD</vt:lpstr>
      <vt:lpstr>_DSC5</vt:lpstr>
      <vt:lpstr>_DSC6</vt:lpstr>
      <vt:lpstr>_DSC7</vt:lpstr>
      <vt:lpstr>_DSC8</vt:lpstr>
      <vt:lpstr>_DSC9</vt:lpstr>
      <vt:lpstr>_DSP1</vt:lpstr>
      <vt:lpstr>_DSP10</vt:lpstr>
      <vt:lpstr>_DSP11</vt:lpstr>
      <vt:lpstr>_DSP12</vt:lpstr>
      <vt:lpstr>_DSP2</vt:lpstr>
      <vt:lpstr>_DSP3</vt:lpstr>
      <vt:lpstr>_DSP4</vt:lpstr>
      <vt:lpstr>_DSP5</vt:lpstr>
      <vt:lpstr>_DSP6</vt:lpstr>
      <vt:lpstr>_DSP7</vt:lpstr>
      <vt:lpstr>_DSP8</vt:lpstr>
      <vt:lpstr>_DSP9</vt:lpstr>
      <vt:lpstr>_DST1</vt:lpstr>
      <vt:lpstr>_DST10</vt:lpstr>
      <vt:lpstr>_DST11</vt:lpstr>
      <vt:lpstr>_DST12</vt:lpstr>
      <vt:lpstr>_DST2</vt:lpstr>
      <vt:lpstr>_DST3</vt:lpstr>
      <vt:lpstr>_DST4</vt:lpstr>
      <vt:lpstr>_DST5</vt:lpstr>
      <vt:lpstr>_DST6</vt:lpstr>
      <vt:lpstr>_DST7</vt:lpstr>
      <vt:lpstr>_DST8</vt:lpstr>
      <vt:lpstr>_DST9</vt:lpstr>
      <vt:lpstr>DSTM1</vt:lpstr>
      <vt:lpstr>DSTM10</vt:lpstr>
      <vt:lpstr>DSTM11</vt:lpstr>
      <vt:lpstr>DSTM12</vt:lpstr>
      <vt:lpstr>DSTM2</vt:lpstr>
      <vt:lpstr>DSTM3</vt:lpstr>
      <vt:lpstr>DSTM4</vt:lpstr>
      <vt:lpstr>DSTM5</vt:lpstr>
      <vt:lpstr>DSTM6</vt:lpstr>
      <vt:lpstr>DSTM7</vt:lpstr>
      <vt:lpstr>DSTM8</vt:lpstr>
      <vt:lpstr>DSTM9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'CT-USD'!Print_Area</vt:lpstr>
      <vt:lpstr>'CT-VND'!Print_Area</vt:lpstr>
      <vt:lpstr>'IN-TC'!Print_Area</vt:lpstr>
      <vt:lpstr>'Q11-USD'!Print_Area</vt:lpstr>
      <vt:lpstr>'Q4-USD'!Print_Area</vt:lpstr>
      <vt:lpstr>'Q4-VND'!Print_Area</vt:lpstr>
      <vt:lpstr>'01'!Print_Titles</vt:lpstr>
      <vt:lpstr>'02'!Print_Titles</vt:lpstr>
      <vt:lpstr>'03'!Print_Titles</vt:lpstr>
      <vt:lpstr>'04'!Print_Titles</vt:lpstr>
      <vt:lpstr>'05'!Print_Titles</vt:lpstr>
      <vt:lpstr>'06'!Print_Titles</vt:lpstr>
      <vt:lpstr>'07'!Print_Titles</vt:lpstr>
      <vt:lpstr>'Q11-USD'!Print_Titles</vt:lpstr>
      <vt:lpstr>'Q4-USD'!Print_Titles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2015-09-11T02:28:01Z</cp:lastPrinted>
  <dcterms:created xsi:type="dcterms:W3CDTF">2013-12-12T04:07:41Z</dcterms:created>
  <dcterms:modified xsi:type="dcterms:W3CDTF">2016-02-23T06:34:07Z</dcterms:modified>
</cp:coreProperties>
</file>