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90" windowWidth="14235" windowHeight="8700" tabRatio="942" activeTab="13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5">'05'!$K$13:$K$75</definedName>
    <definedName name="_DSC6">'06'!$K$13:$K$75</definedName>
    <definedName name="_DSC7">'07'!$K$13:$K$96</definedName>
    <definedName name="_DSC8">'08'!$K$13:$K$80</definedName>
    <definedName name="_DSC9">'09'!$K$13:$K$75</definedName>
    <definedName name="_DSP1">'01'!$A$13:$A$81</definedName>
    <definedName name="_DSP10">'10'!$A$13:$A$94</definedName>
    <definedName name="_DSP11">'11'!$A$13:$A$94</definedName>
    <definedName name="_DSP12">'12'!$A$13:$A$125</definedName>
    <definedName name="_DSP2">'02'!$A$13:$A$93</definedName>
    <definedName name="_DSP3">'03'!$A$13:$A$94</definedName>
    <definedName name="_DSP4">'04'!$A$17:$A$94</definedName>
    <definedName name="_DSP5">'05'!$A$13:$A$94</definedName>
    <definedName name="_DSP6">'06'!$A$13:$A$94</definedName>
    <definedName name="_DSP7">'07'!$A$13:$A$96</definedName>
    <definedName name="_DSP8">'08'!$A$13:$A$94</definedName>
    <definedName name="_DSP9">'09'!$A$13:$A$94</definedName>
    <definedName name="_DST1">'01'!$J$13:$J$81</definedName>
    <definedName name="_DST10">'10'!$J$13:$J$78</definedName>
    <definedName name="_DST11">'11'!$J$13:$J$89</definedName>
    <definedName name="_DST12">'12'!$J$13:$J$125</definedName>
    <definedName name="_DST2">'02'!$J$13:$J$77</definedName>
    <definedName name="_DST3">'03'!$J$13:$J$70</definedName>
    <definedName name="_DST4">'04'!$J$17:$J$87</definedName>
    <definedName name="_DST5">'05'!$J$13:$J$75</definedName>
    <definedName name="_DST6">'06'!$J$13:$J$75</definedName>
    <definedName name="_DST7">'07'!$J$13:$J$96</definedName>
    <definedName name="_DST8">'08'!$J$13:$J$80</definedName>
    <definedName name="_DST9">'09'!$J$13:$J$75</definedName>
    <definedName name="_Fill" hidden="1">#REF!</definedName>
    <definedName name="_xlnm._FilterDatabase" localSheetId="1" hidden="1">'01'!$B$11:$M$83</definedName>
    <definedName name="_xlnm._FilterDatabase" localSheetId="2" hidden="1">'02'!$A$11:$M$85</definedName>
    <definedName name="_xlnm._FilterDatabase" localSheetId="3" hidden="1">'03'!$A$11:$P$72</definedName>
    <definedName name="_xlnm._FilterDatabase" localSheetId="4" hidden="1">'04'!$A$11:$N$112</definedName>
    <definedName name="_xlnm._FilterDatabase" localSheetId="5" hidden="1">'05'!$A$11:$N$74</definedName>
    <definedName name="_xlnm._FilterDatabase" localSheetId="6" hidden="1">'06'!$B$11:$M$77</definedName>
    <definedName name="_xlnm._FilterDatabase" localSheetId="7" hidden="1">'07'!$B$11:$M$99</definedName>
    <definedName name="_xlnm._FilterDatabase" localSheetId="8" hidden="1">'08'!$B$11:$M$82</definedName>
    <definedName name="_xlnm._FilterDatabase" localSheetId="9" hidden="1">'09'!$B$11:$M$77</definedName>
    <definedName name="_xlnm._FilterDatabase" localSheetId="10" hidden="1">'10'!$B$11:$M$80</definedName>
    <definedName name="_xlnm._FilterDatabase" localSheetId="11" hidden="1">'11'!$B$11:$M$88</definedName>
    <definedName name="_xlnm._FilterDatabase" localSheetId="12" hidden="1">'12'!$B$11:$M$125</definedName>
    <definedName name="_xlnm._FilterDatabase" localSheetId="18" hidden="1">'CT-USD'!$A$10:$K$78</definedName>
    <definedName name="_xlnm._FilterDatabase" localSheetId="17" hidden="1">'CT-VND'!$A$10:$I$100</definedName>
    <definedName name="_xlnm._FilterDatabase" localSheetId="14" hidden="1">'Q11-USD'!$A$10:$N$330</definedName>
    <definedName name="_xlnm._FilterDatabase" localSheetId="13" hidden="1">'Q11-VND'!$A$10:$N$748</definedName>
    <definedName name="_xlnm._FilterDatabase" localSheetId="16" hidden="1">'Q4-USD'!$B$10:$N$90</definedName>
    <definedName name="_xlnm._FilterDatabase" localSheetId="15" hidden="1">'Q4-VND'!$A$10:$M$119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'01'!$A$13:$M$81</definedName>
    <definedName name="DSTM10">'10'!$A$13:$M$77</definedName>
    <definedName name="DSTM11">'11'!$A$13:$M$88</definedName>
    <definedName name="DSTM12">'12'!$A$13:$M$125</definedName>
    <definedName name="DSTM2">'02'!$A$13:$M$77</definedName>
    <definedName name="DSTM3">'03'!$A$13:$M$40</definedName>
    <definedName name="DSTM4">'04'!$A$17:$M$86</definedName>
    <definedName name="DSTM5">'05'!$A$13:$M$74</definedName>
    <definedName name="DSTM6">'06'!$A$13:$M$74</definedName>
    <definedName name="DSTM7">'07'!$A$13:$M$96</definedName>
    <definedName name="DSTM8">'08'!$A$13:$M$79</definedName>
    <definedName name="DSTM9">'09'!$A$13:$M$74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OFFSET('Q11-VND'!$A$12,,,COUNTA('Q11-VND'!$A$12:$A$40549))</definedName>
    <definedName name="Loai1">OFFSET('Q4-VND'!$A$12,,,COUNTA('Q4-VND'!$A$12:$A$40071))</definedName>
    <definedName name="Loai2">OFFSET('Q4-USD'!$A$12,,,COUNTA('Q4-USD'!$A$12:$A$40071))</definedName>
    <definedName name="Loai3">OFFSET('Q11-USD'!$A$12,,,COUNTA('Q11-USD'!$A$12:$A$40295))</definedName>
    <definedName name="_xlnm.Print_Area" localSheetId="1">'01'!$B$1:$M$93</definedName>
    <definedName name="_xlnm.Print_Area" localSheetId="2">'02'!$B$1:$M$85</definedName>
    <definedName name="_xlnm.Print_Area" localSheetId="3">'03'!$B$1:$M$82</definedName>
    <definedName name="_xlnm.Print_Area" localSheetId="4">'04'!$B$1:$M$97</definedName>
    <definedName name="_xlnm.Print_Area" localSheetId="5">'05'!$B$1:$M$87</definedName>
    <definedName name="_xlnm.Print_Area" localSheetId="6">'06'!$B$1:$M$87</definedName>
    <definedName name="_xlnm.Print_Area" localSheetId="7">'07'!$B$1:$M$109</definedName>
    <definedName name="_xlnm.Print_Area" localSheetId="18">'CT-USD'!$A$1:$K$88</definedName>
    <definedName name="_xlnm.Print_Area" localSheetId="17">'CT-VND'!$A$1:$I$112</definedName>
    <definedName name="_xlnm.Print_Area" localSheetId="0">'IN-TC'!$B$1:$O$26</definedName>
    <definedName name="_xlnm.Print_Area" localSheetId="14">'Q11-USD'!$B$1:$L$338</definedName>
    <definedName name="_xlnm.Print_Area" localSheetId="16">'Q4-USD'!$B$1:$L$99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F13" i="21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12"/>
  <c r="K12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B114" i="20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F88"/>
  <c r="B88"/>
  <c r="F87"/>
  <c r="B87"/>
  <c r="F86"/>
  <c r="B86"/>
  <c r="F85"/>
  <c r="B85"/>
  <c r="F84"/>
  <c r="B84"/>
  <c r="F83"/>
  <c r="B83"/>
  <c r="F82"/>
  <c r="B82"/>
  <c r="F81"/>
  <c r="B81"/>
  <c r="F80"/>
  <c r="B80"/>
  <c r="F79"/>
  <c r="B79"/>
  <c r="F78"/>
  <c r="B78"/>
  <c r="F77"/>
  <c r="B77"/>
  <c r="F76"/>
  <c r="B76"/>
  <c r="F75"/>
  <c r="B75"/>
  <c r="F74"/>
  <c r="B74"/>
  <c r="F73"/>
  <c r="B73"/>
  <c r="F72"/>
  <c r="B72"/>
  <c r="F71"/>
  <c r="B71"/>
  <c r="F70"/>
  <c r="B70"/>
  <c r="F69"/>
  <c r="B69"/>
  <c r="F68"/>
  <c r="B68"/>
  <c r="F67"/>
  <c r="B67"/>
  <c r="F66"/>
  <c r="B66"/>
  <c r="F65"/>
  <c r="B65"/>
  <c r="F64"/>
  <c r="B64"/>
  <c r="F63"/>
  <c r="B63"/>
  <c r="F62"/>
  <c r="B62"/>
  <c r="F61"/>
  <c r="B61"/>
  <c r="F60"/>
  <c r="B60"/>
  <c r="F59"/>
  <c r="B59"/>
  <c r="F58"/>
  <c r="B58"/>
  <c r="F57"/>
  <c r="B57"/>
  <c r="F56"/>
  <c r="B56"/>
  <c r="F55"/>
  <c r="B55"/>
  <c r="F54"/>
  <c r="B54"/>
  <c r="F53"/>
  <c r="B53"/>
  <c r="F52"/>
  <c r="B52"/>
  <c r="F51"/>
  <c r="B51"/>
  <c r="F50"/>
  <c r="B50"/>
  <c r="F49"/>
  <c r="B49"/>
  <c r="F48"/>
  <c r="B48"/>
  <c r="F47"/>
  <c r="B47"/>
  <c r="F46"/>
  <c r="B46"/>
  <c r="F45"/>
  <c r="B45"/>
  <c r="F44"/>
  <c r="B44"/>
  <c r="F43"/>
  <c r="B43"/>
  <c r="F42"/>
  <c r="B42"/>
  <c r="F41"/>
  <c r="B41"/>
  <c r="F40"/>
  <c r="B40"/>
  <c r="F39"/>
  <c r="B39"/>
  <c r="F38"/>
  <c r="B38"/>
  <c r="F37"/>
  <c r="B37"/>
  <c r="F36"/>
  <c r="B36"/>
  <c r="F35"/>
  <c r="B35"/>
  <c r="F34"/>
  <c r="B34"/>
  <c r="F33"/>
  <c r="B33"/>
  <c r="F32"/>
  <c r="B32"/>
  <c r="F31"/>
  <c r="B31"/>
  <c r="F30"/>
  <c r="B30"/>
  <c r="F29"/>
  <c r="B29"/>
  <c r="F28"/>
  <c r="B28"/>
  <c r="F27"/>
  <c r="B27"/>
  <c r="F26"/>
  <c r="B26"/>
  <c r="F25"/>
  <c r="B25"/>
  <c r="F24"/>
  <c r="B24"/>
  <c r="F23"/>
  <c r="B23"/>
  <c r="F22"/>
  <c r="B22"/>
  <c r="F21"/>
  <c r="B21"/>
  <c r="F20"/>
  <c r="B20"/>
  <c r="F19"/>
  <c r="B19"/>
  <c r="F18"/>
  <c r="B18"/>
  <c r="F17"/>
  <c r="B17"/>
  <c r="F16"/>
  <c r="B16"/>
  <c r="F15"/>
  <c r="B15"/>
  <c r="F14"/>
  <c r="B14"/>
  <c r="F13"/>
  <c r="B13"/>
  <c r="F12"/>
  <c r="B12"/>
  <c r="F13" i="19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12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433" i="18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K113" i="8"/>
  <c r="K112"/>
  <c r="K111"/>
  <c r="K110"/>
  <c r="K87"/>
  <c r="K86"/>
  <c r="K50"/>
  <c r="K49"/>
  <c r="A117"/>
  <c r="A116"/>
  <c r="A115"/>
  <c r="A114"/>
  <c r="A113"/>
  <c r="A112"/>
  <c r="A111"/>
  <c r="J127"/>
  <c r="K127"/>
  <c r="A104"/>
  <c r="A103"/>
  <c r="A102"/>
  <c r="A101"/>
  <c r="A100"/>
  <c r="A99"/>
  <c r="A98"/>
  <c r="A97"/>
  <c r="A119"/>
  <c r="A118"/>
  <c r="A110"/>
  <c r="A109"/>
  <c r="A108"/>
  <c r="A107"/>
  <c r="A106"/>
  <c r="A105"/>
  <c r="A96"/>
  <c r="A95"/>
  <c r="A94"/>
  <c r="A93"/>
  <c r="A92"/>
  <c r="A91"/>
  <c r="A90"/>
  <c r="A89"/>
  <c r="K25" i="7"/>
  <c r="C77" i="6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B74" i="5"/>
  <c r="B73"/>
  <c r="B72"/>
  <c r="B71"/>
  <c r="B70"/>
  <c r="B69"/>
  <c r="B68"/>
  <c r="B67"/>
  <c r="B63"/>
  <c r="B62"/>
  <c r="B61"/>
  <c r="B60"/>
  <c r="B59"/>
  <c r="B58"/>
  <c r="B57"/>
  <c r="B56"/>
  <c r="B55"/>
  <c r="C54"/>
  <c r="B53"/>
  <c r="B52"/>
  <c r="B51"/>
  <c r="B50"/>
  <c r="B49"/>
  <c r="B48"/>
  <c r="B47"/>
  <c r="B46"/>
  <c r="B45"/>
  <c r="B44"/>
  <c r="B43"/>
  <c r="B42"/>
  <c r="C41"/>
  <c r="B40"/>
  <c r="B39"/>
  <c r="B38"/>
  <c r="B37"/>
  <c r="B36"/>
  <c r="B35"/>
  <c r="B34"/>
  <c r="C33"/>
  <c r="B32"/>
  <c r="B31"/>
  <c r="B30"/>
  <c r="B29"/>
  <c r="B28"/>
  <c r="B27"/>
  <c r="B26"/>
  <c r="B25"/>
  <c r="B24"/>
  <c r="B23"/>
  <c r="C22"/>
  <c r="B21"/>
  <c r="B20"/>
  <c r="B19"/>
  <c r="B18"/>
  <c r="B17"/>
  <c r="B16"/>
  <c r="B15"/>
  <c r="B14"/>
  <c r="B13"/>
  <c r="K33" i="14"/>
  <c r="K32"/>
  <c r="C28"/>
  <c r="K14"/>
  <c r="K13"/>
  <c r="A97" i="13"/>
  <c r="A80"/>
  <c r="A81"/>
  <c r="A82"/>
  <c r="A83"/>
  <c r="A84"/>
  <c r="A85"/>
  <c r="A86"/>
  <c r="A87"/>
  <c r="A88"/>
  <c r="A89"/>
  <c r="A90"/>
  <c r="A91"/>
  <c r="A92"/>
  <c r="A93"/>
  <c r="A94"/>
  <c r="A95"/>
  <c r="A96"/>
  <c r="A98"/>
  <c r="J98"/>
  <c r="K98"/>
  <c r="A75"/>
  <c r="A76"/>
  <c r="A77"/>
  <c r="A78"/>
  <c r="A79"/>
  <c r="A99"/>
  <c r="B74" i="12"/>
  <c r="K38"/>
  <c r="B32"/>
  <c r="B47" i="11"/>
  <c r="C41"/>
  <c r="K17" i="10"/>
  <c r="B54" i="9"/>
  <c r="B53"/>
  <c r="B52"/>
  <c r="B42"/>
  <c r="B41"/>
  <c r="B40"/>
  <c r="B32"/>
  <c r="C27"/>
  <c r="K26"/>
  <c r="B19"/>
  <c r="B68" i="4"/>
  <c r="B64"/>
  <c r="B59"/>
  <c r="B44"/>
  <c r="B39"/>
  <c r="A68" i="14"/>
  <c r="A69"/>
  <c r="A62"/>
  <c r="A174" i="19" l="1"/>
  <c r="A171"/>
  <c r="A160"/>
  <c r="A161"/>
  <c r="A162"/>
  <c r="A76" i="14" l="1"/>
  <c r="A77"/>
  <c r="A49"/>
  <c r="A50"/>
  <c r="A71" l="1"/>
  <c r="A72"/>
  <c r="A67" l="1"/>
  <c r="A78"/>
  <c r="A79"/>
  <c r="A73"/>
  <c r="A48"/>
  <c r="A46"/>
  <c r="A37"/>
  <c r="A75"/>
  <c r="A65"/>
  <c r="A64"/>
  <c r="A61"/>
  <c r="A60"/>
  <c r="A55"/>
  <c r="A53"/>
  <c r="A47"/>
  <c r="A25"/>
  <c r="A24"/>
  <c r="A23"/>
  <c r="A21"/>
  <c r="A18"/>
  <c r="A19"/>
  <c r="A17"/>
  <c r="A15"/>
  <c r="A16"/>
  <c r="A14"/>
  <c r="J76" i="11"/>
  <c r="A53" i="12" l="1"/>
  <c r="A54"/>
  <c r="A55"/>
  <c r="A70"/>
  <c r="A71"/>
  <c r="A56"/>
  <c r="A57"/>
  <c r="A58"/>
  <c r="A59"/>
  <c r="A60"/>
  <c r="A61"/>
  <c r="A62"/>
  <c r="A63"/>
  <c r="A64"/>
  <c r="A14"/>
  <c r="A15"/>
  <c r="A16"/>
  <c r="A17"/>
  <c r="A18"/>
  <c r="A19"/>
  <c r="A20"/>
  <c r="A21"/>
  <c r="A22"/>
  <c r="A23"/>
  <c r="A24"/>
  <c r="A25"/>
  <c r="A14" i="13" l="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65" i="20"/>
  <c r="A66"/>
  <c r="A67"/>
  <c r="A61" i="10" l="1"/>
  <c r="A146" i="19" l="1"/>
  <c r="A147"/>
  <c r="A144"/>
  <c r="A145"/>
  <c r="A148"/>
  <c r="A149"/>
  <c r="A150"/>
  <c r="A151"/>
  <c r="A152"/>
  <c r="A153"/>
  <c r="A154"/>
  <c r="A155"/>
  <c r="A156"/>
  <c r="A157"/>
  <c r="A158"/>
  <c r="A159"/>
  <c r="A163"/>
  <c r="A164"/>
  <c r="A165"/>
  <c r="A166"/>
  <c r="A167"/>
  <c r="A168"/>
  <c r="A169"/>
  <c r="A170"/>
  <c r="A172"/>
  <c r="A173"/>
  <c r="A175"/>
  <c r="A176"/>
  <c r="A388" i="18" l="1"/>
  <c r="A389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03"/>
  <c r="A404"/>
  <c r="A395"/>
  <c r="A396"/>
  <c r="A397"/>
  <c r="A398"/>
  <c r="A399"/>
  <c r="A400"/>
  <c r="A401"/>
  <c r="A402"/>
  <c r="A405"/>
  <c r="A406"/>
  <c r="A407"/>
  <c r="A408"/>
  <c r="A409"/>
  <c r="A410"/>
  <c r="A411"/>
  <c r="A412"/>
  <c r="A367"/>
  <c r="A368"/>
  <c r="A394"/>
  <c r="A393"/>
  <c r="A392"/>
  <c r="A292" l="1"/>
  <c r="A293"/>
  <c r="A355"/>
  <c r="A356"/>
  <c r="A34" i="12" l="1"/>
  <c r="J12" i="18" l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J12" i="20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A257" i="18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7"/>
  <c r="A358"/>
  <c r="A359"/>
  <c r="A360"/>
  <c r="A361"/>
  <c r="A362"/>
  <c r="A363"/>
  <c r="A364"/>
  <c r="A365"/>
  <c r="A366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90"/>
  <c r="A391"/>
  <c r="A742"/>
  <c r="A743"/>
  <c r="A26" i="12"/>
  <c r="A27"/>
  <c r="A28"/>
  <c r="A30"/>
  <c r="A31"/>
  <c r="A32"/>
  <c r="A33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65"/>
  <c r="A66"/>
  <c r="A67"/>
  <c r="A68"/>
  <c r="A69"/>
  <c r="A72"/>
  <c r="A73"/>
  <c r="A74"/>
  <c r="A29"/>
  <c r="A75"/>
  <c r="A76"/>
  <c r="A77"/>
  <c r="K111" i="19" l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M110"/>
  <c r="J372" i="18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L297"/>
  <c r="A141" i="19"/>
  <c r="A139"/>
  <c r="A140"/>
  <c r="A136"/>
  <c r="A135"/>
  <c r="A132"/>
  <c r="A133"/>
  <c r="A131"/>
  <c r="A130"/>
  <c r="A129"/>
  <c r="A128"/>
  <c r="A127"/>
  <c r="A126"/>
  <c r="A125"/>
  <c r="A124"/>
  <c r="A120"/>
  <c r="A119"/>
  <c r="A118"/>
  <c r="A117"/>
  <c r="A15" i="11" l="1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14" i="10" l="1"/>
  <c r="A15"/>
  <c r="A16"/>
  <c r="A17"/>
  <c r="A18"/>
  <c r="A19"/>
  <c r="A20"/>
  <c r="A21"/>
  <c r="A22"/>
  <c r="A23"/>
  <c r="A24"/>
  <c r="A25"/>
  <c r="A26"/>
  <c r="A27"/>
  <c r="A28"/>
  <c r="A29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4"/>
  <c r="A85"/>
  <c r="A30"/>
  <c r="A31"/>
  <c r="A32"/>
  <c r="A33"/>
  <c r="A86"/>
  <c r="A80"/>
  <c r="A81"/>
  <c r="A82"/>
  <c r="A83"/>
  <c r="A87"/>
  <c r="A250" i="18" l="1"/>
  <c r="A251"/>
  <c r="A252"/>
  <c r="A253"/>
  <c r="A254"/>
  <c r="A255"/>
  <c r="A256"/>
  <c r="A236"/>
  <c r="A108" i="19" l="1"/>
  <c r="A107"/>
  <c r="A105"/>
  <c r="A106" l="1"/>
  <c r="A102"/>
  <c r="A104"/>
  <c r="A101"/>
  <c r="A97"/>
  <c r="A14" i="11" l="1"/>
  <c r="J88" i="10" l="1"/>
  <c r="A13"/>
  <c r="K88" l="1"/>
  <c r="K123" l="1"/>
  <c r="G106" i="22"/>
  <c r="J71" i="9"/>
  <c r="K71"/>
  <c r="J82" i="3"/>
  <c r="K82"/>
  <c r="J78" i="4"/>
  <c r="K78"/>
  <c r="A18" i="9"/>
  <c r="A12" i="18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7"/>
  <c r="A238"/>
  <c r="A239"/>
  <c r="A240"/>
  <c r="A241"/>
  <c r="A242"/>
  <c r="A243"/>
  <c r="A244"/>
  <c r="A245"/>
  <c r="A246"/>
  <c r="A247"/>
  <c r="A248"/>
  <c r="A249"/>
  <c r="L11"/>
  <c r="H742"/>
  <c r="I742"/>
  <c r="M11" i="19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N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8"/>
  <c r="A99"/>
  <c r="A100"/>
  <c r="A103"/>
  <c r="A109"/>
  <c r="A110"/>
  <c r="A111"/>
  <c r="A112"/>
  <c r="A113"/>
  <c r="A114"/>
  <c r="A115"/>
  <c r="A116"/>
  <c r="A121"/>
  <c r="A122"/>
  <c r="A123"/>
  <c r="A134"/>
  <c r="A137"/>
  <c r="A138"/>
  <c r="A142"/>
  <c r="A143"/>
  <c r="I332"/>
  <c r="J332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H116"/>
  <c r="I116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I92"/>
  <c r="J92"/>
  <c r="E6" i="22"/>
  <c r="C25"/>
  <c r="G43"/>
  <c r="C59"/>
  <c r="D68"/>
  <c r="E77"/>
  <c r="C86"/>
  <c r="G90"/>
  <c r="F119"/>
  <c r="E6" i="23"/>
  <c r="H12"/>
  <c r="H13"/>
  <c r="H14"/>
  <c r="H15"/>
  <c r="H16"/>
  <c r="H17"/>
  <c r="C18"/>
  <c r="H18"/>
  <c r="C19"/>
  <c r="H19"/>
  <c r="C20"/>
  <c r="H20"/>
  <c r="C21"/>
  <c r="H21"/>
  <c r="C22"/>
  <c r="H22"/>
  <c r="C23"/>
  <c r="H23"/>
  <c r="C24"/>
  <c r="H24"/>
  <c r="C25"/>
  <c r="H25"/>
  <c r="C26"/>
  <c r="H26"/>
  <c r="C27"/>
  <c r="H27"/>
  <c r="C28"/>
  <c r="H28"/>
  <c r="C29"/>
  <c r="H29"/>
  <c r="C30"/>
  <c r="H30"/>
  <c r="C31"/>
  <c r="H31"/>
  <c r="C32"/>
  <c r="H32"/>
  <c r="C33"/>
  <c r="H33"/>
  <c r="C34"/>
  <c r="H34"/>
  <c r="C35"/>
  <c r="H35"/>
  <c r="C36"/>
  <c r="H36"/>
  <c r="C37"/>
  <c r="H37"/>
  <c r="C38"/>
  <c r="H38"/>
  <c r="C39"/>
  <c r="H39"/>
  <c r="C40"/>
  <c r="H40"/>
  <c r="C41"/>
  <c r="H41"/>
  <c r="C42"/>
  <c r="H42"/>
  <c r="C43"/>
  <c r="H43"/>
  <c r="C44"/>
  <c r="H44"/>
  <c r="C45"/>
  <c r="H45"/>
  <c r="C46"/>
  <c r="H46"/>
  <c r="C47"/>
  <c r="H47"/>
  <c r="C48"/>
  <c r="H48"/>
  <c r="C49"/>
  <c r="H49"/>
  <c r="C50"/>
  <c r="H50"/>
  <c r="I84"/>
  <c r="H97"/>
  <c r="A54" i="9"/>
  <c r="A53"/>
  <c r="L83" i="3"/>
  <c r="L12" i="4" s="1"/>
  <c r="L79" s="1"/>
  <c r="L12" i="9" s="1"/>
  <c r="A50"/>
  <c r="M7" i="17"/>
  <c r="L7"/>
  <c r="A13" i="3"/>
  <c r="A14"/>
  <c r="A15"/>
  <c r="A16"/>
  <c r="A17"/>
  <c r="A18"/>
  <c r="A14" i="9"/>
  <c r="A15"/>
  <c r="A16"/>
  <c r="A17"/>
  <c r="A20"/>
  <c r="A21"/>
  <c r="A22"/>
  <c r="A23"/>
  <c r="A24"/>
  <c r="A25"/>
  <c r="A26"/>
  <c r="A29"/>
  <c r="A30"/>
  <c r="A32"/>
  <c r="A33"/>
  <c r="A35"/>
  <c r="A36"/>
  <c r="A37"/>
  <c r="A38"/>
  <c r="A39"/>
  <c r="A42"/>
  <c r="A43"/>
  <c r="A44"/>
  <c r="A45"/>
  <c r="A13"/>
  <c r="A34"/>
  <c r="A40"/>
  <c r="A19"/>
  <c r="A27"/>
  <c r="A28"/>
  <c r="A31"/>
  <c r="A81" i="3"/>
  <c r="A79"/>
  <c r="A78"/>
  <c r="A77"/>
  <c r="A76"/>
  <c r="A75"/>
  <c r="A72"/>
  <c r="A71"/>
  <c r="A70"/>
  <c r="A69"/>
  <c r="A68"/>
  <c r="A67"/>
  <c r="A66"/>
  <c r="A65"/>
  <c r="A64"/>
  <c r="A63"/>
  <c r="A62"/>
  <c r="A61"/>
  <c r="A58"/>
  <c r="A57"/>
  <c r="A56"/>
  <c r="A55"/>
  <c r="A54"/>
  <c r="A53"/>
  <c r="A52"/>
  <c r="A51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2"/>
  <c r="A21"/>
  <c r="A20"/>
  <c r="A19"/>
  <c r="A89" i="7"/>
  <c r="A49" i="9"/>
  <c r="A56"/>
  <c r="A67"/>
  <c r="A46"/>
  <c r="A47"/>
  <c r="A48"/>
  <c r="A51"/>
  <c r="A52"/>
  <c r="A57"/>
  <c r="A58"/>
  <c r="A68"/>
  <c r="A69"/>
  <c r="A59"/>
  <c r="A60"/>
  <c r="A61"/>
  <c r="A62"/>
  <c r="A63"/>
  <c r="A64"/>
  <c r="A65"/>
  <c r="A66"/>
  <c r="A41"/>
  <c r="A55"/>
  <c r="A70"/>
  <c r="A50" i="4"/>
  <c r="A51"/>
  <c r="A52"/>
  <c r="A53"/>
  <c r="A54"/>
  <c r="A57"/>
  <c r="A58"/>
  <c r="A59"/>
  <c r="A60"/>
  <c r="A63"/>
  <c r="A64"/>
  <c r="A65"/>
  <c r="A66"/>
  <c r="A67"/>
  <c r="A68"/>
  <c r="A69"/>
  <c r="A70"/>
  <c r="A71"/>
  <c r="A72"/>
  <c r="A73"/>
  <c r="A74"/>
  <c r="A75"/>
  <c r="A76"/>
  <c r="A24"/>
  <c r="A61"/>
  <c r="A55"/>
  <c r="A37"/>
  <c r="A30"/>
  <c r="A38"/>
  <c r="A42"/>
  <c r="A56"/>
  <c r="A62"/>
  <c r="A77"/>
  <c r="F94" i="3"/>
  <c r="C11" i="17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120"/>
  <c r="A121"/>
  <c r="A122"/>
  <c r="A123"/>
  <c r="A124"/>
  <c r="A125"/>
  <c r="A13"/>
  <c r="A14" i="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13"/>
  <c r="A14" i="6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13"/>
  <c r="A14" i="5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13"/>
  <c r="A20" i="14"/>
  <c r="A22"/>
  <c r="A26"/>
  <c r="A27"/>
  <c r="A28"/>
  <c r="A29"/>
  <c r="A30"/>
  <c r="A31"/>
  <c r="A32"/>
  <c r="A33"/>
  <c r="A34"/>
  <c r="A35"/>
  <c r="A36"/>
  <c r="A38"/>
  <c r="A39"/>
  <c r="A40"/>
  <c r="A41"/>
  <c r="A42"/>
  <c r="A43"/>
  <c r="A44"/>
  <c r="A45"/>
  <c r="A51"/>
  <c r="A52"/>
  <c r="A54"/>
  <c r="A56"/>
  <c r="A57"/>
  <c r="A58"/>
  <c r="A59"/>
  <c r="A63"/>
  <c r="A66"/>
  <c r="A70"/>
  <c r="A74"/>
  <c r="A13"/>
  <c r="A13" i="13"/>
  <c r="A13" i="12"/>
  <c r="A13" i="11"/>
  <c r="A14" i="4"/>
  <c r="A15"/>
  <c r="A16"/>
  <c r="A17"/>
  <c r="A18"/>
  <c r="A19"/>
  <c r="A20"/>
  <c r="A21"/>
  <c r="A22"/>
  <c r="A23"/>
  <c r="A25"/>
  <c r="A26"/>
  <c r="A27"/>
  <c r="A28"/>
  <c r="A29"/>
  <c r="A31"/>
  <c r="A32"/>
  <c r="A33"/>
  <c r="A34"/>
  <c r="A35"/>
  <c r="A36"/>
  <c r="A39"/>
  <c r="A40"/>
  <c r="A41"/>
  <c r="A43"/>
  <c r="A44"/>
  <c r="A45"/>
  <c r="A46"/>
  <c r="A47"/>
  <c r="A48"/>
  <c r="A49"/>
  <c r="A13"/>
  <c r="H17" i="17"/>
  <c r="M17"/>
  <c r="H4"/>
  <c r="L1"/>
  <c r="IE6"/>
  <c r="IF6" s="1"/>
  <c r="K76" i="11"/>
  <c r="J76" i="12"/>
  <c r="K76"/>
  <c r="J81" i="14"/>
  <c r="K81"/>
  <c r="J76" i="5"/>
  <c r="K76"/>
  <c r="J79" i="6"/>
  <c r="K79"/>
  <c r="J90" i="7"/>
  <c r="K90"/>
  <c r="K102" s="1"/>
  <c r="B2" i="14"/>
  <c r="B2" i="13"/>
  <c r="B2" i="12"/>
  <c r="B2" i="11"/>
  <c r="B2" i="10"/>
  <c r="B2" i="9"/>
  <c r="B2" i="4"/>
  <c r="M9" i="17"/>
  <c r="H5"/>
  <c r="D13"/>
  <c r="C10"/>
  <c r="C12"/>
  <c r="C15"/>
  <c r="M8"/>
  <c r="F34" i="22" l="1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J59" s="1"/>
  <c r="C59"/>
  <c r="E59"/>
  <c r="H59"/>
  <c r="A60"/>
  <c r="J60" s="1"/>
  <c r="C60"/>
  <c r="E60"/>
  <c r="H60"/>
  <c r="A61"/>
  <c r="J61" s="1"/>
  <c r="C61"/>
  <c r="E61"/>
  <c r="H61"/>
  <c r="A62"/>
  <c r="J62" s="1"/>
  <c r="C62"/>
  <c r="E62"/>
  <c r="H62"/>
  <c r="A63"/>
  <c r="J63" s="1"/>
  <c r="C63"/>
  <c r="E63"/>
  <c r="H63"/>
  <c r="A64"/>
  <c r="J64" s="1"/>
  <c r="C64"/>
  <c r="E64"/>
  <c r="H64"/>
  <c r="A65"/>
  <c r="J65" s="1"/>
  <c r="C65"/>
  <c r="E65"/>
  <c r="H65"/>
  <c r="A66"/>
  <c r="J66" s="1"/>
  <c r="C66"/>
  <c r="E66"/>
  <c r="H66"/>
  <c r="A67"/>
  <c r="J67" s="1"/>
  <c r="C67"/>
  <c r="E67"/>
  <c r="H67"/>
  <c r="A68"/>
  <c r="J68" s="1"/>
  <c r="C68"/>
  <c r="E68"/>
  <c r="H68"/>
  <c r="A69"/>
  <c r="J69" s="1"/>
  <c r="C69"/>
  <c r="E69"/>
  <c r="H69"/>
  <c r="A70"/>
  <c r="J70" s="1"/>
  <c r="C70"/>
  <c r="E70"/>
  <c r="H70"/>
  <c r="A71"/>
  <c r="J71" s="1"/>
  <c r="C71"/>
  <c r="E71"/>
  <c r="H71"/>
  <c r="A72"/>
  <c r="J72" s="1"/>
  <c r="C72"/>
  <c r="E72"/>
  <c r="H72"/>
  <c r="A73"/>
  <c r="J73" s="1"/>
  <c r="C73"/>
  <c r="E73"/>
  <c r="H73"/>
  <c r="A74"/>
  <c r="J74" s="1"/>
  <c r="C74"/>
  <c r="E74"/>
  <c r="H74"/>
  <c r="A75"/>
  <c r="J75" s="1"/>
  <c r="C75"/>
  <c r="E75"/>
  <c r="H75"/>
  <c r="A76"/>
  <c r="J76" s="1"/>
  <c r="C76"/>
  <c r="E76"/>
  <c r="H76"/>
  <c r="A77"/>
  <c r="J77" s="1"/>
  <c r="C77"/>
  <c r="E77"/>
  <c r="H77"/>
  <c r="A78"/>
  <c r="J78" s="1"/>
  <c r="C78"/>
  <c r="E78"/>
  <c r="H78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G59" s="1"/>
  <c r="F59"/>
  <c r="I59"/>
  <c r="B60"/>
  <c r="D60"/>
  <c r="G60" s="1"/>
  <c r="F60"/>
  <c r="I60"/>
  <c r="B61"/>
  <c r="D61"/>
  <c r="G61" s="1"/>
  <c r="F61"/>
  <c r="I61"/>
  <c r="B62"/>
  <c r="D62"/>
  <c r="G62" s="1"/>
  <c r="F62"/>
  <c r="I62"/>
  <c r="B63"/>
  <c r="D63"/>
  <c r="G63" s="1"/>
  <c r="F63"/>
  <c r="I63"/>
  <c r="B64"/>
  <c r="D64"/>
  <c r="G64" s="1"/>
  <c r="F64"/>
  <c r="I64"/>
  <c r="B65"/>
  <c r="D65"/>
  <c r="G65" s="1"/>
  <c r="F65"/>
  <c r="I65"/>
  <c r="B66"/>
  <c r="D66"/>
  <c r="G66" s="1"/>
  <c r="F66"/>
  <c r="I66"/>
  <c r="B67"/>
  <c r="D67"/>
  <c r="G67" s="1"/>
  <c r="F67"/>
  <c r="I67"/>
  <c r="B68"/>
  <c r="D68"/>
  <c r="G68" s="1"/>
  <c r="F68"/>
  <c r="I68"/>
  <c r="B69"/>
  <c r="D69"/>
  <c r="G69" s="1"/>
  <c r="F69"/>
  <c r="I69"/>
  <c r="B70"/>
  <c r="D70"/>
  <c r="G70" s="1"/>
  <c r="F70"/>
  <c r="I70"/>
  <c r="B71"/>
  <c r="D71"/>
  <c r="G71" s="1"/>
  <c r="F71"/>
  <c r="I71"/>
  <c r="B72"/>
  <c r="D72"/>
  <c r="G72" s="1"/>
  <c r="F72"/>
  <c r="I72"/>
  <c r="B73"/>
  <c r="D73"/>
  <c r="G73" s="1"/>
  <c r="F73"/>
  <c r="I73"/>
  <c r="B74"/>
  <c r="D74"/>
  <c r="G74" s="1"/>
  <c r="F74"/>
  <c r="I74"/>
  <c r="B75"/>
  <c r="D75"/>
  <c r="G75" s="1"/>
  <c r="F75"/>
  <c r="I75"/>
  <c r="B76"/>
  <c r="D76"/>
  <c r="G76" s="1"/>
  <c r="F76"/>
  <c r="I76"/>
  <c r="B77"/>
  <c r="D77"/>
  <c r="G77" s="1"/>
  <c r="F77"/>
  <c r="I77"/>
  <c r="B78"/>
  <c r="D78"/>
  <c r="G78" s="1"/>
  <c r="F78"/>
  <c r="I78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92" i="21"/>
  <c r="K93" s="1"/>
  <c r="L83" i="18"/>
  <c r="J11" i="23"/>
  <c r="A91" i="22"/>
  <c r="H91" s="1"/>
  <c r="C91"/>
  <c r="E91"/>
  <c r="G91"/>
  <c r="B92"/>
  <c r="D92"/>
  <c r="F92"/>
  <c r="A93"/>
  <c r="H93" s="1"/>
  <c r="C93"/>
  <c r="E93"/>
  <c r="G93"/>
  <c r="B94"/>
  <c r="D94"/>
  <c r="F94"/>
  <c r="A95"/>
  <c r="H95" s="1"/>
  <c r="C95"/>
  <c r="E95"/>
  <c r="G95"/>
  <c r="B96"/>
  <c r="D96"/>
  <c r="F96"/>
  <c r="A97"/>
  <c r="H97" s="1"/>
  <c r="C97"/>
  <c r="E97"/>
  <c r="G97"/>
  <c r="B98"/>
  <c r="D98"/>
  <c r="F98"/>
  <c r="A99"/>
  <c r="H99" s="1"/>
  <c r="C99"/>
  <c r="E99"/>
  <c r="G99"/>
  <c r="B100"/>
  <c r="D100"/>
  <c r="F100"/>
  <c r="A12"/>
  <c r="A105" s="1"/>
  <c r="H11"/>
  <c r="B91"/>
  <c r="D91"/>
  <c r="F91"/>
  <c r="A92"/>
  <c r="H92" s="1"/>
  <c r="C92"/>
  <c r="E92"/>
  <c r="G92"/>
  <c r="B93"/>
  <c r="D93"/>
  <c r="F93"/>
  <c r="A94"/>
  <c r="H94" s="1"/>
  <c r="C94"/>
  <c r="E94"/>
  <c r="G94"/>
  <c r="B95"/>
  <c r="D95"/>
  <c r="F95"/>
  <c r="A96"/>
  <c r="H96" s="1"/>
  <c r="C96"/>
  <c r="E96"/>
  <c r="G96"/>
  <c r="B97"/>
  <c r="D97"/>
  <c r="F97"/>
  <c r="A98"/>
  <c r="H98" s="1"/>
  <c r="C98"/>
  <c r="E98"/>
  <c r="G98"/>
  <c r="B99"/>
  <c r="D99"/>
  <c r="F99"/>
  <c r="A100"/>
  <c r="H100" s="1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G55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16" i="20"/>
  <c r="J117" s="1"/>
  <c r="K332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742" i="18"/>
  <c r="J743" s="1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2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H80" i="23"/>
  <c r="M16" i="17"/>
  <c r="C14"/>
  <c r="K333" i="19" l="1"/>
  <c r="K334" s="1"/>
  <c r="M334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G13"/>
  <c r="G17"/>
  <c r="G19"/>
  <c r="G21"/>
  <c r="G22"/>
  <c r="G26"/>
  <c r="G28"/>
  <c r="G31"/>
  <c r="G32"/>
  <c r="G102" i="22"/>
  <c r="G12" i="23"/>
  <c r="G14"/>
  <c r="G16"/>
  <c r="G24"/>
  <c r="F102" i="22"/>
  <c r="IH10" i="17"/>
  <c r="IH11"/>
  <c r="IH8"/>
  <c r="IG11"/>
  <c r="II8"/>
  <c r="II11" s="1"/>
  <c r="IG10"/>
  <c r="IG8"/>
  <c r="IL10"/>
  <c r="IK10"/>
  <c r="IL8"/>
  <c r="IL11" s="1"/>
  <c r="L89" i="10"/>
  <c r="L12" i="11" s="1"/>
  <c r="L77" l="1"/>
  <c r="L12" i="12" s="1"/>
  <c r="L77" s="1"/>
  <c r="L13" i="11"/>
  <c r="L14" s="1"/>
  <c r="L15" s="1"/>
  <c r="L16" s="1"/>
  <c r="H102" i="22"/>
  <c r="H103" s="1"/>
  <c r="IF12" i="17"/>
  <c r="L12" i="13" l="1"/>
  <c r="L99" s="1"/>
  <c r="L13" i="12"/>
  <c r="L17" i="1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4" i="12" l="1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34" i="1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7" i="13" l="1"/>
  <c r="L78" s="1"/>
  <c r="L79" s="1"/>
  <c r="L80" s="1"/>
  <c r="L81" s="1"/>
  <c r="L82" s="1"/>
  <c r="L83" s="1"/>
  <c r="L84" s="1"/>
  <c r="L85" s="1"/>
  <c r="L82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74" i="11"/>
  <c r="L77" i="5" l="1"/>
  <c r="L12" i="6" s="1"/>
  <c r="L13" i="5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86" i="13"/>
  <c r="L87" s="1"/>
  <c r="L88" s="1"/>
  <c r="L89" s="1"/>
  <c r="L90" s="1"/>
  <c r="L91" s="1"/>
  <c r="L92" s="1"/>
  <c r="L93" s="1"/>
  <c r="L94" s="1"/>
  <c r="L95" s="1"/>
  <c r="L96" s="1"/>
  <c r="L48" i="14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80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62" i="14"/>
  <c r="L63" s="1"/>
  <c r="L64" s="1"/>
  <c r="L65" s="1"/>
  <c r="L66" s="1"/>
  <c r="L67" s="1"/>
  <c r="L68" s="1"/>
  <c r="L69" s="1"/>
  <c r="L70" s="1"/>
  <c r="L71" s="1"/>
  <c r="L72" s="1"/>
  <c r="L91" i="7" l="1"/>
  <c r="L12" i="8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73" i="14"/>
  <c r="L74" s="1"/>
  <c r="L75" s="1"/>
  <c r="L76" s="1"/>
  <c r="L77" s="1"/>
  <c r="L78" s="1"/>
  <c r="L79" s="1"/>
  <c r="L128" i="8" l="1"/>
  <c r="L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</calcChain>
</file>

<file path=xl/sharedStrings.xml><?xml version="1.0" encoding="utf-8"?>
<sst xmlns="http://schemas.openxmlformats.org/spreadsheetml/2006/main" count="7075" uniqueCount="786">
  <si>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</si>
  <si>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</si>
  <si>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</si>
  <si>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</si>
  <si>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</si>
  <si>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</si>
  <si>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</si>
  <si>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</si>
  <si>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</si>
  <si>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</si>
  <si>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</si>
  <si>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</si>
  <si>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</si>
  <si>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</si>
  <si>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</si>
  <si>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</si>
  <si>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</si>
  <si>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</si>
  <si>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</si>
  <si>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</si>
  <si>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</si>
  <si>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</si>
  <si>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</si>
  <si>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</si>
  <si>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</si>
  <si>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</si>
  <si>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</si>
  <si>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</si>
  <si>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</si>
  <si>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</si>
  <si>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</si>
  <si>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</si>
  <si>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</si>
  <si>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</si>
  <si>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</si>
  <si>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</si>
  <si>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</si>
  <si>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</si>
  <si>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</si>
  <si>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</si>
  <si>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</si>
  <si>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</si>
  <si>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</si>
  <si>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</si>
  <si>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</si>
  <si>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</si>
  <si>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</si>
  <si>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</si>
  <si>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</si>
  <si>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</si>
  <si>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</si>
  <si>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</si>
  <si>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</si>
  <si>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</si>
  <si>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</si>
  <si>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</si>
  <si>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</si>
  <si>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1388</t>
  </si>
  <si>
    <t>T07</t>
  </si>
  <si>
    <t>Nước</t>
  </si>
  <si>
    <t>T08</t>
  </si>
  <si>
    <t>Rút tiền gửi NH nhập quỹ TM</t>
  </si>
  <si>
    <t>Ngày 31 tháng  12  năm  2014</t>
  </si>
  <si>
    <t>- Ngày mở sổ 01/12/2014</t>
  </si>
  <si>
    <t>- Ngày mở sổ 01/09/2014</t>
  </si>
  <si>
    <t>Ngày 30 tháng  09  năm  2014</t>
  </si>
  <si>
    <t>- Ngày mở sổ 01/10/2014</t>
  </si>
  <si>
    <t>Ngày 31 tháng  10  năm  2014</t>
  </si>
  <si>
    <t>Ngày 31 tháng  11  năm  2014</t>
  </si>
  <si>
    <t>T09</t>
  </si>
  <si>
    <t>- Ngày mở sổ 02/01/2015</t>
  </si>
  <si>
    <t>Ngày 31 tháng  01  năm  2015</t>
  </si>
  <si>
    <t>- Ngày mở sổ 01/02/2015</t>
  </si>
  <si>
    <t>Địa chỉ: Lô A14, Đường 4A, KCN Hải Sơn, Đức Hòa, Long An</t>
  </si>
  <si>
    <t>Quyển số: 01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</si>
  <si>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</si>
  <si>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</si>
  <si>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</si>
  <si>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</si>
  <si>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</si>
  <si>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</si>
  <si>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</si>
  <si>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</si>
  <si>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</si>
  <si>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</si>
  <si>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</si>
  <si>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</si>
  <si>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</si>
  <si>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</si>
  <si>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</si>
  <si>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</si>
  <si>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</si>
  <si>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</si>
  <si>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</si>
  <si>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</si>
  <si>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</si>
  <si>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</si>
  <si>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</si>
  <si>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</si>
  <si>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</si>
  <si>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</si>
  <si>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</si>
  <si>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</si>
  <si>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</si>
  <si>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</si>
  <si>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</si>
  <si>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</si>
  <si>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</si>
  <si>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</si>
  <si>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</si>
  <si>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</si>
  <si>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</si>
  <si>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</si>
  <si>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</si>
  <si>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</si>
  <si>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</si>
  <si>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</si>
  <si>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</si>
  <si>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</si>
  <si>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</si>
  <si>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</si>
  <si>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</si>
  <si>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</si>
  <si>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</si>
  <si>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</si>
  <si>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</si>
  <si>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</si>
  <si>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</si>
  <si>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</si>
  <si>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</si>
  <si>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Q4 - Rút tiền gửi NH nhập quỹ TM</t>
  </si>
  <si>
    <t>Phí cơ sở hạ tầng</t>
  </si>
  <si>
    <t>VAT Phí cơ sở hạ tầng</t>
  </si>
  <si>
    <t>VAT Xăng, dầu</t>
  </si>
  <si>
    <t>141</t>
  </si>
  <si>
    <t>C38</t>
  </si>
  <si>
    <t>C39</t>
  </si>
  <si>
    <t>C40</t>
  </si>
  <si>
    <t>C41</t>
  </si>
  <si>
    <t>C42</t>
  </si>
  <si>
    <t>C43</t>
  </si>
  <si>
    <t>Ngày 31 tháng  02  năm  2015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</si>
  <si>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</si>
  <si>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</si>
  <si>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</si>
  <si>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</si>
  <si>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</si>
  <si>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</si>
  <si>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</si>
  <si>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</si>
  <si>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</si>
  <si>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</si>
  <si>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</si>
  <si>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</si>
  <si>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</si>
  <si>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</si>
  <si>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</si>
  <si>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</si>
  <si>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</si>
  <si>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</si>
  <si>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</si>
  <si>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</si>
  <si>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</si>
  <si>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</si>
  <si>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</si>
  <si>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</si>
  <si>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</si>
  <si>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</si>
  <si>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</si>
  <si>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</si>
  <si>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dịch vụ</t>
  </si>
  <si>
    <t>VAT Phí dịch vụ</t>
  </si>
  <si>
    <t>Nộp tiền BHXH</t>
  </si>
  <si>
    <t>3384</t>
  </si>
  <si>
    <t>Nộp tiền BHTN</t>
  </si>
  <si>
    <t>Lãi tiền gửi</t>
  </si>
  <si>
    <t>515</t>
  </si>
  <si>
    <t>Phí dịch vụ thanh toán</t>
  </si>
  <si>
    <t>VAT Phí dịch vụ thanh toán</t>
  </si>
  <si>
    <t>Phí kiểm đếm</t>
  </si>
  <si>
    <t>VAT Phí kiểm đếm</t>
  </si>
  <si>
    <t>Trả lãi KU 1015LDS201402000</t>
  </si>
  <si>
    <t>Trả lãi KU 1015LDS201402368</t>
  </si>
  <si>
    <t>- Số dư cuối kỳ</t>
  </si>
  <si>
    <t xml:space="preserve"> - Sổ này có 01 Trang, đánh số từ 01 đến số trang 01.</t>
  </si>
  <si>
    <t>- Ngày mở sổ: 01/01/2015</t>
  </si>
  <si>
    <t>Ngày 31 tháng 03 năm 2015</t>
  </si>
  <si>
    <t>Số hiệu tài khoản tại nơi gửi: 101514851009193    USD</t>
  </si>
  <si>
    <t>Tỷ giá</t>
  </si>
  <si>
    <t>Chuyển USD</t>
  </si>
  <si>
    <t>131</t>
  </si>
  <si>
    <t>Trả lãi KU 1015LDS201401746</t>
  </si>
  <si>
    <t>Trả lãi KU 1015LDS201401772</t>
  </si>
  <si>
    <t>Trả lãi KU 1015LDS201401879</t>
  </si>
  <si>
    <t>- Ngày mở sổ: 02/01/2015</t>
  </si>
  <si>
    <t>Nơi mở tài khoản giao dịch: Ngân Hàng Eximbank Quận 4</t>
  </si>
  <si>
    <t>Số hiệu tài khoản tại nơi gửi: 140214851009465    VNĐ</t>
  </si>
  <si>
    <t>Phí dịch vụ thông báo số dư tự động</t>
  </si>
  <si>
    <t>- Ngày mở sổ: 21/11/2015</t>
  </si>
  <si>
    <t>Ngày 30 tháng 11 năm 2015</t>
  </si>
  <si>
    <t>Số hiệu tài khoản tại nơi gửi: 140214851009479    USD</t>
  </si>
  <si>
    <t>Trả lãi KU 1402LDS201401704</t>
  </si>
  <si>
    <t>- Ngày mở sổ: 01/01/2014</t>
  </si>
  <si>
    <t>Ngày 30 tháng 01 năm 2014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</si>
  <si>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</si>
  <si>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</si>
  <si>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</si>
  <si>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</si>
  <si>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</si>
  <si>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Xét nghiệm nước</t>
  </si>
  <si>
    <t>VAT Xét nghiệm nước</t>
  </si>
  <si>
    <t>VAT xăng, dầu</t>
  </si>
  <si>
    <t>3334</t>
  </si>
  <si>
    <t>3388</t>
  </si>
  <si>
    <t>VAT Xăng, dầu DO</t>
  </si>
  <si>
    <t>811</t>
  </si>
  <si>
    <t>Thanh toán tiền bao bì - Tấn Dũng</t>
  </si>
  <si>
    <t>Q11 - Rút tiền gửi NH nhập quỹ TM</t>
  </si>
  <si>
    <t>Thanh toán tiền bao bì - Nghị Hòa</t>
  </si>
  <si>
    <t>VAT Phí dịch vụ thông báo số dư tự động</t>
  </si>
  <si>
    <t>Chuyển VNĐ</t>
  </si>
  <si>
    <t>Q11&amp;Q4</t>
  </si>
  <si>
    <t>Phí thanh toán</t>
  </si>
  <si>
    <t>VAT Phí thanh toán</t>
  </si>
  <si>
    <t>Thanh toán tiền muối - Tân Thành</t>
  </si>
  <si>
    <t>Thanh toán tiền bao bì - Thành Phú</t>
  </si>
  <si>
    <t>Nước, nước thải, phí CSHT</t>
  </si>
  <si>
    <t>VAT Xăng, Dầu DO</t>
  </si>
  <si>
    <t>Q11 - Nộp tiền mặt vào TK</t>
  </si>
  <si>
    <t>VAT Dầu DO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</si>
  <si>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</si>
  <si>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</si>
  <si>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</si>
  <si>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</si>
  <si>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</si>
  <si>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</si>
  <si>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</si>
  <si>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</si>
  <si>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</si>
  <si>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</si>
  <si>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</si>
  <si>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</si>
  <si>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3338</t>
  </si>
  <si>
    <t>Phí lưu kho, bốc xếp</t>
  </si>
  <si>
    <t>VAT Phí lưu kho, bốc xếp</t>
  </si>
  <si>
    <t>VATphí CSHT</t>
  </si>
  <si>
    <t>Cước VT - CNTT T12/2013</t>
  </si>
  <si>
    <t>6422</t>
  </si>
  <si>
    <t>VAT Cước VT - CNTT T12/2013</t>
  </si>
  <si>
    <t>Cước CPN T12/2013</t>
  </si>
  <si>
    <t>VAT Cước CPN T12/2013</t>
  </si>
  <si>
    <t>Mua giấy vệ sinh</t>
  </si>
  <si>
    <t>VAT Mua giấy vệ sinh</t>
  </si>
  <si>
    <t>Q11 - Rút tiền VNĐ</t>
  </si>
  <si>
    <t>Trả tiền rác thải T12/2013</t>
  </si>
  <si>
    <t>Phí xếp dỡ, niêm chì, chứng từ</t>
  </si>
  <si>
    <t>6421</t>
  </si>
  <si>
    <t>VAT Phí xếp dỡ, niêm chì, chứng từ</t>
  </si>
  <si>
    <t>Thanh toán tiền băng keo - Thịnh Phước</t>
  </si>
  <si>
    <t>Chi TƯ mua NL - Thạch Tiền</t>
  </si>
  <si>
    <t>Chi TƯ mua NL - Nguyễn Văn Bé Hai</t>
  </si>
  <si>
    <t>Nộp tiền mặt vào TK</t>
  </si>
  <si>
    <t>Khám sức khoẻ HĐ 02/PKD/HĐKSK 2013</t>
  </si>
  <si>
    <t>Phí vị trí Standdout</t>
  </si>
  <si>
    <t>VAT Phí vị trí Standdout</t>
  </si>
  <si>
    <t>Thanh toán tiền hàng - Duy Tân</t>
  </si>
  <si>
    <t>Phí kiểm dịch khô cá mai</t>
  </si>
  <si>
    <t>Vệ sinh Container</t>
  </si>
  <si>
    <t>Cước vận tải quốc tế, phí THC, chứng từ</t>
  </si>
  <si>
    <t>VAT phí THC, chứng từ</t>
  </si>
  <si>
    <t>Đóng tiền chậm nộp HQ</t>
  </si>
  <si>
    <t>Lệ phí làm thủ tục hải quan</t>
  </si>
  <si>
    <t>Thu vốn - AL Trà Vinh</t>
  </si>
  <si>
    <t>Lệ phí hải quan</t>
  </si>
  <si>
    <t>Phí dịch vụ bảo vệ</t>
  </si>
  <si>
    <t>VAT Phí dịch vụ bảo vệ</t>
  </si>
  <si>
    <t>Phí điện và vận hành cont lạnh</t>
  </si>
  <si>
    <t>VAT Phí điện và vận hành cont lạnh</t>
  </si>
  <si>
    <t>Trả tiền rác thải T01/2014 + thưởng tết</t>
  </si>
  <si>
    <t>Nộp thuế GTGT hàng nhập khẩu</t>
  </si>
  <si>
    <t>33312</t>
  </si>
  <si>
    <t>Chi lương T1/2014</t>
  </si>
  <si>
    <t>Phí gia công</t>
  </si>
  <si>
    <t>VAT Phí gia công</t>
  </si>
  <si>
    <t>Rút ruột thủ công hàng lạnh</t>
  </si>
  <si>
    <t>VAT Rút ruột thủ công hàng lạnh</t>
  </si>
  <si>
    <t>Nước, Phí CSHT</t>
  </si>
  <si>
    <t>VAT Phí CSHT</t>
  </si>
  <si>
    <t>Phí vận chuyển</t>
  </si>
  <si>
    <t>VAT Phí vận chuyển</t>
  </si>
  <si>
    <t>Cước CPN T01/2014</t>
  </si>
  <si>
    <t>VAT Cước CPN T01/2014</t>
  </si>
  <si>
    <t>VAT xăng, dầu DO</t>
  </si>
  <si>
    <t>Mua văn phòng phẩm các loại</t>
  </si>
  <si>
    <t>VAT Mua văn phòng phẩm các loại</t>
  </si>
  <si>
    <t>Thanh toán tiền gas - Tân Hải Việt</t>
  </si>
  <si>
    <t>Phí xét nghiệm mẫu nước</t>
  </si>
  <si>
    <t>VAT Phí xét nghiệm mẫu nước</t>
  </si>
  <si>
    <t>Phí dịch vụ bảo vệ T02/2014</t>
  </si>
  <si>
    <t>VAT Phí dịch vụ bảo vệ T02/2014</t>
  </si>
  <si>
    <t>Thẻ chữ ký điện tử</t>
  </si>
  <si>
    <t>VAT Thẻ chữ ký điện tử</t>
  </si>
  <si>
    <t>Chi lương T2/2014</t>
  </si>
  <si>
    <t>Nước, phí hạ tầng</t>
  </si>
  <si>
    <t>VAT Phí hạ tầg</t>
  </si>
  <si>
    <t>Cước CPN T02/2014</t>
  </si>
  <si>
    <t>VAT Cước CPN T02/2014</t>
  </si>
  <si>
    <t>Hoàn vốn - Lê Thị Hoa</t>
  </si>
  <si>
    <t>Dầu</t>
  </si>
  <si>
    <t>Bảo dưỡng xe ô tô: 51A - 141.74</t>
  </si>
  <si>
    <t>VAT Bảo dưỡng xe ô tô: 51A - 141.74</t>
  </si>
  <si>
    <t>Dịch vụ bảo vệ T03/2014</t>
  </si>
  <si>
    <t>VAT Dịch vụ bảo vệ T03/2014</t>
  </si>
  <si>
    <t>Thanh toán tiền mè - Kỳ Hương</t>
  </si>
  <si>
    <t>Bình N120</t>
  </si>
  <si>
    <t>VAT Bình N120</t>
  </si>
  <si>
    <t>Khám sức khỏe đợt 2</t>
  </si>
  <si>
    <t>Form CO</t>
  </si>
  <si>
    <t>VAT Form CO</t>
  </si>
  <si>
    <t>Chi lương T3</t>
  </si>
  <si>
    <t>Trả tiền rác T02/2014 + T03/2014</t>
  </si>
  <si>
    <t>Cước VT _ CNTT T03/2014</t>
  </si>
  <si>
    <t>VAT Cước VT _ CNTT T03/2014</t>
  </si>
  <si>
    <t>Nước, phí CSHT</t>
  </si>
  <si>
    <t>VAT nước, phí CSHT</t>
  </si>
  <si>
    <t>Cước CPN T03/2014</t>
  </si>
  <si>
    <t>VAT Cước CPN T03/2014</t>
  </si>
  <si>
    <t>Sứ đỡ tăng cường FCO, LBFCO</t>
  </si>
  <si>
    <t>VAT Sứ đỡ tăng cường FCO, LBFCO</t>
  </si>
  <si>
    <t>Sửa xe ô tô 51A-141.74</t>
  </si>
  <si>
    <t>VAT Sửa xe ô tô 51A-141.74</t>
  </si>
  <si>
    <t>Gas lạnh, nhớt lạnh</t>
  </si>
  <si>
    <t>Phí sao y</t>
  </si>
  <si>
    <t>VAT xăng, Dầu DO</t>
  </si>
  <si>
    <t>Điện kỳ 2 T04/2014</t>
  </si>
  <si>
    <t>VAT Điện kỳ 2 T04/2014</t>
  </si>
  <si>
    <t>Văn phòng phẩm các loại</t>
  </si>
  <si>
    <t>VAT Văn phòng phẩm các loại</t>
  </si>
  <si>
    <t>Chi 3 chế độ quý I 2014</t>
  </si>
  <si>
    <t>Máy thổi khí</t>
  </si>
  <si>
    <t>Đóng ruột thủ công hàng lạnh</t>
  </si>
  <si>
    <t>VAT Đóng ruột thủ công hàng lạnh</t>
  </si>
  <si>
    <t>VAT phí CSHT</t>
  </si>
  <si>
    <t>VAT xăng,Dầu DO</t>
  </si>
  <si>
    <t>Chi lương</t>
  </si>
  <si>
    <t>Cước VT-CNTT T04/2014</t>
  </si>
  <si>
    <t>VAT Cước VT-CNTT T04/2014</t>
  </si>
  <si>
    <t>Trả tiền rác T04/2014</t>
  </si>
  <si>
    <t>Phí phân tích mẫu</t>
  </si>
  <si>
    <t>VAT Phí phân tích mẫu</t>
  </si>
  <si>
    <t>Cước CPN T04/2014</t>
  </si>
  <si>
    <t>VAT Cước CPN T04/2014</t>
  </si>
  <si>
    <t>Q4 - Rút tiền VNĐ</t>
  </si>
  <si>
    <t>Thu vốn - An Lạc TP</t>
  </si>
  <si>
    <t>Tiền vay theo KU 1402LAV201400504</t>
  </si>
  <si>
    <t>311</t>
  </si>
  <si>
    <t>Ứng vốn - AL Trà Vinh</t>
  </si>
  <si>
    <t>VAT xăng</t>
  </si>
  <si>
    <t>Mua Hoa tươi (quà tặng khách hàng)</t>
  </si>
  <si>
    <t>Mua VPP</t>
  </si>
  <si>
    <t>VAT Mua VPP</t>
  </si>
  <si>
    <t>Test thử Uree</t>
  </si>
  <si>
    <t>VAT phí Test thử Uree</t>
  </si>
  <si>
    <t>ĐG cá khô tẩm gia vị nướng các loại</t>
  </si>
  <si>
    <t>VAT ĐG cá khô tẩm gia vị nướng các loại</t>
  </si>
  <si>
    <t>Trả tiền rác T05/2014</t>
  </si>
  <si>
    <t>Cước VT-CNTT T05/2014</t>
  </si>
  <si>
    <t>VAT Cước VT-CNTT T05/2014</t>
  </si>
  <si>
    <t>Cước CPN T05/2014</t>
  </si>
  <si>
    <t>VAT Cước CPN T05/2014</t>
  </si>
  <si>
    <t>Sửa chữa xe 56S-1514</t>
  </si>
  <si>
    <t>VAT Sửa chữa xe 56S-1514</t>
  </si>
  <si>
    <t>VAT Dầu DO, Xăng</t>
  </si>
  <si>
    <t>Phí hiệu chỉnh nhiệt kế thủy ngân</t>
  </si>
  <si>
    <t>VAT Phí hiệu chỉnh nhiệt kế thủy ngân</t>
  </si>
  <si>
    <t>Bảo dưỡng xe 51A-141.74</t>
  </si>
  <si>
    <t>VAT phí bảo dưỡng xe 51A-141.74</t>
  </si>
  <si>
    <t>Sửa chữa xe 51A-141.74</t>
  </si>
  <si>
    <t>VAT Sửa chữa xe 51A-141.74</t>
  </si>
  <si>
    <t>Sửa chữa xưởng</t>
  </si>
  <si>
    <t>Phí hiệu chỉnh quả cân</t>
  </si>
  <si>
    <t>VAT Phí hiệu chỉnh quả cân</t>
  </si>
  <si>
    <t>Chi chế độ BHXH Quý II</t>
  </si>
  <si>
    <t>Bếp hồng ngoại</t>
  </si>
  <si>
    <t>VAT Bếp hồng ngoại</t>
  </si>
  <si>
    <t>Cước VT - CNTT T06/2014</t>
  </si>
  <si>
    <t>VAT Cước VT - CNTT T06/2014</t>
  </si>
  <si>
    <t>Cước CPN T06/2014</t>
  </si>
  <si>
    <t>VAT Cước CPN T06/2014</t>
  </si>
  <si>
    <t>Sữa chữa xưởng</t>
  </si>
  <si>
    <t>Phí xếp dỡ, niêm chì, phí khai hải quan</t>
  </si>
  <si>
    <t>VAT phí xếp dỡ, niêm chì, phí khai hải quan</t>
  </si>
  <si>
    <t>Cước và phụ phí vận chuyển</t>
  </si>
  <si>
    <t>VAT Cước và phụ phí vận chuyển</t>
  </si>
  <si>
    <t>Thanh toán tiền đào tạo HACCP</t>
  </si>
  <si>
    <t>Phí dịch vụ bảo vệ T07/14</t>
  </si>
  <si>
    <t>VAT Phí dịch vụ bảo vệ T07/14</t>
  </si>
  <si>
    <t>Chi phí tiếp khách</t>
  </si>
  <si>
    <t>Sửa chữa xe 56S - 1514</t>
  </si>
  <si>
    <t>VAT Sửa chữa xe 56S - 1514</t>
  </si>
  <si>
    <t>Mua ổ cứng, bộ nhớ vi tính</t>
  </si>
  <si>
    <t>VAT Mua ổ cứng, bộ nhớ vi tính</t>
  </si>
  <si>
    <t>C44</t>
  </si>
  <si>
    <t>C45</t>
  </si>
  <si>
    <t>C46</t>
  </si>
  <si>
    <t>Phí cấp cont, hạ bãi, kiểm hóa</t>
  </si>
  <si>
    <t>VAT Phí cấp cont, hạ bãi, kiểm hóa</t>
  </si>
  <si>
    <t>Cước VT-CNTT tháng 07/2014</t>
  </si>
  <si>
    <t>VAT Cước VT-CNTT tháng 07/2014</t>
  </si>
  <si>
    <t>Trả tiền rác T06+07/2014</t>
  </si>
  <si>
    <t>Cước CPN T07/2014</t>
  </si>
  <si>
    <t>VAT Cước CPN T07/2014</t>
  </si>
  <si>
    <t>Dầu DO, Xăng</t>
  </si>
  <si>
    <t>Phí cấp cont, hạ bãi</t>
  </si>
  <si>
    <t>VAT Phí cấp cont, hạ bãi</t>
  </si>
  <si>
    <t>Nộp phí, lệ phí</t>
  </si>
  <si>
    <t>Bảo dưỡng xe ô tô 51A-141.74</t>
  </si>
  <si>
    <t>VAT Bảo dưỡng xe ô tô 51A-141.74</t>
  </si>
  <si>
    <t>Sửa chữa máy lạnh</t>
  </si>
  <si>
    <t>Tiền vay theo KU 1402LAV201400598</t>
  </si>
  <si>
    <t>Phí xếp dỡ, phí niêm chì</t>
  </si>
  <si>
    <t>VAT Phí xếp dỡ, phí niêm chì</t>
  </si>
  <si>
    <t>Phí dịch vụ bảo vệ T08/2014</t>
  </si>
  <si>
    <t>VAT Phí dịch vụ bảo vệ T08/2014</t>
  </si>
  <si>
    <t>Sửa chữa, vệ sinh máy lạnh</t>
  </si>
  <si>
    <t>Lắp sứ đỡ tăng cường FCO</t>
  </si>
  <si>
    <t>VAT Lắp sứ đỡ tăng cường FCO</t>
  </si>
  <si>
    <t>Phí hạ bãi, nâng cont</t>
  </si>
  <si>
    <t>VAT Phí hạ bãi, nâng cont</t>
  </si>
  <si>
    <t>Phí phân tích mẵu</t>
  </si>
  <si>
    <t>Cước VT-CNTT tháng 08/2014</t>
  </si>
  <si>
    <t>VAT Cước VT-CNTT tháng 08/2014</t>
  </si>
  <si>
    <t>Cước CPN tháng 08/2014</t>
  </si>
  <si>
    <t>VAT Cước CPN tháng 08/2014</t>
  </si>
  <si>
    <t>Gas, nhớt</t>
  </si>
  <si>
    <t>Q11 - Nộp tiền vào TK</t>
  </si>
  <si>
    <t>Nộp phí, lệ phí, form AJ</t>
  </si>
  <si>
    <t>Phí sữa chữa xe 56S-1514</t>
  </si>
  <si>
    <t>VAT Phí sữa chữa xe 56S-1514</t>
  </si>
  <si>
    <t>Phí đánh giá khô cá mai tẩm gia vị</t>
  </si>
  <si>
    <t>VAT Phí đánh giá khô cá mai tẩm gia vị</t>
  </si>
  <si>
    <t>Nước, phí CSHT tháng 08/2014</t>
  </si>
  <si>
    <t>VAT nước tháng 08/2014</t>
  </si>
  <si>
    <t xml:space="preserve">VAT phí CSHT </t>
  </si>
  <si>
    <t>Phí CPN, phụ thu xăng</t>
  </si>
  <si>
    <t>VAT Phí CPN, phụ thu xăng</t>
  </si>
  <si>
    <t>Trả tiền rác T08+09/2014</t>
  </si>
  <si>
    <t>Chi chế độ BHXH Quý III</t>
  </si>
  <si>
    <t>Nước, phí CSHT, nước thải</t>
  </si>
  <si>
    <t>VAT phí CSHT, nước thải</t>
  </si>
  <si>
    <t>Cước VT-CNTT tháng 09/2014</t>
  </si>
  <si>
    <t>VAT Cước VT-CNTT tháng 09/2014</t>
  </si>
  <si>
    <t>Bình nóng lạnh</t>
  </si>
  <si>
    <t>VAT bình nóng lạnh</t>
  </si>
  <si>
    <t>Phí hạ bãi, cấp cont</t>
  </si>
  <si>
    <t>VAT Phí hạ bãi, cấp cont</t>
  </si>
  <si>
    <t>Rút tiền mặt nhập quỹ</t>
  </si>
  <si>
    <t>Thanh toán tiền thùng thiếc - Nam Việt</t>
  </si>
  <si>
    <t>Phí cấp cont, nâng cont</t>
  </si>
  <si>
    <t>VAT Phí cấp cont, nâng cont</t>
  </si>
  <si>
    <t>Phí hạ bãi</t>
  </si>
  <si>
    <t>VAT Phí hạ bãi</t>
  </si>
  <si>
    <t>Khám chữa bệnh</t>
  </si>
  <si>
    <t>Phí dịch vụ bảo vệ tháng 10/2014</t>
  </si>
  <si>
    <t>VAT Phí dịch vụ bảo vệ tháng 10/2014</t>
  </si>
  <si>
    <t>Mực in</t>
  </si>
  <si>
    <t>VAT Mực in</t>
  </si>
  <si>
    <t>VAT Bảo dưỡng xe 51A-141.74</t>
  </si>
  <si>
    <t>Phí chuyển phát nhanh, phụ thu xăng</t>
  </si>
  <si>
    <t>VAT Phí chuyển phát nhanh, phụ thu xăng</t>
  </si>
  <si>
    <t>Phí CSHT, nước thải</t>
  </si>
  <si>
    <t>VAT Phí CSHT, nước thải</t>
  </si>
  <si>
    <t>Cước VT-CNTT tháng 10/2014</t>
  </si>
  <si>
    <t>VAT Cước VT-CNTT tháng 10/2014</t>
  </si>
  <si>
    <t>Dịch vụ kê khai chữ ký số qua mạng</t>
  </si>
  <si>
    <t>VAT Dịch vụ kê khai chữ ký số qua mạng</t>
  </si>
  <si>
    <t>Bảo dưỡng xe 56S - 1514</t>
  </si>
  <si>
    <t>VAT Bảo dưỡng xe 56S-1514</t>
  </si>
  <si>
    <t>Q11 - Nộp tiền mặt</t>
  </si>
  <si>
    <t>Máy tính xách tay</t>
  </si>
  <si>
    <t>VAT Máy tính xách tay</t>
  </si>
  <si>
    <t>Phí, lệ phí</t>
  </si>
  <si>
    <t>Thuế GTGT hàng nhập khẩu bột biến tính</t>
  </si>
  <si>
    <t>Phí chứng từ, bốc xếp, xếp dỡ</t>
  </si>
  <si>
    <t>VAT Phí chứng từ, bốc xếp, xếp dỡ</t>
  </si>
  <si>
    <t>Thu vốn - An Lạc TV</t>
  </si>
  <si>
    <t>Phí bốc xếp kiểm hóa hàng kho</t>
  </si>
  <si>
    <t>VAT Phí bốc xếp kiểm hóa hàng kho</t>
  </si>
  <si>
    <t>Bộ nhớ máy tính xách tay</t>
  </si>
  <si>
    <t>VAT Bộ nhớ máy tính xách tay</t>
  </si>
  <si>
    <t>Phí chứng từ</t>
  </si>
  <si>
    <t>VAT Phí chứng từ</t>
  </si>
  <si>
    <t>Phụ phí, phí xếp dỡ, phí niêm chì</t>
  </si>
  <si>
    <t>VAT Phụ phí, phí xếp dỡ, phí niêm chì</t>
  </si>
  <si>
    <t>Phí dịch vụ bảo vệ tháng 11/2014</t>
  </si>
  <si>
    <t>VAT Phí dịch vụ bảo vệ tháng 11/2014</t>
  </si>
  <si>
    <t>Chi lương T11</t>
  </si>
  <si>
    <t>Nâng rỗng</t>
  </si>
  <si>
    <t>VAT Nâng rỗng</t>
  </si>
  <si>
    <t>Cước vận chuyển cont</t>
  </si>
  <si>
    <t>VAT Cước vận chuyển cont</t>
  </si>
  <si>
    <t>Nâng rỗng lạnh</t>
  </si>
  <si>
    <t>VAT Nâng rỗng lạnh</t>
  </si>
  <si>
    <t>Nước, nước thải</t>
  </si>
  <si>
    <t>VAT Nước, nước thải</t>
  </si>
  <si>
    <t>Cước VT - CNTT tháng 11/2014</t>
  </si>
  <si>
    <t>VAT Cước VT - CNTT tháng 11/2014</t>
  </si>
  <si>
    <t>Thu gom, vận chuyển rác thải</t>
  </si>
  <si>
    <t>Cấp cont rỗng lạnh</t>
  </si>
  <si>
    <t>VAT Cấp cont rỗng lạnh</t>
  </si>
  <si>
    <t>Hạ bãi chờ xuất cont hàng</t>
  </si>
  <si>
    <t>VAT Hạ bãi chờ xuất cont hàng</t>
  </si>
  <si>
    <t>Hạ bãi chờ xuất cont hàng lạnh</t>
  </si>
  <si>
    <t>VAT Hạ bãi chờ xuất cont hàng lạnh</t>
  </si>
  <si>
    <t>Hạ bãi chờ kiểm hóa cont hàng</t>
  </si>
  <si>
    <t>VAT Hạ bãi chờ kiểm hóa cont hàng</t>
  </si>
  <si>
    <t>Thanh toán tiền bột ngọt - Thành Long</t>
  </si>
  <si>
    <t>Thanh toán tiền đường - Ngọc Kim Yến</t>
  </si>
  <si>
    <t>Nâng hạ hàng cont</t>
  </si>
  <si>
    <t>VAT Nâng hạ hàng cont</t>
  </si>
  <si>
    <t>Gạch men</t>
  </si>
  <si>
    <t>VAT Gạch men</t>
  </si>
  <si>
    <t>Xăng, dầu</t>
  </si>
  <si>
    <t>Nộp tiền mặt</t>
  </si>
  <si>
    <t>Cước vận chuyển hàng</t>
  </si>
  <si>
    <t>VAT Cước vận chuyển hàng</t>
  </si>
  <si>
    <t>Khám chữa bệnh theo HĐ KSK</t>
  </si>
  <si>
    <t>Cước CPN T11</t>
  </si>
  <si>
    <t>VAT Cước CPN T11</t>
  </si>
  <si>
    <t>Nhớt, R22 Gas</t>
  </si>
  <si>
    <t>Xăng, Dầu</t>
  </si>
  <si>
    <t>VAT Xăng, Dầu</t>
  </si>
  <si>
    <t>Thanh toán tiền điện kỳ 2 tháng 12/2014</t>
  </si>
  <si>
    <t>VAT tiền điện kỳ 2 tháng 12/2014</t>
  </si>
  <si>
    <t>Thu tiền vay KU 1402LDS201403120</t>
  </si>
  <si>
    <t>Phí xác nhận kiến thức ATTP</t>
  </si>
  <si>
    <t>C47</t>
  </si>
  <si>
    <t>Phí hạ hàng</t>
  </si>
  <si>
    <t>VAT Phí hạ hàng</t>
  </si>
  <si>
    <t>C48</t>
  </si>
  <si>
    <t>C49</t>
  </si>
  <si>
    <t>C50</t>
  </si>
  <si>
    <t>Phí sửa chữa xe 56S - 1514</t>
  </si>
  <si>
    <t>VAT Phí sửa chữa xe 56S - 1514</t>
  </si>
  <si>
    <t>C51</t>
  </si>
  <si>
    <t>Phí lắp đặt camera</t>
  </si>
  <si>
    <t>VAT Phí lắp đặt camera</t>
  </si>
  <si>
    <t>C52</t>
  </si>
  <si>
    <t>Phí cung ứng dịch vụ bảo vệ T12/2014</t>
  </si>
  <si>
    <t>VAT Phí cung ứng dịch vụ bảo vệ T12/2014</t>
  </si>
  <si>
    <t>C53</t>
  </si>
  <si>
    <t>C54</t>
  </si>
  <si>
    <t>C55</t>
  </si>
  <si>
    <t>C56</t>
  </si>
  <si>
    <t>C57</t>
  </si>
  <si>
    <t>C58</t>
  </si>
  <si>
    <t>Cấp cont rỗng lạnh, hạ bãi</t>
  </si>
  <si>
    <t>VAT Cấp cont rỗng lạnh, hạ bãi</t>
  </si>
  <si>
    <t>C59</t>
  </si>
  <si>
    <t>C60</t>
  </si>
  <si>
    <t>C61</t>
  </si>
  <si>
    <t>Phí gửi chứng từ, phụ thu xăng</t>
  </si>
  <si>
    <t>VAT Phí gửi chứng từ, phụ thu xăng</t>
  </si>
  <si>
    <t>C62</t>
  </si>
  <si>
    <t>Cước CPN T12</t>
  </si>
  <si>
    <t>VAT Cước CPN T12</t>
  </si>
  <si>
    <t>C63</t>
  </si>
  <si>
    <t>Phí xếp dỡ, niêm chì, phụ phí cước</t>
  </si>
  <si>
    <t>VAT phí xếp dỡ, niêm chì, phụ phí cước</t>
  </si>
  <si>
    <t>VAT phí chứng từ</t>
  </si>
  <si>
    <t>C64</t>
  </si>
  <si>
    <t>Chi lương T12</t>
  </si>
  <si>
    <t>Thu tạm ứng mua NL - Nguyễn Văn Bé Hai</t>
  </si>
  <si>
    <t>T10</t>
  </si>
  <si>
    <t>Thu tạm ứng mua NL - Thạch Tiền</t>
  </si>
  <si>
    <t>Ứng vốn - Trà Vinh</t>
  </si>
  <si>
    <t>Thanh toán tiền điện - Điện Lực LA</t>
  </si>
  <si>
    <t>Rút tiền VNĐ</t>
  </si>
  <si>
    <t>Thu tiền hàng - Hoàng Hải</t>
  </si>
  <si>
    <t>Thanh toán tiền chiếu xạ - An Phú</t>
  </si>
  <si>
    <t>Nộp tiền BHYT T11/2013 + T12/2013</t>
  </si>
  <si>
    <t>3389</t>
  </si>
  <si>
    <t>Thanh toán tiền hàng - Tân Minh Thư</t>
  </si>
  <si>
    <t>Thanh toán cước tàu - AAAS</t>
  </si>
  <si>
    <t>Thanh toán tiền bảo hiểm - Bến Tre</t>
  </si>
  <si>
    <t>Thanh toán phí kiểm nghiệm Nafi4</t>
  </si>
  <si>
    <t>Trả lãi KU 1015LDS201301994</t>
  </si>
  <si>
    <t>Nộp thuế môn bài kỳ thuế 2014</t>
  </si>
  <si>
    <t>Lãi TGNH</t>
  </si>
  <si>
    <t>Tiền nhà vòm - Nam Thành Công</t>
  </si>
  <si>
    <t>Trả lãi tất toán KU 1015LDS201301628</t>
  </si>
  <si>
    <t>Tiền hoa hồng UTXK - Thủy Sản SG</t>
  </si>
  <si>
    <t>Thu tiền hàng - THS BR -VT</t>
  </si>
  <si>
    <t>Thanh toán tiền thuốc - CH Xuân Thu</t>
  </si>
  <si>
    <t>Ứng/Hoàn vốn - An Lạc TP</t>
  </si>
  <si>
    <t>Thanh toán cước tàu - Song Tân</t>
  </si>
  <si>
    <t>Phí thông báo L/C</t>
  </si>
  <si>
    <t>VAT Phí thông báo L/C</t>
  </si>
  <si>
    <t>Thanh toán cước tàu - Giai Điệu</t>
  </si>
  <si>
    <t>Mượn vốn - Lê Thị Hoa</t>
  </si>
  <si>
    <t>Trả lãi KU 1015LDS201301795</t>
  </si>
  <si>
    <t>Thanh toán cước vận chuyển và phí liên quan</t>
  </si>
  <si>
    <t>Phí thông báo số dư TK VNĐ</t>
  </si>
  <si>
    <t>VAT Phí thông báo số dư TK VNĐ</t>
  </si>
  <si>
    <t>Phí thông báo số dư TK USD</t>
  </si>
  <si>
    <t>VAT Phí thông báo số dư TK USD</t>
  </si>
  <si>
    <t>Thanh toán tiền - An Lạc SG</t>
  </si>
  <si>
    <t>Thanh toán tiền BHLĐ</t>
  </si>
  <si>
    <t>Nộp thuế TNCN kỳ thuế 2013</t>
  </si>
  <si>
    <t>3335</t>
  </si>
  <si>
    <t>Phí thanh toán, kiểm đếm</t>
  </si>
  <si>
    <t>VAT Phí thanh toán, kiểm đếm</t>
  </si>
  <si>
    <t>Phí DHL</t>
  </si>
  <si>
    <t>VAT Phí DHL</t>
  </si>
  <si>
    <t>Nộp tiền BHYT đến T03/2014</t>
  </si>
  <si>
    <t>Thanh toán tiền thuê xe - An Lạc SG</t>
  </si>
  <si>
    <t>Nộp thuế TNDN quý IV</t>
  </si>
  <si>
    <t>Phạt Chậm nộp thuế TNDN quý IV</t>
  </si>
  <si>
    <t>Phạt nộp chậm kỳ thuế 2013</t>
  </si>
  <si>
    <t>BHXH LA kinh phí chế độ quý 1/2014</t>
  </si>
  <si>
    <t>Thanh toán cước tàu - Speedgate</t>
  </si>
  <si>
    <t>Nộp thuế TNDN quý I kỳ thuế 2014</t>
  </si>
  <si>
    <t>Thanh toán cước tàu - Phương Đông</t>
  </si>
  <si>
    <t>Nộp thuế TNDN năm 2013</t>
  </si>
  <si>
    <t>Nộp chậm nộp phát sinh thuế TNDN 2013</t>
  </si>
  <si>
    <t>Phạt nộp chậm thuế TNDN kỳ thuế 2014</t>
  </si>
  <si>
    <t>Nộp tiền BHYT hết T05/2014</t>
  </si>
  <si>
    <t>Trả lãi tất toán KU 1015LDS201400091</t>
  </si>
  <si>
    <t>Trả lãi tất toán KU 1015LDS201400123</t>
  </si>
  <si>
    <t>Phí thanh toán, dịch vụ ngân quỹ</t>
  </si>
  <si>
    <t>VAT Phí thanh toán, dịch vụ ngân quỹ</t>
  </si>
  <si>
    <t>Phí thu về dịch vụ ngân quỹ</t>
  </si>
  <si>
    <t>VAT Phí thu về dịch vụ ngân quỹ</t>
  </si>
  <si>
    <t>Nộp tiền BHYT hết T06/2014</t>
  </si>
  <si>
    <t>Ban ngoại tệ chuyển TK VNĐ</t>
  </si>
  <si>
    <t>Tiền bảo hiểm BIDV số: 02142519</t>
  </si>
  <si>
    <t>Tiền phí sử dụng phần mềm khai HQ</t>
  </si>
  <si>
    <t>Thu hồi tiền thuế GTGT 2008-2012</t>
  </si>
  <si>
    <t>Tiền phạt nộp chậm, kỳ thuế 2008-2012</t>
  </si>
  <si>
    <t>Nộp thuế TNDN kỳ thuế 2008-2012</t>
  </si>
  <si>
    <t>Phạt vi phạm thuế kỳ thuế 2008-2012</t>
  </si>
  <si>
    <t>Phí kiểm đếm, phí dịch vụ</t>
  </si>
  <si>
    <t>VAT Phí kiểm đếm, phí dịch vụ</t>
  </si>
  <si>
    <t xml:space="preserve">Phí thanh toán </t>
  </si>
  <si>
    <t>VAT phí thanh toán</t>
  </si>
  <si>
    <t>Tiền hóa chất - Thành Phương</t>
  </si>
  <si>
    <t>VAT phí thanh tooán</t>
  </si>
  <si>
    <t>Trả lãi tất toán KU 1015LDS201400441</t>
  </si>
  <si>
    <t>Thanh toán tiền bao bì - Tân Minh Thư</t>
  </si>
  <si>
    <t>Thanh toán tiền phí đào tạo HACCP</t>
  </si>
  <si>
    <t>VAT phí thông báo L/C</t>
  </si>
  <si>
    <t>Trả lãi KU 1015LDS201401258</t>
  </si>
  <si>
    <t>Trả lãi KU 1015LDS201400651</t>
  </si>
  <si>
    <t>Trả lãi KU 1015LDS201401292</t>
  </si>
  <si>
    <t>Trả lãi KU 1015LDS201401534</t>
  </si>
  <si>
    <t>chuyển VNĐ</t>
  </si>
  <si>
    <t>Phí thanh toán, phí kiểm đếm</t>
  </si>
  <si>
    <t>VAT Phí thanh toán, phí kiểm đếm</t>
  </si>
  <si>
    <t>Phí thông báo tu chỉnh L/C</t>
  </si>
  <si>
    <t>VAT Phí thông báo tu chỉnh L/C</t>
  </si>
  <si>
    <t>Thanh toán cước tàu - Eimskip</t>
  </si>
  <si>
    <t>Thanh toán cước tàu - Headway</t>
  </si>
  <si>
    <t>Hoàn thuế QD 715 - 22/07/14</t>
  </si>
  <si>
    <t>711</t>
  </si>
  <si>
    <t>Thanh toán tiền Sorbitol - Thành Phương</t>
  </si>
  <si>
    <t>Ứng tiền - Phạm Văn Dol</t>
  </si>
  <si>
    <t>Phí điều chỉnh lệnh chuyển tiền 24/10/14</t>
  </si>
  <si>
    <t>VAT phí điều chỉnh lệnh chuyển tiền</t>
  </si>
  <si>
    <t>Phạt chậm nộp NS</t>
  </si>
  <si>
    <t>Ứng vốn - Đặng Thành Thang</t>
  </si>
  <si>
    <t>Phí thanh toán ngoài nước</t>
  </si>
  <si>
    <t>VAT Phí thanh toán ngoài nước</t>
  </si>
  <si>
    <t>Điện phí chuyển điện</t>
  </si>
  <si>
    <t>VAT Điện phí chuyển điện</t>
  </si>
  <si>
    <t>Thanh toán tiền sorbitol - Sumimoto</t>
  </si>
  <si>
    <t>Hoàn vốn - Đặng Thành Thang</t>
  </si>
  <si>
    <t>Thanh toán tiền bao bì - Nam Việt</t>
  </si>
  <si>
    <t>Trả lãi KU 1015LDS201401631</t>
  </si>
  <si>
    <t>Phí thông báo số dư tự đông TK VNĐ</t>
  </si>
  <si>
    <t>VAT phí thông báo số dư</t>
  </si>
  <si>
    <t>Phí thông báo số dư tự đông TK USD</t>
  </si>
  <si>
    <t>Trả lãi tất toán KU 1015LDS201401258</t>
  </si>
  <si>
    <t>Bán ngoại tệ</t>
  </si>
  <si>
    <t>Thu tiền hàng Jintatsu</t>
  </si>
  <si>
    <t>Phí thương lượng chứng từ</t>
  </si>
  <si>
    <t>VAT Phí thương lượng chứng từ</t>
  </si>
  <si>
    <t>Thu tiền hàng Trade House</t>
  </si>
  <si>
    <t>Tất toán KU 1015LDS201301328</t>
  </si>
  <si>
    <t>Lãi tất toán KU 1015LDS201301328</t>
  </si>
  <si>
    <t>Vay KU 1015LDS201400091</t>
  </si>
  <si>
    <t>Thu tiền hàng Namgyung</t>
  </si>
  <si>
    <t>Tất toán KU 1015LDS201301388</t>
  </si>
  <si>
    <t>Lãi tất toán KU 1015LDS201301388</t>
  </si>
  <si>
    <t>vay KU 1015LDS201400123</t>
  </si>
  <si>
    <t>Trả lãi KU 1015LDS201301628</t>
  </si>
  <si>
    <t>Thu tiền hàng Belokea</t>
  </si>
  <si>
    <t>Tất toán  KU 1015LDS201301628</t>
  </si>
  <si>
    <t>Vay KU 1015LDS201400256</t>
  </si>
  <si>
    <t>Trả lãi KU 1015LDS201400091</t>
  </si>
  <si>
    <t>Trả lãi KU 1015LDS201400123</t>
  </si>
  <si>
    <t>Chuyển ngoại tệ</t>
  </si>
  <si>
    <t>Vay KU 1015LDS201400441</t>
  </si>
  <si>
    <t>Tất toán KU 1015LDS201301795</t>
  </si>
  <si>
    <t>Thu tiền hàng Tokai</t>
  </si>
  <si>
    <t>Trả lãi KU 1015LDS201400256</t>
  </si>
  <si>
    <t>VAT Phi thông báo tu chỉnh L/C</t>
  </si>
  <si>
    <t>Vay KU 1015LDS201400651</t>
  </si>
  <si>
    <t>Tất toán KU 1015LDS201301994</t>
  </si>
  <si>
    <t>Trả lãi KU 1015LDS201400441</t>
  </si>
  <si>
    <t>Trả lại tiền hàng Habiet</t>
  </si>
  <si>
    <t>Phí thông báo số dư tự động TK USD</t>
  </si>
  <si>
    <t>VAT Phí thông báo số dư tự động TK USD</t>
  </si>
  <si>
    <t>phí dịch vụ</t>
  </si>
  <si>
    <t>VAT phí dịch vụ</t>
  </si>
  <si>
    <t>Thu tiền hàng Ukraina</t>
  </si>
  <si>
    <t>chuyển ngoại tệ</t>
  </si>
  <si>
    <t>Tất toán KU 1015LDS201400091</t>
  </si>
  <si>
    <t>Thu tiền hàng Three C</t>
  </si>
  <si>
    <t>Vay KU 1015LDS201401258</t>
  </si>
  <si>
    <t>Tất toán KU 1015LDS201400123</t>
  </si>
  <si>
    <t>Vay KU 1015LDS201401292</t>
  </si>
  <si>
    <t>Phí xử lý bộ chứng từ</t>
  </si>
  <si>
    <t>VAT Phí xử lý bộ chứng từ</t>
  </si>
  <si>
    <t>Phí tu chỉnh L/C</t>
  </si>
  <si>
    <t>VAT Phí tu chỉnh L/C</t>
  </si>
  <si>
    <t>Trả một phần gốc KU 1015LDS201400256</t>
  </si>
  <si>
    <t>Vay KU 1015LDS201401534</t>
  </si>
  <si>
    <t>Vay KU 1015LDS201401631</t>
  </si>
  <si>
    <t>Thu tiền hàng Bizmax</t>
  </si>
  <si>
    <t>Phí xử lý chứng từ, phí DHL</t>
  </si>
  <si>
    <t>VAT Phí xử lý chứng từ, phí DHL</t>
  </si>
  <si>
    <t>Tất toán KU 1015LDS201400256</t>
  </si>
  <si>
    <t>Thu tiền hàng ATB</t>
  </si>
  <si>
    <t>Trả một phần gốc KU 1015LDS201400441</t>
  </si>
  <si>
    <t>vay KU 1015LDS201401746</t>
  </si>
  <si>
    <t>Tất toán KU 1015LDS201400441</t>
  </si>
  <si>
    <t>Vay KU 1015LDS201401772</t>
  </si>
  <si>
    <t>Vay KU 1015LDS201401879</t>
  </si>
  <si>
    <t>Tất toán KU 1015LDS201400651</t>
  </si>
  <si>
    <t>Trả lãi Tất toán gốc KU 1015LDS201400651</t>
  </si>
  <si>
    <t>Phí dịch vụ thanh toán, điện phí</t>
  </si>
  <si>
    <t>VAT Phí dịch vụ thanh toán, điện phí</t>
  </si>
  <si>
    <t>Trả một phần gốc KU 1015LDS201000102</t>
  </si>
  <si>
    <t>341</t>
  </si>
  <si>
    <t>Trả một phần gốc KU 1015LDS201100376</t>
  </si>
  <si>
    <t>Trả một phần gốc KU 1015LDS201100377</t>
  </si>
  <si>
    <t>Trả một phần gốc KU 1015LDS201100378</t>
  </si>
  <si>
    <t>Vay KU 1015LDS201402000</t>
  </si>
  <si>
    <t>Ký quỹ thanh toán</t>
  </si>
  <si>
    <t xml:space="preserve"> Tất toán KU 1015LDS201402368</t>
  </si>
  <si>
    <t>Thu tiền hàng DongXing</t>
  </si>
  <si>
    <t>Thu tiền hàng Snack</t>
  </si>
  <si>
    <t>Thu tiền hàng Yanbian</t>
  </si>
  <si>
    <t>Thu tiền hàng Yih Yii</t>
  </si>
  <si>
    <t>Vay KU 1015LDS201402775</t>
  </si>
  <si>
    <t>Vay KU 1015LDS201402807</t>
  </si>
  <si>
    <t>Vay KU 1015LDS201402868</t>
  </si>
  <si>
    <t>Trả nợ KU 1015LDS201401258</t>
  </si>
  <si>
    <t>Trả nợ KU 1015LDS201401292</t>
  </si>
  <si>
    <t>Hoàn thuế theo QĐ 1127/QD -GC/HT-SXXK</t>
  </si>
  <si>
    <t>Phí thông báo số dư tự động TK VNĐ</t>
  </si>
  <si>
    <t>VAT Phí thông báo số dư tự động TK VNĐ</t>
  </si>
  <si>
    <t>Thanh toán tiền giám sát MT Minh Việt</t>
  </si>
  <si>
    <t>Phí duy trì sử dụng mã số: 89352265</t>
  </si>
  <si>
    <t>Vay KU 1402LDS201401052</t>
  </si>
  <si>
    <t>Vay KU 1402LDS201401189</t>
  </si>
  <si>
    <t>Phí dịch vụ Internet banking</t>
  </si>
  <si>
    <t>Trả lãi KU 1402LDS201400889</t>
  </si>
  <si>
    <t>Trả lãi KU 1402LDS201401052</t>
  </si>
  <si>
    <t>Phí dịch vụ thông báo TK 140214851009465</t>
  </si>
  <si>
    <t>Phí dịch vụ thông báo TK 140214851009479</t>
  </si>
  <si>
    <t>Trả lãi KU 1402LDS201401189</t>
  </si>
  <si>
    <t>Trả lãi KU 1402LDS2014001189</t>
  </si>
  <si>
    <t>Vay KU 1402LSD201402734</t>
  </si>
  <si>
    <t>Vay KU 1402LDS201403271</t>
  </si>
  <si>
    <t>Trả lãi tất toán KU 1402LDS201401052</t>
  </si>
  <si>
    <t>Trả lãi tất toán KU 1402LDS201401189</t>
  </si>
  <si>
    <t>Thu tiền hàng Cuulong Trading</t>
  </si>
  <si>
    <t>Thu tiền hàng Hanbiet</t>
  </si>
  <si>
    <t>Lãi suất CK L/C</t>
  </si>
  <si>
    <t>Chuyển NT</t>
  </si>
  <si>
    <t>Q4 - Trả gốc KU 1402LDS201400889</t>
  </si>
  <si>
    <t>Trả  nợ KU 1402LDS201401052</t>
  </si>
  <si>
    <t>Trả nợ vay KU 1402LDS201401189</t>
  </si>
  <si>
    <t>Mẫu số S05b-DNN</t>
  </si>
  <si>
    <t>(Ban hành theo QĐ số 48/2006/QĐ-BTC Ngày 14/09/2006 của Bộ trưởng BTC)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</si>
</sst>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1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</cellStyleXfs>
  <cellXfs count="459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17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49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 wrapText="1"/>
    </xf>
    <xf numFmtId="164" fontId="38" fillId="0" borderId="16" xfId="0" applyNumberFormat="1" applyFont="1" applyBorder="1" applyAlignment="1">
      <alignment horizontal="center" vertical="center"/>
    </xf>
    <xf numFmtId="164" fontId="38" fillId="0" borderId="16" xfId="29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horizontal="left" vertical="center" wrapText="1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horizontal="left" vertical="center" wrapText="1"/>
    </xf>
    <xf numFmtId="164" fontId="38" fillId="0" borderId="16" xfId="0" applyNumberFormat="1" applyFont="1" applyBorder="1" applyAlignment="1">
      <alignment vertical="center" wrapText="1"/>
    </xf>
    <xf numFmtId="164" fontId="38" fillId="0" borderId="0" xfId="0" applyNumberFormat="1" applyFont="1" applyAlignment="1">
      <alignment vertical="center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49" fontId="33" fillId="0" borderId="16" xfId="0" applyNumberFormat="1" applyFont="1" applyBorder="1" applyAlignment="1">
      <alignment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29" applyNumberFormat="1" applyFont="1" applyBorder="1" applyAlignment="1">
      <alignment horizontal="righ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4" fontId="39" fillId="0" borderId="16" xfId="0" applyNumberFormat="1" applyFont="1" applyBorder="1" applyAlignment="1">
      <alignment horizontal="center" vertical="center" wrapText="1"/>
    </xf>
    <xf numFmtId="164" fontId="39" fillId="0" borderId="16" xfId="0" applyNumberFormat="1" applyFont="1" applyBorder="1" applyAlignment="1">
      <alignment horizontal="center" vertical="center"/>
    </xf>
    <xf numFmtId="164" fontId="39" fillId="0" borderId="16" xfId="0" applyNumberFormat="1" applyFont="1" applyBorder="1" applyAlignment="1">
      <alignment horizontal="left" vertical="center" wrapText="1"/>
    </xf>
    <xf numFmtId="164" fontId="39" fillId="0" borderId="16" xfId="0" quotePrefix="1" applyNumberFormat="1" applyFont="1" applyBorder="1" applyAlignment="1">
      <alignment horizontal="center" vertical="center" wrapText="1"/>
    </xf>
    <xf numFmtId="164" fontId="39" fillId="0" borderId="16" xfId="29" applyNumberFormat="1" applyFont="1" applyBorder="1" applyAlignment="1">
      <alignment horizontal="left" vertical="center" wrapText="1"/>
    </xf>
    <xf numFmtId="164" fontId="39" fillId="0" borderId="16" xfId="0" applyNumberFormat="1" applyFont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14" fontId="32" fillId="0" borderId="0" xfId="53" applyNumberFormat="1" applyFont="1" applyFill="1" applyBorder="1" applyAlignment="1">
      <alignment vertical="center"/>
    </xf>
    <xf numFmtId="0" fontId="32" fillId="0" borderId="0" xfId="53" applyFont="1" applyFill="1" applyBorder="1" applyAlignment="1">
      <alignment horizontal="center" vertical="center"/>
    </xf>
    <xf numFmtId="164" fontId="32" fillId="0" borderId="0" xfId="53" applyNumberFormat="1" applyFont="1" applyFill="1" applyAlignment="1">
      <alignment vertical="center"/>
    </xf>
    <xf numFmtId="14" fontId="32" fillId="0" borderId="0" xfId="53" quotePrefix="1" applyNumberFormat="1" applyFont="1" applyFill="1" applyAlignment="1">
      <alignment horizontal="left" vertical="center"/>
    </xf>
    <xf numFmtId="14" fontId="33" fillId="0" borderId="0" xfId="53" applyNumberFormat="1" applyFont="1" applyFill="1" applyAlignment="1">
      <alignment vertical="center" wrapText="1"/>
    </xf>
    <xf numFmtId="14" fontId="35" fillId="0" borderId="0" xfId="53" applyNumberFormat="1" applyFont="1" applyFill="1" applyAlignment="1">
      <alignment horizontal="center" vertical="center" wrapText="1"/>
    </xf>
    <xf numFmtId="14" fontId="33" fillId="0" borderId="0" xfId="53" applyNumberFormat="1" applyFont="1" applyFill="1" applyAlignment="1">
      <alignment horizontal="center" vertical="center" wrapText="1"/>
    </xf>
    <xf numFmtId="0" fontId="33" fillId="0" borderId="0" xfId="53" applyFont="1" applyFill="1" applyAlignment="1">
      <alignment vertical="center"/>
    </xf>
    <xf numFmtId="0" fontId="33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0" fontId="58" fillId="0" borderId="0" xfId="53" applyFont="1" applyBorder="1" applyAlignment="1">
      <alignment vertical="center"/>
    </xf>
    <xf numFmtId="0" fontId="58" fillId="0" borderId="0" xfId="53" applyFont="1" applyBorder="1" applyAlignment="1">
      <alignment horizontal="center" vertical="center"/>
    </xf>
    <xf numFmtId="164" fontId="32" fillId="0" borderId="24" xfId="29" applyNumberFormat="1" applyFont="1" applyBorder="1" applyAlignment="1">
      <alignment horizontal="center" vertical="center"/>
    </xf>
    <xf numFmtId="0" fontId="58" fillId="0" borderId="0" xfId="53" quotePrefix="1" applyFont="1" applyAlignment="1">
      <alignment horizontal="left" vertical="center"/>
    </xf>
    <xf numFmtId="0" fontId="57" fillId="28" borderId="0" xfId="53" applyFont="1" applyFill="1" applyAlignment="1">
      <alignment vertical="center" wrapText="1"/>
    </xf>
    <xf numFmtId="0" fontId="64" fillId="28" borderId="0" xfId="53" applyFont="1" applyFill="1" applyAlignment="1">
      <alignment horizontal="center" vertical="center" wrapText="1"/>
    </xf>
    <xf numFmtId="164" fontId="57" fillId="28" borderId="0" xfId="29" applyNumberFormat="1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/>
    </xf>
    <xf numFmtId="43" fontId="57" fillId="28" borderId="0" xfId="29" applyFont="1" applyFill="1" applyAlignment="1">
      <alignment horizontal="center" vertical="center" wrapText="1"/>
    </xf>
    <xf numFmtId="43" fontId="33" fillId="0" borderId="0" xfId="29" applyFont="1" applyAlignment="1">
      <alignment vertical="center"/>
    </xf>
    <xf numFmtId="0" fontId="33" fillId="0" borderId="0" xfId="53" applyFont="1" applyAlignment="1">
      <alignment vertical="center"/>
    </xf>
    <xf numFmtId="0" fontId="58" fillId="28" borderId="0" xfId="53" applyFont="1" applyFill="1" applyAlignment="1">
      <alignment horizontal="center" vertical="center" wrapText="1"/>
    </xf>
    <xf numFmtId="164" fontId="58" fillId="28" borderId="0" xfId="29" applyNumberFormat="1" applyFont="1" applyFill="1" applyAlignment="1">
      <alignment horizontal="center" vertical="center"/>
    </xf>
    <xf numFmtId="43" fontId="58" fillId="28" borderId="0" xfId="29" applyFont="1" applyFill="1" applyAlignment="1">
      <alignment horizontal="center" vertical="center"/>
    </xf>
    <xf numFmtId="0" fontId="58" fillId="28" borderId="0" xfId="53" applyFont="1" applyFill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5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6" fillId="0" borderId="16" xfId="0" applyNumberFormat="1" applyFont="1" applyBorder="1" applyAlignment="1">
      <alignment horizontal="left" vertical="center" wrapText="1"/>
    </xf>
    <xf numFmtId="0" fontId="67" fillId="0" borderId="16" xfId="53" applyFont="1" applyFill="1" applyBorder="1" applyAlignment="1">
      <alignment vertical="center" wrapText="1"/>
    </xf>
    <xf numFmtId="0" fontId="68" fillId="0" borderId="0" xfId="53" applyFont="1" applyFill="1" applyAlignment="1">
      <alignment vertical="center"/>
    </xf>
    <xf numFmtId="14" fontId="68" fillId="0" borderId="16" xfId="53" applyNumberFormat="1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horizontal="center" vertical="center" wrapText="1"/>
    </xf>
    <xf numFmtId="0" fontId="68" fillId="0" borderId="16" xfId="53" applyFont="1" applyFill="1" applyBorder="1" applyAlignment="1">
      <alignment vertical="center" wrapText="1"/>
    </xf>
    <xf numFmtId="164" fontId="68" fillId="0" borderId="16" xfId="53" applyNumberFormat="1" applyFont="1" applyFill="1" applyBorder="1" applyAlignment="1">
      <alignment vertical="center" wrapText="1"/>
    </xf>
    <xf numFmtId="0" fontId="68" fillId="0" borderId="16" xfId="53" quotePrefix="1" applyFont="1" applyFill="1" applyBorder="1" applyAlignment="1">
      <alignment horizontal="center" vertical="center" wrapText="1"/>
    </xf>
    <xf numFmtId="164" fontId="68" fillId="0" borderId="16" xfId="29" applyNumberFormat="1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center" vertical="center" wrapText="1"/>
    </xf>
    <xf numFmtId="43" fontId="68" fillId="0" borderId="16" xfId="29" applyFont="1" applyFill="1" applyBorder="1" applyAlignment="1">
      <alignment horizontal="right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right" vertical="center" wrapText="1"/>
    </xf>
    <xf numFmtId="164" fontId="67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43" fontId="36" fillId="0" borderId="0" xfId="29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0" xfId="0" applyNumberFormat="1" applyFont="1" applyBorder="1" applyAlignment="1">
      <alignment horizontal="left" vertical="center" wrapText="1"/>
    </xf>
    <xf numFmtId="14" fontId="40" fillId="0" borderId="16" xfId="0" applyNumberFormat="1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vertical="center" wrapText="1"/>
    </xf>
    <xf numFmtId="0" fontId="40" fillId="0" borderId="16" xfId="0" applyFont="1" applyFill="1" applyBorder="1" applyAlignment="1">
      <alignment horizontal="center" vertical="center" wrapText="1"/>
    </xf>
    <xf numFmtId="0" fontId="40" fillId="0" borderId="16" xfId="0" quotePrefix="1" applyFont="1" applyFill="1" applyBorder="1" applyAlignment="1">
      <alignment horizontal="center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35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60" fillId="0" borderId="0" xfId="53" applyFont="1" applyAlignment="1">
      <alignment horizontal="center" vertical="center" wrapText="1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8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0"/>
  <sheetViews>
    <sheetView workbookViewId="0">
      <selection activeCell="C14" sqref="C14"/>
    </sheetView>
  </sheetViews>
  <sheetFormatPr defaultColWidth="5.42578125" defaultRowHeight="15"/>
  <cols>
    <col min="1" max="1" width="4.28515625" style="75" customWidth="1"/>
    <col min="2" max="2" width="5.28515625" style="75" customWidth="1"/>
    <col min="3" max="3" width="14.85546875" style="75" customWidth="1"/>
    <col min="4" max="4" width="16" style="75" customWidth="1"/>
    <col min="5" max="5" width="3.85546875" style="75" customWidth="1"/>
    <col min="6" max="6" width="6" style="75" customWidth="1"/>
    <col min="7" max="8" width="6.7109375" style="75" customWidth="1"/>
    <col min="9" max="9" width="10.42578125" style="75" customWidth="1"/>
    <col min="10" max="10" width="5.85546875" style="75" customWidth="1"/>
    <col min="11" max="11" width="8.28515625" style="75" customWidth="1"/>
    <col min="12" max="12" width="5" style="75" customWidth="1"/>
    <col min="13" max="13" width="6.42578125" style="75" customWidth="1"/>
    <col min="14" max="14" width="3.140625" style="75" customWidth="1"/>
    <col min="15" max="15" width="7.140625" style="75" customWidth="1"/>
    <col min="16" max="16" width="5" style="109" customWidth="1"/>
    <col min="17" max="17" width="5" style="75" customWidth="1"/>
    <col min="18" max="18" width="1.5703125" style="75" customWidth="1"/>
    <col min="19" max="19" width="5" style="75" customWidth="1"/>
    <col min="20" max="20" width="1.5703125" style="75" customWidth="1"/>
    <col min="21" max="21" width="5.5703125" style="75" customWidth="1"/>
    <col min="22" max="22" width="9.42578125" style="75" bestFit="1" customWidth="1"/>
    <col min="23" max="220" width="9.140625" style="75" customWidth="1"/>
    <col min="221" max="221" width="11.28515625" style="75" customWidth="1"/>
    <col min="222" max="238" width="9.140625" style="75" customWidth="1"/>
    <col min="239" max="239" width="10" style="75" customWidth="1"/>
    <col min="240" max="240" width="13.5703125" style="75" customWidth="1"/>
    <col min="241" max="245" width="2" style="75" customWidth="1"/>
    <col min="246" max="246" width="4.5703125" style="75" customWidth="1"/>
    <col min="247" max="249" width="2" style="75" customWidth="1"/>
    <col min="250" max="251" width="3" style="75" customWidth="1"/>
    <col min="252" max="16384" width="5.42578125" style="75"/>
  </cols>
  <sheetData>
    <row r="1" spans="2:252" ht="12.75" customHeight="1">
      <c r="B1" s="73" t="s">
        <v>0</v>
      </c>
      <c r="C1" s="74"/>
      <c r="D1" s="74"/>
      <c r="E1" s="74"/>
      <c r="F1" s="74"/>
      <c r="G1" s="74"/>
      <c r="I1" s="76"/>
      <c r="L1" s="77" t="str">
        <f>+IF(LEFT($S$4,1)="T","Mẫu số 01 - TT","Mẫu số 02 - TT")</f>
        <v>Mẫu số 02 - TT</v>
      </c>
      <c r="N1" s="78"/>
      <c r="O1" s="78"/>
      <c r="P1" s="79"/>
      <c r="Q1" s="70"/>
      <c r="R1" s="70"/>
      <c r="S1" s="70"/>
      <c r="T1" s="71"/>
      <c r="U1" s="70"/>
      <c r="V1" s="80"/>
      <c r="IE1" s="81"/>
      <c r="IF1" s="81"/>
      <c r="IG1" s="81"/>
      <c r="IH1" s="81"/>
      <c r="II1" s="81"/>
      <c r="IJ1" s="81"/>
      <c r="IK1" s="81"/>
      <c r="IL1" s="81"/>
      <c r="IM1" s="81"/>
      <c r="IN1" s="81"/>
      <c r="IO1" s="81"/>
      <c r="IP1" s="81"/>
      <c r="IQ1" s="81"/>
      <c r="IR1" s="81"/>
    </row>
    <row r="2" spans="2:252" ht="12.75" customHeight="1">
      <c r="B2" s="82" t="s">
        <v>73</v>
      </c>
      <c r="C2" s="74"/>
      <c r="D2" s="74"/>
      <c r="E2" s="74"/>
      <c r="F2" s="74"/>
      <c r="G2" s="74"/>
      <c r="H2" s="76"/>
      <c r="I2" s="76"/>
      <c r="L2" s="69" t="s">
        <v>124</v>
      </c>
      <c r="N2" s="83"/>
      <c r="O2" s="83"/>
      <c r="P2" s="79"/>
      <c r="Q2" s="70"/>
      <c r="R2" s="70"/>
      <c r="S2" s="70"/>
      <c r="T2" s="72"/>
      <c r="U2" s="91" t="s">
        <v>127</v>
      </c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</row>
    <row r="3" spans="2:252" ht="12.75" customHeight="1">
      <c r="B3" s="82"/>
      <c r="C3" s="74"/>
      <c r="D3" s="74"/>
      <c r="E3" s="74"/>
      <c r="G3" s="74"/>
      <c r="I3" s="84"/>
      <c r="L3" s="69" t="s">
        <v>125</v>
      </c>
      <c r="N3" s="83"/>
      <c r="O3" s="83"/>
      <c r="P3" s="85"/>
      <c r="Q3" s="91" t="s">
        <v>126</v>
      </c>
      <c r="R3" s="70"/>
      <c r="S3" s="70"/>
      <c r="T3" s="72"/>
      <c r="U3" s="91" t="s">
        <v>128</v>
      </c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</row>
    <row r="4" spans="2:252" ht="17.25" customHeight="1">
      <c r="B4" s="82"/>
      <c r="C4" s="74"/>
      <c r="D4" s="74"/>
      <c r="E4" s="74"/>
      <c r="G4" s="86"/>
      <c r="H4" s="87" t="str">
        <f>IF(LEFT($S$4,1)="T","PHIẾU THU","PHIẾU CHI")</f>
        <v>PHIẾU CHI</v>
      </c>
      <c r="J4" s="86"/>
      <c r="K4" s="88"/>
      <c r="M4" s="88"/>
      <c r="N4" s="88"/>
      <c r="O4" s="88"/>
      <c r="P4" s="89"/>
      <c r="Q4" s="119">
        <v>6</v>
      </c>
      <c r="R4" s="120"/>
      <c r="S4" s="121" t="s">
        <v>9</v>
      </c>
      <c r="T4" s="122"/>
      <c r="U4" s="123">
        <v>6</v>
      </c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</row>
    <row r="5" spans="2:252" ht="14.25" customHeight="1">
      <c r="B5" s="82"/>
      <c r="C5" s="74"/>
      <c r="D5" s="74"/>
      <c r="E5" s="74"/>
      <c r="G5" s="86"/>
      <c r="H5" s="90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4  tháng  6  năm  2014</v>
      </c>
      <c r="J5" s="86"/>
      <c r="K5" s="88"/>
      <c r="M5" s="88"/>
      <c r="N5" s="88"/>
      <c r="O5" s="88"/>
      <c r="P5" s="89"/>
      <c r="Q5" s="91"/>
      <c r="T5" s="81"/>
      <c r="U5" s="9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</row>
    <row r="6" spans="2:252" s="94" customFormat="1" ht="13.5" customHeight="1">
      <c r="B6" s="92"/>
      <c r="C6" s="93"/>
      <c r="D6" s="93"/>
      <c r="E6" s="93"/>
      <c r="G6" s="95"/>
      <c r="H6" s="95"/>
      <c r="I6" s="95"/>
      <c r="L6" s="96" t="s">
        <v>74</v>
      </c>
      <c r="O6" s="97"/>
      <c r="P6" s="98"/>
      <c r="T6" s="99"/>
      <c r="U6" s="91"/>
      <c r="IE6" s="100">
        <f>'[1]In-Thu'!C11</f>
        <v>5500000</v>
      </c>
      <c r="IF6" s="64" t="str">
        <f>RIGHT("000000000000"&amp;ROUND(IE6,0),12)</f>
        <v>000005500000</v>
      </c>
      <c r="IG6" s="64">
        <v>1</v>
      </c>
      <c r="IH6" s="64">
        <v>2</v>
      </c>
      <c r="II6" s="64">
        <v>3</v>
      </c>
      <c r="IJ6" s="64">
        <v>4</v>
      </c>
      <c r="IK6" s="64">
        <v>5</v>
      </c>
      <c r="IL6" s="64">
        <v>6</v>
      </c>
      <c r="IM6" s="64">
        <v>7</v>
      </c>
      <c r="IN6" s="64">
        <v>8</v>
      </c>
      <c r="IO6" s="64">
        <v>9</v>
      </c>
      <c r="IP6" s="64">
        <v>10</v>
      </c>
      <c r="IQ6" s="64">
        <v>11</v>
      </c>
      <c r="IR6" s="64">
        <v>12</v>
      </c>
    </row>
    <row r="7" spans="2:252" s="94" customFormat="1" ht="13.5" customHeight="1">
      <c r="E7" s="92"/>
      <c r="F7" s="95"/>
      <c r="G7" s="95"/>
      <c r="H7" s="95"/>
      <c r="I7" s="95"/>
      <c r="L7" s="101" t="str">
        <f>"Số :    "</f>
        <v xml:space="preserve">Số :    </v>
      </c>
      <c r="M7" s="102" t="str">
        <f>$S$4&amp;IF($U$4&gt;=10,$U$4,"0"&amp;$U$4)</f>
        <v>C06</v>
      </c>
      <c r="N7" s="97"/>
      <c r="O7" s="97"/>
      <c r="P7" s="98"/>
      <c r="IE7" s="103"/>
      <c r="IF7" s="65"/>
      <c r="IG7" s="65">
        <f>VALUE(MID(IF6,IG6,1))</f>
        <v>0</v>
      </c>
      <c r="IH7" s="65">
        <f>VALUE(MID(IF6,IH6,1))</f>
        <v>0</v>
      </c>
      <c r="II7" s="65">
        <f>VALUE(MID(IF6,II6,1))</f>
        <v>0</v>
      </c>
      <c r="IJ7" s="65">
        <f>VALUE(MID(IF6,IJ6,1))</f>
        <v>0</v>
      </c>
      <c r="IK7" s="65">
        <f>VALUE(MID(IF6,IK6,1))</f>
        <v>0</v>
      </c>
      <c r="IL7" s="65">
        <f>VALUE(MID(IF6,IL6,1))</f>
        <v>5</v>
      </c>
      <c r="IM7" s="65">
        <f>VALUE(MID(IF6,IM6,1))</f>
        <v>5</v>
      </c>
      <c r="IN7" s="65">
        <f>VALUE(MID(IF6,IN6,1))</f>
        <v>0</v>
      </c>
      <c r="IO7" s="65">
        <f>VALUE(MID(IF6,IO6,1))</f>
        <v>0</v>
      </c>
      <c r="IP7" s="65">
        <f>VALUE(MID(IF6,IP6,1))</f>
        <v>0</v>
      </c>
      <c r="IQ7" s="65">
        <f>VALUE(MID(IF6,IQ6,1))</f>
        <v>0</v>
      </c>
      <c r="IR7" s="65">
        <f>VALUE(MID(IF6,IR6,1))</f>
        <v>0</v>
      </c>
    </row>
    <row r="8" spans="2:252" s="94" customFormat="1" ht="13.5" customHeight="1">
      <c r="E8" s="92"/>
      <c r="F8" s="92"/>
      <c r="G8" s="92"/>
      <c r="H8" s="92"/>
      <c r="I8" s="92"/>
      <c r="K8" s="104"/>
      <c r="L8" s="96" t="s">
        <v>75</v>
      </c>
      <c r="M8" s="105" t="str">
        <f ca="1">IF($S$4="T","1111",IF($S$4="C",IF(ISNA(VLOOKUP($M$7,INDIRECT("DSTM"&amp;$Q$4),9,0)),"",VLOOKUP($M$7,INDIRECT("DSTM"&amp;$Q$4),9,0)),""))</f>
        <v>141</v>
      </c>
      <c r="N8" s="97"/>
      <c r="O8" s="97"/>
      <c r="P8" s="106"/>
      <c r="IE8" s="103"/>
      <c r="IF8" s="65"/>
      <c r="IG8" s="65">
        <f>SUM(IG7:IG7)</f>
        <v>0</v>
      </c>
      <c r="IH8" s="65">
        <f>SUM(IG7:IH7)</f>
        <v>0</v>
      </c>
      <c r="II8" s="65">
        <f>SUM(IG7:II7)</f>
        <v>0</v>
      </c>
      <c r="IJ8" s="65">
        <f>SUM(IJ7:IJ7)</f>
        <v>0</v>
      </c>
      <c r="IK8" s="65">
        <f>SUM(IJ7:IK7)</f>
        <v>0</v>
      </c>
      <c r="IL8" s="65">
        <f>SUM(IJ7:IL7)</f>
        <v>5</v>
      </c>
      <c r="IM8" s="65">
        <f>SUM(IM7:IM7)</f>
        <v>5</v>
      </c>
      <c r="IN8" s="65">
        <f>SUM(IM7:IN7)</f>
        <v>5</v>
      </c>
      <c r="IO8" s="65">
        <f>SUM(IM7:IO7)</f>
        <v>5</v>
      </c>
      <c r="IP8" s="65">
        <f>SUM(IP7:IP7)</f>
        <v>0</v>
      </c>
      <c r="IQ8" s="65">
        <f>SUM(IP7:IQ7)</f>
        <v>0</v>
      </c>
      <c r="IR8" s="65">
        <f>SUM(IP7:IV7)</f>
        <v>0</v>
      </c>
    </row>
    <row r="9" spans="2:252" s="94" customFormat="1" ht="13.5" customHeight="1">
      <c r="E9" s="92"/>
      <c r="F9" s="92"/>
      <c r="G9" s="92"/>
      <c r="H9" s="92"/>
      <c r="I9" s="92"/>
      <c r="K9" s="104"/>
      <c r="L9" s="101" t="s">
        <v>76</v>
      </c>
      <c r="M9" s="105" t="str">
        <f ca="1">IF($S$4="C","1111",IF($S$4="T",IF(ISNA(VLOOKUP($M$7,INDIRECT("DSTM"&amp;$Q$4),9,0)),"",VLOOKUP($M$7,INDIRECT("DSTM"&amp;$Q$4),9,0)),""))</f>
        <v>1111</v>
      </c>
      <c r="N9" s="97"/>
      <c r="O9" s="97"/>
      <c r="P9" s="106"/>
      <c r="IE9" s="103"/>
      <c r="IF9" s="65"/>
      <c r="IG9" s="65"/>
      <c r="IH9" s="65"/>
      <c r="II9" s="65"/>
      <c r="IJ9" s="65"/>
      <c r="IK9" s="65"/>
      <c r="IL9" s="65"/>
      <c r="IM9" s="65"/>
      <c r="IN9" s="65"/>
      <c r="IO9" s="65"/>
      <c r="IP9" s="65"/>
      <c r="IQ9" s="65"/>
      <c r="IR9" s="65"/>
    </row>
    <row r="10" spans="2:252" s="94" customFormat="1" ht="13.5" customHeight="1">
      <c r="C10" s="107" t="str">
        <f ca="1">IF($S$4="T","Họ tên người nộp tiền :","Họ và tên người nhận tiền :")&amp;" "&amp;IF(ISNA(VLOOKUP($M$7,INDIRECT("DSTM"&amp;$Q$4),8,0)),"",VLOOKUP($M$7,INDIRECT("DSTM"&amp;$Q$4),8,0))</f>
        <v xml:space="preserve">Họ và tên người nhận tiền : </v>
      </c>
      <c r="D10" s="92"/>
      <c r="F10" s="92"/>
      <c r="G10" s="92"/>
      <c r="H10" s="92"/>
      <c r="I10" s="92"/>
      <c r="K10" s="92"/>
      <c r="L10" s="101"/>
      <c r="M10" s="105"/>
      <c r="N10" s="97"/>
      <c r="O10" s="92"/>
      <c r="P10" s="98"/>
      <c r="IE10" s="103"/>
      <c r="IF10" s="65"/>
      <c r="IG10" s="66" t="str">
        <f>IF(IG7=0,"",CHOOSE(IG7,"một","hai","ba","bốn","năm","sáu","bảy","tám","chín"))</f>
        <v/>
      </c>
      <c r="IH10" s="66" t="str">
        <f>IF(IH7=0,IF(AND(IG7&lt;&gt;0,II7&lt;&gt;0),"lẻ",""),CHOOSE(IH7,"mười","hai","ba","bốn","năm","sáu","bảy","tám","chín"))</f>
        <v/>
      </c>
      <c r="II10" s="66" t="str">
        <f>IF(II7=0,"",CHOOSE(II7,IF(IH7&gt;1,"mốt","một"),"hai","ba","bốn",IF(IH7=0,"năm","lăm"),"sáu","bảy","tám","chín"))</f>
        <v/>
      </c>
      <c r="IJ10" s="66" t="str">
        <f>IF(IJ7=0,"",CHOOSE(IJ7,"một","hai","ba","bốn","năm","sáu","bảy","tám","chín"))</f>
        <v/>
      </c>
      <c r="IK10" s="66" t="str">
        <f>IF(IK7=0,IF(AND(IJ7&lt;&gt;0,IL7&lt;&gt;0),"lẻ",""),CHOOSE(IK7,"mười","hai","ba","bốn","năm","sáu","bảy","tám","chín"))</f>
        <v/>
      </c>
      <c r="IL10" s="66" t="str">
        <f>IF(IL7=0,"",CHOOSE(IL7,IF(IK7&gt;1,"mốt","một"),"hai","ba","bốn",IF(IK7=0,"năm","lăm"),"sáu","bảy","tám","chín"))</f>
        <v>năm</v>
      </c>
      <c r="IM10" s="66" t="str">
        <f>IF(IM7=0,"",CHOOSE(IM7,"một","hai","ba","bốn","năm","sáu","bảy","tám","chín"))</f>
        <v>năm</v>
      </c>
      <c r="IN10" s="66" t="str">
        <f>IF(IN7=0,IF(AND(IM7&lt;&gt;0,IO7&lt;&gt;0),"lẻ",""),CHOOSE(IN7,"mười","hai","ba","bốn","năm","sáu","bảy","tám","chín"))</f>
        <v/>
      </c>
      <c r="IO10" s="66" t="str">
        <f>IF(IO7=0,"",CHOOSE(IO7,IF(IN7&gt;1,"mốt","một"),"hai","ba","bốn",IF(IN7=0,"năm","lăm"),"sáu","bảy","tám","chín"))</f>
        <v/>
      </c>
      <c r="IP10" s="66" t="str">
        <f>IF(IP7=0,"",CHOOSE(IP7,"một","hai","ba","bốn","năm","sáu","bảy","tám","chín"))</f>
        <v/>
      </c>
      <c r="IQ10" s="66" t="str">
        <f>IF(IQ7=0,IF(AND(IP7&lt;&gt;0,IR7&lt;&gt;0),"lẻ",""),CHOOSE(IQ7,"mười","hai","ba","bốn","năm","sáu","bảy","tám","chín"))</f>
        <v/>
      </c>
      <c r="IR10" s="66" t="str">
        <f>IF(IR7=0,"",CHOOSE(IR7,IF(IQ7&gt;1,"mốt","một"),"hai","ba","bốn",IF(IQ7=0,"năm","lăm"),"sáu","bảy","tám","chín"))</f>
        <v/>
      </c>
    </row>
    <row r="11" spans="2:252" ht="13.5" customHeight="1">
      <c r="C11" s="107" t="str">
        <f>"Địa chỉ :"</f>
        <v>Địa chỉ :</v>
      </c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85"/>
      <c r="IE11" s="108"/>
      <c r="IF11" s="67"/>
      <c r="IG11" s="68" t="str">
        <f>IF(IG7=0,"","trăm")</f>
        <v/>
      </c>
      <c r="IH11" s="68" t="str">
        <f>IF(IH7=0,"",IF(IH7=1,"","mươi"))</f>
        <v/>
      </c>
      <c r="II11" s="68" t="str">
        <f>IF(AND(II7=0,II8=0),"","tỷ")</f>
        <v/>
      </c>
      <c r="IJ11" s="68" t="str">
        <f>IF(IJ7=0,"","trăm")</f>
        <v/>
      </c>
      <c r="IK11" s="68" t="str">
        <f>IF(IK7=0,"",IF(IK7=1,"","mươi"))</f>
        <v/>
      </c>
      <c r="IL11" s="68" t="str">
        <f>IF(AND(IL7=0,IL8=0),"","triệu")</f>
        <v>triệu</v>
      </c>
      <c r="IM11" s="68" t="str">
        <f>IF(IM7=0,"","trăm")</f>
        <v>trăm</v>
      </c>
      <c r="IN11" s="68" t="str">
        <f>IF(IN7=0,"",IF(IN7=1,"","mươi"))</f>
        <v/>
      </c>
      <c r="IO11" s="68" t="str">
        <f>IF(AND(IO7=0,IO8=0),"","ngàn")</f>
        <v>ngàn</v>
      </c>
      <c r="IP11" s="68" t="str">
        <f>IF(IP7=0,"","trăm")</f>
        <v/>
      </c>
      <c r="IQ11" s="68" t="str">
        <f>IF(IQ7=0,"",IF(IQ7=1,"","mươi"))</f>
        <v/>
      </c>
      <c r="IR11" s="68" t="s">
        <v>77</v>
      </c>
    </row>
    <row r="12" spans="2:252" ht="13.5" customHeight="1">
      <c r="C12" s="107" t="str">
        <f ca="1">IF($S$4="T","Lý do nộp :","Lý do chi :")&amp;" "&amp;IF(ISNA(VLOOKUP($M$7,INDIRECT("DSTM"&amp;$Q$4),6,0)),"",VLOOKUP($M$7,INDIRECT("DSTM"&amp;$Q$4),6,0))</f>
        <v>Lý do chi : Chi TƯ mua NL - Nguyễn Văn Bé Hai</v>
      </c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IE12" s="108"/>
      <c r="IF12" s="67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67"/>
      <c r="IH12" s="67"/>
      <c r="II12" s="67"/>
      <c r="IJ12" s="67"/>
      <c r="IK12" s="67"/>
      <c r="IL12" s="67"/>
      <c r="IM12" s="67"/>
      <c r="IN12" s="67"/>
      <c r="IO12" s="67"/>
      <c r="IP12" s="67"/>
      <c r="IQ12" s="67"/>
      <c r="IR12" s="67"/>
    </row>
    <row r="13" spans="2:252" ht="13.5" customHeight="1">
      <c r="C13" s="75" t="s">
        <v>78</v>
      </c>
      <c r="D13" s="110">
        <f ca="1">SUMIF(INDIRECT("_DSP"&amp;$Q$4),$M$7,INDIRECT(IF($S$4="T","_DST"&amp;$Q$4,"_DSC"&amp;$Q$4)))</f>
        <v>800000000</v>
      </c>
      <c r="E13" s="75" t="s">
        <v>129</v>
      </c>
      <c r="F13" s="110"/>
      <c r="G13" s="110"/>
      <c r="P13" s="75"/>
      <c r="IE13" s="81"/>
      <c r="IF13" s="81"/>
      <c r="IG13" s="81"/>
      <c r="IH13" s="81"/>
      <c r="II13" s="81"/>
      <c r="IJ13" s="81"/>
      <c r="IK13" s="81"/>
      <c r="IL13" s="81"/>
      <c r="IM13" s="81"/>
      <c r="IN13" s="81"/>
      <c r="IO13" s="81"/>
      <c r="IP13" s="81"/>
      <c r="IQ13" s="81"/>
      <c r="IR13" s="81"/>
    </row>
    <row r="14" spans="2:252" ht="13.5" customHeight="1">
      <c r="C14" s="75" t="str">
        <f ca="1">"Viết bằng chữ :  " &amp; [2]!VND(D13, TRUE)</f>
        <v>Viết bằng chữ :  Tám trăm triệu đồng</v>
      </c>
      <c r="P14" s="85"/>
    </row>
    <row r="15" spans="2:252" ht="13.5" customHeight="1">
      <c r="C15" s="107" t="str">
        <f ca="1">"Kèm theo : HĐ " &amp;IF(ISNA(VLOOKUP($M$7,INDIRECT("DSTM"&amp;$Q$4),7,0)),"",(VLOOKUP($M$7,INDIRECT("DSTM"&amp;$Q$4),7,0))) &amp; "   chứng từ gốc"</f>
        <v>Kèm theo : HĐ    chứng từ gốc</v>
      </c>
      <c r="D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11"/>
      <c r="IE15" s="81"/>
      <c r="IF15" s="81"/>
      <c r="IG15" s="81"/>
      <c r="IH15" s="81"/>
      <c r="II15" s="81"/>
      <c r="IJ15" s="81"/>
      <c r="IK15" s="81"/>
      <c r="IL15" s="81"/>
      <c r="IM15" s="81"/>
      <c r="IN15" s="81"/>
      <c r="IO15" s="81"/>
      <c r="IP15" s="81"/>
      <c r="IQ15" s="81"/>
      <c r="IR15" s="81"/>
    </row>
    <row r="16" spans="2:252" ht="13.5" customHeight="1">
      <c r="K16" s="112"/>
      <c r="L16" s="112"/>
      <c r="M16" s="113" t="str">
        <f ca="1">H5</f>
        <v>Ngày  4  tháng  6  năm  2014</v>
      </c>
      <c r="N16" s="112"/>
      <c r="O16" s="112"/>
      <c r="P16" s="75"/>
    </row>
    <row r="17" spans="2:16" ht="13.5" customHeight="1">
      <c r="C17" s="114" t="s">
        <v>14</v>
      </c>
      <c r="D17" s="115"/>
      <c r="E17" s="114" t="s">
        <v>13</v>
      </c>
      <c r="F17" s="115"/>
      <c r="G17" s="115"/>
      <c r="H17" s="114" t="str">
        <f>IF($S$4="C","Thủ quỹ","Người nộp tiền")</f>
        <v>Thủ quỹ</v>
      </c>
      <c r="J17" s="114" t="s">
        <v>79</v>
      </c>
      <c r="K17" s="115"/>
      <c r="M17" s="116" t="str">
        <f>IF($S$4="T","Thủ quỹ","Người nhận tiền")</f>
        <v>Người nhận tiền</v>
      </c>
      <c r="N17" s="117"/>
      <c r="O17" s="117"/>
      <c r="P17" s="75"/>
    </row>
    <row r="18" spans="2:16" s="115" customFormat="1" ht="13.5" customHeight="1">
      <c r="C18" s="118" t="s">
        <v>82</v>
      </c>
      <c r="D18" s="75"/>
      <c r="E18" s="118" t="s">
        <v>83</v>
      </c>
      <c r="F18" s="75"/>
      <c r="G18" s="75"/>
      <c r="H18" s="118" t="s">
        <v>83</v>
      </c>
      <c r="J18" s="118" t="s">
        <v>83</v>
      </c>
      <c r="K18" s="75"/>
      <c r="M18" s="118" t="s">
        <v>83</v>
      </c>
      <c r="N18" s="75"/>
      <c r="O18" s="75"/>
    </row>
    <row r="19" spans="2:16" ht="14.25" customHeight="1">
      <c r="P19" s="75"/>
    </row>
    <row r="20" spans="2:16" ht="14.25" customHeight="1">
      <c r="P20" s="75"/>
    </row>
    <row r="21" spans="2:16" ht="14.25" customHeight="1">
      <c r="P21" s="75"/>
    </row>
    <row r="22" spans="2:16" ht="14.25" customHeight="1">
      <c r="I22" s="80"/>
      <c r="P22" s="75"/>
    </row>
    <row r="23" spans="2:16" ht="14.25" customHeight="1">
      <c r="P23" s="75"/>
    </row>
    <row r="24" spans="2:16" ht="14.25" customHeight="1">
      <c r="B24" s="75" t="s">
        <v>84</v>
      </c>
      <c r="P24" s="75"/>
    </row>
    <row r="25" spans="2:16" ht="14.25" customHeight="1">
      <c r="B25" s="107"/>
      <c r="C25" s="107" t="s">
        <v>80</v>
      </c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75"/>
    </row>
    <row r="26" spans="2:16" ht="14.25" customHeight="1">
      <c r="B26" s="107"/>
      <c r="C26" s="107" t="s">
        <v>81</v>
      </c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5"/>
    </row>
    <row r="27" spans="2:16" ht="15" customHeight="1"/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>
      <c r="E45"/>
    </row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</sheetData>
  <phoneticPr fontId="31" type="noConversion"/>
  <conditionalFormatting sqref="G8:G9 D7:D9">
    <cfRule type="expression" dxfId="7" priority="1" stopIfTrue="1">
      <formula>TYPE(B6)=16</formula>
    </cfRule>
  </conditionalFormatting>
  <conditionalFormatting sqref="D10">
    <cfRule type="expression" dxfId="6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81" right="0.15" top="0.18" bottom="0.15" header="0.16" footer="0.1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84"/>
  <sheetViews>
    <sheetView topLeftCell="B1" zoomScale="90" workbookViewId="0">
      <selection activeCell="J1" sqref="J1:M3"/>
    </sheetView>
  </sheetViews>
  <sheetFormatPr defaultRowHeight="15"/>
  <cols>
    <col min="1" max="1" width="4.28515625" style="6" hidden="1" customWidth="1"/>
    <col min="2" max="3" width="10.42578125" style="6" customWidth="1"/>
    <col min="4" max="5" width="7" style="6" customWidth="1"/>
    <col min="6" max="6" width="45.85546875" style="6" customWidth="1"/>
    <col min="7" max="8" width="14.140625" style="6" hidden="1" customWidth="1"/>
    <col min="9" max="9" width="7" style="6" customWidth="1"/>
    <col min="10" max="11" width="15.5703125" style="6" customWidth="1"/>
    <col min="12" max="12" width="18.140625" style="6" customWidth="1"/>
    <col min="13" max="13" width="9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3"/>
      <c r="K3" s="393"/>
      <c r="L3" s="393"/>
      <c r="M3" s="39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28.5" customHeight="1">
      <c r="B9" s="396" t="s">
        <v>20</v>
      </c>
      <c r="C9" s="396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6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17.25" customHeight="1">
      <c r="B10" s="397"/>
      <c r="C10" s="397"/>
      <c r="D10" s="16" t="s">
        <v>5</v>
      </c>
      <c r="E10" s="16" t="s">
        <v>6</v>
      </c>
      <c r="F10" s="395"/>
      <c r="G10" s="397"/>
      <c r="H10" s="397"/>
      <c r="I10" s="397"/>
      <c r="J10" s="16" t="s">
        <v>25</v>
      </c>
      <c r="K10" s="16" t="s">
        <v>26</v>
      </c>
      <c r="L10" s="395"/>
      <c r="M10" s="395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s="44" customFormat="1" ht="18" customHeight="1">
      <c r="B12" s="42"/>
      <c r="C12" s="42"/>
      <c r="D12" s="42"/>
      <c r="E12" s="42"/>
      <c r="F12" s="42" t="s">
        <v>28</v>
      </c>
      <c r="G12" s="42"/>
      <c r="H12" s="42"/>
      <c r="I12" s="47"/>
      <c r="J12" s="35"/>
      <c r="K12" s="42"/>
      <c r="L12" s="35">
        <f>'08'!L82</f>
        <v>2441440561</v>
      </c>
      <c r="M12" s="42"/>
    </row>
    <row r="13" spans="1:13" ht="18.75" customHeight="1">
      <c r="A13" s="6" t="str">
        <f>D13&amp;E13</f>
        <v>C01</v>
      </c>
      <c r="B13" s="3">
        <f t="shared" ref="B13:B21" si="0">C13</f>
        <v>41885</v>
      </c>
      <c r="C13" s="3">
        <v>41885</v>
      </c>
      <c r="D13" s="22"/>
      <c r="E13" s="22" t="s">
        <v>87</v>
      </c>
      <c r="F13" s="30" t="s">
        <v>427</v>
      </c>
      <c r="G13" s="50"/>
      <c r="H13" s="50"/>
      <c r="I13" s="28" t="s">
        <v>256</v>
      </c>
      <c r="J13" s="21"/>
      <c r="K13" s="5">
        <v>1367272</v>
      </c>
      <c r="L13" s="4">
        <f t="shared" ref="L13:L72" si="1">IF(F13&lt;&gt;"",L12+J13-K13,0)</f>
        <v>2440073289</v>
      </c>
      <c r="M13" s="19"/>
    </row>
    <row r="14" spans="1:13" ht="18.75" customHeight="1">
      <c r="A14" s="6" t="str">
        <f t="shared" ref="A14:A74" si="2">D14&amp;E14</f>
        <v>C01</v>
      </c>
      <c r="B14" s="3">
        <f t="shared" si="0"/>
        <v>41885</v>
      </c>
      <c r="C14" s="3">
        <v>41885</v>
      </c>
      <c r="D14" s="4"/>
      <c r="E14" s="4" t="s">
        <v>87</v>
      </c>
      <c r="F14" s="5" t="s">
        <v>428</v>
      </c>
      <c r="G14" s="5"/>
      <c r="H14" s="5"/>
      <c r="I14" s="28" t="s">
        <v>35</v>
      </c>
      <c r="J14" s="21"/>
      <c r="K14" s="5">
        <v>132728</v>
      </c>
      <c r="L14" s="4">
        <f t="shared" si="1"/>
        <v>2439940561</v>
      </c>
      <c r="M14" s="19"/>
    </row>
    <row r="15" spans="1:13" ht="18.75" customHeight="1">
      <c r="A15" s="6" t="str">
        <f t="shared" si="2"/>
        <v>C02</v>
      </c>
      <c r="B15" s="3">
        <f t="shared" si="0"/>
        <v>41885</v>
      </c>
      <c r="C15" s="3">
        <v>41885</v>
      </c>
      <c r="D15" s="4"/>
      <c r="E15" s="4" t="s">
        <v>88</v>
      </c>
      <c r="F15" s="5" t="s">
        <v>288</v>
      </c>
      <c r="G15" s="5"/>
      <c r="H15" s="5"/>
      <c r="I15" s="28" t="s">
        <v>256</v>
      </c>
      <c r="J15" s="21"/>
      <c r="K15" s="5">
        <v>17371976</v>
      </c>
      <c r="L15" s="4">
        <f t="shared" si="1"/>
        <v>2422568585</v>
      </c>
      <c r="M15" s="19"/>
    </row>
    <row r="16" spans="1:13" ht="18.75" customHeight="1">
      <c r="A16" s="6" t="str">
        <f t="shared" si="2"/>
        <v>C02</v>
      </c>
      <c r="B16" s="3">
        <f t="shared" si="0"/>
        <v>41885</v>
      </c>
      <c r="C16" s="3">
        <v>41885</v>
      </c>
      <c r="D16" s="4"/>
      <c r="E16" s="4" t="s">
        <v>88</v>
      </c>
      <c r="F16" s="5" t="s">
        <v>289</v>
      </c>
      <c r="G16" s="5"/>
      <c r="H16" s="5"/>
      <c r="I16" s="28" t="s">
        <v>35</v>
      </c>
      <c r="J16" s="21"/>
      <c r="K16" s="5">
        <v>1737197</v>
      </c>
      <c r="L16" s="4">
        <f t="shared" si="1"/>
        <v>2420831388</v>
      </c>
      <c r="M16" s="19"/>
    </row>
    <row r="17" spans="1:13" ht="18.75" customHeight="1">
      <c r="A17" s="6" t="str">
        <f t="shared" si="2"/>
        <v>C03</v>
      </c>
      <c r="B17" s="3">
        <f t="shared" si="0"/>
        <v>41885</v>
      </c>
      <c r="C17" s="3">
        <v>41885</v>
      </c>
      <c r="D17" s="4"/>
      <c r="E17" s="4" t="s">
        <v>89</v>
      </c>
      <c r="F17" s="5" t="s">
        <v>429</v>
      </c>
      <c r="G17" s="5"/>
      <c r="H17" s="5"/>
      <c r="I17" s="28" t="s">
        <v>256</v>
      </c>
      <c r="J17" s="21"/>
      <c r="K17" s="5">
        <v>2000000</v>
      </c>
      <c r="L17" s="4">
        <f t="shared" si="1"/>
        <v>2418831388</v>
      </c>
      <c r="M17" s="19"/>
    </row>
    <row r="18" spans="1:13" ht="18.75" customHeight="1">
      <c r="A18" s="6" t="str">
        <f t="shared" si="2"/>
        <v>C04</v>
      </c>
      <c r="B18" s="3">
        <f t="shared" si="0"/>
        <v>41885</v>
      </c>
      <c r="C18" s="3">
        <v>41885</v>
      </c>
      <c r="D18" s="4"/>
      <c r="E18" s="4" t="s">
        <v>90</v>
      </c>
      <c r="F18" s="5" t="s">
        <v>430</v>
      </c>
      <c r="G18" s="5"/>
      <c r="H18" s="5"/>
      <c r="I18" s="28" t="s">
        <v>247</v>
      </c>
      <c r="J18" s="21"/>
      <c r="K18" s="5">
        <v>2155076</v>
      </c>
      <c r="L18" s="4">
        <f t="shared" si="1"/>
        <v>2416676312</v>
      </c>
      <c r="M18" s="19"/>
    </row>
    <row r="19" spans="1:13" ht="18.75" customHeight="1">
      <c r="A19" s="6" t="str">
        <f t="shared" si="2"/>
        <v>C04</v>
      </c>
      <c r="B19" s="3">
        <f t="shared" si="0"/>
        <v>41885</v>
      </c>
      <c r="C19" s="3">
        <v>41885</v>
      </c>
      <c r="D19" s="4"/>
      <c r="E19" s="4" t="s">
        <v>90</v>
      </c>
      <c r="F19" s="5" t="s">
        <v>431</v>
      </c>
      <c r="G19" s="5"/>
      <c r="H19" s="5"/>
      <c r="I19" s="28" t="s">
        <v>35</v>
      </c>
      <c r="J19" s="21"/>
      <c r="K19" s="5">
        <v>215508</v>
      </c>
      <c r="L19" s="4">
        <f t="shared" si="1"/>
        <v>2416460804</v>
      </c>
      <c r="M19" s="19"/>
    </row>
    <row r="20" spans="1:13" ht="18.75" customHeight="1">
      <c r="A20" s="6" t="str">
        <f t="shared" si="2"/>
        <v>C05</v>
      </c>
      <c r="B20" s="3">
        <f t="shared" si="0"/>
        <v>41885</v>
      </c>
      <c r="C20" s="3">
        <v>41885</v>
      </c>
      <c r="D20" s="22"/>
      <c r="E20" s="22" t="s">
        <v>91</v>
      </c>
      <c r="F20" s="30" t="s">
        <v>432</v>
      </c>
      <c r="G20" s="50"/>
      <c r="H20" s="50"/>
      <c r="I20" s="28" t="s">
        <v>247</v>
      </c>
      <c r="J20" s="21"/>
      <c r="K20" s="5">
        <v>68400</v>
      </c>
      <c r="L20" s="4">
        <f t="shared" si="1"/>
        <v>2416392404</v>
      </c>
      <c r="M20" s="19"/>
    </row>
    <row r="21" spans="1:13" ht="18.75" customHeight="1">
      <c r="A21" s="6" t="str">
        <f t="shared" si="2"/>
        <v>C05</v>
      </c>
      <c r="B21" s="3">
        <f t="shared" si="0"/>
        <v>41885</v>
      </c>
      <c r="C21" s="3">
        <v>41885</v>
      </c>
      <c r="D21" s="22"/>
      <c r="E21" s="22" t="s">
        <v>91</v>
      </c>
      <c r="F21" s="30" t="s">
        <v>433</v>
      </c>
      <c r="G21" s="50"/>
      <c r="H21" s="50"/>
      <c r="I21" s="28" t="s">
        <v>35</v>
      </c>
      <c r="J21" s="21"/>
      <c r="K21" s="5">
        <v>6840</v>
      </c>
      <c r="L21" s="4">
        <f t="shared" si="1"/>
        <v>2416385564</v>
      </c>
      <c r="M21" s="19"/>
    </row>
    <row r="22" spans="1:13" s="41" customFormat="1" ht="18.75" customHeight="1">
      <c r="A22" s="6" t="str">
        <f t="shared" si="2"/>
        <v>C06</v>
      </c>
      <c r="B22" s="3">
        <v>41887</v>
      </c>
      <c r="C22" s="3">
        <f>B22</f>
        <v>41887</v>
      </c>
      <c r="D22" s="4"/>
      <c r="E22" s="22" t="s">
        <v>92</v>
      </c>
      <c r="F22" s="5" t="s">
        <v>295</v>
      </c>
      <c r="G22" s="5"/>
      <c r="H22" s="5"/>
      <c r="I22" s="28" t="s">
        <v>34</v>
      </c>
      <c r="J22" s="21"/>
      <c r="K22" s="5">
        <v>13529999</v>
      </c>
      <c r="L22" s="4">
        <f t="shared" si="1"/>
        <v>2402855565</v>
      </c>
      <c r="M22" s="40"/>
    </row>
    <row r="23" spans="1:13" ht="18.75" customHeight="1">
      <c r="A23" s="6" t="str">
        <f t="shared" si="2"/>
        <v>C07</v>
      </c>
      <c r="B23" s="3">
        <f t="shared" ref="B23:B32" si="3">C23</f>
        <v>41890</v>
      </c>
      <c r="C23" s="3">
        <v>41890</v>
      </c>
      <c r="D23" s="22"/>
      <c r="E23" s="22" t="s">
        <v>93</v>
      </c>
      <c r="F23" s="30" t="s">
        <v>434</v>
      </c>
      <c r="G23" s="50"/>
      <c r="H23" s="50"/>
      <c r="I23" s="28" t="s">
        <v>54</v>
      </c>
      <c r="J23" s="21"/>
      <c r="K23" s="5">
        <v>5845000</v>
      </c>
      <c r="L23" s="4">
        <f t="shared" si="1"/>
        <v>2397010565</v>
      </c>
      <c r="M23" s="19"/>
    </row>
    <row r="24" spans="1:13" s="41" customFormat="1" ht="18" customHeight="1">
      <c r="A24" s="6" t="str">
        <f t="shared" si="2"/>
        <v>C08</v>
      </c>
      <c r="B24" s="3">
        <f t="shared" si="3"/>
        <v>41890</v>
      </c>
      <c r="C24" s="3">
        <v>41890</v>
      </c>
      <c r="D24" s="4"/>
      <c r="E24" s="22" t="s">
        <v>94</v>
      </c>
      <c r="F24" s="30" t="s">
        <v>260</v>
      </c>
      <c r="G24" s="50"/>
      <c r="H24" s="50"/>
      <c r="I24" s="28" t="s">
        <v>134</v>
      </c>
      <c r="J24" s="21"/>
      <c r="K24" s="5">
        <v>800000000</v>
      </c>
      <c r="L24" s="4">
        <f t="shared" si="1"/>
        <v>1597010565</v>
      </c>
      <c r="M24" s="40"/>
    </row>
    <row r="25" spans="1:13" ht="18.75" customHeight="1">
      <c r="A25" s="6" t="str">
        <f t="shared" si="2"/>
        <v>T01</v>
      </c>
      <c r="B25" s="3">
        <f t="shared" si="3"/>
        <v>41891</v>
      </c>
      <c r="C25" s="3">
        <v>41891</v>
      </c>
      <c r="D25" s="4" t="s">
        <v>39</v>
      </c>
      <c r="E25" s="4"/>
      <c r="F25" s="54" t="s">
        <v>253</v>
      </c>
      <c r="G25" s="5"/>
      <c r="H25" s="5"/>
      <c r="I25" s="28" t="s">
        <v>36</v>
      </c>
      <c r="J25" s="21">
        <v>986000000</v>
      </c>
      <c r="K25" s="5"/>
      <c r="L25" s="4">
        <f t="shared" si="1"/>
        <v>2583010565</v>
      </c>
      <c r="M25" s="19"/>
    </row>
    <row r="26" spans="1:13" ht="18.75" customHeight="1">
      <c r="A26" s="6" t="str">
        <f t="shared" si="2"/>
        <v>C09</v>
      </c>
      <c r="B26" s="3">
        <f t="shared" si="3"/>
        <v>41891</v>
      </c>
      <c r="C26" s="3">
        <v>41891</v>
      </c>
      <c r="D26" s="4"/>
      <c r="E26" s="22" t="s">
        <v>95</v>
      </c>
      <c r="F26" s="5" t="s">
        <v>50</v>
      </c>
      <c r="G26" s="5"/>
      <c r="H26" s="5"/>
      <c r="I26" s="28" t="s">
        <v>247</v>
      </c>
      <c r="J26" s="21"/>
      <c r="K26" s="5">
        <v>43164</v>
      </c>
      <c r="L26" s="4">
        <f t="shared" si="1"/>
        <v>2582967401</v>
      </c>
      <c r="M26" s="19"/>
    </row>
    <row r="27" spans="1:13" ht="18.75" customHeight="1">
      <c r="A27" s="6" t="str">
        <f t="shared" si="2"/>
        <v>C09</v>
      </c>
      <c r="B27" s="3">
        <f t="shared" si="3"/>
        <v>41891</v>
      </c>
      <c r="C27" s="3">
        <v>41891</v>
      </c>
      <c r="D27" s="22"/>
      <c r="E27" s="22" t="s">
        <v>95</v>
      </c>
      <c r="F27" s="30" t="s">
        <v>53</v>
      </c>
      <c r="G27" s="50"/>
      <c r="H27" s="50"/>
      <c r="I27" s="28" t="s">
        <v>54</v>
      </c>
      <c r="J27" s="21"/>
      <c r="K27" s="5">
        <v>994545</v>
      </c>
      <c r="L27" s="4">
        <f t="shared" si="1"/>
        <v>2581972856</v>
      </c>
      <c r="M27" s="19"/>
    </row>
    <row r="28" spans="1:13" ht="18.75" customHeight="1">
      <c r="A28" s="6" t="str">
        <f t="shared" si="2"/>
        <v>C09</v>
      </c>
      <c r="B28" s="3">
        <f t="shared" si="3"/>
        <v>41891</v>
      </c>
      <c r="C28" s="3">
        <v>41891</v>
      </c>
      <c r="D28" s="22"/>
      <c r="E28" s="22" t="s">
        <v>95</v>
      </c>
      <c r="F28" s="30" t="s">
        <v>292</v>
      </c>
      <c r="G28" s="50"/>
      <c r="H28" s="50"/>
      <c r="I28" s="28" t="s">
        <v>35</v>
      </c>
      <c r="J28" s="21"/>
      <c r="K28" s="5">
        <v>103771</v>
      </c>
      <c r="L28" s="4">
        <f t="shared" si="1"/>
        <v>2581869085</v>
      </c>
      <c r="M28" s="19"/>
    </row>
    <row r="29" spans="1:13" ht="18.75" customHeight="1">
      <c r="A29" s="6" t="str">
        <f t="shared" si="2"/>
        <v>C10</v>
      </c>
      <c r="B29" s="3">
        <f t="shared" si="3"/>
        <v>41892</v>
      </c>
      <c r="C29" s="3">
        <v>41892</v>
      </c>
      <c r="D29" s="4"/>
      <c r="E29" s="22" t="s">
        <v>96</v>
      </c>
      <c r="F29" s="5" t="s">
        <v>50</v>
      </c>
      <c r="G29" s="5"/>
      <c r="H29" s="5"/>
      <c r="I29" s="28" t="s">
        <v>247</v>
      </c>
      <c r="J29" s="21"/>
      <c r="K29" s="5">
        <v>2056473</v>
      </c>
      <c r="L29" s="4">
        <f t="shared" si="1"/>
        <v>2579812612</v>
      </c>
      <c r="M29" s="19"/>
    </row>
    <row r="30" spans="1:13" ht="18.75" customHeight="1">
      <c r="A30" s="6" t="str">
        <f t="shared" si="2"/>
        <v>C10</v>
      </c>
      <c r="B30" s="3">
        <f t="shared" si="3"/>
        <v>41892</v>
      </c>
      <c r="C30" s="3">
        <v>41892</v>
      </c>
      <c r="D30" s="22"/>
      <c r="E30" s="22" t="s">
        <v>96</v>
      </c>
      <c r="F30" s="30" t="s">
        <v>53</v>
      </c>
      <c r="G30" s="50"/>
      <c r="H30" s="50"/>
      <c r="I30" s="28" t="s">
        <v>54</v>
      </c>
      <c r="J30" s="21"/>
      <c r="K30" s="5">
        <v>817391</v>
      </c>
      <c r="L30" s="4">
        <f t="shared" si="1"/>
        <v>2578995221</v>
      </c>
      <c r="M30" s="19"/>
    </row>
    <row r="31" spans="1:13" ht="18.75" customHeight="1">
      <c r="A31" s="6" t="str">
        <f t="shared" si="2"/>
        <v>C10</v>
      </c>
      <c r="B31" s="3">
        <f t="shared" si="3"/>
        <v>41892</v>
      </c>
      <c r="C31" s="3">
        <v>41892</v>
      </c>
      <c r="D31" s="22"/>
      <c r="E31" s="22" t="s">
        <v>96</v>
      </c>
      <c r="F31" s="30" t="s">
        <v>292</v>
      </c>
      <c r="G31" s="50"/>
      <c r="H31" s="50"/>
      <c r="I31" s="28" t="s">
        <v>35</v>
      </c>
      <c r="J31" s="21"/>
      <c r="K31" s="5">
        <v>287386</v>
      </c>
      <c r="L31" s="4">
        <f t="shared" si="1"/>
        <v>2578707835</v>
      </c>
      <c r="M31" s="19"/>
    </row>
    <row r="32" spans="1:13" ht="18.75" customHeight="1">
      <c r="A32" s="6" t="str">
        <f t="shared" si="2"/>
        <v>C11</v>
      </c>
      <c r="B32" s="3">
        <f t="shared" si="3"/>
        <v>41892</v>
      </c>
      <c r="C32" s="3">
        <v>41892</v>
      </c>
      <c r="D32" s="4"/>
      <c r="E32" s="22" t="s">
        <v>97</v>
      </c>
      <c r="F32" s="5" t="s">
        <v>435</v>
      </c>
      <c r="G32" s="5"/>
      <c r="H32" s="5"/>
      <c r="I32" s="28" t="s">
        <v>36</v>
      </c>
      <c r="J32" s="21"/>
      <c r="K32" s="5">
        <v>620000000</v>
      </c>
      <c r="L32" s="4">
        <f t="shared" si="1"/>
        <v>1958707835</v>
      </c>
      <c r="M32" s="19"/>
    </row>
    <row r="33" spans="1:13" s="41" customFormat="1" ht="18.75" customHeight="1">
      <c r="A33" s="6" t="str">
        <f t="shared" si="2"/>
        <v>C12</v>
      </c>
      <c r="B33" s="3">
        <v>41892</v>
      </c>
      <c r="C33" s="3">
        <f>B33</f>
        <v>41892</v>
      </c>
      <c r="D33" s="4"/>
      <c r="E33" s="22" t="s">
        <v>98</v>
      </c>
      <c r="F33" s="5" t="s">
        <v>295</v>
      </c>
      <c r="G33" s="5"/>
      <c r="H33" s="5"/>
      <c r="I33" s="28" t="s">
        <v>34</v>
      </c>
      <c r="J33" s="21"/>
      <c r="K33" s="5">
        <v>13529999</v>
      </c>
      <c r="L33" s="4">
        <f t="shared" si="1"/>
        <v>1945177836</v>
      </c>
      <c r="M33" s="40"/>
    </row>
    <row r="34" spans="1:13" ht="18.75" customHeight="1">
      <c r="A34" s="6" t="str">
        <f t="shared" si="2"/>
        <v>T02</v>
      </c>
      <c r="B34" s="3">
        <f t="shared" ref="B34:B40" si="4">C34</f>
        <v>41893</v>
      </c>
      <c r="C34" s="3">
        <v>41893</v>
      </c>
      <c r="D34" s="4" t="s">
        <v>40</v>
      </c>
      <c r="E34" s="22"/>
      <c r="F34" s="54" t="s">
        <v>253</v>
      </c>
      <c r="G34" s="5"/>
      <c r="H34" s="5"/>
      <c r="I34" s="28" t="s">
        <v>36</v>
      </c>
      <c r="J34" s="21">
        <v>1000000000</v>
      </c>
      <c r="K34" s="5"/>
      <c r="L34" s="4">
        <f t="shared" si="1"/>
        <v>2945177836</v>
      </c>
      <c r="M34" s="19"/>
    </row>
    <row r="35" spans="1:13" ht="18.75" customHeight="1">
      <c r="A35" s="6" t="str">
        <f t="shared" si="2"/>
        <v>C13</v>
      </c>
      <c r="B35" s="3">
        <f t="shared" si="4"/>
        <v>41894</v>
      </c>
      <c r="C35" s="3">
        <v>41894</v>
      </c>
      <c r="D35" s="4"/>
      <c r="E35" s="22" t="s">
        <v>99</v>
      </c>
      <c r="F35" s="5" t="s">
        <v>436</v>
      </c>
      <c r="G35" s="5"/>
      <c r="H35" s="5"/>
      <c r="I35" s="28" t="s">
        <v>256</v>
      </c>
      <c r="J35" s="21"/>
      <c r="K35" s="5">
        <v>490000</v>
      </c>
      <c r="L35" s="4">
        <f t="shared" si="1"/>
        <v>2944687836</v>
      </c>
      <c r="M35" s="19"/>
    </row>
    <row r="36" spans="1:13" ht="18.75" customHeight="1">
      <c r="A36" s="6" t="str">
        <f t="shared" si="2"/>
        <v>C14</v>
      </c>
      <c r="B36" s="3">
        <f t="shared" si="4"/>
        <v>41897</v>
      </c>
      <c r="C36" s="3">
        <v>41897</v>
      </c>
      <c r="D36" s="22"/>
      <c r="E36" s="22" t="s">
        <v>100</v>
      </c>
      <c r="F36" s="30" t="s">
        <v>50</v>
      </c>
      <c r="G36" s="50"/>
      <c r="H36" s="50"/>
      <c r="I36" s="28" t="s">
        <v>247</v>
      </c>
      <c r="J36" s="21"/>
      <c r="K36" s="5">
        <v>129327</v>
      </c>
      <c r="L36" s="4">
        <f t="shared" si="1"/>
        <v>2944558509</v>
      </c>
      <c r="M36" s="19"/>
    </row>
    <row r="37" spans="1:13" ht="18.75" customHeight="1">
      <c r="A37" s="6" t="str">
        <f t="shared" si="2"/>
        <v>C14</v>
      </c>
      <c r="B37" s="3">
        <f t="shared" si="4"/>
        <v>41897</v>
      </c>
      <c r="C37" s="3">
        <v>41897</v>
      </c>
      <c r="D37" s="22"/>
      <c r="E37" s="22" t="s">
        <v>100</v>
      </c>
      <c r="F37" s="30" t="s">
        <v>53</v>
      </c>
      <c r="G37" s="50"/>
      <c r="H37" s="50"/>
      <c r="I37" s="28" t="s">
        <v>54</v>
      </c>
      <c r="J37" s="21"/>
      <c r="K37" s="5">
        <v>987273</v>
      </c>
      <c r="L37" s="4">
        <f t="shared" si="1"/>
        <v>2943571236</v>
      </c>
      <c r="M37" s="19"/>
    </row>
    <row r="38" spans="1:13" ht="18.75" customHeight="1">
      <c r="A38" s="6" t="str">
        <f t="shared" si="2"/>
        <v>C14</v>
      </c>
      <c r="B38" s="3">
        <f t="shared" si="4"/>
        <v>41897</v>
      </c>
      <c r="C38" s="3">
        <v>41897</v>
      </c>
      <c r="D38" s="4"/>
      <c r="E38" s="22" t="s">
        <v>100</v>
      </c>
      <c r="F38" s="5" t="s">
        <v>292</v>
      </c>
      <c r="G38" s="5"/>
      <c r="H38" s="5"/>
      <c r="I38" s="28" t="s">
        <v>35</v>
      </c>
      <c r="J38" s="21"/>
      <c r="K38" s="5">
        <v>111660</v>
      </c>
      <c r="L38" s="4">
        <f t="shared" si="1"/>
        <v>2943459576</v>
      </c>
      <c r="M38" s="19"/>
    </row>
    <row r="39" spans="1:13" s="41" customFormat="1" ht="18" customHeight="1">
      <c r="A39" s="6" t="str">
        <f t="shared" si="2"/>
        <v>C15</v>
      </c>
      <c r="B39" s="3">
        <f t="shared" si="4"/>
        <v>41897</v>
      </c>
      <c r="C39" s="3">
        <v>41897</v>
      </c>
      <c r="D39" s="4"/>
      <c r="E39" s="22" t="s">
        <v>101</v>
      </c>
      <c r="F39" s="30" t="s">
        <v>259</v>
      </c>
      <c r="G39" s="50"/>
      <c r="H39" s="50"/>
      <c r="I39" s="28" t="s">
        <v>134</v>
      </c>
      <c r="J39" s="21"/>
      <c r="K39" s="5">
        <v>550000000</v>
      </c>
      <c r="L39" s="4">
        <f t="shared" si="1"/>
        <v>2393459576</v>
      </c>
      <c r="M39" s="40"/>
    </row>
    <row r="40" spans="1:13" s="41" customFormat="1" ht="18" customHeight="1">
      <c r="A40" s="6" t="str">
        <f t="shared" si="2"/>
        <v>C16</v>
      </c>
      <c r="B40" s="3">
        <f t="shared" si="4"/>
        <v>41897</v>
      </c>
      <c r="C40" s="3">
        <v>41897</v>
      </c>
      <c r="D40" s="4"/>
      <c r="E40" s="22" t="s">
        <v>102</v>
      </c>
      <c r="F40" s="30" t="s">
        <v>260</v>
      </c>
      <c r="G40" s="50"/>
      <c r="H40" s="50"/>
      <c r="I40" s="28" t="s">
        <v>134</v>
      </c>
      <c r="J40" s="21"/>
      <c r="K40" s="5">
        <v>800000000</v>
      </c>
      <c r="L40" s="4">
        <f t="shared" si="1"/>
        <v>1593459576</v>
      </c>
      <c r="M40" s="40"/>
    </row>
    <row r="41" spans="1:13" s="41" customFormat="1" ht="18.75" customHeight="1">
      <c r="A41" s="6" t="str">
        <f t="shared" si="2"/>
        <v>C17</v>
      </c>
      <c r="B41" s="3">
        <v>41898</v>
      </c>
      <c r="C41" s="3">
        <f>B41</f>
        <v>41898</v>
      </c>
      <c r="D41" s="22"/>
      <c r="E41" s="22" t="s">
        <v>103</v>
      </c>
      <c r="F41" s="5" t="s">
        <v>295</v>
      </c>
      <c r="G41" s="5"/>
      <c r="H41" s="5"/>
      <c r="I41" s="28" t="s">
        <v>34</v>
      </c>
      <c r="J41" s="21"/>
      <c r="K41" s="5">
        <v>13529999</v>
      </c>
      <c r="L41" s="4">
        <f t="shared" si="1"/>
        <v>1579929577</v>
      </c>
      <c r="M41" s="40"/>
    </row>
    <row r="42" spans="1:13" ht="18.75" customHeight="1">
      <c r="A42" s="6" t="str">
        <f t="shared" si="2"/>
        <v>T03</v>
      </c>
      <c r="B42" s="3">
        <f t="shared" ref="B42:B53" si="5">C42</f>
        <v>41899</v>
      </c>
      <c r="C42" s="3">
        <v>41899</v>
      </c>
      <c r="D42" s="4" t="s">
        <v>41</v>
      </c>
      <c r="E42" s="22"/>
      <c r="F42" s="54" t="s">
        <v>253</v>
      </c>
      <c r="G42" s="5"/>
      <c r="H42" s="5"/>
      <c r="I42" s="28" t="s">
        <v>36</v>
      </c>
      <c r="J42" s="21">
        <v>550000000</v>
      </c>
      <c r="K42" s="5"/>
      <c r="L42" s="4">
        <f t="shared" si="1"/>
        <v>2129929577</v>
      </c>
      <c r="M42" s="19"/>
    </row>
    <row r="43" spans="1:13" ht="18.75" customHeight="1">
      <c r="A43" s="6" t="str">
        <f t="shared" si="2"/>
        <v>C18</v>
      </c>
      <c r="B43" s="3">
        <f t="shared" si="5"/>
        <v>41899</v>
      </c>
      <c r="C43" s="3">
        <v>41899</v>
      </c>
      <c r="D43" s="4"/>
      <c r="E43" s="22" t="s">
        <v>104</v>
      </c>
      <c r="F43" s="5" t="s">
        <v>296</v>
      </c>
      <c r="G43" s="5"/>
      <c r="H43" s="5"/>
      <c r="I43" s="28" t="s">
        <v>256</v>
      </c>
      <c r="J43" s="21"/>
      <c r="K43" s="5">
        <v>481818</v>
      </c>
      <c r="L43" s="4">
        <f t="shared" si="1"/>
        <v>2129447759</v>
      </c>
      <c r="M43" s="19"/>
    </row>
    <row r="44" spans="1:13" ht="18.75" customHeight="1">
      <c r="A44" s="6" t="str">
        <f t="shared" si="2"/>
        <v>C18</v>
      </c>
      <c r="B44" s="3">
        <f t="shared" si="5"/>
        <v>41899</v>
      </c>
      <c r="C44" s="3">
        <v>41899</v>
      </c>
      <c r="D44" s="4"/>
      <c r="E44" s="22" t="s">
        <v>104</v>
      </c>
      <c r="F44" s="5" t="s">
        <v>297</v>
      </c>
      <c r="G44" s="5"/>
      <c r="H44" s="5"/>
      <c r="I44" s="28" t="s">
        <v>35</v>
      </c>
      <c r="J44" s="21"/>
      <c r="K44" s="5">
        <v>48182</v>
      </c>
      <c r="L44" s="4">
        <f t="shared" si="1"/>
        <v>2129399577</v>
      </c>
      <c r="M44" s="19"/>
    </row>
    <row r="45" spans="1:13" s="41" customFormat="1" ht="18" customHeight="1">
      <c r="A45" s="6" t="str">
        <f t="shared" si="2"/>
        <v>C19</v>
      </c>
      <c r="B45" s="3">
        <f t="shared" si="5"/>
        <v>41899</v>
      </c>
      <c r="C45" s="3">
        <v>41899</v>
      </c>
      <c r="D45" s="4"/>
      <c r="E45" s="22" t="s">
        <v>105</v>
      </c>
      <c r="F45" s="30" t="s">
        <v>260</v>
      </c>
      <c r="G45" s="50"/>
      <c r="H45" s="50"/>
      <c r="I45" s="28" t="s">
        <v>134</v>
      </c>
      <c r="J45" s="21"/>
      <c r="K45" s="5">
        <v>800000000</v>
      </c>
      <c r="L45" s="4">
        <f t="shared" si="1"/>
        <v>1329399577</v>
      </c>
      <c r="M45" s="40"/>
    </row>
    <row r="46" spans="1:13" ht="18.75" customHeight="1">
      <c r="A46" s="6" t="str">
        <f t="shared" si="2"/>
        <v>C20</v>
      </c>
      <c r="B46" s="3">
        <f t="shared" si="5"/>
        <v>41901</v>
      </c>
      <c r="C46" s="3">
        <v>41901</v>
      </c>
      <c r="D46" s="22"/>
      <c r="E46" s="22" t="s">
        <v>106</v>
      </c>
      <c r="F46" s="30" t="s">
        <v>50</v>
      </c>
      <c r="G46" s="50"/>
      <c r="H46" s="50"/>
      <c r="I46" s="28" t="s">
        <v>247</v>
      </c>
      <c r="J46" s="21"/>
      <c r="K46" s="5">
        <v>2674100</v>
      </c>
      <c r="L46" s="4">
        <f t="shared" si="1"/>
        <v>1326725477</v>
      </c>
      <c r="M46" s="19"/>
    </row>
    <row r="47" spans="1:13" ht="18.75" customHeight="1">
      <c r="A47" s="6" t="str">
        <f t="shared" si="2"/>
        <v>C20</v>
      </c>
      <c r="B47" s="3">
        <f t="shared" si="5"/>
        <v>41901</v>
      </c>
      <c r="C47" s="3">
        <v>41901</v>
      </c>
      <c r="D47" s="4"/>
      <c r="E47" s="22" t="s">
        <v>106</v>
      </c>
      <c r="F47" s="5" t="s">
        <v>56</v>
      </c>
      <c r="G47" s="5"/>
      <c r="H47" s="5"/>
      <c r="I47" s="28" t="s">
        <v>35</v>
      </c>
      <c r="J47" s="21"/>
      <c r="K47" s="5">
        <v>267410</v>
      </c>
      <c r="L47" s="4">
        <f t="shared" si="1"/>
        <v>1326458067</v>
      </c>
      <c r="M47" s="19"/>
    </row>
    <row r="48" spans="1:13" ht="18.75" customHeight="1">
      <c r="A48" s="6" t="str">
        <f t="shared" si="2"/>
        <v>C21</v>
      </c>
      <c r="B48" s="3">
        <f t="shared" si="5"/>
        <v>41901</v>
      </c>
      <c r="C48" s="3">
        <v>41901</v>
      </c>
      <c r="D48" s="4"/>
      <c r="E48" s="22" t="s">
        <v>107</v>
      </c>
      <c r="F48" s="5" t="s">
        <v>53</v>
      </c>
      <c r="G48" s="5"/>
      <c r="H48" s="5"/>
      <c r="I48" s="28" t="s">
        <v>54</v>
      </c>
      <c r="J48" s="21"/>
      <c r="K48" s="5">
        <v>789818</v>
      </c>
      <c r="L48" s="4">
        <f t="shared" si="1"/>
        <v>1325668249</v>
      </c>
      <c r="M48" s="19"/>
    </row>
    <row r="49" spans="1:13" ht="19.5" customHeight="1">
      <c r="A49" s="6" t="str">
        <f t="shared" si="2"/>
        <v>C21</v>
      </c>
      <c r="B49" s="3">
        <f t="shared" si="5"/>
        <v>41901</v>
      </c>
      <c r="C49" s="3">
        <v>41901</v>
      </c>
      <c r="D49" s="4"/>
      <c r="E49" s="22" t="s">
        <v>107</v>
      </c>
      <c r="F49" s="5" t="s">
        <v>229</v>
      </c>
      <c r="G49" s="5"/>
      <c r="H49" s="5"/>
      <c r="I49" s="28" t="s">
        <v>35</v>
      </c>
      <c r="J49" s="21"/>
      <c r="K49" s="5">
        <v>78982</v>
      </c>
      <c r="L49" s="4">
        <f t="shared" si="1"/>
        <v>1325589267</v>
      </c>
      <c r="M49" s="19"/>
    </row>
    <row r="50" spans="1:13" ht="19.5" customHeight="1">
      <c r="A50" s="6" t="str">
        <f t="shared" si="2"/>
        <v>C22</v>
      </c>
      <c r="B50" s="3">
        <f t="shared" si="5"/>
        <v>41902</v>
      </c>
      <c r="C50" s="3">
        <v>41902</v>
      </c>
      <c r="D50" s="22"/>
      <c r="E50" s="22" t="s">
        <v>108</v>
      </c>
      <c r="F50" s="30" t="s">
        <v>437</v>
      </c>
      <c r="G50" s="50"/>
      <c r="H50" s="50"/>
      <c r="I50" s="28" t="s">
        <v>247</v>
      </c>
      <c r="J50" s="21"/>
      <c r="K50" s="5">
        <v>1465180</v>
      </c>
      <c r="L50" s="4">
        <f t="shared" si="1"/>
        <v>1324124087</v>
      </c>
      <c r="M50" s="19"/>
    </row>
    <row r="51" spans="1:13" ht="19.5" customHeight="1">
      <c r="A51" s="6" t="str">
        <f t="shared" si="2"/>
        <v>C22</v>
      </c>
      <c r="B51" s="3">
        <f t="shared" si="5"/>
        <v>41902</v>
      </c>
      <c r="C51" s="3">
        <v>41902</v>
      </c>
      <c r="D51" s="4"/>
      <c r="E51" s="22" t="s">
        <v>108</v>
      </c>
      <c r="F51" s="5" t="s">
        <v>438</v>
      </c>
      <c r="G51" s="5"/>
      <c r="H51" s="5"/>
      <c r="I51" s="28" t="s">
        <v>35</v>
      </c>
      <c r="J51" s="21"/>
      <c r="K51" s="5">
        <v>146518</v>
      </c>
      <c r="L51" s="4">
        <f t="shared" si="1"/>
        <v>1323977569</v>
      </c>
      <c r="M51" s="19"/>
    </row>
    <row r="52" spans="1:13" ht="19.5" customHeight="1">
      <c r="A52" s="6" t="str">
        <f t="shared" si="2"/>
        <v>C23</v>
      </c>
      <c r="B52" s="3">
        <f t="shared" si="5"/>
        <v>41902</v>
      </c>
      <c r="C52" s="3">
        <v>41902</v>
      </c>
      <c r="D52" s="4"/>
      <c r="E52" s="22" t="s">
        <v>109</v>
      </c>
      <c r="F52" s="5" t="s">
        <v>439</v>
      </c>
      <c r="G52" s="5"/>
      <c r="H52" s="5"/>
      <c r="I52" s="28" t="s">
        <v>256</v>
      </c>
      <c r="J52" s="21"/>
      <c r="K52" s="5">
        <v>2272727</v>
      </c>
      <c r="L52" s="4">
        <f t="shared" si="1"/>
        <v>1321704842</v>
      </c>
      <c r="M52" s="19"/>
    </row>
    <row r="53" spans="1:13" ht="19.5" customHeight="1">
      <c r="A53" s="6" t="str">
        <f t="shared" si="2"/>
        <v>C23</v>
      </c>
      <c r="B53" s="3">
        <f t="shared" si="5"/>
        <v>41902</v>
      </c>
      <c r="C53" s="3">
        <v>41902</v>
      </c>
      <c r="D53" s="22"/>
      <c r="E53" s="22" t="s">
        <v>109</v>
      </c>
      <c r="F53" s="30" t="s">
        <v>440</v>
      </c>
      <c r="G53" s="50"/>
      <c r="H53" s="50"/>
      <c r="I53" s="28" t="s">
        <v>35</v>
      </c>
      <c r="J53" s="21"/>
      <c r="K53" s="5">
        <v>227273</v>
      </c>
      <c r="L53" s="4">
        <f t="shared" si="1"/>
        <v>1321477569</v>
      </c>
      <c r="M53" s="19"/>
    </row>
    <row r="54" spans="1:13" s="41" customFormat="1" ht="19.5" customHeight="1">
      <c r="A54" s="6" t="str">
        <f t="shared" si="2"/>
        <v>T04</v>
      </c>
      <c r="B54" s="3">
        <v>41905</v>
      </c>
      <c r="C54" s="3">
        <f>B54</f>
        <v>41905</v>
      </c>
      <c r="D54" s="4" t="s">
        <v>42</v>
      </c>
      <c r="E54" s="22"/>
      <c r="F54" s="5" t="s">
        <v>272</v>
      </c>
      <c r="G54" s="5"/>
      <c r="H54" s="5"/>
      <c r="I54" s="28" t="s">
        <v>57</v>
      </c>
      <c r="J54" s="21">
        <v>9000000</v>
      </c>
      <c r="K54" s="5"/>
      <c r="L54" s="4">
        <f t="shared" si="1"/>
        <v>1330477569</v>
      </c>
      <c r="M54" s="40"/>
    </row>
    <row r="55" spans="1:13" ht="19.5" customHeight="1">
      <c r="A55" s="6" t="str">
        <f t="shared" si="2"/>
        <v>C24</v>
      </c>
      <c r="B55" s="3">
        <f t="shared" ref="B55:B63" si="6">C55</f>
        <v>41905</v>
      </c>
      <c r="C55" s="3">
        <v>41905</v>
      </c>
      <c r="D55" s="22"/>
      <c r="E55" s="22" t="s">
        <v>110</v>
      </c>
      <c r="F55" s="5" t="s">
        <v>441</v>
      </c>
      <c r="G55" s="5"/>
      <c r="H55" s="5"/>
      <c r="I55" s="28" t="s">
        <v>54</v>
      </c>
      <c r="J55" s="21"/>
      <c r="K55" s="5">
        <v>17278000</v>
      </c>
      <c r="L55" s="4">
        <f t="shared" si="1"/>
        <v>1313199569</v>
      </c>
      <c r="M55" s="19"/>
    </row>
    <row r="56" spans="1:13" ht="19.5" customHeight="1">
      <c r="A56" s="6" t="str">
        <f t="shared" si="2"/>
        <v>C24</v>
      </c>
      <c r="B56" s="3">
        <f t="shared" si="6"/>
        <v>41905</v>
      </c>
      <c r="C56" s="3">
        <v>41905</v>
      </c>
      <c r="D56" s="22"/>
      <c r="E56" s="22" t="s">
        <v>110</v>
      </c>
      <c r="F56" s="5" t="s">
        <v>442</v>
      </c>
      <c r="G56" s="5"/>
      <c r="H56" s="5"/>
      <c r="I56" s="28" t="s">
        <v>35</v>
      </c>
      <c r="J56" s="21"/>
      <c r="K56" s="5">
        <v>742000</v>
      </c>
      <c r="L56" s="4">
        <f t="shared" si="1"/>
        <v>1312457569</v>
      </c>
      <c r="M56" s="19"/>
    </row>
    <row r="57" spans="1:13" ht="19.5" customHeight="1">
      <c r="A57" s="6" t="str">
        <f t="shared" si="2"/>
        <v>C24</v>
      </c>
      <c r="B57" s="3">
        <f t="shared" si="6"/>
        <v>41905</v>
      </c>
      <c r="C57" s="3">
        <v>41905</v>
      </c>
      <c r="D57" s="4"/>
      <c r="E57" s="22" t="s">
        <v>110</v>
      </c>
      <c r="F57" s="5" t="s">
        <v>443</v>
      </c>
      <c r="G57" s="5"/>
      <c r="H57" s="5"/>
      <c r="I57" s="28" t="s">
        <v>35</v>
      </c>
      <c r="J57" s="21"/>
      <c r="K57" s="5">
        <v>243800</v>
      </c>
      <c r="L57" s="4">
        <f t="shared" si="1"/>
        <v>1312213769</v>
      </c>
      <c r="M57" s="19"/>
    </row>
    <row r="58" spans="1:13" s="41" customFormat="1" ht="19.5" customHeight="1">
      <c r="A58" s="6" t="str">
        <f t="shared" si="2"/>
        <v>C25</v>
      </c>
      <c r="B58" s="3">
        <f t="shared" si="6"/>
        <v>41905</v>
      </c>
      <c r="C58" s="3">
        <v>41905</v>
      </c>
      <c r="D58" s="4"/>
      <c r="E58" s="22" t="s">
        <v>111</v>
      </c>
      <c r="F58" s="30" t="s">
        <v>260</v>
      </c>
      <c r="G58" s="50"/>
      <c r="H58" s="50"/>
      <c r="I58" s="28" t="s">
        <v>134</v>
      </c>
      <c r="J58" s="21"/>
      <c r="K58" s="5">
        <v>800000000</v>
      </c>
      <c r="L58" s="4">
        <f t="shared" si="1"/>
        <v>512213769</v>
      </c>
      <c r="M58" s="40"/>
    </row>
    <row r="59" spans="1:13" ht="19.5" customHeight="1">
      <c r="A59" s="6" t="str">
        <f t="shared" si="2"/>
        <v>T05</v>
      </c>
      <c r="B59" s="3">
        <f t="shared" si="6"/>
        <v>41906</v>
      </c>
      <c r="C59" s="3">
        <v>41906</v>
      </c>
      <c r="D59" s="4" t="s">
        <v>43</v>
      </c>
      <c r="E59" s="22"/>
      <c r="F59" s="54" t="s">
        <v>253</v>
      </c>
      <c r="G59" s="50"/>
      <c r="H59" s="50"/>
      <c r="I59" s="28" t="s">
        <v>36</v>
      </c>
      <c r="J59" s="21">
        <v>2000000000</v>
      </c>
      <c r="K59" s="5"/>
      <c r="L59" s="4">
        <f t="shared" si="1"/>
        <v>2512213769</v>
      </c>
      <c r="M59" s="19"/>
    </row>
    <row r="60" spans="1:13" ht="19.5" customHeight="1">
      <c r="A60" s="6" t="str">
        <f t="shared" si="2"/>
        <v>C26</v>
      </c>
      <c r="B60" s="3">
        <f t="shared" si="6"/>
        <v>41906</v>
      </c>
      <c r="C60" s="3">
        <v>41906</v>
      </c>
      <c r="D60" s="4"/>
      <c r="E60" s="22" t="s">
        <v>112</v>
      </c>
      <c r="F60" s="5" t="s">
        <v>435</v>
      </c>
      <c r="G60" s="5"/>
      <c r="H60" s="5"/>
      <c r="I60" s="28" t="s">
        <v>36</v>
      </c>
      <c r="J60" s="21"/>
      <c r="K60" s="5">
        <v>1150000000</v>
      </c>
      <c r="L60" s="4">
        <f t="shared" si="1"/>
        <v>1362213769</v>
      </c>
      <c r="M60" s="19"/>
    </row>
    <row r="61" spans="1:13" ht="18.75" customHeight="1">
      <c r="A61" s="6" t="str">
        <f t="shared" si="2"/>
        <v>C27</v>
      </c>
      <c r="B61" s="3">
        <f t="shared" si="6"/>
        <v>41907</v>
      </c>
      <c r="C61" s="3">
        <v>41907</v>
      </c>
      <c r="D61" s="4"/>
      <c r="E61" s="22" t="s">
        <v>113</v>
      </c>
      <c r="F61" s="5" t="s">
        <v>435</v>
      </c>
      <c r="G61" s="5"/>
      <c r="H61" s="5"/>
      <c r="I61" s="28" t="s">
        <v>36</v>
      </c>
      <c r="J61" s="21"/>
      <c r="K61" s="5">
        <v>100000000</v>
      </c>
      <c r="L61" s="4">
        <f t="shared" si="1"/>
        <v>1262213769</v>
      </c>
      <c r="M61" s="19"/>
    </row>
    <row r="62" spans="1:13" ht="18.75" customHeight="1">
      <c r="A62" s="6" t="str">
        <f t="shared" si="2"/>
        <v>C28</v>
      </c>
      <c r="B62" s="3">
        <f t="shared" si="6"/>
        <v>41908</v>
      </c>
      <c r="C62" s="3">
        <v>41908</v>
      </c>
      <c r="D62" s="4"/>
      <c r="E62" s="22" t="s">
        <v>114</v>
      </c>
      <c r="F62" s="5" t="s">
        <v>274</v>
      </c>
      <c r="G62" s="5"/>
      <c r="H62" s="5"/>
      <c r="I62" s="28" t="s">
        <v>247</v>
      </c>
      <c r="J62" s="21"/>
      <c r="K62" s="5">
        <v>14400000</v>
      </c>
      <c r="L62" s="4">
        <f t="shared" si="1"/>
        <v>1247813769</v>
      </c>
      <c r="M62" s="19"/>
    </row>
    <row r="63" spans="1:13" ht="18.75" customHeight="1">
      <c r="A63" s="6" t="str">
        <f t="shared" si="2"/>
        <v>C28</v>
      </c>
      <c r="B63" s="3">
        <f t="shared" si="6"/>
        <v>41908</v>
      </c>
      <c r="C63" s="3">
        <v>41908</v>
      </c>
      <c r="D63" s="4"/>
      <c r="E63" s="22" t="s">
        <v>114</v>
      </c>
      <c r="F63" s="5" t="s">
        <v>275</v>
      </c>
      <c r="G63" s="5"/>
      <c r="H63" s="5"/>
      <c r="I63" s="28" t="s">
        <v>35</v>
      </c>
      <c r="J63" s="21"/>
      <c r="K63" s="5">
        <v>1440000</v>
      </c>
      <c r="L63" s="4">
        <f t="shared" si="1"/>
        <v>1246373769</v>
      </c>
      <c r="M63" s="19"/>
    </row>
    <row r="64" spans="1:13" s="61" customFormat="1" ht="18.75" customHeight="1">
      <c r="A64" s="6" t="str">
        <f t="shared" si="2"/>
        <v>T06</v>
      </c>
      <c r="B64" s="3">
        <v>41910</v>
      </c>
      <c r="C64" s="3">
        <v>41910</v>
      </c>
      <c r="D64" s="4" t="s">
        <v>44</v>
      </c>
      <c r="E64" s="22"/>
      <c r="F64" s="54" t="s">
        <v>272</v>
      </c>
      <c r="G64" s="50"/>
      <c r="H64" s="50"/>
      <c r="I64" s="28" t="s">
        <v>57</v>
      </c>
      <c r="J64" s="21">
        <v>2000000000</v>
      </c>
      <c r="K64" s="5"/>
      <c r="L64" s="4">
        <f t="shared" si="1"/>
        <v>3246373769</v>
      </c>
      <c r="M64" s="60"/>
    </row>
    <row r="65" spans="1:13" s="41" customFormat="1" ht="18" customHeight="1">
      <c r="A65" s="6" t="str">
        <f t="shared" si="2"/>
        <v>C29</v>
      </c>
      <c r="B65" s="3">
        <v>41910</v>
      </c>
      <c r="C65" s="3">
        <v>41910</v>
      </c>
      <c r="D65" s="4"/>
      <c r="E65" s="22" t="s">
        <v>115</v>
      </c>
      <c r="F65" s="30" t="s">
        <v>259</v>
      </c>
      <c r="G65" s="50"/>
      <c r="H65" s="50"/>
      <c r="I65" s="28" t="s">
        <v>134</v>
      </c>
      <c r="J65" s="21"/>
      <c r="K65" s="5">
        <v>650000000</v>
      </c>
      <c r="L65" s="4">
        <f t="shared" si="1"/>
        <v>2596373769</v>
      </c>
      <c r="M65" s="40"/>
    </row>
    <row r="66" spans="1:13" s="41" customFormat="1" ht="18" customHeight="1">
      <c r="A66" s="6" t="str">
        <f t="shared" si="2"/>
        <v>C30</v>
      </c>
      <c r="B66" s="3">
        <v>41910</v>
      </c>
      <c r="C66" s="3">
        <v>41910</v>
      </c>
      <c r="D66" s="4"/>
      <c r="E66" s="22" t="s">
        <v>116</v>
      </c>
      <c r="F66" s="30" t="s">
        <v>260</v>
      </c>
      <c r="G66" s="50"/>
      <c r="H66" s="50"/>
      <c r="I66" s="28" t="s">
        <v>134</v>
      </c>
      <c r="J66" s="21"/>
      <c r="K66" s="5">
        <v>900000000</v>
      </c>
      <c r="L66" s="4">
        <f t="shared" si="1"/>
        <v>1696373769</v>
      </c>
      <c r="M66" s="40"/>
    </row>
    <row r="67" spans="1:13" ht="18.75" customHeight="1">
      <c r="A67" s="6" t="str">
        <f t="shared" si="2"/>
        <v>C31</v>
      </c>
      <c r="B67" s="3">
        <f t="shared" ref="B67:B74" si="7">C67</f>
        <v>41911</v>
      </c>
      <c r="C67" s="3">
        <v>41911</v>
      </c>
      <c r="D67" s="4"/>
      <c r="E67" s="22" t="s">
        <v>117</v>
      </c>
      <c r="F67" s="5" t="s">
        <v>444</v>
      </c>
      <c r="G67" s="5"/>
      <c r="H67" s="5"/>
      <c r="I67" s="28" t="s">
        <v>247</v>
      </c>
      <c r="J67" s="21"/>
      <c r="K67" s="5">
        <v>336357</v>
      </c>
      <c r="L67" s="4">
        <f t="shared" si="1"/>
        <v>1696037412</v>
      </c>
      <c r="M67" s="19"/>
    </row>
    <row r="68" spans="1:13" ht="18.75" customHeight="1">
      <c r="A68" s="6" t="str">
        <f t="shared" si="2"/>
        <v>C31</v>
      </c>
      <c r="B68" s="3">
        <f t="shared" si="7"/>
        <v>41911</v>
      </c>
      <c r="C68" s="3">
        <v>41911</v>
      </c>
      <c r="D68" s="4"/>
      <c r="E68" s="22" t="s">
        <v>117</v>
      </c>
      <c r="F68" s="5" t="s">
        <v>445</v>
      </c>
      <c r="G68" s="5"/>
      <c r="H68" s="5"/>
      <c r="I68" s="28" t="s">
        <v>35</v>
      </c>
      <c r="J68" s="21"/>
      <c r="K68" s="5">
        <v>33636</v>
      </c>
      <c r="L68" s="4">
        <f t="shared" si="1"/>
        <v>1696003776</v>
      </c>
      <c r="M68" s="19"/>
    </row>
    <row r="69" spans="1:13" ht="18.75" customHeight="1">
      <c r="A69" s="6" t="str">
        <f t="shared" si="2"/>
        <v>C32</v>
      </c>
      <c r="B69" s="3">
        <f t="shared" si="7"/>
        <v>41912</v>
      </c>
      <c r="C69" s="3">
        <v>41912</v>
      </c>
      <c r="D69" s="4"/>
      <c r="E69" s="22" t="s">
        <v>118</v>
      </c>
      <c r="F69" s="5" t="s">
        <v>50</v>
      </c>
      <c r="G69" s="5"/>
      <c r="H69" s="5"/>
      <c r="I69" s="28" t="s">
        <v>247</v>
      </c>
      <c r="J69" s="21"/>
      <c r="K69" s="5">
        <v>387982</v>
      </c>
      <c r="L69" s="4">
        <f t="shared" si="1"/>
        <v>1695615794</v>
      </c>
      <c r="M69" s="19"/>
    </row>
    <row r="70" spans="1:13" ht="18.75" customHeight="1">
      <c r="A70" s="6" t="str">
        <f t="shared" si="2"/>
        <v>C32</v>
      </c>
      <c r="B70" s="3">
        <f t="shared" si="7"/>
        <v>41912</v>
      </c>
      <c r="C70" s="3">
        <v>41912</v>
      </c>
      <c r="D70" s="4"/>
      <c r="E70" s="22" t="s">
        <v>118</v>
      </c>
      <c r="F70" s="5" t="s">
        <v>53</v>
      </c>
      <c r="G70" s="5"/>
      <c r="H70" s="5"/>
      <c r="I70" s="28" t="s">
        <v>54</v>
      </c>
      <c r="J70" s="21"/>
      <c r="K70" s="5">
        <v>4290000</v>
      </c>
      <c r="L70" s="4">
        <f t="shared" si="1"/>
        <v>1691325794</v>
      </c>
      <c r="M70" s="19"/>
    </row>
    <row r="71" spans="1:13" ht="18.75" customHeight="1">
      <c r="A71" s="6" t="str">
        <f t="shared" si="2"/>
        <v>C32</v>
      </c>
      <c r="B71" s="3">
        <f t="shared" si="7"/>
        <v>41912</v>
      </c>
      <c r="C71" s="3">
        <v>41912</v>
      </c>
      <c r="D71" s="4"/>
      <c r="E71" s="22" t="s">
        <v>118</v>
      </c>
      <c r="F71" s="5" t="s">
        <v>292</v>
      </c>
      <c r="G71" s="5"/>
      <c r="H71" s="5"/>
      <c r="I71" s="28" t="s">
        <v>35</v>
      </c>
      <c r="J71" s="21"/>
      <c r="K71" s="5">
        <v>467798</v>
      </c>
      <c r="L71" s="4">
        <f t="shared" si="1"/>
        <v>1690857996</v>
      </c>
      <c r="M71" s="19"/>
    </row>
    <row r="72" spans="1:13" ht="18.75" customHeight="1">
      <c r="A72" s="6" t="str">
        <f t="shared" si="2"/>
        <v>C33</v>
      </c>
      <c r="B72" s="3">
        <f t="shared" si="7"/>
        <v>41912</v>
      </c>
      <c r="C72" s="3">
        <v>41912</v>
      </c>
      <c r="D72" s="4"/>
      <c r="E72" s="22" t="s">
        <v>119</v>
      </c>
      <c r="F72" s="5" t="s">
        <v>446</v>
      </c>
      <c r="G72" s="5"/>
      <c r="H72" s="5"/>
      <c r="I72" s="28" t="s">
        <v>247</v>
      </c>
      <c r="J72" s="21"/>
      <c r="K72" s="5">
        <v>1000000</v>
      </c>
      <c r="L72" s="4">
        <f t="shared" si="1"/>
        <v>1689857996</v>
      </c>
      <c r="M72" s="19"/>
    </row>
    <row r="73" spans="1:13" s="41" customFormat="1" ht="18.75" customHeight="1">
      <c r="A73" s="6" t="str">
        <f t="shared" si="2"/>
        <v>C34</v>
      </c>
      <c r="B73" s="3">
        <f t="shared" si="7"/>
        <v>41912</v>
      </c>
      <c r="C73" s="3">
        <v>41912</v>
      </c>
      <c r="D73" s="4"/>
      <c r="E73" s="22" t="s">
        <v>120</v>
      </c>
      <c r="F73" s="30" t="s">
        <v>447</v>
      </c>
      <c r="G73" s="50"/>
      <c r="H73" s="50"/>
      <c r="I73" s="28" t="s">
        <v>38</v>
      </c>
      <c r="J73" s="21"/>
      <c r="K73" s="5">
        <v>74077</v>
      </c>
      <c r="L73" s="4">
        <f>IF(F73&lt;&gt;"",L72+J73-K73,0)</f>
        <v>1689783919</v>
      </c>
      <c r="M73" s="40"/>
    </row>
    <row r="74" spans="1:13" s="41" customFormat="1" ht="18.75" customHeight="1">
      <c r="A74" s="6" t="str">
        <f t="shared" si="2"/>
        <v>C35</v>
      </c>
      <c r="B74" s="3">
        <f t="shared" si="7"/>
        <v>41912</v>
      </c>
      <c r="C74" s="3">
        <v>41912</v>
      </c>
      <c r="D74" s="4"/>
      <c r="E74" s="22" t="s">
        <v>121</v>
      </c>
      <c r="F74" s="5" t="s">
        <v>344</v>
      </c>
      <c r="G74" s="5"/>
      <c r="H74" s="5"/>
      <c r="I74" s="28" t="s">
        <v>37</v>
      </c>
      <c r="J74" s="21"/>
      <c r="K74" s="5">
        <v>163326644</v>
      </c>
      <c r="L74" s="4">
        <f>IF(F74&lt;&gt;"",L73+J74-K74,0)</f>
        <v>1526457275</v>
      </c>
      <c r="M74" s="40"/>
    </row>
    <row r="75" spans="1:13" s="41" customFormat="1" ht="18" customHeight="1">
      <c r="A75" s="6"/>
      <c r="B75" s="31"/>
      <c r="C75" s="31"/>
      <c r="D75" s="33"/>
      <c r="E75" s="33"/>
      <c r="F75" s="39"/>
      <c r="G75" s="39"/>
      <c r="H75" s="39"/>
      <c r="I75" s="32"/>
      <c r="J75" s="34"/>
      <c r="K75" s="39"/>
      <c r="L75" s="4"/>
      <c r="M75" s="40"/>
    </row>
    <row r="76" spans="1:13" ht="18" customHeight="1">
      <c r="B76" s="19"/>
      <c r="C76" s="19"/>
      <c r="D76" s="19"/>
      <c r="E76" s="19"/>
      <c r="F76" s="19" t="s">
        <v>29</v>
      </c>
      <c r="G76" s="19"/>
      <c r="H76" s="19"/>
      <c r="I76" s="4" t="s">
        <v>30</v>
      </c>
      <c r="J76" s="19">
        <f>SUM(J13:J74)</f>
        <v>6545000000</v>
      </c>
      <c r="K76" s="19">
        <f>SUM(K13:K74)</f>
        <v>7459983286</v>
      </c>
      <c r="L76" s="4" t="s">
        <v>30</v>
      </c>
      <c r="M76" s="4" t="s">
        <v>30</v>
      </c>
    </row>
    <row r="77" spans="1:13" ht="18" customHeight="1">
      <c r="B77" s="25"/>
      <c r="C77" s="25"/>
      <c r="D77" s="25"/>
      <c r="E77" s="25"/>
      <c r="F77" s="25" t="s">
        <v>31</v>
      </c>
      <c r="G77" s="25"/>
      <c r="H77" s="25"/>
      <c r="I77" s="26" t="s">
        <v>30</v>
      </c>
      <c r="J77" s="26" t="s">
        <v>30</v>
      </c>
      <c r="K77" s="26" t="s">
        <v>30</v>
      </c>
      <c r="L77" s="25">
        <f>L12+J76-K76</f>
        <v>1526457275</v>
      </c>
      <c r="M77" s="26" t="s">
        <v>30</v>
      </c>
    </row>
    <row r="79" spans="1:13">
      <c r="B79" s="27" t="s">
        <v>32</v>
      </c>
    </row>
    <row r="80" spans="1:13">
      <c r="B80" s="27" t="s">
        <v>64</v>
      </c>
    </row>
    <row r="81" spans="3:12">
      <c r="L81" s="8" t="s">
        <v>65</v>
      </c>
    </row>
    <row r="82" spans="3:12" s="7" customFormat="1" ht="14.25">
      <c r="C82" s="7" t="s">
        <v>33</v>
      </c>
      <c r="F82" s="7" t="s">
        <v>13</v>
      </c>
      <c r="L82" s="7" t="s">
        <v>14</v>
      </c>
    </row>
    <row r="83" spans="3:12" s="2" customFormat="1">
      <c r="C83" s="2" t="s">
        <v>15</v>
      </c>
      <c r="F83" s="2" t="s">
        <v>15</v>
      </c>
      <c r="L83" s="2" t="s">
        <v>16</v>
      </c>
    </row>
    <row r="84" spans="3:12" s="2" customFormat="1"/>
  </sheetData>
  <autoFilter ref="B11:M77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7"/>
  <sheetViews>
    <sheetView topLeftCell="B1" zoomScale="90" workbookViewId="0">
      <selection activeCell="J1" sqref="J1:M3"/>
    </sheetView>
  </sheetViews>
  <sheetFormatPr defaultRowHeight="15"/>
  <cols>
    <col min="1" max="1" width="5.140625" style="6" hidden="1" customWidth="1"/>
    <col min="2" max="3" width="10.42578125" style="6" customWidth="1"/>
    <col min="4" max="5" width="6.7109375" style="6" customWidth="1"/>
    <col min="6" max="6" width="38.7109375" style="6" customWidth="1"/>
    <col min="7" max="8" width="14.42578125" style="6" hidden="1" customWidth="1"/>
    <col min="9" max="9" width="7.140625" style="6" customWidth="1"/>
    <col min="10" max="11" width="16" style="6" customWidth="1"/>
    <col min="12" max="12" width="14.7109375" style="6" customWidth="1"/>
    <col min="13" max="13" width="9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3"/>
      <c r="K3" s="393"/>
      <c r="L3" s="393"/>
      <c r="M3" s="39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27.75" customHeight="1">
      <c r="B9" s="396" t="s">
        <v>20</v>
      </c>
      <c r="C9" s="396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6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18" customHeight="1">
      <c r="B10" s="397"/>
      <c r="C10" s="397"/>
      <c r="D10" s="16" t="s">
        <v>5</v>
      </c>
      <c r="E10" s="16" t="s">
        <v>6</v>
      </c>
      <c r="F10" s="395"/>
      <c r="G10" s="397"/>
      <c r="H10" s="397"/>
      <c r="I10" s="397"/>
      <c r="J10" s="16" t="s">
        <v>25</v>
      </c>
      <c r="K10" s="16" t="s">
        <v>26</v>
      </c>
      <c r="L10" s="395"/>
      <c r="M10" s="395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8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'09'!L77</f>
        <v>1526457275</v>
      </c>
      <c r="M12" s="19"/>
    </row>
    <row r="13" spans="1:13" ht="18.75" customHeight="1">
      <c r="A13" s="6" t="str">
        <f>D13&amp;E13</f>
        <v>C01</v>
      </c>
      <c r="B13" s="3">
        <v>41913</v>
      </c>
      <c r="C13" s="3">
        <f t="shared" ref="C13:C76" si="0">B13</f>
        <v>41913</v>
      </c>
      <c r="D13" s="4"/>
      <c r="E13" s="22" t="s">
        <v>87</v>
      </c>
      <c r="F13" s="5" t="s">
        <v>413</v>
      </c>
      <c r="G13" s="5"/>
      <c r="H13" s="5"/>
      <c r="I13" s="28" t="s">
        <v>256</v>
      </c>
      <c r="J13" s="21"/>
      <c r="K13" s="5">
        <v>1854546</v>
      </c>
      <c r="L13" s="4">
        <f t="shared" ref="L13:L20" si="1">IF(F13&lt;&gt;"",L12+J13-K13,0)</f>
        <v>1524602729</v>
      </c>
      <c r="M13" s="19"/>
    </row>
    <row r="14" spans="1:13" ht="18.75" customHeight="1">
      <c r="A14" s="6" t="str">
        <f t="shared" ref="A14:A77" si="2">D14&amp;E14</f>
        <v>C01</v>
      </c>
      <c r="B14" s="3">
        <v>41913</v>
      </c>
      <c r="C14" s="3">
        <f t="shared" si="0"/>
        <v>41913</v>
      </c>
      <c r="D14" s="4"/>
      <c r="E14" s="22" t="s">
        <v>87</v>
      </c>
      <c r="F14" s="5" t="s">
        <v>414</v>
      </c>
      <c r="G14" s="5"/>
      <c r="H14" s="5"/>
      <c r="I14" s="28" t="s">
        <v>35</v>
      </c>
      <c r="J14" s="21"/>
      <c r="K14" s="5">
        <v>185454</v>
      </c>
      <c r="L14" s="4">
        <f t="shared" si="1"/>
        <v>1524417275</v>
      </c>
      <c r="M14" s="19"/>
    </row>
    <row r="15" spans="1:13" ht="18.75" customHeight="1">
      <c r="A15" s="6" t="str">
        <f t="shared" si="2"/>
        <v>C02</v>
      </c>
      <c r="B15" s="3">
        <v>41913</v>
      </c>
      <c r="C15" s="3">
        <f t="shared" si="0"/>
        <v>41913</v>
      </c>
      <c r="D15" s="4"/>
      <c r="E15" s="22" t="s">
        <v>88</v>
      </c>
      <c r="F15" s="5" t="s">
        <v>448</v>
      </c>
      <c r="G15" s="5"/>
      <c r="H15" s="5"/>
      <c r="I15" s="28" t="s">
        <v>54</v>
      </c>
      <c r="J15" s="21"/>
      <c r="K15" s="5">
        <v>18365350</v>
      </c>
      <c r="L15" s="4">
        <f t="shared" si="1"/>
        <v>1506051925</v>
      </c>
      <c r="M15" s="19"/>
    </row>
    <row r="16" spans="1:13" ht="18.75" customHeight="1">
      <c r="A16" s="6" t="str">
        <f t="shared" si="2"/>
        <v>C02</v>
      </c>
      <c r="B16" s="3">
        <v>41913</v>
      </c>
      <c r="C16" s="3">
        <f t="shared" si="0"/>
        <v>41913</v>
      </c>
      <c r="D16" s="4"/>
      <c r="E16" s="22" t="s">
        <v>88</v>
      </c>
      <c r="F16" s="5" t="s">
        <v>55</v>
      </c>
      <c r="G16" s="5"/>
      <c r="H16" s="5"/>
      <c r="I16" s="28" t="s">
        <v>35</v>
      </c>
      <c r="J16" s="21"/>
      <c r="K16" s="5">
        <v>781200</v>
      </c>
      <c r="L16" s="4">
        <f t="shared" si="1"/>
        <v>1505270725</v>
      </c>
      <c r="M16" s="19"/>
    </row>
    <row r="17" spans="1:13" ht="18.75" customHeight="1">
      <c r="A17" s="6" t="str">
        <f t="shared" si="2"/>
        <v>C02</v>
      </c>
      <c r="B17" s="3">
        <v>41913</v>
      </c>
      <c r="C17" s="3">
        <f t="shared" si="0"/>
        <v>41913</v>
      </c>
      <c r="D17" s="22"/>
      <c r="E17" s="22" t="s">
        <v>88</v>
      </c>
      <c r="F17" s="5" t="s">
        <v>449</v>
      </c>
      <c r="G17" s="5"/>
      <c r="H17" s="5"/>
      <c r="I17" s="28" t="s">
        <v>35</v>
      </c>
      <c r="J17" s="21"/>
      <c r="K17" s="5">
        <v>274135</v>
      </c>
      <c r="L17" s="4">
        <f t="shared" si="1"/>
        <v>1504996590</v>
      </c>
      <c r="M17" s="19"/>
    </row>
    <row r="18" spans="1:13" ht="18.75" customHeight="1">
      <c r="A18" s="6" t="str">
        <f t="shared" si="2"/>
        <v>C03</v>
      </c>
      <c r="B18" s="3">
        <v>41913</v>
      </c>
      <c r="C18" s="3">
        <f t="shared" si="0"/>
        <v>41913</v>
      </c>
      <c r="D18" s="22"/>
      <c r="E18" s="22" t="s">
        <v>89</v>
      </c>
      <c r="F18" s="5" t="s">
        <v>450</v>
      </c>
      <c r="G18" s="5"/>
      <c r="H18" s="5"/>
      <c r="I18" s="28" t="s">
        <v>247</v>
      </c>
      <c r="J18" s="21"/>
      <c r="K18" s="5">
        <v>2157151</v>
      </c>
      <c r="L18" s="4">
        <f t="shared" si="1"/>
        <v>1502839439</v>
      </c>
      <c r="M18" s="19"/>
    </row>
    <row r="19" spans="1:13" ht="18.75" customHeight="1">
      <c r="A19" s="6" t="str">
        <f t="shared" si="2"/>
        <v>C03</v>
      </c>
      <c r="B19" s="3">
        <v>41913</v>
      </c>
      <c r="C19" s="3">
        <f t="shared" si="0"/>
        <v>41913</v>
      </c>
      <c r="D19" s="4"/>
      <c r="E19" s="22" t="s">
        <v>89</v>
      </c>
      <c r="F19" s="5" t="s">
        <v>451</v>
      </c>
      <c r="G19" s="5"/>
      <c r="H19" s="5"/>
      <c r="I19" s="28" t="s">
        <v>35</v>
      </c>
      <c r="J19" s="21"/>
      <c r="K19" s="21">
        <v>215715</v>
      </c>
      <c r="L19" s="4">
        <f t="shared" si="1"/>
        <v>1502623724</v>
      </c>
      <c r="M19" s="19"/>
    </row>
    <row r="20" spans="1:13" ht="18.75" customHeight="1">
      <c r="A20" s="6" t="str">
        <f t="shared" si="2"/>
        <v>C04</v>
      </c>
      <c r="B20" s="3">
        <v>41914</v>
      </c>
      <c r="C20" s="3">
        <f t="shared" si="0"/>
        <v>41914</v>
      </c>
      <c r="D20" s="4"/>
      <c r="E20" s="22" t="s">
        <v>90</v>
      </c>
      <c r="F20" s="5" t="s">
        <v>288</v>
      </c>
      <c r="G20" s="5"/>
      <c r="H20" s="5"/>
      <c r="I20" s="28" t="s">
        <v>256</v>
      </c>
      <c r="J20" s="21"/>
      <c r="K20" s="5">
        <v>12900000</v>
      </c>
      <c r="L20" s="4">
        <f t="shared" si="1"/>
        <v>1489723724</v>
      </c>
      <c r="M20" s="19"/>
    </row>
    <row r="21" spans="1:13" ht="18.75" customHeight="1">
      <c r="A21" s="6" t="str">
        <f t="shared" si="2"/>
        <v>C04</v>
      </c>
      <c r="B21" s="3">
        <v>41914</v>
      </c>
      <c r="C21" s="3">
        <f t="shared" si="0"/>
        <v>41914</v>
      </c>
      <c r="D21" s="4"/>
      <c r="E21" s="22" t="s">
        <v>90</v>
      </c>
      <c r="F21" s="5" t="s">
        <v>289</v>
      </c>
      <c r="G21" s="5"/>
      <c r="H21" s="5"/>
      <c r="I21" s="28" t="s">
        <v>35</v>
      </c>
      <c r="J21" s="21"/>
      <c r="K21" s="5">
        <v>1290000</v>
      </c>
      <c r="L21" s="4">
        <f t="shared" ref="L21:L28" si="3">IF(F21&lt;&gt;"",L20+J21-K21,0)</f>
        <v>1488433724</v>
      </c>
      <c r="M21" s="19"/>
    </row>
    <row r="22" spans="1:13" s="41" customFormat="1" ht="18" customHeight="1">
      <c r="A22" s="6" t="str">
        <f t="shared" si="2"/>
        <v>C05</v>
      </c>
      <c r="B22" s="3">
        <v>41918</v>
      </c>
      <c r="C22" s="3">
        <f t="shared" si="0"/>
        <v>41918</v>
      </c>
      <c r="D22" s="22"/>
      <c r="E22" s="22" t="s">
        <v>91</v>
      </c>
      <c r="F22" s="30" t="s">
        <v>260</v>
      </c>
      <c r="G22" s="50"/>
      <c r="H22" s="50"/>
      <c r="I22" s="28" t="s">
        <v>134</v>
      </c>
      <c r="J22" s="21"/>
      <c r="K22" s="5">
        <v>650000000</v>
      </c>
      <c r="L22" s="4">
        <f t="shared" si="3"/>
        <v>838433724</v>
      </c>
      <c r="M22" s="40"/>
    </row>
    <row r="23" spans="1:13" ht="18.75" customHeight="1">
      <c r="A23" s="6" t="str">
        <f t="shared" si="2"/>
        <v>C06</v>
      </c>
      <c r="B23" s="3">
        <v>41918</v>
      </c>
      <c r="C23" s="3">
        <f t="shared" si="0"/>
        <v>41918</v>
      </c>
      <c r="D23" s="4"/>
      <c r="E23" s="22" t="s">
        <v>92</v>
      </c>
      <c r="F23" s="5" t="s">
        <v>452</v>
      </c>
      <c r="G23" s="5"/>
      <c r="H23" s="5"/>
      <c r="I23" s="28" t="s">
        <v>247</v>
      </c>
      <c r="J23" s="21"/>
      <c r="K23" s="5">
        <v>2909091</v>
      </c>
      <c r="L23" s="4">
        <f t="shared" si="3"/>
        <v>835524633</v>
      </c>
      <c r="M23" s="19"/>
    </row>
    <row r="24" spans="1:13" ht="18.75" customHeight="1">
      <c r="A24" s="6" t="str">
        <f t="shared" si="2"/>
        <v>C06</v>
      </c>
      <c r="B24" s="3">
        <v>41918</v>
      </c>
      <c r="C24" s="3">
        <f t="shared" si="0"/>
        <v>41918</v>
      </c>
      <c r="D24" s="4"/>
      <c r="E24" s="22" t="s">
        <v>92</v>
      </c>
      <c r="F24" s="5" t="s">
        <v>453</v>
      </c>
      <c r="G24" s="5"/>
      <c r="H24" s="5"/>
      <c r="I24" s="28" t="s">
        <v>35</v>
      </c>
      <c r="J24" s="21"/>
      <c r="K24" s="5">
        <v>290909</v>
      </c>
      <c r="L24" s="4">
        <f t="shared" si="3"/>
        <v>835233724</v>
      </c>
      <c r="M24" s="19"/>
    </row>
    <row r="25" spans="1:13" ht="18.75" customHeight="1">
      <c r="A25" s="6" t="str">
        <f t="shared" si="2"/>
        <v>C07</v>
      </c>
      <c r="B25" s="3">
        <v>41920</v>
      </c>
      <c r="C25" s="3">
        <f t="shared" si="0"/>
        <v>41920</v>
      </c>
      <c r="D25" s="22"/>
      <c r="E25" s="22" t="s">
        <v>93</v>
      </c>
      <c r="F25" s="5" t="s">
        <v>454</v>
      </c>
      <c r="G25" s="5"/>
      <c r="H25" s="5"/>
      <c r="I25" s="28" t="s">
        <v>256</v>
      </c>
      <c r="J25" s="21"/>
      <c r="K25" s="5">
        <v>481818</v>
      </c>
      <c r="L25" s="4">
        <f t="shared" si="3"/>
        <v>834751906</v>
      </c>
      <c r="M25" s="19"/>
    </row>
    <row r="26" spans="1:13" ht="18.75" customHeight="1">
      <c r="A26" s="6" t="str">
        <f t="shared" si="2"/>
        <v>C07</v>
      </c>
      <c r="B26" s="3">
        <v>41920</v>
      </c>
      <c r="C26" s="3">
        <f t="shared" si="0"/>
        <v>41920</v>
      </c>
      <c r="D26" s="22"/>
      <c r="E26" s="22" t="s">
        <v>93</v>
      </c>
      <c r="F26" s="5" t="s">
        <v>455</v>
      </c>
      <c r="G26" s="5"/>
      <c r="H26" s="5"/>
      <c r="I26" s="28" t="s">
        <v>35</v>
      </c>
      <c r="J26" s="21"/>
      <c r="K26" s="5">
        <v>48182</v>
      </c>
      <c r="L26" s="4">
        <f t="shared" si="3"/>
        <v>834703724</v>
      </c>
      <c r="M26" s="19"/>
    </row>
    <row r="27" spans="1:13" ht="18" customHeight="1">
      <c r="A27" s="6" t="str">
        <f t="shared" si="2"/>
        <v>T01</v>
      </c>
      <c r="B27" s="3">
        <v>41921</v>
      </c>
      <c r="C27" s="3">
        <f t="shared" si="0"/>
        <v>41921</v>
      </c>
      <c r="D27" s="4" t="s">
        <v>39</v>
      </c>
      <c r="E27" s="22"/>
      <c r="F27" s="5" t="s">
        <v>456</v>
      </c>
      <c r="G27" s="5"/>
      <c r="H27" s="5"/>
      <c r="I27" s="28" t="s">
        <v>36</v>
      </c>
      <c r="J27" s="21">
        <v>1900000000</v>
      </c>
      <c r="K27" s="5"/>
      <c r="L27" s="4">
        <f t="shared" si="3"/>
        <v>2734703724</v>
      </c>
      <c r="M27" s="19"/>
    </row>
    <row r="28" spans="1:13" s="41" customFormat="1" ht="18" customHeight="1">
      <c r="A28" s="6" t="str">
        <f t="shared" si="2"/>
        <v>C08</v>
      </c>
      <c r="B28" s="3">
        <v>41921</v>
      </c>
      <c r="C28" s="3">
        <f t="shared" si="0"/>
        <v>41921</v>
      </c>
      <c r="D28" s="22"/>
      <c r="E28" s="22" t="s">
        <v>94</v>
      </c>
      <c r="F28" s="30" t="s">
        <v>260</v>
      </c>
      <c r="G28" s="50"/>
      <c r="H28" s="50"/>
      <c r="I28" s="28" t="s">
        <v>134</v>
      </c>
      <c r="J28" s="21"/>
      <c r="K28" s="5">
        <v>650000000</v>
      </c>
      <c r="L28" s="4">
        <f t="shared" si="3"/>
        <v>2084703724</v>
      </c>
      <c r="M28" s="40"/>
    </row>
    <row r="29" spans="1:13" ht="18.75" customHeight="1">
      <c r="A29" s="6" t="str">
        <f t="shared" si="2"/>
        <v>C09</v>
      </c>
      <c r="B29" s="3">
        <v>41922</v>
      </c>
      <c r="C29" s="3">
        <f t="shared" si="0"/>
        <v>41922</v>
      </c>
      <c r="D29" s="22"/>
      <c r="E29" s="22" t="s">
        <v>95</v>
      </c>
      <c r="F29" s="30" t="s">
        <v>50</v>
      </c>
      <c r="G29" s="50"/>
      <c r="H29" s="50"/>
      <c r="I29" s="28" t="s">
        <v>247</v>
      </c>
      <c r="J29" s="21"/>
      <c r="K29" s="5">
        <v>1142109</v>
      </c>
      <c r="L29" s="4">
        <f t="shared" ref="L29:L39" si="4">IF(F29&lt;&gt;"",L28+J29-K29,0)</f>
        <v>2083561615</v>
      </c>
      <c r="M29" s="19"/>
    </row>
    <row r="30" spans="1:13" ht="18.75" customHeight="1">
      <c r="A30" s="6" t="str">
        <f t="shared" si="2"/>
        <v>C09</v>
      </c>
      <c r="B30" s="3">
        <v>41922</v>
      </c>
      <c r="C30" s="3">
        <f t="shared" si="0"/>
        <v>41922</v>
      </c>
      <c r="D30" s="4"/>
      <c r="E30" s="22" t="s">
        <v>95</v>
      </c>
      <c r="F30" s="5" t="s">
        <v>56</v>
      </c>
      <c r="G30" s="5"/>
      <c r="H30" s="5"/>
      <c r="I30" s="28" t="s">
        <v>35</v>
      </c>
      <c r="J30" s="21"/>
      <c r="K30" s="5">
        <v>114211</v>
      </c>
      <c r="L30" s="4">
        <f t="shared" si="4"/>
        <v>2083447404</v>
      </c>
      <c r="M30" s="19"/>
    </row>
    <row r="31" spans="1:13" ht="18.75" customHeight="1">
      <c r="A31" s="6" t="str">
        <f t="shared" si="2"/>
        <v>C10</v>
      </c>
      <c r="B31" s="3">
        <v>41922</v>
      </c>
      <c r="C31" s="3">
        <f t="shared" si="0"/>
        <v>41922</v>
      </c>
      <c r="D31" s="4"/>
      <c r="E31" s="22" t="s">
        <v>96</v>
      </c>
      <c r="F31" s="5" t="s">
        <v>359</v>
      </c>
      <c r="G31" s="5"/>
      <c r="H31" s="5"/>
      <c r="I31" s="28" t="s">
        <v>247</v>
      </c>
      <c r="J31" s="21"/>
      <c r="K31" s="5">
        <v>3010000</v>
      </c>
      <c r="L31" s="4">
        <f t="shared" si="4"/>
        <v>2080437404</v>
      </c>
      <c r="M31" s="19"/>
    </row>
    <row r="32" spans="1:13" ht="18.75" customHeight="1">
      <c r="A32" s="6" t="str">
        <f t="shared" si="2"/>
        <v>C10</v>
      </c>
      <c r="B32" s="3">
        <v>41922</v>
      </c>
      <c r="C32" s="3">
        <f t="shared" si="0"/>
        <v>41922</v>
      </c>
      <c r="D32" s="4"/>
      <c r="E32" s="22" t="s">
        <v>96</v>
      </c>
      <c r="F32" s="5" t="s">
        <v>360</v>
      </c>
      <c r="G32" s="5"/>
      <c r="H32" s="5"/>
      <c r="I32" s="28" t="s">
        <v>35</v>
      </c>
      <c r="J32" s="21"/>
      <c r="K32" s="5">
        <v>301000</v>
      </c>
      <c r="L32" s="4">
        <f t="shared" si="4"/>
        <v>2080136404</v>
      </c>
      <c r="M32" s="19"/>
    </row>
    <row r="33" spans="1:13" s="41" customFormat="1" ht="18" customHeight="1">
      <c r="A33" s="6" t="str">
        <f t="shared" si="2"/>
        <v>C11</v>
      </c>
      <c r="B33" s="3">
        <v>41922</v>
      </c>
      <c r="C33" s="3">
        <f t="shared" si="0"/>
        <v>41922</v>
      </c>
      <c r="D33" s="22"/>
      <c r="E33" s="22" t="s">
        <v>97</v>
      </c>
      <c r="F33" s="30" t="s">
        <v>260</v>
      </c>
      <c r="G33" s="50"/>
      <c r="H33" s="50"/>
      <c r="I33" s="28" t="s">
        <v>134</v>
      </c>
      <c r="J33" s="21"/>
      <c r="K33" s="5">
        <v>800000000</v>
      </c>
      <c r="L33" s="4">
        <f t="shared" si="4"/>
        <v>1280136404</v>
      </c>
      <c r="M33" s="40"/>
    </row>
    <row r="34" spans="1:13" ht="18" customHeight="1">
      <c r="A34" s="6" t="str">
        <f t="shared" si="2"/>
        <v>C12</v>
      </c>
      <c r="B34" s="3">
        <v>41922</v>
      </c>
      <c r="C34" s="3">
        <f t="shared" si="0"/>
        <v>41922</v>
      </c>
      <c r="D34" s="22"/>
      <c r="E34" s="22" t="s">
        <v>98</v>
      </c>
      <c r="F34" s="30" t="s">
        <v>259</v>
      </c>
      <c r="G34" s="50"/>
      <c r="H34" s="50"/>
      <c r="I34" s="28" t="s">
        <v>134</v>
      </c>
      <c r="J34" s="21"/>
      <c r="K34" s="5">
        <v>550000000</v>
      </c>
      <c r="L34" s="4">
        <f t="shared" si="4"/>
        <v>730136404</v>
      </c>
      <c r="M34" s="19"/>
    </row>
    <row r="35" spans="1:13" ht="18.75" customHeight="1">
      <c r="A35" s="6" t="str">
        <f t="shared" si="2"/>
        <v>C13</v>
      </c>
      <c r="B35" s="3">
        <v>41923</v>
      </c>
      <c r="C35" s="3">
        <f t="shared" si="0"/>
        <v>41923</v>
      </c>
      <c r="D35" s="22"/>
      <c r="E35" s="22" t="s">
        <v>99</v>
      </c>
      <c r="F35" s="5" t="s">
        <v>457</v>
      </c>
      <c r="G35" s="50"/>
      <c r="H35" s="50"/>
      <c r="I35" s="28" t="s">
        <v>34</v>
      </c>
      <c r="J35" s="21"/>
      <c r="K35" s="5">
        <v>14960000</v>
      </c>
      <c r="L35" s="4">
        <f t="shared" si="4"/>
        <v>715176404</v>
      </c>
      <c r="M35" s="19"/>
    </row>
    <row r="36" spans="1:13" ht="18.75" customHeight="1">
      <c r="A36" s="6" t="str">
        <f t="shared" si="2"/>
        <v>C14</v>
      </c>
      <c r="B36" s="3">
        <v>41925</v>
      </c>
      <c r="C36" s="3">
        <f t="shared" si="0"/>
        <v>41925</v>
      </c>
      <c r="D36" s="22"/>
      <c r="E36" s="22" t="s">
        <v>100</v>
      </c>
      <c r="F36" s="5" t="s">
        <v>458</v>
      </c>
      <c r="G36" s="5"/>
      <c r="H36" s="5"/>
      <c r="I36" s="28" t="s">
        <v>256</v>
      </c>
      <c r="J36" s="21"/>
      <c r="K36" s="5">
        <v>509091</v>
      </c>
      <c r="L36" s="4">
        <f t="shared" si="4"/>
        <v>714667313</v>
      </c>
      <c r="M36" s="19"/>
    </row>
    <row r="37" spans="1:13" ht="18.75" customHeight="1">
      <c r="A37" s="6" t="str">
        <f t="shared" si="2"/>
        <v>C14</v>
      </c>
      <c r="B37" s="3">
        <v>41925</v>
      </c>
      <c r="C37" s="3">
        <f t="shared" si="0"/>
        <v>41925</v>
      </c>
      <c r="D37" s="22"/>
      <c r="E37" s="22" t="s">
        <v>100</v>
      </c>
      <c r="F37" s="5" t="s">
        <v>459</v>
      </c>
      <c r="G37" s="5"/>
      <c r="H37" s="5"/>
      <c r="I37" s="28" t="s">
        <v>35</v>
      </c>
      <c r="J37" s="21"/>
      <c r="K37" s="5">
        <v>50909</v>
      </c>
      <c r="L37" s="4">
        <f t="shared" si="4"/>
        <v>714616404</v>
      </c>
      <c r="M37" s="19"/>
    </row>
    <row r="38" spans="1:13" ht="18.75" customHeight="1">
      <c r="A38" s="6" t="str">
        <f t="shared" si="2"/>
        <v>C15</v>
      </c>
      <c r="B38" s="3">
        <v>41925</v>
      </c>
      <c r="C38" s="3">
        <f t="shared" si="0"/>
        <v>41925</v>
      </c>
      <c r="D38" s="4"/>
      <c r="E38" s="22" t="s">
        <v>101</v>
      </c>
      <c r="F38" s="5" t="s">
        <v>50</v>
      </c>
      <c r="G38" s="5"/>
      <c r="H38" s="5"/>
      <c r="I38" s="28" t="s">
        <v>247</v>
      </c>
      <c r="J38" s="21"/>
      <c r="K38" s="5">
        <v>1327927</v>
      </c>
      <c r="L38" s="4">
        <f t="shared" si="4"/>
        <v>713288477</v>
      </c>
      <c r="M38" s="19"/>
    </row>
    <row r="39" spans="1:13" ht="18.75" customHeight="1">
      <c r="A39" s="6" t="str">
        <f t="shared" si="2"/>
        <v>C15</v>
      </c>
      <c r="B39" s="3">
        <v>41925</v>
      </c>
      <c r="C39" s="3">
        <f t="shared" si="0"/>
        <v>41925</v>
      </c>
      <c r="D39" s="4"/>
      <c r="E39" s="22" t="s">
        <v>101</v>
      </c>
      <c r="F39" s="5" t="s">
        <v>53</v>
      </c>
      <c r="G39" s="5"/>
      <c r="H39" s="5"/>
      <c r="I39" s="28" t="s">
        <v>54</v>
      </c>
      <c r="J39" s="21"/>
      <c r="K39" s="5">
        <v>1915455</v>
      </c>
      <c r="L39" s="4">
        <f t="shared" si="4"/>
        <v>711373022</v>
      </c>
      <c r="M39" s="19"/>
    </row>
    <row r="40" spans="1:13" ht="18.75" customHeight="1">
      <c r="A40" s="6" t="str">
        <f t="shared" si="2"/>
        <v>C15</v>
      </c>
      <c r="B40" s="3">
        <v>41925</v>
      </c>
      <c r="C40" s="3">
        <f t="shared" si="0"/>
        <v>41925</v>
      </c>
      <c r="D40" s="22"/>
      <c r="E40" s="22" t="s">
        <v>101</v>
      </c>
      <c r="F40" s="30" t="s">
        <v>292</v>
      </c>
      <c r="G40" s="50"/>
      <c r="H40" s="50"/>
      <c r="I40" s="28" t="s">
        <v>35</v>
      </c>
      <c r="J40" s="21"/>
      <c r="K40" s="5">
        <v>324338</v>
      </c>
      <c r="L40" s="4">
        <f t="shared" ref="L40:L61" si="5">IF(F40&lt;&gt;"",L39+J40-K40,0)</f>
        <v>711048684</v>
      </c>
      <c r="M40" s="19"/>
    </row>
    <row r="41" spans="1:13" ht="18.75" customHeight="1">
      <c r="A41" s="6" t="str">
        <f t="shared" si="2"/>
        <v>C16</v>
      </c>
      <c r="B41" s="3">
        <v>41926</v>
      </c>
      <c r="C41" s="3">
        <f t="shared" si="0"/>
        <v>41926</v>
      </c>
      <c r="D41" s="22"/>
      <c r="E41" s="22" t="s">
        <v>102</v>
      </c>
      <c r="F41" s="30" t="s">
        <v>460</v>
      </c>
      <c r="G41" s="50"/>
      <c r="H41" s="50"/>
      <c r="I41" s="28" t="s">
        <v>256</v>
      </c>
      <c r="J41" s="21"/>
      <c r="K41" s="5">
        <v>500000</v>
      </c>
      <c r="L41" s="4">
        <f t="shared" si="5"/>
        <v>710548684</v>
      </c>
      <c r="M41" s="19"/>
    </row>
    <row r="42" spans="1:13" ht="18.75" customHeight="1">
      <c r="A42" s="6" t="str">
        <f t="shared" si="2"/>
        <v>C16</v>
      </c>
      <c r="B42" s="3">
        <v>41926</v>
      </c>
      <c r="C42" s="3">
        <f t="shared" si="0"/>
        <v>41926</v>
      </c>
      <c r="D42" s="22"/>
      <c r="E42" s="22" t="s">
        <v>102</v>
      </c>
      <c r="F42" s="5" t="s">
        <v>461</v>
      </c>
      <c r="G42" s="5"/>
      <c r="H42" s="5"/>
      <c r="I42" s="28" t="s">
        <v>35</v>
      </c>
      <c r="J42" s="21"/>
      <c r="K42" s="5">
        <v>50000</v>
      </c>
      <c r="L42" s="4">
        <f t="shared" si="5"/>
        <v>710498684</v>
      </c>
      <c r="M42" s="19"/>
    </row>
    <row r="43" spans="1:13" ht="18.75" customHeight="1">
      <c r="A43" s="6" t="str">
        <f t="shared" si="2"/>
        <v>C17</v>
      </c>
      <c r="B43" s="3">
        <v>41927</v>
      </c>
      <c r="C43" s="3">
        <f t="shared" si="0"/>
        <v>41927</v>
      </c>
      <c r="D43" s="22"/>
      <c r="E43" s="22" t="s">
        <v>103</v>
      </c>
      <c r="F43" s="5" t="s">
        <v>288</v>
      </c>
      <c r="G43" s="5"/>
      <c r="H43" s="5"/>
      <c r="I43" s="28" t="s">
        <v>256</v>
      </c>
      <c r="J43" s="51"/>
      <c r="K43" s="5">
        <v>12600000</v>
      </c>
      <c r="L43" s="4">
        <f t="shared" si="5"/>
        <v>697898684</v>
      </c>
      <c r="M43" s="51"/>
    </row>
    <row r="44" spans="1:13" ht="18.75" customHeight="1">
      <c r="A44" s="6" t="str">
        <f t="shared" si="2"/>
        <v>C17</v>
      </c>
      <c r="B44" s="3">
        <v>41927</v>
      </c>
      <c r="C44" s="3">
        <f t="shared" si="0"/>
        <v>41927</v>
      </c>
      <c r="D44" s="4"/>
      <c r="E44" s="22" t="s">
        <v>103</v>
      </c>
      <c r="F44" s="5" t="s">
        <v>289</v>
      </c>
      <c r="G44" s="5"/>
      <c r="H44" s="5"/>
      <c r="I44" s="28" t="s">
        <v>35</v>
      </c>
      <c r="J44" s="21"/>
      <c r="K44" s="5">
        <v>1260000</v>
      </c>
      <c r="L44" s="4">
        <f t="shared" si="5"/>
        <v>696638684</v>
      </c>
      <c r="M44" s="19"/>
    </row>
    <row r="45" spans="1:13" ht="18.75" customHeight="1">
      <c r="A45" s="6" t="str">
        <f t="shared" si="2"/>
        <v>C18</v>
      </c>
      <c r="B45" s="3">
        <v>41927</v>
      </c>
      <c r="C45" s="3">
        <f t="shared" si="0"/>
        <v>41927</v>
      </c>
      <c r="D45" s="4"/>
      <c r="E45" s="22" t="s">
        <v>104</v>
      </c>
      <c r="F45" s="5" t="s">
        <v>50</v>
      </c>
      <c r="G45" s="5"/>
      <c r="H45" s="5"/>
      <c r="I45" s="28" t="s">
        <v>247</v>
      </c>
      <c r="J45" s="21"/>
      <c r="K45" s="5">
        <v>124855</v>
      </c>
      <c r="L45" s="4">
        <f t="shared" si="5"/>
        <v>696513829</v>
      </c>
      <c r="M45" s="19"/>
    </row>
    <row r="46" spans="1:13" ht="18.75" customHeight="1">
      <c r="A46" s="6" t="str">
        <f t="shared" si="2"/>
        <v>C18</v>
      </c>
      <c r="B46" s="3">
        <v>41927</v>
      </c>
      <c r="C46" s="3">
        <f t="shared" si="0"/>
        <v>41927</v>
      </c>
      <c r="D46" s="22"/>
      <c r="E46" s="22" t="s">
        <v>104</v>
      </c>
      <c r="F46" s="30" t="s">
        <v>56</v>
      </c>
      <c r="G46" s="50"/>
      <c r="H46" s="50"/>
      <c r="I46" s="28" t="s">
        <v>35</v>
      </c>
      <c r="J46" s="21"/>
      <c r="K46" s="5">
        <v>12485</v>
      </c>
      <c r="L46" s="4">
        <f t="shared" si="5"/>
        <v>696501344</v>
      </c>
      <c r="M46" s="19"/>
    </row>
    <row r="47" spans="1:13" ht="18" customHeight="1">
      <c r="A47" s="6" t="str">
        <f t="shared" si="2"/>
        <v>T02</v>
      </c>
      <c r="B47" s="3">
        <v>41928</v>
      </c>
      <c r="C47" s="3">
        <f t="shared" si="0"/>
        <v>41928</v>
      </c>
      <c r="D47" s="4" t="s">
        <v>40</v>
      </c>
      <c r="E47" s="22"/>
      <c r="F47" s="5" t="s">
        <v>456</v>
      </c>
      <c r="G47" s="5"/>
      <c r="H47" s="5"/>
      <c r="I47" s="28" t="s">
        <v>36</v>
      </c>
      <c r="J47" s="21">
        <v>2000000000</v>
      </c>
      <c r="K47" s="5"/>
      <c r="L47" s="4">
        <f t="shared" si="5"/>
        <v>2696501344</v>
      </c>
      <c r="M47" s="19"/>
    </row>
    <row r="48" spans="1:13" ht="18.75" customHeight="1">
      <c r="A48" s="6" t="str">
        <f t="shared" si="2"/>
        <v>C19</v>
      </c>
      <c r="B48" s="3">
        <v>41928</v>
      </c>
      <c r="C48" s="3">
        <f t="shared" si="0"/>
        <v>41928</v>
      </c>
      <c r="D48" s="22"/>
      <c r="E48" s="22" t="s">
        <v>105</v>
      </c>
      <c r="F48" s="5" t="s">
        <v>295</v>
      </c>
      <c r="G48" s="50"/>
      <c r="H48" s="50"/>
      <c r="I48" s="28" t="s">
        <v>34</v>
      </c>
      <c r="J48" s="21"/>
      <c r="K48" s="5">
        <v>13679998</v>
      </c>
      <c r="L48" s="4">
        <f t="shared" si="5"/>
        <v>2682821346</v>
      </c>
      <c r="M48" s="19"/>
    </row>
    <row r="49" spans="1:13" s="41" customFormat="1" ht="18.75" customHeight="1">
      <c r="A49" s="6" t="str">
        <f t="shared" si="2"/>
        <v>C20</v>
      </c>
      <c r="B49" s="3">
        <v>41928</v>
      </c>
      <c r="C49" s="3">
        <f t="shared" si="0"/>
        <v>41928</v>
      </c>
      <c r="D49" s="4"/>
      <c r="E49" s="22" t="s">
        <v>106</v>
      </c>
      <c r="F49" s="30" t="s">
        <v>260</v>
      </c>
      <c r="G49" s="50"/>
      <c r="H49" s="50"/>
      <c r="I49" s="28" t="s">
        <v>134</v>
      </c>
      <c r="J49" s="21"/>
      <c r="K49" s="5">
        <v>800000000</v>
      </c>
      <c r="L49" s="4">
        <f t="shared" si="5"/>
        <v>1882821346</v>
      </c>
      <c r="M49" s="40"/>
    </row>
    <row r="50" spans="1:13" ht="18.75" customHeight="1">
      <c r="A50" s="6" t="str">
        <f t="shared" si="2"/>
        <v>T03</v>
      </c>
      <c r="B50" s="3">
        <v>41929</v>
      </c>
      <c r="C50" s="3">
        <f t="shared" si="0"/>
        <v>41929</v>
      </c>
      <c r="D50" s="4" t="s">
        <v>41</v>
      </c>
      <c r="E50" s="22"/>
      <c r="F50" s="5" t="s">
        <v>272</v>
      </c>
      <c r="G50" s="5"/>
      <c r="H50" s="5"/>
      <c r="I50" s="28" t="s">
        <v>57</v>
      </c>
      <c r="J50" s="21">
        <v>25000000</v>
      </c>
      <c r="K50" s="5"/>
      <c r="L50" s="4">
        <f t="shared" si="5"/>
        <v>1907821346</v>
      </c>
      <c r="M50" s="19"/>
    </row>
    <row r="51" spans="1:13" ht="18.75" customHeight="1">
      <c r="A51" s="6" t="str">
        <f t="shared" si="2"/>
        <v>C21</v>
      </c>
      <c r="B51" s="3">
        <v>41929</v>
      </c>
      <c r="C51" s="3">
        <f t="shared" si="0"/>
        <v>41929</v>
      </c>
      <c r="D51" s="4"/>
      <c r="E51" s="22" t="s">
        <v>107</v>
      </c>
      <c r="F51" s="5" t="s">
        <v>457</v>
      </c>
      <c r="G51" s="5"/>
      <c r="H51" s="5"/>
      <c r="I51" s="28" t="s">
        <v>34</v>
      </c>
      <c r="J51" s="21"/>
      <c r="K51" s="5">
        <v>14960000</v>
      </c>
      <c r="L51" s="4">
        <f t="shared" si="5"/>
        <v>1892861346</v>
      </c>
      <c r="M51" s="19"/>
    </row>
    <row r="52" spans="1:13" ht="18.75" customHeight="1">
      <c r="A52" s="6" t="str">
        <f t="shared" si="2"/>
        <v>C22</v>
      </c>
      <c r="B52" s="3">
        <v>41930</v>
      </c>
      <c r="C52" s="3">
        <f t="shared" si="0"/>
        <v>41930</v>
      </c>
      <c r="D52" s="22"/>
      <c r="E52" s="22" t="s">
        <v>108</v>
      </c>
      <c r="F52" s="5" t="s">
        <v>457</v>
      </c>
      <c r="G52" s="5"/>
      <c r="H52" s="5"/>
      <c r="I52" s="28" t="s">
        <v>34</v>
      </c>
      <c r="J52" s="21"/>
      <c r="K52" s="5">
        <v>14960000</v>
      </c>
      <c r="L52" s="4">
        <f t="shared" si="5"/>
        <v>1877901346</v>
      </c>
      <c r="M52" s="19"/>
    </row>
    <row r="53" spans="1:13" ht="18.75" customHeight="1">
      <c r="A53" s="6" t="str">
        <f t="shared" si="2"/>
        <v>C23</v>
      </c>
      <c r="B53" s="3">
        <v>41932</v>
      </c>
      <c r="C53" s="3">
        <f t="shared" si="0"/>
        <v>41932</v>
      </c>
      <c r="D53" s="22"/>
      <c r="E53" s="22" t="s">
        <v>109</v>
      </c>
      <c r="F53" s="5" t="s">
        <v>50</v>
      </c>
      <c r="G53" s="5"/>
      <c r="H53" s="5"/>
      <c r="I53" s="28" t="s">
        <v>247</v>
      </c>
      <c r="J53" s="21"/>
      <c r="K53" s="5">
        <v>3779754</v>
      </c>
      <c r="L53" s="4">
        <f t="shared" si="5"/>
        <v>1874121592</v>
      </c>
      <c r="M53" s="19"/>
    </row>
    <row r="54" spans="1:13" ht="18.75" customHeight="1">
      <c r="A54" s="6" t="str">
        <f t="shared" si="2"/>
        <v>C23</v>
      </c>
      <c r="B54" s="3">
        <v>41932</v>
      </c>
      <c r="C54" s="3">
        <f t="shared" si="0"/>
        <v>41932</v>
      </c>
      <c r="D54" s="4"/>
      <c r="E54" s="22" t="s">
        <v>109</v>
      </c>
      <c r="F54" s="5" t="s">
        <v>56</v>
      </c>
      <c r="G54" s="5"/>
      <c r="H54" s="5"/>
      <c r="I54" s="28" t="s">
        <v>35</v>
      </c>
      <c r="J54" s="21"/>
      <c r="K54" s="5">
        <v>377976</v>
      </c>
      <c r="L54" s="4">
        <f t="shared" si="5"/>
        <v>1873743616</v>
      </c>
      <c r="M54" s="19"/>
    </row>
    <row r="55" spans="1:13" ht="18.75" customHeight="1">
      <c r="A55" s="6" t="str">
        <f t="shared" si="2"/>
        <v>C24</v>
      </c>
      <c r="B55" s="3">
        <v>41933</v>
      </c>
      <c r="C55" s="3">
        <f t="shared" si="0"/>
        <v>41933</v>
      </c>
      <c r="D55" s="22"/>
      <c r="E55" s="22" t="s">
        <v>110</v>
      </c>
      <c r="F55" s="30" t="s">
        <v>462</v>
      </c>
      <c r="G55" s="50"/>
      <c r="H55" s="50"/>
      <c r="I55" s="28" t="s">
        <v>247</v>
      </c>
      <c r="J55" s="21"/>
      <c r="K55" s="5">
        <v>3420000</v>
      </c>
      <c r="L55" s="4">
        <f t="shared" si="5"/>
        <v>1870323616</v>
      </c>
      <c r="M55" s="19"/>
    </row>
    <row r="56" spans="1:13" ht="18.75" customHeight="1">
      <c r="A56" s="6" t="str">
        <f t="shared" si="2"/>
        <v>C25</v>
      </c>
      <c r="B56" s="3">
        <v>41935</v>
      </c>
      <c r="C56" s="3">
        <f t="shared" si="0"/>
        <v>41935</v>
      </c>
      <c r="D56" s="22"/>
      <c r="E56" s="22" t="s">
        <v>111</v>
      </c>
      <c r="F56" s="30" t="s">
        <v>50</v>
      </c>
      <c r="G56" s="50"/>
      <c r="H56" s="50"/>
      <c r="I56" s="28" t="s">
        <v>247</v>
      </c>
      <c r="J56" s="21"/>
      <c r="K56" s="5">
        <v>166473</v>
      </c>
      <c r="L56" s="4">
        <f t="shared" si="5"/>
        <v>1870157143</v>
      </c>
      <c r="M56" s="19"/>
    </row>
    <row r="57" spans="1:13" ht="18.75" customHeight="1">
      <c r="A57" s="6" t="str">
        <f t="shared" si="2"/>
        <v>C25</v>
      </c>
      <c r="B57" s="3">
        <v>41935</v>
      </c>
      <c r="C57" s="3">
        <f t="shared" si="0"/>
        <v>41935</v>
      </c>
      <c r="D57" s="4"/>
      <c r="E57" s="22" t="s">
        <v>111</v>
      </c>
      <c r="F57" s="5" t="s">
        <v>53</v>
      </c>
      <c r="G57" s="5"/>
      <c r="H57" s="5"/>
      <c r="I57" s="28" t="s">
        <v>54</v>
      </c>
      <c r="J57" s="21"/>
      <c r="K57" s="5">
        <v>1835455</v>
      </c>
      <c r="L57" s="4">
        <f t="shared" si="5"/>
        <v>1868321688</v>
      </c>
      <c r="M57" s="19"/>
    </row>
    <row r="58" spans="1:13" ht="18.75" customHeight="1">
      <c r="A58" s="6" t="str">
        <f t="shared" si="2"/>
        <v>C25</v>
      </c>
      <c r="B58" s="3">
        <v>41935</v>
      </c>
      <c r="C58" s="3">
        <f t="shared" si="0"/>
        <v>41935</v>
      </c>
      <c r="D58" s="4"/>
      <c r="E58" s="22" t="s">
        <v>111</v>
      </c>
      <c r="F58" s="5" t="s">
        <v>292</v>
      </c>
      <c r="G58" s="5"/>
      <c r="H58" s="5"/>
      <c r="I58" s="28" t="s">
        <v>35</v>
      </c>
      <c r="J58" s="21"/>
      <c r="K58" s="5">
        <v>200192</v>
      </c>
      <c r="L58" s="4">
        <f t="shared" si="5"/>
        <v>1868121496</v>
      </c>
      <c r="M58" s="19"/>
    </row>
    <row r="59" spans="1:13" ht="18" customHeight="1">
      <c r="A59" s="6" t="str">
        <f t="shared" si="2"/>
        <v>T04</v>
      </c>
      <c r="B59" s="3">
        <v>41936</v>
      </c>
      <c r="C59" s="3">
        <f t="shared" si="0"/>
        <v>41936</v>
      </c>
      <c r="D59" s="22" t="s">
        <v>42</v>
      </c>
      <c r="E59" s="22"/>
      <c r="F59" s="30" t="s">
        <v>456</v>
      </c>
      <c r="G59" s="50"/>
      <c r="H59" s="50"/>
      <c r="I59" s="28" t="s">
        <v>36</v>
      </c>
      <c r="J59" s="21">
        <v>1300000000</v>
      </c>
      <c r="K59" s="5"/>
      <c r="L59" s="4">
        <f t="shared" si="5"/>
        <v>3168121496</v>
      </c>
      <c r="M59" s="19"/>
    </row>
    <row r="60" spans="1:13" ht="18.75" customHeight="1">
      <c r="A60" s="6" t="str">
        <f t="shared" si="2"/>
        <v>C26</v>
      </c>
      <c r="B60" s="3">
        <v>41937</v>
      </c>
      <c r="C60" s="3">
        <f t="shared" si="0"/>
        <v>41937</v>
      </c>
      <c r="D60" s="4"/>
      <c r="E60" s="22" t="s">
        <v>112</v>
      </c>
      <c r="F60" s="5" t="s">
        <v>258</v>
      </c>
      <c r="G60" s="5"/>
      <c r="H60" s="5"/>
      <c r="I60" s="28" t="s">
        <v>34</v>
      </c>
      <c r="J60" s="21"/>
      <c r="K60" s="5">
        <v>5742000</v>
      </c>
      <c r="L60" s="4">
        <f t="shared" si="5"/>
        <v>3162379496</v>
      </c>
      <c r="M60" s="19"/>
    </row>
    <row r="61" spans="1:13" ht="18.75" customHeight="1">
      <c r="A61" s="6" t="str">
        <f t="shared" si="2"/>
        <v>C27</v>
      </c>
      <c r="B61" s="3">
        <v>41939</v>
      </c>
      <c r="C61" s="3">
        <f t="shared" si="0"/>
        <v>41939</v>
      </c>
      <c r="D61" s="22"/>
      <c r="E61" s="22" t="s">
        <v>113</v>
      </c>
      <c r="F61" s="30" t="s">
        <v>51</v>
      </c>
      <c r="G61" s="50"/>
      <c r="H61" s="50"/>
      <c r="I61" s="28" t="s">
        <v>36</v>
      </c>
      <c r="J61" s="21"/>
      <c r="K61" s="5">
        <v>50000000</v>
      </c>
      <c r="L61" s="4">
        <f t="shared" si="5"/>
        <v>3112379496</v>
      </c>
      <c r="M61" s="19"/>
    </row>
    <row r="62" spans="1:13" ht="18.75" customHeight="1">
      <c r="A62" s="6" t="str">
        <f t="shared" si="2"/>
        <v>C28</v>
      </c>
      <c r="B62" s="3">
        <v>41939</v>
      </c>
      <c r="C62" s="3">
        <f t="shared" si="0"/>
        <v>41939</v>
      </c>
      <c r="D62" s="22"/>
      <c r="E62" s="22" t="s">
        <v>114</v>
      </c>
      <c r="F62" s="30" t="s">
        <v>463</v>
      </c>
      <c r="G62" s="50"/>
      <c r="H62" s="50"/>
      <c r="I62" s="28" t="s">
        <v>247</v>
      </c>
      <c r="J62" s="21"/>
      <c r="K62" s="5">
        <v>14400000</v>
      </c>
      <c r="L62" s="4">
        <f t="shared" ref="L62:L77" si="6">IF(F62&lt;&gt;"",L61+J62-K62,0)</f>
        <v>3097979496</v>
      </c>
      <c r="M62" s="19"/>
    </row>
    <row r="63" spans="1:13" ht="18.75" customHeight="1">
      <c r="A63" s="6" t="str">
        <f t="shared" si="2"/>
        <v>C28</v>
      </c>
      <c r="B63" s="3">
        <v>41939</v>
      </c>
      <c r="C63" s="3">
        <f t="shared" si="0"/>
        <v>41939</v>
      </c>
      <c r="D63" s="4"/>
      <c r="E63" s="22" t="s">
        <v>114</v>
      </c>
      <c r="F63" s="5" t="s">
        <v>464</v>
      </c>
      <c r="G63" s="5"/>
      <c r="H63" s="5"/>
      <c r="I63" s="28" t="s">
        <v>35</v>
      </c>
      <c r="J63" s="21"/>
      <c r="K63" s="5">
        <v>1440000</v>
      </c>
      <c r="L63" s="4">
        <f t="shared" si="6"/>
        <v>3096539496</v>
      </c>
      <c r="M63" s="19"/>
    </row>
    <row r="64" spans="1:13" ht="18.75" customHeight="1">
      <c r="A64" s="6" t="str">
        <f t="shared" si="2"/>
        <v>C29</v>
      </c>
      <c r="B64" s="3">
        <v>41939</v>
      </c>
      <c r="C64" s="3">
        <f t="shared" si="0"/>
        <v>41939</v>
      </c>
      <c r="D64" s="4"/>
      <c r="E64" s="22" t="s">
        <v>115</v>
      </c>
      <c r="F64" s="5" t="s">
        <v>465</v>
      </c>
      <c r="G64" s="5"/>
      <c r="H64" s="5"/>
      <c r="I64" s="28" t="s">
        <v>247</v>
      </c>
      <c r="J64" s="21"/>
      <c r="K64" s="5">
        <v>1365000</v>
      </c>
      <c r="L64" s="4">
        <f t="shared" si="6"/>
        <v>3095174496</v>
      </c>
      <c r="M64" s="19"/>
    </row>
    <row r="65" spans="1:13" ht="18.75" customHeight="1">
      <c r="A65" s="6" t="str">
        <f t="shared" si="2"/>
        <v>C29</v>
      </c>
      <c r="B65" s="3">
        <v>41939</v>
      </c>
      <c r="C65" s="3">
        <f t="shared" si="0"/>
        <v>41939</v>
      </c>
      <c r="D65" s="22"/>
      <c r="E65" s="22" t="s">
        <v>115</v>
      </c>
      <c r="F65" s="30" t="s">
        <v>466</v>
      </c>
      <c r="G65" s="50"/>
      <c r="H65" s="50"/>
      <c r="I65" s="28" t="s">
        <v>35</v>
      </c>
      <c r="J65" s="21"/>
      <c r="K65" s="5">
        <v>136500</v>
      </c>
      <c r="L65" s="4">
        <f t="shared" si="6"/>
        <v>3095037996</v>
      </c>
      <c r="M65" s="19"/>
    </row>
    <row r="66" spans="1:13" s="41" customFormat="1" ht="18" customHeight="1">
      <c r="A66" s="6" t="str">
        <f t="shared" si="2"/>
        <v>C30</v>
      </c>
      <c r="B66" s="3">
        <v>41939</v>
      </c>
      <c r="C66" s="3">
        <f t="shared" si="0"/>
        <v>41939</v>
      </c>
      <c r="D66" s="22"/>
      <c r="E66" s="22" t="s">
        <v>116</v>
      </c>
      <c r="F66" s="30" t="s">
        <v>260</v>
      </c>
      <c r="G66" s="50"/>
      <c r="H66" s="50"/>
      <c r="I66" s="28" t="s">
        <v>134</v>
      </c>
      <c r="J66" s="21"/>
      <c r="K66" s="5">
        <v>800000000</v>
      </c>
      <c r="L66" s="32">
        <f t="shared" si="6"/>
        <v>2295037996</v>
      </c>
      <c r="M66" s="40"/>
    </row>
    <row r="67" spans="1:13" ht="18" customHeight="1">
      <c r="A67" s="6" t="str">
        <f t="shared" si="2"/>
        <v>C31</v>
      </c>
      <c r="B67" s="3">
        <v>41939</v>
      </c>
      <c r="C67" s="3">
        <f t="shared" si="0"/>
        <v>41939</v>
      </c>
      <c r="D67" s="22"/>
      <c r="E67" s="22" t="s">
        <v>117</v>
      </c>
      <c r="F67" s="30" t="s">
        <v>259</v>
      </c>
      <c r="G67" s="50"/>
      <c r="H67" s="50"/>
      <c r="I67" s="28" t="s">
        <v>134</v>
      </c>
      <c r="J67" s="21"/>
      <c r="K67" s="5">
        <v>600000000</v>
      </c>
      <c r="L67" s="4">
        <f t="shared" si="6"/>
        <v>1695037996</v>
      </c>
      <c r="M67" s="19"/>
    </row>
    <row r="68" spans="1:13" ht="18.75" customHeight="1">
      <c r="A68" s="6" t="str">
        <f t="shared" si="2"/>
        <v>C32</v>
      </c>
      <c r="B68" s="3">
        <v>41941</v>
      </c>
      <c r="C68" s="3">
        <f t="shared" si="0"/>
        <v>41941</v>
      </c>
      <c r="D68" s="4"/>
      <c r="E68" s="22" t="s">
        <v>118</v>
      </c>
      <c r="F68" s="5" t="s">
        <v>375</v>
      </c>
      <c r="G68" s="5"/>
      <c r="H68" s="5"/>
      <c r="I68" s="28" t="s">
        <v>247</v>
      </c>
      <c r="J68" s="21"/>
      <c r="K68" s="5">
        <v>957000</v>
      </c>
      <c r="L68" s="4">
        <f t="shared" si="6"/>
        <v>1694080996</v>
      </c>
      <c r="M68" s="19"/>
    </row>
    <row r="69" spans="1:13" ht="18.75" customHeight="1">
      <c r="A69" s="6" t="str">
        <f t="shared" si="2"/>
        <v>C32</v>
      </c>
      <c r="B69" s="3">
        <v>41941</v>
      </c>
      <c r="C69" s="3">
        <f t="shared" si="0"/>
        <v>41941</v>
      </c>
      <c r="D69" s="4"/>
      <c r="E69" s="22" t="s">
        <v>118</v>
      </c>
      <c r="F69" s="5" t="s">
        <v>467</v>
      </c>
      <c r="G69" s="5"/>
      <c r="H69" s="5"/>
      <c r="I69" s="28" t="s">
        <v>35</v>
      </c>
      <c r="J69" s="21"/>
      <c r="K69" s="5">
        <v>95700</v>
      </c>
      <c r="L69" s="4">
        <f t="shared" si="6"/>
        <v>1693985296</v>
      </c>
      <c r="M69" s="19"/>
    </row>
    <row r="70" spans="1:13" ht="18.75" customHeight="1">
      <c r="A70" s="6" t="str">
        <f t="shared" si="2"/>
        <v>C33</v>
      </c>
      <c r="B70" s="3">
        <v>41942</v>
      </c>
      <c r="C70" s="3">
        <f t="shared" si="0"/>
        <v>41942</v>
      </c>
      <c r="D70" s="4"/>
      <c r="E70" s="22" t="s">
        <v>119</v>
      </c>
      <c r="F70" s="5" t="s">
        <v>468</v>
      </c>
      <c r="G70" s="5"/>
      <c r="H70" s="5"/>
      <c r="I70" s="28" t="s">
        <v>247</v>
      </c>
      <c r="J70" s="21"/>
      <c r="K70" s="5">
        <v>336357</v>
      </c>
      <c r="L70" s="4">
        <f t="shared" si="6"/>
        <v>1693648939</v>
      </c>
      <c r="M70" s="19"/>
    </row>
    <row r="71" spans="1:13" ht="18.75" customHeight="1">
      <c r="A71" s="6" t="str">
        <f t="shared" si="2"/>
        <v>C33</v>
      </c>
      <c r="B71" s="3">
        <v>41942</v>
      </c>
      <c r="C71" s="3">
        <f t="shared" si="0"/>
        <v>41942</v>
      </c>
      <c r="D71" s="4"/>
      <c r="E71" s="22" t="s">
        <v>119</v>
      </c>
      <c r="F71" s="5" t="s">
        <v>469</v>
      </c>
      <c r="G71" s="5"/>
      <c r="H71" s="5"/>
      <c r="I71" s="28" t="s">
        <v>35</v>
      </c>
      <c r="J71" s="21"/>
      <c r="K71" s="5">
        <v>33636</v>
      </c>
      <c r="L71" s="4">
        <f t="shared" si="6"/>
        <v>1693615303</v>
      </c>
      <c r="M71" s="19"/>
    </row>
    <row r="72" spans="1:13" ht="18.75" customHeight="1">
      <c r="A72" s="6" t="str">
        <f t="shared" si="2"/>
        <v>C34</v>
      </c>
      <c r="B72" s="3">
        <v>41943</v>
      </c>
      <c r="C72" s="3">
        <f t="shared" si="0"/>
        <v>41943</v>
      </c>
      <c r="D72" s="4"/>
      <c r="E72" s="22" t="s">
        <v>120</v>
      </c>
      <c r="F72" s="5" t="s">
        <v>50</v>
      </c>
      <c r="G72" s="5"/>
      <c r="H72" s="5"/>
      <c r="I72" s="28" t="s">
        <v>247</v>
      </c>
      <c r="J72" s="21"/>
      <c r="K72" s="5">
        <v>81236</v>
      </c>
      <c r="L72" s="4">
        <f t="shared" si="6"/>
        <v>1693534067</v>
      </c>
      <c r="M72" s="19"/>
    </row>
    <row r="73" spans="1:13" ht="18.75" customHeight="1">
      <c r="A73" s="6" t="str">
        <f t="shared" si="2"/>
        <v>C34</v>
      </c>
      <c r="B73" s="3">
        <v>41943</v>
      </c>
      <c r="C73" s="3">
        <f t="shared" si="0"/>
        <v>41943</v>
      </c>
      <c r="D73" s="4"/>
      <c r="E73" s="22" t="s">
        <v>120</v>
      </c>
      <c r="F73" s="5" t="s">
        <v>53</v>
      </c>
      <c r="G73" s="5"/>
      <c r="H73" s="5"/>
      <c r="I73" s="28" t="s">
        <v>54</v>
      </c>
      <c r="J73" s="21"/>
      <c r="K73" s="5">
        <v>895909</v>
      </c>
      <c r="L73" s="4">
        <f t="shared" si="6"/>
        <v>1692638158</v>
      </c>
      <c r="M73" s="19"/>
    </row>
    <row r="74" spans="1:13" ht="18.75" customHeight="1">
      <c r="A74" s="6" t="str">
        <f t="shared" si="2"/>
        <v>C34</v>
      </c>
      <c r="B74" s="3">
        <v>41943</v>
      </c>
      <c r="C74" s="3">
        <f t="shared" si="0"/>
        <v>41943</v>
      </c>
      <c r="D74" s="22"/>
      <c r="E74" s="22" t="s">
        <v>120</v>
      </c>
      <c r="F74" s="30" t="s">
        <v>292</v>
      </c>
      <c r="G74" s="50"/>
      <c r="H74" s="50"/>
      <c r="I74" s="28" t="s">
        <v>35</v>
      </c>
      <c r="J74" s="21"/>
      <c r="K74" s="5">
        <v>97715</v>
      </c>
      <c r="L74" s="4">
        <f t="shared" si="6"/>
        <v>1692540443</v>
      </c>
      <c r="M74" s="19"/>
    </row>
    <row r="75" spans="1:13" ht="18.75" customHeight="1">
      <c r="A75" s="6" t="str">
        <f t="shared" si="2"/>
        <v>C35</v>
      </c>
      <c r="B75" s="3">
        <v>41943</v>
      </c>
      <c r="C75" s="3">
        <f t="shared" si="0"/>
        <v>41943</v>
      </c>
      <c r="D75" s="22"/>
      <c r="E75" s="22" t="s">
        <v>121</v>
      </c>
      <c r="F75" s="30" t="s">
        <v>50</v>
      </c>
      <c r="G75" s="50"/>
      <c r="H75" s="50"/>
      <c r="I75" s="28" t="s">
        <v>247</v>
      </c>
      <c r="J75" s="21"/>
      <c r="K75" s="5">
        <v>2106309</v>
      </c>
      <c r="L75" s="4">
        <f t="shared" si="6"/>
        <v>1690434134</v>
      </c>
      <c r="M75" s="19"/>
    </row>
    <row r="76" spans="1:13" ht="18.75" customHeight="1">
      <c r="A76" s="6" t="str">
        <f t="shared" si="2"/>
        <v>C35</v>
      </c>
      <c r="B76" s="3">
        <v>41943</v>
      </c>
      <c r="C76" s="3">
        <f t="shared" si="0"/>
        <v>41943</v>
      </c>
      <c r="D76" s="4"/>
      <c r="E76" s="22" t="s">
        <v>121</v>
      </c>
      <c r="F76" s="5" t="s">
        <v>56</v>
      </c>
      <c r="G76" s="5"/>
      <c r="H76" s="5"/>
      <c r="I76" s="28" t="s">
        <v>35</v>
      </c>
      <c r="J76" s="21"/>
      <c r="K76" s="5">
        <v>210631</v>
      </c>
      <c r="L76" s="4">
        <f t="shared" si="6"/>
        <v>1690223503</v>
      </c>
      <c r="M76" s="19"/>
    </row>
    <row r="77" spans="1:13" ht="18" customHeight="1">
      <c r="A77" s="6" t="str">
        <f t="shared" si="2"/>
        <v>C36</v>
      </c>
      <c r="B77" s="3">
        <v>41943</v>
      </c>
      <c r="C77" s="3">
        <f t="shared" ref="C77" si="7">B77</f>
        <v>41943</v>
      </c>
      <c r="D77" s="4"/>
      <c r="E77" s="22" t="s">
        <v>122</v>
      </c>
      <c r="F77" s="5" t="s">
        <v>344</v>
      </c>
      <c r="G77" s="5"/>
      <c r="H77" s="5"/>
      <c r="I77" s="28" t="s">
        <v>37</v>
      </c>
      <c r="J77" s="21"/>
      <c r="K77" s="5">
        <v>149654443</v>
      </c>
      <c r="L77" s="4">
        <f t="shared" si="6"/>
        <v>1540569060</v>
      </c>
      <c r="M77" s="19"/>
    </row>
    <row r="78" spans="1:13" ht="18" customHeight="1">
      <c r="B78" s="3"/>
      <c r="C78" s="3"/>
      <c r="D78" s="22"/>
      <c r="E78" s="22"/>
      <c r="F78" s="30"/>
      <c r="G78" s="30"/>
      <c r="H78" s="5"/>
      <c r="I78" s="28"/>
      <c r="J78" s="21"/>
      <c r="K78" s="5"/>
      <c r="L78" s="4"/>
      <c r="M78" s="19"/>
    </row>
    <row r="79" spans="1:13" ht="18" customHeight="1">
      <c r="B79" s="19"/>
      <c r="C79" s="19"/>
      <c r="D79" s="19"/>
      <c r="E79" s="19"/>
      <c r="F79" s="19" t="s">
        <v>29</v>
      </c>
      <c r="G79" s="19"/>
      <c r="H79" s="19"/>
      <c r="I79" s="4" t="s">
        <v>30</v>
      </c>
      <c r="J79" s="19">
        <f>SUM(J13:J77)</f>
        <v>5225000000</v>
      </c>
      <c r="K79" s="19">
        <f>SUM(K13:K77)</f>
        <v>5210888215</v>
      </c>
      <c r="L79" s="4" t="s">
        <v>30</v>
      </c>
      <c r="M79" s="4" t="s">
        <v>30</v>
      </c>
    </row>
    <row r="80" spans="1:13" ht="18" customHeight="1">
      <c r="B80" s="25"/>
      <c r="C80" s="25"/>
      <c r="D80" s="25"/>
      <c r="E80" s="25"/>
      <c r="F80" s="25" t="s">
        <v>31</v>
      </c>
      <c r="G80" s="25"/>
      <c r="H80" s="25"/>
      <c r="I80" s="26" t="s">
        <v>30</v>
      </c>
      <c r="J80" s="26" t="s">
        <v>30</v>
      </c>
      <c r="K80" s="26" t="s">
        <v>30</v>
      </c>
      <c r="L80" s="25">
        <f>L12+J79-K79</f>
        <v>1540569060</v>
      </c>
      <c r="M80" s="26" t="s">
        <v>30</v>
      </c>
    </row>
    <row r="82" spans="2:12">
      <c r="B82" s="27" t="s">
        <v>47</v>
      </c>
    </row>
    <row r="83" spans="2:12">
      <c r="B83" s="27" t="s">
        <v>66</v>
      </c>
    </row>
    <row r="84" spans="2:12">
      <c r="L84" s="8" t="s">
        <v>67</v>
      </c>
    </row>
    <row r="85" spans="2:12" s="7" customFormat="1" ht="14.25">
      <c r="C85" s="7" t="s">
        <v>33</v>
      </c>
      <c r="F85" s="7" t="s">
        <v>13</v>
      </c>
      <c r="L85" s="7" t="s">
        <v>14</v>
      </c>
    </row>
    <row r="86" spans="2:12" s="2" customFormat="1">
      <c r="C86" s="2" t="s">
        <v>15</v>
      </c>
      <c r="F86" s="2" t="s">
        <v>15</v>
      </c>
      <c r="L86" s="2" t="s">
        <v>16</v>
      </c>
    </row>
    <row r="87" spans="2:12" s="2" customFormat="1"/>
  </sheetData>
  <autoFilter ref="B11:M80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102"/>
  <sheetViews>
    <sheetView topLeftCell="B1" zoomScale="90" workbookViewId="0">
      <selection activeCell="J1" sqref="J1:M3"/>
    </sheetView>
  </sheetViews>
  <sheetFormatPr defaultRowHeight="15"/>
  <cols>
    <col min="1" max="1" width="5.140625" style="6" hidden="1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8" width="13.85546875" style="6" hidden="1" customWidth="1"/>
    <col min="9" max="9" width="7.140625" style="6" customWidth="1"/>
    <col min="10" max="11" width="15.5703125" style="6" customWidth="1"/>
    <col min="12" max="12" width="14.71093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3"/>
      <c r="K3" s="393"/>
      <c r="L3" s="393"/>
      <c r="M3" s="39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27" customHeight="1">
      <c r="B9" s="396" t="s">
        <v>20</v>
      </c>
      <c r="C9" s="396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6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16.5" customHeight="1">
      <c r="B10" s="397"/>
      <c r="C10" s="397"/>
      <c r="D10" s="16" t="s">
        <v>5</v>
      </c>
      <c r="E10" s="16" t="s">
        <v>6</v>
      </c>
      <c r="F10" s="395"/>
      <c r="G10" s="397"/>
      <c r="H10" s="397"/>
      <c r="I10" s="397"/>
      <c r="J10" s="16" t="s">
        <v>25</v>
      </c>
      <c r="K10" s="16" t="s">
        <v>26</v>
      </c>
      <c r="L10" s="395"/>
      <c r="M10" s="395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7.25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'10'!L80</f>
        <v>1540569060</v>
      </c>
      <c r="M12" s="19"/>
    </row>
    <row r="13" spans="1:13" ht="17.25" customHeight="1">
      <c r="A13" s="6" t="str">
        <f>D13&amp;E13</f>
        <v>C01</v>
      </c>
      <c r="B13" s="3">
        <v>41944</v>
      </c>
      <c r="C13" s="3">
        <v>41941</v>
      </c>
      <c r="D13" s="22"/>
      <c r="E13" s="22" t="s">
        <v>87</v>
      </c>
      <c r="F13" s="5" t="s">
        <v>59</v>
      </c>
      <c r="G13" s="5"/>
      <c r="H13" s="5"/>
      <c r="I13" s="28" t="s">
        <v>54</v>
      </c>
      <c r="J13" s="21"/>
      <c r="K13" s="5">
        <v>16184000</v>
      </c>
      <c r="L13" s="4">
        <f t="shared" ref="L13:L61" si="0">IF(F13&lt;&gt;"",L12+J13-K13,0)</f>
        <v>1524385060</v>
      </c>
      <c r="M13" s="19"/>
    </row>
    <row r="14" spans="1:13" ht="17.25" customHeight="1">
      <c r="A14" s="6" t="str">
        <f t="shared" ref="A14:A77" si="1">D14&amp;E14</f>
        <v>C01</v>
      </c>
      <c r="B14" s="3">
        <v>41944</v>
      </c>
      <c r="C14" s="3">
        <v>41941</v>
      </c>
      <c r="D14" s="4"/>
      <c r="E14" s="22" t="s">
        <v>87</v>
      </c>
      <c r="F14" s="5" t="s">
        <v>55</v>
      </c>
      <c r="G14" s="5"/>
      <c r="H14" s="5"/>
      <c r="I14" s="28" t="s">
        <v>35</v>
      </c>
      <c r="J14" s="21"/>
      <c r="K14" s="5">
        <v>809200</v>
      </c>
      <c r="L14" s="4">
        <f t="shared" si="0"/>
        <v>1523575860</v>
      </c>
      <c r="M14" s="19"/>
    </row>
    <row r="15" spans="1:13" s="61" customFormat="1" ht="17.25" customHeight="1">
      <c r="A15" s="6" t="str">
        <f t="shared" si="1"/>
        <v>C02</v>
      </c>
      <c r="B15" s="3">
        <v>41946</v>
      </c>
      <c r="C15" s="3">
        <v>41945</v>
      </c>
      <c r="D15" s="4"/>
      <c r="E15" s="22" t="s">
        <v>88</v>
      </c>
      <c r="F15" s="5" t="s">
        <v>295</v>
      </c>
      <c r="G15" s="5"/>
      <c r="H15" s="5"/>
      <c r="I15" s="28" t="s">
        <v>34</v>
      </c>
      <c r="J15" s="21"/>
      <c r="K15" s="5">
        <v>12180000</v>
      </c>
      <c r="L15" s="4">
        <f t="shared" si="0"/>
        <v>1511395860</v>
      </c>
      <c r="M15" s="60"/>
    </row>
    <row r="16" spans="1:13" ht="17.25" customHeight="1">
      <c r="A16" s="6" t="str">
        <f t="shared" si="1"/>
        <v>C03</v>
      </c>
      <c r="B16" s="3">
        <v>41946</v>
      </c>
      <c r="C16" s="3">
        <v>41942</v>
      </c>
      <c r="D16" s="22"/>
      <c r="E16" s="22" t="s">
        <v>89</v>
      </c>
      <c r="F16" s="30" t="s">
        <v>470</v>
      </c>
      <c r="G16" s="50"/>
      <c r="H16" s="50"/>
      <c r="I16" s="28" t="s">
        <v>54</v>
      </c>
      <c r="J16" s="21"/>
      <c r="K16" s="5">
        <v>5478300</v>
      </c>
      <c r="L16" s="4">
        <f t="shared" si="0"/>
        <v>1505917560</v>
      </c>
      <c r="M16" s="19"/>
    </row>
    <row r="17" spans="1:13" ht="17.25" customHeight="1">
      <c r="A17" s="6" t="str">
        <f t="shared" si="1"/>
        <v>C03</v>
      </c>
      <c r="B17" s="3">
        <v>41946</v>
      </c>
      <c r="C17" s="3">
        <v>41942</v>
      </c>
      <c r="D17" s="4"/>
      <c r="E17" s="22" t="s">
        <v>89</v>
      </c>
      <c r="F17" s="5" t="s">
        <v>471</v>
      </c>
      <c r="G17" s="5"/>
      <c r="H17" s="5"/>
      <c r="I17" s="28" t="s">
        <v>35</v>
      </c>
      <c r="J17" s="21"/>
      <c r="K17" s="5">
        <v>547830</v>
      </c>
      <c r="L17" s="4">
        <f t="shared" si="0"/>
        <v>1505369730</v>
      </c>
      <c r="M17" s="19"/>
    </row>
    <row r="18" spans="1:13" ht="17.25" customHeight="1">
      <c r="A18" s="6" t="str">
        <f t="shared" si="1"/>
        <v>C04</v>
      </c>
      <c r="B18" s="3">
        <v>41946</v>
      </c>
      <c r="C18" s="3">
        <v>41943</v>
      </c>
      <c r="D18" s="4"/>
      <c r="E18" s="22" t="s">
        <v>90</v>
      </c>
      <c r="F18" s="5" t="s">
        <v>472</v>
      </c>
      <c r="G18" s="5"/>
      <c r="H18" s="5"/>
      <c r="I18" s="28" t="s">
        <v>247</v>
      </c>
      <c r="J18" s="21"/>
      <c r="K18" s="5">
        <v>2379382</v>
      </c>
      <c r="L18" s="4">
        <f t="shared" si="0"/>
        <v>1502990348</v>
      </c>
      <c r="M18" s="19"/>
    </row>
    <row r="19" spans="1:13" ht="17.25" customHeight="1">
      <c r="A19" s="6" t="str">
        <f t="shared" si="1"/>
        <v>C04</v>
      </c>
      <c r="B19" s="3">
        <v>41946</v>
      </c>
      <c r="C19" s="3">
        <v>41943</v>
      </c>
      <c r="D19" s="4"/>
      <c r="E19" s="22" t="s">
        <v>90</v>
      </c>
      <c r="F19" s="5" t="s">
        <v>473</v>
      </c>
      <c r="G19" s="5"/>
      <c r="H19" s="5"/>
      <c r="I19" s="28" t="s">
        <v>35</v>
      </c>
      <c r="J19" s="21"/>
      <c r="K19" s="5">
        <v>237938</v>
      </c>
      <c r="L19" s="4">
        <f t="shared" si="0"/>
        <v>1502752410</v>
      </c>
      <c r="M19" s="19"/>
    </row>
    <row r="20" spans="1:13" ht="17.25" customHeight="1">
      <c r="A20" s="6" t="str">
        <f t="shared" si="1"/>
        <v>T01</v>
      </c>
      <c r="B20" s="3">
        <v>41946</v>
      </c>
      <c r="C20" s="3">
        <v>41946</v>
      </c>
      <c r="D20" s="4" t="s">
        <v>39</v>
      </c>
      <c r="E20" s="22"/>
      <c r="F20" s="62" t="s">
        <v>217</v>
      </c>
      <c r="G20" s="5"/>
      <c r="H20" s="5"/>
      <c r="I20" s="28" t="s">
        <v>36</v>
      </c>
      <c r="J20" s="21">
        <v>1200000000</v>
      </c>
      <c r="K20" s="5"/>
      <c r="L20" s="4">
        <f t="shared" si="0"/>
        <v>2702752410</v>
      </c>
      <c r="M20" s="19"/>
    </row>
    <row r="21" spans="1:13" s="61" customFormat="1" ht="17.25" customHeight="1">
      <c r="A21" s="6" t="str">
        <f t="shared" si="1"/>
        <v>C05</v>
      </c>
      <c r="B21" s="3">
        <v>41946</v>
      </c>
      <c r="C21" s="3">
        <v>41946</v>
      </c>
      <c r="D21" s="22"/>
      <c r="E21" s="22" t="s">
        <v>91</v>
      </c>
      <c r="F21" s="30" t="s">
        <v>260</v>
      </c>
      <c r="G21" s="50"/>
      <c r="H21" s="50"/>
      <c r="I21" s="28" t="s">
        <v>134</v>
      </c>
      <c r="J21" s="21"/>
      <c r="K21" s="5">
        <v>450000000</v>
      </c>
      <c r="L21" s="4">
        <f t="shared" si="0"/>
        <v>2252752410</v>
      </c>
      <c r="M21" s="60"/>
    </row>
    <row r="22" spans="1:13" s="61" customFormat="1" ht="17.25" customHeight="1">
      <c r="A22" s="6" t="str">
        <f t="shared" si="1"/>
        <v>C06</v>
      </c>
      <c r="B22" s="3">
        <v>41946</v>
      </c>
      <c r="C22" s="3">
        <v>41946</v>
      </c>
      <c r="D22" s="22"/>
      <c r="E22" s="22" t="s">
        <v>92</v>
      </c>
      <c r="F22" s="30" t="s">
        <v>259</v>
      </c>
      <c r="G22" s="50"/>
      <c r="H22" s="50"/>
      <c r="I22" s="28" t="s">
        <v>134</v>
      </c>
      <c r="J22" s="21"/>
      <c r="K22" s="5">
        <v>550000000</v>
      </c>
      <c r="L22" s="4">
        <f t="shared" si="0"/>
        <v>1702752410</v>
      </c>
      <c r="M22" s="60"/>
    </row>
    <row r="23" spans="1:13" ht="17.25" customHeight="1">
      <c r="A23" s="6" t="str">
        <f t="shared" si="1"/>
        <v>C07</v>
      </c>
      <c r="B23" s="3">
        <v>41949</v>
      </c>
      <c r="C23" s="3">
        <v>41949</v>
      </c>
      <c r="D23" s="4"/>
      <c r="E23" s="22" t="s">
        <v>93</v>
      </c>
      <c r="F23" s="5" t="s">
        <v>474</v>
      </c>
      <c r="G23" s="5"/>
      <c r="H23" s="5"/>
      <c r="I23" s="28" t="s">
        <v>247</v>
      </c>
      <c r="J23" s="21"/>
      <c r="K23" s="5">
        <v>1998000</v>
      </c>
      <c r="L23" s="4">
        <f t="shared" si="0"/>
        <v>1700754410</v>
      </c>
      <c r="M23" s="19"/>
    </row>
    <row r="24" spans="1:13" ht="17.25" customHeight="1">
      <c r="A24" s="6" t="str">
        <f t="shared" si="1"/>
        <v>C07</v>
      </c>
      <c r="B24" s="3">
        <v>41949</v>
      </c>
      <c r="C24" s="3">
        <v>41949</v>
      </c>
      <c r="D24" s="4"/>
      <c r="E24" s="22" t="s">
        <v>93</v>
      </c>
      <c r="F24" s="5" t="s">
        <v>475</v>
      </c>
      <c r="G24" s="5"/>
      <c r="H24" s="5"/>
      <c r="I24" s="28" t="s">
        <v>35</v>
      </c>
      <c r="J24" s="21"/>
      <c r="K24" s="5">
        <v>199800</v>
      </c>
      <c r="L24" s="4">
        <f t="shared" si="0"/>
        <v>1700554610</v>
      </c>
      <c r="M24" s="19"/>
    </row>
    <row r="25" spans="1:13" ht="17.25" customHeight="1">
      <c r="A25" s="6" t="str">
        <f t="shared" si="1"/>
        <v>C08</v>
      </c>
      <c r="B25" s="3">
        <v>41949</v>
      </c>
      <c r="C25" s="3">
        <v>41949</v>
      </c>
      <c r="D25" s="22"/>
      <c r="E25" s="22" t="s">
        <v>94</v>
      </c>
      <c r="F25" s="5" t="s">
        <v>273</v>
      </c>
      <c r="G25" s="5"/>
      <c r="H25" s="5"/>
      <c r="I25" s="28" t="s">
        <v>247</v>
      </c>
      <c r="J25" s="21"/>
      <c r="K25" s="5">
        <f>60000+240000</f>
        <v>300000</v>
      </c>
      <c r="L25" s="4">
        <f t="shared" si="0"/>
        <v>1700254610</v>
      </c>
      <c r="M25" s="19"/>
    </row>
    <row r="26" spans="1:13" ht="17.25" customHeight="1">
      <c r="A26" s="6" t="str">
        <f t="shared" si="1"/>
        <v>C09</v>
      </c>
      <c r="B26" s="3">
        <v>41950</v>
      </c>
      <c r="C26" s="3">
        <v>41950</v>
      </c>
      <c r="D26" s="4"/>
      <c r="E26" s="22" t="s">
        <v>95</v>
      </c>
      <c r="F26" s="5" t="s">
        <v>50</v>
      </c>
      <c r="G26" s="5"/>
      <c r="H26" s="5"/>
      <c r="I26" s="28" t="s">
        <v>247</v>
      </c>
      <c r="J26" s="21"/>
      <c r="K26" s="5">
        <v>3357582</v>
      </c>
      <c r="L26" s="4">
        <f t="shared" si="0"/>
        <v>1696897028</v>
      </c>
      <c r="M26" s="19"/>
    </row>
    <row r="27" spans="1:13" ht="17.25" customHeight="1">
      <c r="A27" s="6" t="str">
        <f t="shared" si="1"/>
        <v>C09</v>
      </c>
      <c r="B27" s="3">
        <v>41950</v>
      </c>
      <c r="C27" s="3">
        <v>41950</v>
      </c>
      <c r="D27" s="4"/>
      <c r="E27" s="22" t="s">
        <v>95</v>
      </c>
      <c r="F27" s="5" t="s">
        <v>56</v>
      </c>
      <c r="G27" s="5"/>
      <c r="H27" s="5"/>
      <c r="I27" s="28" t="s">
        <v>35</v>
      </c>
      <c r="J27" s="21"/>
      <c r="K27" s="5">
        <v>335758</v>
      </c>
      <c r="L27" s="4">
        <f t="shared" si="0"/>
        <v>1696561270</v>
      </c>
      <c r="M27" s="19"/>
    </row>
    <row r="28" spans="1:13" ht="17.25" customHeight="1">
      <c r="A28" s="6" t="str">
        <f t="shared" si="1"/>
        <v>C10</v>
      </c>
      <c r="B28" s="3">
        <v>41950</v>
      </c>
      <c r="C28" s="3">
        <v>41950</v>
      </c>
      <c r="D28" s="4"/>
      <c r="E28" s="22" t="s">
        <v>96</v>
      </c>
      <c r="F28" s="5" t="s">
        <v>50</v>
      </c>
      <c r="G28" s="5"/>
      <c r="H28" s="5"/>
      <c r="I28" s="28" t="s">
        <v>247</v>
      </c>
      <c r="J28" s="21"/>
      <c r="K28" s="5">
        <v>81236</v>
      </c>
      <c r="L28" s="4">
        <f t="shared" si="0"/>
        <v>1696480034</v>
      </c>
      <c r="M28" s="19"/>
    </row>
    <row r="29" spans="1:13" ht="17.25" customHeight="1">
      <c r="A29" s="6" t="str">
        <f t="shared" si="1"/>
        <v>C10</v>
      </c>
      <c r="B29" s="3">
        <v>41950</v>
      </c>
      <c r="C29" s="3">
        <v>41950</v>
      </c>
      <c r="D29" s="22"/>
      <c r="E29" s="22" t="s">
        <v>96</v>
      </c>
      <c r="F29" s="5" t="s">
        <v>53</v>
      </c>
      <c r="G29" s="5"/>
      <c r="H29" s="5"/>
      <c r="I29" s="28" t="s">
        <v>54</v>
      </c>
      <c r="J29" s="21"/>
      <c r="K29" s="5">
        <v>1702227</v>
      </c>
      <c r="L29" s="4">
        <f t="shared" si="0"/>
        <v>1694777807</v>
      </c>
      <c r="M29" s="19"/>
    </row>
    <row r="30" spans="1:13" ht="17.25" customHeight="1">
      <c r="A30" s="6" t="str">
        <f t="shared" si="1"/>
        <v>C10</v>
      </c>
      <c r="B30" s="3">
        <v>41950</v>
      </c>
      <c r="C30" s="3">
        <v>41950</v>
      </c>
      <c r="D30" s="22"/>
      <c r="E30" s="22" t="s">
        <v>96</v>
      </c>
      <c r="F30" s="5" t="s">
        <v>292</v>
      </c>
      <c r="G30" s="5"/>
      <c r="H30" s="5"/>
      <c r="I30" s="28" t="s">
        <v>35</v>
      </c>
      <c r="J30" s="21"/>
      <c r="K30" s="5">
        <v>178347</v>
      </c>
      <c r="L30" s="4">
        <f t="shared" si="0"/>
        <v>1694599460</v>
      </c>
      <c r="M30" s="19"/>
    </row>
    <row r="31" spans="1:13" ht="17.25" customHeight="1">
      <c r="A31" s="6" t="str">
        <f t="shared" si="1"/>
        <v>C11</v>
      </c>
      <c r="B31" s="3">
        <v>41950</v>
      </c>
      <c r="C31" s="3">
        <v>41950</v>
      </c>
      <c r="D31" s="4"/>
      <c r="E31" s="22" t="s">
        <v>97</v>
      </c>
      <c r="F31" s="5" t="s">
        <v>273</v>
      </c>
      <c r="G31" s="5"/>
      <c r="H31" s="5"/>
      <c r="I31" s="28" t="s">
        <v>247</v>
      </c>
      <c r="J31" s="21"/>
      <c r="K31" s="5">
        <v>20000</v>
      </c>
      <c r="L31" s="4">
        <f t="shared" si="0"/>
        <v>1694579460</v>
      </c>
      <c r="M31" s="19"/>
    </row>
    <row r="32" spans="1:13" ht="17.25" customHeight="1">
      <c r="A32" s="6" t="str">
        <f t="shared" si="1"/>
        <v>C12</v>
      </c>
      <c r="B32" s="3">
        <v>41953</v>
      </c>
      <c r="C32" s="3">
        <v>41953</v>
      </c>
      <c r="D32" s="4"/>
      <c r="E32" s="22" t="s">
        <v>98</v>
      </c>
      <c r="F32" s="5" t="s">
        <v>243</v>
      </c>
      <c r="G32" s="5"/>
      <c r="H32" s="5"/>
      <c r="I32" s="28" t="s">
        <v>247</v>
      </c>
      <c r="J32" s="21"/>
      <c r="K32" s="5">
        <v>36621</v>
      </c>
      <c r="L32" s="4">
        <f t="shared" si="0"/>
        <v>1694542839</v>
      </c>
      <c r="M32" s="19"/>
    </row>
    <row r="33" spans="1:13" ht="17.25" customHeight="1">
      <c r="A33" s="6" t="str">
        <f t="shared" si="1"/>
        <v>C12</v>
      </c>
      <c r="B33" s="3">
        <v>41953</v>
      </c>
      <c r="C33" s="3">
        <v>41953</v>
      </c>
      <c r="D33" s="4"/>
      <c r="E33" s="22" t="s">
        <v>98</v>
      </c>
      <c r="F33" s="5" t="s">
        <v>244</v>
      </c>
      <c r="G33" s="5"/>
      <c r="H33" s="5"/>
      <c r="I33" s="28" t="s">
        <v>35</v>
      </c>
      <c r="J33" s="21"/>
      <c r="K33" s="5">
        <v>3662</v>
      </c>
      <c r="L33" s="4">
        <f t="shared" si="0"/>
        <v>1694539177</v>
      </c>
      <c r="M33" s="19"/>
    </row>
    <row r="34" spans="1:13" s="61" customFormat="1" ht="17.25" customHeight="1">
      <c r="A34" s="6" t="str">
        <f t="shared" si="1"/>
        <v>C13</v>
      </c>
      <c r="B34" s="3">
        <v>41953</v>
      </c>
      <c r="C34" s="3">
        <v>41953</v>
      </c>
      <c r="D34" s="22"/>
      <c r="E34" s="22" t="s">
        <v>99</v>
      </c>
      <c r="F34" s="30" t="s">
        <v>260</v>
      </c>
      <c r="G34" s="50"/>
      <c r="H34" s="50"/>
      <c r="I34" s="28" t="s">
        <v>134</v>
      </c>
      <c r="J34" s="21"/>
      <c r="K34" s="5">
        <v>600000000</v>
      </c>
      <c r="L34" s="4">
        <f t="shared" si="0"/>
        <v>1094539177</v>
      </c>
      <c r="M34" s="60"/>
    </row>
    <row r="35" spans="1:13" s="61" customFormat="1" ht="17.25" customHeight="1">
      <c r="A35" s="6" t="str">
        <f t="shared" si="1"/>
        <v>C14</v>
      </c>
      <c r="B35" s="3">
        <v>41953</v>
      </c>
      <c r="C35" s="3">
        <v>41953</v>
      </c>
      <c r="D35" s="22"/>
      <c r="E35" s="22" t="s">
        <v>100</v>
      </c>
      <c r="F35" s="30" t="s">
        <v>259</v>
      </c>
      <c r="G35" s="50"/>
      <c r="H35" s="50"/>
      <c r="I35" s="28" t="s">
        <v>134</v>
      </c>
      <c r="J35" s="21"/>
      <c r="K35" s="5">
        <v>550000000</v>
      </c>
      <c r="L35" s="4">
        <f t="shared" si="0"/>
        <v>544539177</v>
      </c>
      <c r="M35" s="60"/>
    </row>
    <row r="36" spans="1:13" ht="17.25" customHeight="1">
      <c r="A36" s="6" t="str">
        <f t="shared" si="1"/>
        <v>C15</v>
      </c>
      <c r="B36" s="3">
        <v>41955</v>
      </c>
      <c r="C36" s="3">
        <v>41955</v>
      </c>
      <c r="D36" s="4"/>
      <c r="E36" s="22" t="s">
        <v>101</v>
      </c>
      <c r="F36" s="5" t="s">
        <v>476</v>
      </c>
      <c r="G36" s="5"/>
      <c r="H36" s="5"/>
      <c r="I36" s="28" t="s">
        <v>247</v>
      </c>
      <c r="J36" s="21"/>
      <c r="K36" s="5">
        <v>5771860</v>
      </c>
      <c r="L36" s="4">
        <f t="shared" si="0"/>
        <v>538767317</v>
      </c>
      <c r="M36" s="19"/>
    </row>
    <row r="37" spans="1:13" ht="17.25" customHeight="1">
      <c r="A37" s="6" t="str">
        <f t="shared" si="1"/>
        <v>C15</v>
      </c>
      <c r="B37" s="3">
        <v>41955</v>
      </c>
      <c r="C37" s="3">
        <v>41955</v>
      </c>
      <c r="D37" s="22"/>
      <c r="E37" s="22" t="s">
        <v>101</v>
      </c>
      <c r="F37" s="30" t="s">
        <v>477</v>
      </c>
      <c r="G37" s="50"/>
      <c r="H37" s="50"/>
      <c r="I37" s="28" t="s">
        <v>35</v>
      </c>
      <c r="J37" s="21"/>
      <c r="K37" s="5">
        <v>577186</v>
      </c>
      <c r="L37" s="4">
        <f t="shared" si="0"/>
        <v>538190131</v>
      </c>
      <c r="M37" s="19"/>
    </row>
    <row r="38" spans="1:13" ht="17.25" customHeight="1">
      <c r="A38" s="6" t="str">
        <f t="shared" si="1"/>
        <v>T02</v>
      </c>
      <c r="B38" s="3">
        <v>41956</v>
      </c>
      <c r="C38" s="3">
        <v>41956</v>
      </c>
      <c r="D38" s="4" t="s">
        <v>40</v>
      </c>
      <c r="E38" s="22"/>
      <c r="F38" s="62" t="s">
        <v>217</v>
      </c>
      <c r="G38" s="5"/>
      <c r="H38" s="5"/>
      <c r="I38" s="28" t="s">
        <v>36</v>
      </c>
      <c r="J38" s="21">
        <v>1000000000</v>
      </c>
      <c r="K38" s="5"/>
      <c r="L38" s="4">
        <f t="shared" si="0"/>
        <v>1538190131</v>
      </c>
      <c r="M38" s="19"/>
    </row>
    <row r="39" spans="1:13" ht="17.25" customHeight="1">
      <c r="A39" s="6" t="str">
        <f t="shared" si="1"/>
        <v>C16</v>
      </c>
      <c r="B39" s="3">
        <v>41956</v>
      </c>
      <c r="C39" s="3">
        <v>41956</v>
      </c>
      <c r="D39" s="22"/>
      <c r="E39" s="22" t="s">
        <v>102</v>
      </c>
      <c r="F39" s="5" t="s">
        <v>478</v>
      </c>
      <c r="G39" s="5"/>
      <c r="H39" s="5"/>
      <c r="I39" s="28" t="s">
        <v>36</v>
      </c>
      <c r="J39" s="21"/>
      <c r="K39" s="5">
        <v>10000000</v>
      </c>
      <c r="L39" s="4">
        <f t="shared" si="0"/>
        <v>1528190131</v>
      </c>
      <c r="M39" s="19"/>
    </row>
    <row r="40" spans="1:13" s="61" customFormat="1" ht="17.25" customHeight="1">
      <c r="A40" s="6" t="str">
        <f t="shared" si="1"/>
        <v>C17</v>
      </c>
      <c r="B40" s="3">
        <v>41956</v>
      </c>
      <c r="C40" s="3">
        <v>41956</v>
      </c>
      <c r="D40" s="22"/>
      <c r="E40" s="22" t="s">
        <v>103</v>
      </c>
      <c r="F40" s="30" t="s">
        <v>260</v>
      </c>
      <c r="G40" s="50"/>
      <c r="H40" s="50"/>
      <c r="I40" s="28" t="s">
        <v>134</v>
      </c>
      <c r="J40" s="21"/>
      <c r="K40" s="5">
        <v>600000000</v>
      </c>
      <c r="L40" s="4">
        <f t="shared" si="0"/>
        <v>928190131</v>
      </c>
      <c r="M40" s="60"/>
    </row>
    <row r="41" spans="1:13" ht="17.25" customHeight="1">
      <c r="A41" s="6" t="str">
        <f t="shared" si="1"/>
        <v>C18</v>
      </c>
      <c r="B41" s="3">
        <v>41957</v>
      </c>
      <c r="C41" s="3">
        <v>41957</v>
      </c>
      <c r="D41" s="22"/>
      <c r="E41" s="22" t="s">
        <v>104</v>
      </c>
      <c r="F41" s="5" t="s">
        <v>478</v>
      </c>
      <c r="G41" s="5"/>
      <c r="H41" s="5"/>
      <c r="I41" s="28" t="s">
        <v>36</v>
      </c>
      <c r="J41" s="21"/>
      <c r="K41" s="5">
        <v>95000000</v>
      </c>
      <c r="L41" s="4">
        <f t="shared" si="0"/>
        <v>833190131</v>
      </c>
      <c r="M41" s="19"/>
    </row>
    <row r="42" spans="1:13" ht="17.25" customHeight="1">
      <c r="A42" s="6" t="str">
        <f t="shared" si="1"/>
        <v>C19</v>
      </c>
      <c r="B42" s="3">
        <v>41957</v>
      </c>
      <c r="C42" s="3">
        <v>41957</v>
      </c>
      <c r="D42" s="4"/>
      <c r="E42" s="22" t="s">
        <v>105</v>
      </c>
      <c r="F42" s="5" t="s">
        <v>479</v>
      </c>
      <c r="G42" s="5"/>
      <c r="H42" s="5"/>
      <c r="I42" s="28" t="s">
        <v>247</v>
      </c>
      <c r="J42" s="21"/>
      <c r="K42" s="5">
        <v>7263636</v>
      </c>
      <c r="L42" s="4">
        <f t="shared" si="0"/>
        <v>825926495</v>
      </c>
      <c r="M42" s="19"/>
    </row>
    <row r="43" spans="1:13" ht="17.25" customHeight="1">
      <c r="A43" s="6" t="str">
        <f t="shared" si="1"/>
        <v>C19</v>
      </c>
      <c r="B43" s="3">
        <v>41957</v>
      </c>
      <c r="C43" s="3">
        <v>41957</v>
      </c>
      <c r="D43" s="4"/>
      <c r="E43" s="22" t="s">
        <v>105</v>
      </c>
      <c r="F43" s="5" t="s">
        <v>480</v>
      </c>
      <c r="G43" s="5"/>
      <c r="H43" s="5"/>
      <c r="I43" s="28" t="s">
        <v>35</v>
      </c>
      <c r="J43" s="21"/>
      <c r="K43" s="5">
        <v>726364</v>
      </c>
      <c r="L43" s="4">
        <f t="shared" si="0"/>
        <v>825200131</v>
      </c>
      <c r="M43" s="19"/>
    </row>
    <row r="44" spans="1:13" ht="17.25" customHeight="1">
      <c r="A44" s="6" t="str">
        <f t="shared" si="1"/>
        <v>C20</v>
      </c>
      <c r="B44" s="3">
        <v>41957</v>
      </c>
      <c r="C44" s="3">
        <v>41957</v>
      </c>
      <c r="D44" s="4"/>
      <c r="E44" s="22" t="s">
        <v>106</v>
      </c>
      <c r="F44" s="5" t="s">
        <v>481</v>
      </c>
      <c r="G44" s="5"/>
      <c r="H44" s="5"/>
      <c r="I44" s="28" t="s">
        <v>247</v>
      </c>
      <c r="J44" s="21"/>
      <c r="K44" s="5">
        <v>155000</v>
      </c>
      <c r="L44" s="4">
        <f t="shared" si="0"/>
        <v>825045131</v>
      </c>
      <c r="M44" s="19"/>
    </row>
    <row r="45" spans="1:13" ht="17.25" customHeight="1">
      <c r="A45" s="6" t="str">
        <f t="shared" si="1"/>
        <v>T03</v>
      </c>
      <c r="B45" s="3">
        <v>41958</v>
      </c>
      <c r="C45" s="3">
        <v>41958</v>
      </c>
      <c r="D45" s="4" t="s">
        <v>41</v>
      </c>
      <c r="E45" s="22"/>
      <c r="F45" s="62" t="s">
        <v>217</v>
      </c>
      <c r="G45" s="5"/>
      <c r="H45" s="5"/>
      <c r="I45" s="28" t="s">
        <v>36</v>
      </c>
      <c r="J45" s="21">
        <v>1462000000</v>
      </c>
      <c r="K45" s="5"/>
      <c r="L45" s="4">
        <f t="shared" si="0"/>
        <v>2287045131</v>
      </c>
      <c r="M45" s="19"/>
    </row>
    <row r="46" spans="1:13" ht="17.25" customHeight="1">
      <c r="A46" s="6" t="str">
        <f t="shared" si="1"/>
        <v>C21</v>
      </c>
      <c r="B46" s="3">
        <v>41958</v>
      </c>
      <c r="C46" s="3">
        <v>41958</v>
      </c>
      <c r="D46" s="4"/>
      <c r="E46" s="22" t="s">
        <v>107</v>
      </c>
      <c r="F46" s="5" t="s">
        <v>50</v>
      </c>
      <c r="G46" s="5"/>
      <c r="H46" s="5"/>
      <c r="I46" s="28" t="s">
        <v>247</v>
      </c>
      <c r="J46" s="21"/>
      <c r="K46" s="5">
        <v>291682</v>
      </c>
      <c r="L46" s="4">
        <f t="shared" si="0"/>
        <v>2286753449</v>
      </c>
      <c r="M46" s="19"/>
    </row>
    <row r="47" spans="1:13" ht="17.25" customHeight="1">
      <c r="A47" s="6" t="str">
        <f t="shared" si="1"/>
        <v>C21</v>
      </c>
      <c r="B47" s="3">
        <v>41958</v>
      </c>
      <c r="C47" s="3">
        <v>41958</v>
      </c>
      <c r="D47" s="4"/>
      <c r="E47" s="22" t="s">
        <v>107</v>
      </c>
      <c r="F47" s="5" t="s">
        <v>53</v>
      </c>
      <c r="G47" s="5"/>
      <c r="H47" s="5"/>
      <c r="I47" s="28" t="s">
        <v>54</v>
      </c>
      <c r="J47" s="21"/>
      <c r="K47" s="5">
        <v>1744545</v>
      </c>
      <c r="L47" s="4">
        <f t="shared" si="0"/>
        <v>2285008904</v>
      </c>
      <c r="M47" s="19"/>
    </row>
    <row r="48" spans="1:13" ht="17.25" customHeight="1">
      <c r="A48" s="6" t="str">
        <f t="shared" si="1"/>
        <v>C21</v>
      </c>
      <c r="B48" s="3">
        <v>41958</v>
      </c>
      <c r="C48" s="3">
        <v>41958</v>
      </c>
      <c r="D48" s="4"/>
      <c r="E48" s="22" t="s">
        <v>107</v>
      </c>
      <c r="F48" s="5" t="s">
        <v>292</v>
      </c>
      <c r="G48" s="5"/>
      <c r="H48" s="5"/>
      <c r="I48" s="28" t="s">
        <v>35</v>
      </c>
      <c r="J48" s="21"/>
      <c r="K48" s="5">
        <v>203623</v>
      </c>
      <c r="L48" s="4">
        <f t="shared" si="0"/>
        <v>2284805281</v>
      </c>
      <c r="M48" s="19"/>
    </row>
    <row r="49" spans="1:13" ht="17.25" customHeight="1">
      <c r="A49" s="6" t="str">
        <f t="shared" si="1"/>
        <v>C22</v>
      </c>
      <c r="B49" s="3">
        <v>41960</v>
      </c>
      <c r="C49" s="3">
        <v>41960</v>
      </c>
      <c r="D49" s="22"/>
      <c r="E49" s="22" t="s">
        <v>108</v>
      </c>
      <c r="F49" s="5" t="s">
        <v>482</v>
      </c>
      <c r="G49" s="5"/>
      <c r="H49" s="5"/>
      <c r="I49" s="28" t="s">
        <v>280</v>
      </c>
      <c r="J49" s="21"/>
      <c r="K49" s="5">
        <v>9348240</v>
      </c>
      <c r="L49" s="4">
        <f t="shared" si="0"/>
        <v>2275457041</v>
      </c>
      <c r="M49" s="19"/>
    </row>
    <row r="50" spans="1:13" ht="17.25" customHeight="1">
      <c r="A50" s="6" t="str">
        <f t="shared" si="1"/>
        <v>C23</v>
      </c>
      <c r="B50" s="3">
        <v>41960</v>
      </c>
      <c r="C50" s="3">
        <v>41960</v>
      </c>
      <c r="D50" s="22"/>
      <c r="E50" s="22" t="s">
        <v>109</v>
      </c>
      <c r="F50" s="5" t="s">
        <v>483</v>
      </c>
      <c r="G50" s="5"/>
      <c r="H50" s="5"/>
      <c r="I50" s="28" t="s">
        <v>256</v>
      </c>
      <c r="J50" s="21"/>
      <c r="K50" s="5">
        <v>3397015</v>
      </c>
      <c r="L50" s="4">
        <f t="shared" si="0"/>
        <v>2272060026</v>
      </c>
      <c r="M50" s="19"/>
    </row>
    <row r="51" spans="1:13" ht="17.25" customHeight="1">
      <c r="A51" s="6" t="str">
        <f t="shared" si="1"/>
        <v>C23</v>
      </c>
      <c r="B51" s="3">
        <v>41960</v>
      </c>
      <c r="C51" s="3">
        <v>41960</v>
      </c>
      <c r="D51" s="4"/>
      <c r="E51" s="22" t="s">
        <v>109</v>
      </c>
      <c r="F51" s="5" t="s">
        <v>484</v>
      </c>
      <c r="G51" s="5"/>
      <c r="H51" s="5"/>
      <c r="I51" s="28" t="s">
        <v>35</v>
      </c>
      <c r="J51" s="21"/>
      <c r="K51" s="5">
        <v>339702</v>
      </c>
      <c r="L51" s="4">
        <f t="shared" si="0"/>
        <v>2271720324</v>
      </c>
      <c r="M51" s="19"/>
    </row>
    <row r="52" spans="1:13" ht="17.25" customHeight="1">
      <c r="A52" s="6" t="str">
        <f t="shared" si="1"/>
        <v>C24</v>
      </c>
      <c r="B52" s="3">
        <v>41962</v>
      </c>
      <c r="C52" s="3">
        <v>41962</v>
      </c>
      <c r="D52" s="4"/>
      <c r="E52" s="22" t="s">
        <v>110</v>
      </c>
      <c r="F52" s="5" t="s">
        <v>478</v>
      </c>
      <c r="G52" s="5"/>
      <c r="H52" s="5"/>
      <c r="I52" s="28" t="s">
        <v>36</v>
      </c>
      <c r="J52" s="21"/>
      <c r="K52" s="5">
        <v>480000000</v>
      </c>
      <c r="L52" s="4">
        <f t="shared" si="0"/>
        <v>1791720324</v>
      </c>
      <c r="M52" s="19"/>
    </row>
    <row r="53" spans="1:13" ht="17.25" customHeight="1">
      <c r="A53" s="6" t="str">
        <f t="shared" si="1"/>
        <v>C25</v>
      </c>
      <c r="B53" s="3">
        <v>41962</v>
      </c>
      <c r="C53" s="3">
        <v>41962</v>
      </c>
      <c r="D53" s="4"/>
      <c r="E53" s="22" t="s">
        <v>111</v>
      </c>
      <c r="F53" s="5" t="s">
        <v>478</v>
      </c>
      <c r="G53" s="5"/>
      <c r="H53" s="5"/>
      <c r="I53" s="28" t="s">
        <v>36</v>
      </c>
      <c r="J53" s="21"/>
      <c r="K53" s="5">
        <v>200000000</v>
      </c>
      <c r="L53" s="4">
        <f t="shared" si="0"/>
        <v>1591720324</v>
      </c>
      <c r="M53" s="19"/>
    </row>
    <row r="54" spans="1:13" s="61" customFormat="1" ht="17.25" customHeight="1">
      <c r="A54" s="6" t="str">
        <f t="shared" si="1"/>
        <v>T04</v>
      </c>
      <c r="B54" s="3">
        <v>41962</v>
      </c>
      <c r="C54" s="3">
        <v>41962</v>
      </c>
      <c r="D54" s="4" t="s">
        <v>42</v>
      </c>
      <c r="E54" s="52"/>
      <c r="F54" s="62" t="s">
        <v>130</v>
      </c>
      <c r="G54" s="5"/>
      <c r="H54" s="5"/>
      <c r="I54" s="28" t="s">
        <v>36</v>
      </c>
      <c r="J54" s="21">
        <v>1730000000</v>
      </c>
      <c r="K54" s="5"/>
      <c r="L54" s="4">
        <f t="shared" si="0"/>
        <v>3321720324</v>
      </c>
      <c r="M54" s="60"/>
    </row>
    <row r="55" spans="1:13" s="61" customFormat="1" ht="17.25" customHeight="1">
      <c r="A55" s="6" t="str">
        <f t="shared" si="1"/>
        <v>C26</v>
      </c>
      <c r="B55" s="3">
        <v>41962</v>
      </c>
      <c r="C55" s="3">
        <v>41962</v>
      </c>
      <c r="D55" s="22"/>
      <c r="E55" s="22" t="s">
        <v>112</v>
      </c>
      <c r="F55" s="30" t="s">
        <v>260</v>
      </c>
      <c r="G55" s="50"/>
      <c r="H55" s="50"/>
      <c r="I55" s="28" t="s">
        <v>134</v>
      </c>
      <c r="J55" s="21"/>
      <c r="K55" s="5">
        <v>600000000</v>
      </c>
      <c r="L55" s="4">
        <f t="shared" si="0"/>
        <v>2721720324</v>
      </c>
      <c r="M55" s="60"/>
    </row>
    <row r="56" spans="1:13" s="61" customFormat="1" ht="17.25" customHeight="1">
      <c r="A56" s="6" t="str">
        <f t="shared" si="1"/>
        <v>C27</v>
      </c>
      <c r="B56" s="3">
        <v>41962</v>
      </c>
      <c r="C56" s="3">
        <v>41962</v>
      </c>
      <c r="D56" s="22"/>
      <c r="E56" s="22" t="s">
        <v>113</v>
      </c>
      <c r="F56" s="30" t="s">
        <v>259</v>
      </c>
      <c r="G56" s="50"/>
      <c r="H56" s="50"/>
      <c r="I56" s="28" t="s">
        <v>134</v>
      </c>
      <c r="J56" s="21"/>
      <c r="K56" s="5">
        <v>550000000</v>
      </c>
      <c r="L56" s="4">
        <f t="shared" si="0"/>
        <v>2171720324</v>
      </c>
      <c r="M56" s="60"/>
    </row>
    <row r="57" spans="1:13" ht="17.25" customHeight="1">
      <c r="A57" s="6" t="str">
        <f t="shared" si="1"/>
        <v>T05</v>
      </c>
      <c r="B57" s="3">
        <v>41963</v>
      </c>
      <c r="C57" s="3">
        <v>41963</v>
      </c>
      <c r="D57" s="4" t="s">
        <v>43</v>
      </c>
      <c r="E57" s="22"/>
      <c r="F57" s="62" t="s">
        <v>217</v>
      </c>
      <c r="G57" s="5"/>
      <c r="H57" s="5"/>
      <c r="I57" s="28" t="s">
        <v>36</v>
      </c>
      <c r="J57" s="21">
        <v>50000000</v>
      </c>
      <c r="K57" s="5"/>
      <c r="L57" s="4">
        <f t="shared" si="0"/>
        <v>2221720324</v>
      </c>
      <c r="M57" s="19"/>
    </row>
    <row r="58" spans="1:13" ht="17.25" customHeight="1">
      <c r="A58" s="6" t="str">
        <f t="shared" si="1"/>
        <v>T06</v>
      </c>
      <c r="B58" s="3">
        <v>41963</v>
      </c>
      <c r="C58" s="3">
        <v>41963</v>
      </c>
      <c r="D58" s="4" t="s">
        <v>44</v>
      </c>
      <c r="E58" s="22"/>
      <c r="F58" s="62" t="s">
        <v>485</v>
      </c>
      <c r="G58" s="5"/>
      <c r="H58" s="5"/>
      <c r="I58" s="28" t="s">
        <v>57</v>
      </c>
      <c r="J58" s="21">
        <v>40500000</v>
      </c>
      <c r="K58" s="5"/>
      <c r="L58" s="4">
        <f t="shared" si="0"/>
        <v>2262220324</v>
      </c>
      <c r="M58" s="19"/>
    </row>
    <row r="59" spans="1:13" ht="17.25" customHeight="1">
      <c r="A59" s="6" t="str">
        <f t="shared" si="1"/>
        <v>C28</v>
      </c>
      <c r="B59" s="3">
        <v>41963</v>
      </c>
      <c r="C59" s="3">
        <v>41963</v>
      </c>
      <c r="D59" s="22"/>
      <c r="E59" s="22" t="s">
        <v>114</v>
      </c>
      <c r="F59" s="5" t="s">
        <v>486</v>
      </c>
      <c r="G59" s="5"/>
      <c r="H59" s="5"/>
      <c r="I59" s="28" t="s">
        <v>256</v>
      </c>
      <c r="J59" s="21"/>
      <c r="K59" s="5">
        <v>73818</v>
      </c>
      <c r="L59" s="4">
        <f t="shared" si="0"/>
        <v>2262146506</v>
      </c>
      <c r="M59" s="19"/>
    </row>
    <row r="60" spans="1:13" ht="17.25" customHeight="1">
      <c r="A60" s="6" t="str">
        <f t="shared" si="1"/>
        <v>C28</v>
      </c>
      <c r="B60" s="3">
        <v>41963</v>
      </c>
      <c r="C60" s="3">
        <v>41963</v>
      </c>
      <c r="D60" s="22"/>
      <c r="E60" s="22" t="s">
        <v>114</v>
      </c>
      <c r="F60" s="5" t="s">
        <v>487</v>
      </c>
      <c r="G60" s="5"/>
      <c r="H60" s="5"/>
      <c r="I60" s="28" t="s">
        <v>35</v>
      </c>
      <c r="J60" s="21"/>
      <c r="K60" s="5">
        <v>7382</v>
      </c>
      <c r="L60" s="4">
        <f t="shared" si="0"/>
        <v>2262139124</v>
      </c>
      <c r="M60" s="19"/>
    </row>
    <row r="61" spans="1:13" ht="17.25" customHeight="1">
      <c r="A61" s="6" t="str">
        <f t="shared" si="1"/>
        <v>C29</v>
      </c>
      <c r="B61" s="3">
        <v>41963</v>
      </c>
      <c r="C61" s="3">
        <v>41963</v>
      </c>
      <c r="D61" s="22"/>
      <c r="E61" s="22" t="s">
        <v>115</v>
      </c>
      <c r="F61" s="5" t="s">
        <v>50</v>
      </c>
      <c r="G61" s="5"/>
      <c r="H61" s="5"/>
      <c r="I61" s="28" t="s">
        <v>247</v>
      </c>
      <c r="J61" s="21"/>
      <c r="K61" s="5">
        <v>2858700</v>
      </c>
      <c r="L61" s="4">
        <f t="shared" si="0"/>
        <v>2259280424</v>
      </c>
      <c r="M61" s="19"/>
    </row>
    <row r="62" spans="1:13" ht="17.25" customHeight="1">
      <c r="A62" s="6" t="str">
        <f t="shared" si="1"/>
        <v>C29</v>
      </c>
      <c r="B62" s="3">
        <v>41963</v>
      </c>
      <c r="C62" s="3">
        <v>41963</v>
      </c>
      <c r="D62" s="22"/>
      <c r="E62" s="22" t="s">
        <v>115</v>
      </c>
      <c r="F62" s="5" t="s">
        <v>56</v>
      </c>
      <c r="G62" s="5"/>
      <c r="H62" s="5"/>
      <c r="I62" s="28" t="s">
        <v>35</v>
      </c>
      <c r="J62" s="21"/>
      <c r="K62" s="5">
        <v>285870</v>
      </c>
      <c r="L62" s="4">
        <f t="shared" ref="L62:L88" si="2">IF(F62&lt;&gt;"",L61+J62-K62,0)</f>
        <v>2258994554</v>
      </c>
      <c r="M62" s="19"/>
    </row>
    <row r="63" spans="1:13" ht="17.25" customHeight="1">
      <c r="A63" s="6" t="str">
        <f t="shared" si="1"/>
        <v>T07</v>
      </c>
      <c r="B63" s="3">
        <v>41964</v>
      </c>
      <c r="C63" s="3">
        <v>41964</v>
      </c>
      <c r="D63" s="4" t="s">
        <v>58</v>
      </c>
      <c r="E63" s="22"/>
      <c r="F63" s="62" t="s">
        <v>217</v>
      </c>
      <c r="G63" s="5"/>
      <c r="H63" s="5"/>
      <c r="I63" s="28" t="s">
        <v>36</v>
      </c>
      <c r="J63" s="21">
        <v>950000000</v>
      </c>
      <c r="K63" s="5"/>
      <c r="L63" s="4">
        <f t="shared" si="2"/>
        <v>3208994554</v>
      </c>
      <c r="M63" s="19"/>
    </row>
    <row r="64" spans="1:13" ht="17.25" customHeight="1">
      <c r="A64" s="6" t="str">
        <f t="shared" si="1"/>
        <v>C30</v>
      </c>
      <c r="B64" s="3">
        <v>41964</v>
      </c>
      <c r="C64" s="3">
        <v>41964</v>
      </c>
      <c r="D64" s="4"/>
      <c r="E64" s="22" t="s">
        <v>116</v>
      </c>
      <c r="F64" s="5" t="s">
        <v>488</v>
      </c>
      <c r="G64" s="5"/>
      <c r="H64" s="5"/>
      <c r="I64" s="28" t="s">
        <v>247</v>
      </c>
      <c r="J64" s="21"/>
      <c r="K64" s="5">
        <v>754545</v>
      </c>
      <c r="L64" s="4">
        <f t="shared" si="2"/>
        <v>3208240009</v>
      </c>
      <c r="M64" s="19"/>
    </row>
    <row r="65" spans="1:13" ht="17.25" customHeight="1">
      <c r="A65" s="6" t="str">
        <f t="shared" si="1"/>
        <v>C30</v>
      </c>
      <c r="B65" s="3">
        <v>41964</v>
      </c>
      <c r="C65" s="3">
        <v>41964</v>
      </c>
      <c r="D65" s="4"/>
      <c r="E65" s="22" t="s">
        <v>116</v>
      </c>
      <c r="F65" s="5" t="s">
        <v>489</v>
      </c>
      <c r="G65" s="5"/>
      <c r="H65" s="5"/>
      <c r="I65" s="28" t="s">
        <v>35</v>
      </c>
      <c r="J65" s="21"/>
      <c r="K65" s="5">
        <v>75455</v>
      </c>
      <c r="L65" s="4">
        <f t="shared" si="2"/>
        <v>3208164554</v>
      </c>
      <c r="M65" s="19"/>
    </row>
    <row r="66" spans="1:13" ht="17.25" customHeight="1">
      <c r="A66" s="6" t="str">
        <f t="shared" si="1"/>
        <v>C31</v>
      </c>
      <c r="B66" s="3">
        <v>41964</v>
      </c>
      <c r="C66" s="3">
        <v>41964</v>
      </c>
      <c r="D66" s="4"/>
      <c r="E66" s="22" t="s">
        <v>117</v>
      </c>
      <c r="F66" s="5" t="s">
        <v>490</v>
      </c>
      <c r="G66" s="5"/>
      <c r="H66" s="5"/>
      <c r="I66" s="28" t="s">
        <v>256</v>
      </c>
      <c r="J66" s="21"/>
      <c r="K66" s="5">
        <v>550000</v>
      </c>
      <c r="L66" s="4">
        <f t="shared" si="2"/>
        <v>3207614554</v>
      </c>
      <c r="M66" s="19"/>
    </row>
    <row r="67" spans="1:13" ht="17.25" customHeight="1">
      <c r="A67" s="6" t="str">
        <f t="shared" si="1"/>
        <v>C31</v>
      </c>
      <c r="B67" s="3">
        <v>41964</v>
      </c>
      <c r="C67" s="3">
        <v>41964</v>
      </c>
      <c r="D67" s="22"/>
      <c r="E67" s="22" t="s">
        <v>117</v>
      </c>
      <c r="F67" s="5" t="s">
        <v>491</v>
      </c>
      <c r="G67" s="5"/>
      <c r="H67" s="5"/>
      <c r="I67" s="28" t="s">
        <v>35</v>
      </c>
      <c r="J67" s="21"/>
      <c r="K67" s="5">
        <v>28930</v>
      </c>
      <c r="L67" s="4">
        <f t="shared" si="2"/>
        <v>3207585624</v>
      </c>
      <c r="M67" s="19"/>
    </row>
    <row r="68" spans="1:13" ht="17.25" customHeight="1">
      <c r="A68" s="6" t="str">
        <f t="shared" si="1"/>
        <v>C32</v>
      </c>
      <c r="B68" s="3">
        <v>41964</v>
      </c>
      <c r="C68" s="3">
        <v>41964</v>
      </c>
      <c r="D68" s="22"/>
      <c r="E68" s="22" t="s">
        <v>118</v>
      </c>
      <c r="F68" s="5" t="s">
        <v>492</v>
      </c>
      <c r="G68" s="5"/>
      <c r="H68" s="5"/>
      <c r="I68" s="28" t="s">
        <v>256</v>
      </c>
      <c r="J68" s="21"/>
      <c r="K68" s="5">
        <v>5240550</v>
      </c>
      <c r="L68" s="4">
        <f t="shared" si="2"/>
        <v>3202345074</v>
      </c>
      <c r="M68" s="19"/>
    </row>
    <row r="69" spans="1:13" ht="17.25" customHeight="1">
      <c r="A69" s="6" t="str">
        <f t="shared" si="1"/>
        <v>C32</v>
      </c>
      <c r="B69" s="3">
        <v>41964</v>
      </c>
      <c r="C69" s="3">
        <v>41964</v>
      </c>
      <c r="D69" s="4"/>
      <c r="E69" s="22" t="s">
        <v>118</v>
      </c>
      <c r="F69" s="5" t="s">
        <v>493</v>
      </c>
      <c r="G69" s="5"/>
      <c r="H69" s="5"/>
      <c r="I69" s="28" t="s">
        <v>35</v>
      </c>
      <c r="J69" s="21"/>
      <c r="K69" s="5">
        <v>208146</v>
      </c>
      <c r="L69" s="4">
        <f t="shared" si="2"/>
        <v>3202136928</v>
      </c>
      <c r="M69" s="19"/>
    </row>
    <row r="70" spans="1:13" s="61" customFormat="1" ht="17.25" customHeight="1">
      <c r="A70" s="6" t="str">
        <f t="shared" si="1"/>
        <v>C33</v>
      </c>
      <c r="B70" s="3">
        <v>41964</v>
      </c>
      <c r="C70" s="3">
        <v>41964</v>
      </c>
      <c r="D70" s="4"/>
      <c r="E70" s="22" t="s">
        <v>119</v>
      </c>
      <c r="F70" s="5" t="s">
        <v>295</v>
      </c>
      <c r="G70" s="5"/>
      <c r="H70" s="5"/>
      <c r="I70" s="28" t="s">
        <v>34</v>
      </c>
      <c r="J70" s="21"/>
      <c r="K70" s="5">
        <v>12180000</v>
      </c>
      <c r="L70" s="4">
        <f t="shared" si="2"/>
        <v>3189956928</v>
      </c>
      <c r="M70" s="60"/>
    </row>
    <row r="71" spans="1:13" ht="17.25" customHeight="1">
      <c r="A71" s="6" t="str">
        <f t="shared" si="1"/>
        <v>C34</v>
      </c>
      <c r="B71" s="3">
        <v>41965</v>
      </c>
      <c r="C71" s="3">
        <v>41965</v>
      </c>
      <c r="D71" s="22"/>
      <c r="E71" s="22" t="s">
        <v>120</v>
      </c>
      <c r="F71" s="5" t="s">
        <v>50</v>
      </c>
      <c r="G71" s="5"/>
      <c r="H71" s="5"/>
      <c r="I71" s="28" t="s">
        <v>247</v>
      </c>
      <c r="J71" s="21"/>
      <c r="K71" s="5">
        <v>77782</v>
      </c>
      <c r="L71" s="4">
        <f t="shared" si="2"/>
        <v>3189879146</v>
      </c>
      <c r="M71" s="19"/>
    </row>
    <row r="72" spans="1:13" ht="17.25" customHeight="1">
      <c r="A72" s="6" t="str">
        <f t="shared" si="1"/>
        <v>C34</v>
      </c>
      <c r="B72" s="3">
        <v>41965</v>
      </c>
      <c r="C72" s="3">
        <v>41965</v>
      </c>
      <c r="D72" s="22"/>
      <c r="E72" s="22" t="s">
        <v>120</v>
      </c>
      <c r="F72" s="5" t="s">
        <v>53</v>
      </c>
      <c r="G72" s="5"/>
      <c r="H72" s="5"/>
      <c r="I72" s="28" t="s">
        <v>54</v>
      </c>
      <c r="J72" s="21"/>
      <c r="K72" s="5">
        <v>1570091</v>
      </c>
      <c r="L72" s="4">
        <f t="shared" si="2"/>
        <v>3188309055</v>
      </c>
      <c r="M72" s="19"/>
    </row>
    <row r="73" spans="1:13" ht="17.25" customHeight="1">
      <c r="A73" s="6" t="str">
        <f t="shared" si="1"/>
        <v>C34</v>
      </c>
      <c r="B73" s="3">
        <v>41965</v>
      </c>
      <c r="C73" s="3">
        <v>41965</v>
      </c>
      <c r="D73" s="22"/>
      <c r="E73" s="22" t="s">
        <v>120</v>
      </c>
      <c r="F73" s="5" t="s">
        <v>292</v>
      </c>
      <c r="G73" s="5"/>
      <c r="H73" s="5"/>
      <c r="I73" s="4" t="s">
        <v>35</v>
      </c>
      <c r="J73" s="21"/>
      <c r="K73" s="5">
        <v>164787</v>
      </c>
      <c r="L73" s="4">
        <f t="shared" si="2"/>
        <v>3188144268</v>
      </c>
      <c r="M73" s="19"/>
    </row>
    <row r="74" spans="1:13" ht="17.25" customHeight="1">
      <c r="A74" s="6" t="str">
        <f t="shared" si="1"/>
        <v>C35</v>
      </c>
      <c r="B74" s="3">
        <v>41970</v>
      </c>
      <c r="C74" s="3">
        <v>41970</v>
      </c>
      <c r="D74" s="22"/>
      <c r="E74" s="22" t="s">
        <v>121</v>
      </c>
      <c r="F74" s="5" t="s">
        <v>494</v>
      </c>
      <c r="G74" s="5"/>
      <c r="H74" s="5"/>
      <c r="I74" s="28" t="s">
        <v>247</v>
      </c>
      <c r="J74" s="21"/>
      <c r="K74" s="5">
        <v>14400000</v>
      </c>
      <c r="L74" s="4">
        <f t="shared" si="2"/>
        <v>3173744268</v>
      </c>
      <c r="M74" s="19"/>
    </row>
    <row r="75" spans="1:13" ht="17.25" customHeight="1">
      <c r="A75" s="6" t="str">
        <f t="shared" si="1"/>
        <v>C35</v>
      </c>
      <c r="B75" s="3">
        <v>41970</v>
      </c>
      <c r="C75" s="3">
        <v>41970</v>
      </c>
      <c r="D75" s="22"/>
      <c r="E75" s="22" t="s">
        <v>121</v>
      </c>
      <c r="F75" s="5" t="s">
        <v>495</v>
      </c>
      <c r="G75" s="5"/>
      <c r="H75" s="5"/>
      <c r="I75" s="4" t="s">
        <v>35</v>
      </c>
      <c r="J75" s="21"/>
      <c r="K75" s="5">
        <v>1440000</v>
      </c>
      <c r="L75" s="4">
        <f t="shared" si="2"/>
        <v>3172304268</v>
      </c>
      <c r="M75" s="19"/>
    </row>
    <row r="76" spans="1:13" s="61" customFormat="1" ht="17.25" customHeight="1">
      <c r="A76" s="6" t="str">
        <f t="shared" si="1"/>
        <v>C36</v>
      </c>
      <c r="B76" s="3">
        <v>41970</v>
      </c>
      <c r="C76" s="3">
        <v>41970</v>
      </c>
      <c r="D76" s="22"/>
      <c r="E76" s="22" t="s">
        <v>122</v>
      </c>
      <c r="F76" s="30" t="s">
        <v>260</v>
      </c>
      <c r="G76" s="50"/>
      <c r="H76" s="50"/>
      <c r="I76" s="28" t="s">
        <v>134</v>
      </c>
      <c r="J76" s="21"/>
      <c r="K76" s="5">
        <v>600000000</v>
      </c>
      <c r="L76" s="4">
        <f t="shared" si="2"/>
        <v>2572304268</v>
      </c>
      <c r="M76" s="60"/>
    </row>
    <row r="77" spans="1:13" s="61" customFormat="1" ht="17.25" customHeight="1">
      <c r="A77" s="6" t="str">
        <f t="shared" si="1"/>
        <v>C37</v>
      </c>
      <c r="B77" s="3">
        <v>41970</v>
      </c>
      <c r="C77" s="3">
        <v>41970</v>
      </c>
      <c r="D77" s="22"/>
      <c r="E77" s="22" t="s">
        <v>123</v>
      </c>
      <c r="F77" s="30" t="s">
        <v>259</v>
      </c>
      <c r="G77" s="50"/>
      <c r="H77" s="50"/>
      <c r="I77" s="28" t="s">
        <v>134</v>
      </c>
      <c r="J77" s="21"/>
      <c r="K77" s="5">
        <v>500000000</v>
      </c>
      <c r="L77" s="4">
        <f t="shared" si="2"/>
        <v>2072304268</v>
      </c>
      <c r="M77" s="60"/>
    </row>
    <row r="78" spans="1:13" ht="17.25" customHeight="1">
      <c r="A78" s="6" t="str">
        <f t="shared" ref="A78:A88" si="3">D78&amp;E78</f>
        <v>C38</v>
      </c>
      <c r="B78" s="3">
        <v>41971</v>
      </c>
      <c r="C78" s="3">
        <v>41971</v>
      </c>
      <c r="D78" s="22"/>
      <c r="E78" s="22" t="s">
        <v>135</v>
      </c>
      <c r="F78" s="5" t="s">
        <v>50</v>
      </c>
      <c r="G78" s="5"/>
      <c r="H78" s="5"/>
      <c r="I78" s="28" t="s">
        <v>247</v>
      </c>
      <c r="J78" s="21"/>
      <c r="K78" s="5">
        <v>1705909</v>
      </c>
      <c r="L78" s="4">
        <f t="shared" si="2"/>
        <v>2070598359</v>
      </c>
      <c r="M78" s="19"/>
    </row>
    <row r="79" spans="1:13" ht="17.25" customHeight="1">
      <c r="A79" s="6" t="str">
        <f t="shared" si="3"/>
        <v>C38</v>
      </c>
      <c r="B79" s="3">
        <v>41971</v>
      </c>
      <c r="C79" s="3">
        <v>41971</v>
      </c>
      <c r="D79" s="22"/>
      <c r="E79" s="22" t="s">
        <v>135</v>
      </c>
      <c r="F79" s="5" t="s">
        <v>56</v>
      </c>
      <c r="G79" s="5"/>
      <c r="H79" s="5"/>
      <c r="I79" s="4" t="s">
        <v>35</v>
      </c>
      <c r="J79" s="21"/>
      <c r="K79" s="5">
        <v>170591</v>
      </c>
      <c r="L79" s="4">
        <f t="shared" si="2"/>
        <v>2070427768</v>
      </c>
      <c r="M79" s="19"/>
    </row>
    <row r="80" spans="1:13" ht="17.25" customHeight="1">
      <c r="A80" s="6" t="str">
        <f t="shared" si="3"/>
        <v>C39</v>
      </c>
      <c r="B80" s="3">
        <v>41971</v>
      </c>
      <c r="C80" s="3">
        <v>41971</v>
      </c>
      <c r="D80" s="22"/>
      <c r="E80" s="22" t="s">
        <v>136</v>
      </c>
      <c r="F80" s="5" t="s">
        <v>478</v>
      </c>
      <c r="G80" s="5"/>
      <c r="H80" s="5"/>
      <c r="I80" s="4" t="s">
        <v>36</v>
      </c>
      <c r="J80" s="21"/>
      <c r="K80" s="5">
        <v>157000000</v>
      </c>
      <c r="L80" s="4">
        <f t="shared" si="2"/>
        <v>1913427768</v>
      </c>
      <c r="M80" s="19"/>
    </row>
    <row r="81" spans="1:13" ht="17.25" customHeight="1">
      <c r="A81" s="6" t="str">
        <f t="shared" si="3"/>
        <v>T08</v>
      </c>
      <c r="B81" s="3">
        <v>41972</v>
      </c>
      <c r="C81" s="3">
        <v>41972</v>
      </c>
      <c r="D81" s="22" t="s">
        <v>60</v>
      </c>
      <c r="E81" s="22"/>
      <c r="F81" s="62" t="s">
        <v>217</v>
      </c>
      <c r="G81" s="5"/>
      <c r="H81" s="5"/>
      <c r="I81" s="28" t="s">
        <v>36</v>
      </c>
      <c r="J81" s="21">
        <v>15000000</v>
      </c>
      <c r="K81" s="5"/>
      <c r="L81" s="4">
        <f t="shared" si="2"/>
        <v>1928427768</v>
      </c>
      <c r="M81" s="19"/>
    </row>
    <row r="82" spans="1:13" s="41" customFormat="1" ht="18" customHeight="1">
      <c r="A82" s="6" t="str">
        <f t="shared" si="3"/>
        <v>T09</v>
      </c>
      <c r="B82" s="3">
        <v>41973</v>
      </c>
      <c r="C82" s="3">
        <v>41973</v>
      </c>
      <c r="D82" s="4" t="s">
        <v>69</v>
      </c>
      <c r="E82" s="22"/>
      <c r="F82" s="5" t="s">
        <v>353</v>
      </c>
      <c r="G82" s="5"/>
      <c r="H82" s="5"/>
      <c r="I82" s="28" t="s">
        <v>57</v>
      </c>
      <c r="J82" s="21">
        <v>208687022</v>
      </c>
      <c r="K82" s="5"/>
      <c r="L82" s="4">
        <f t="shared" si="2"/>
        <v>2137114790</v>
      </c>
      <c r="M82" s="40"/>
    </row>
    <row r="83" spans="1:13" ht="17.25" customHeight="1">
      <c r="A83" s="6" t="str">
        <f t="shared" si="3"/>
        <v>C40</v>
      </c>
      <c r="B83" s="3">
        <v>41973</v>
      </c>
      <c r="C83" s="3">
        <v>41973</v>
      </c>
      <c r="D83" s="22"/>
      <c r="E83" s="22" t="s">
        <v>137</v>
      </c>
      <c r="F83" s="5" t="s">
        <v>50</v>
      </c>
      <c r="G83" s="5"/>
      <c r="H83" s="5"/>
      <c r="I83" s="28" t="s">
        <v>247</v>
      </c>
      <c r="J83" s="21"/>
      <c r="K83" s="5">
        <v>796091</v>
      </c>
      <c r="L83" s="4">
        <f t="shared" si="2"/>
        <v>2136318699</v>
      </c>
      <c r="M83" s="19"/>
    </row>
    <row r="84" spans="1:13" ht="17.25" customHeight="1">
      <c r="A84" s="6" t="str">
        <f t="shared" si="3"/>
        <v>C40</v>
      </c>
      <c r="B84" s="3">
        <v>41973</v>
      </c>
      <c r="C84" s="3">
        <v>41973</v>
      </c>
      <c r="D84" s="22"/>
      <c r="E84" s="22" t="s">
        <v>137</v>
      </c>
      <c r="F84" s="5" t="s">
        <v>56</v>
      </c>
      <c r="G84" s="5"/>
      <c r="H84" s="5"/>
      <c r="I84" s="4" t="s">
        <v>35</v>
      </c>
      <c r="J84" s="21"/>
      <c r="K84" s="5">
        <v>79609</v>
      </c>
      <c r="L84" s="4">
        <f t="shared" si="2"/>
        <v>2136239090</v>
      </c>
      <c r="M84" s="19"/>
    </row>
    <row r="85" spans="1:13" ht="17.25" customHeight="1">
      <c r="A85" s="6" t="str">
        <f t="shared" si="3"/>
        <v>C41</v>
      </c>
      <c r="B85" s="3">
        <v>41973</v>
      </c>
      <c r="C85" s="3">
        <v>41973</v>
      </c>
      <c r="D85" s="22"/>
      <c r="E85" s="22" t="s">
        <v>138</v>
      </c>
      <c r="F85" s="5" t="s">
        <v>50</v>
      </c>
      <c r="G85" s="5"/>
      <c r="H85" s="5"/>
      <c r="I85" s="28" t="s">
        <v>247</v>
      </c>
      <c r="J85" s="21"/>
      <c r="K85" s="5">
        <v>73636</v>
      </c>
      <c r="L85" s="4">
        <f t="shared" si="2"/>
        <v>2136165454</v>
      </c>
      <c r="M85" s="19"/>
    </row>
    <row r="86" spans="1:13" ht="17.25" customHeight="1">
      <c r="A86" s="6" t="str">
        <f t="shared" si="3"/>
        <v>C41</v>
      </c>
      <c r="B86" s="3">
        <v>41973</v>
      </c>
      <c r="C86" s="3">
        <v>41973</v>
      </c>
      <c r="D86" s="22"/>
      <c r="E86" s="22" t="s">
        <v>138</v>
      </c>
      <c r="F86" s="5" t="s">
        <v>53</v>
      </c>
      <c r="G86" s="5"/>
      <c r="H86" s="5"/>
      <c r="I86" s="28" t="s">
        <v>54</v>
      </c>
      <c r="J86" s="21"/>
      <c r="K86" s="5">
        <v>845455</v>
      </c>
      <c r="L86" s="4">
        <f t="shared" si="2"/>
        <v>2135319999</v>
      </c>
      <c r="M86" s="19"/>
    </row>
    <row r="87" spans="1:13" ht="17.25" customHeight="1">
      <c r="A87" s="6" t="str">
        <f t="shared" si="3"/>
        <v>C41</v>
      </c>
      <c r="B87" s="3">
        <v>41973</v>
      </c>
      <c r="C87" s="3">
        <v>41973</v>
      </c>
      <c r="D87" s="22"/>
      <c r="E87" s="22" t="s">
        <v>138</v>
      </c>
      <c r="F87" s="5" t="s">
        <v>292</v>
      </c>
      <c r="G87" s="5"/>
      <c r="H87" s="5"/>
      <c r="I87" s="4" t="s">
        <v>35</v>
      </c>
      <c r="J87" s="21"/>
      <c r="K87" s="5">
        <v>91909</v>
      </c>
      <c r="L87" s="4">
        <f t="shared" si="2"/>
        <v>2135228090</v>
      </c>
      <c r="M87" s="19"/>
    </row>
    <row r="88" spans="1:13" s="61" customFormat="1" ht="17.25" customHeight="1">
      <c r="A88" s="6" t="str">
        <f t="shared" si="3"/>
        <v>C42</v>
      </c>
      <c r="B88" s="3">
        <v>41973</v>
      </c>
      <c r="C88" s="3">
        <v>41973</v>
      </c>
      <c r="D88" s="22"/>
      <c r="E88" s="22" t="s">
        <v>139</v>
      </c>
      <c r="F88" s="5" t="s">
        <v>496</v>
      </c>
      <c r="G88" s="5"/>
      <c r="H88" s="5"/>
      <c r="I88" s="28" t="s">
        <v>37</v>
      </c>
      <c r="J88" s="21"/>
      <c r="K88" s="5">
        <v>143709135</v>
      </c>
      <c r="L88" s="4">
        <f t="shared" si="2"/>
        <v>1991518955</v>
      </c>
      <c r="M88" s="60"/>
    </row>
    <row r="89" spans="1:13" ht="17.25" customHeight="1">
      <c r="A89" s="6" t="str">
        <f t="shared" ref="A89" si="4">D89&amp;E89</f>
        <v/>
      </c>
      <c r="B89" s="55"/>
      <c r="C89" s="55"/>
      <c r="D89" s="56"/>
      <c r="E89" s="22"/>
      <c r="F89" s="57"/>
      <c r="G89" s="57"/>
      <c r="H89" s="57"/>
      <c r="I89" s="58"/>
      <c r="J89" s="59"/>
      <c r="K89" s="57"/>
      <c r="L89" s="4"/>
      <c r="M89" s="60"/>
    </row>
    <row r="90" spans="1:13" ht="17.25" customHeight="1">
      <c r="B90" s="19"/>
      <c r="C90" s="19"/>
      <c r="D90" s="19"/>
      <c r="E90" s="19"/>
      <c r="F90" s="19" t="s">
        <v>29</v>
      </c>
      <c r="G90" s="19"/>
      <c r="H90" s="19"/>
      <c r="I90" s="4" t="s">
        <v>30</v>
      </c>
      <c r="J90" s="19">
        <f>SUM(J13:J88)</f>
        <v>6656187022</v>
      </c>
      <c r="K90" s="19">
        <f>SUM(K13:K88)</f>
        <v>6205237127</v>
      </c>
      <c r="L90" s="4" t="s">
        <v>30</v>
      </c>
      <c r="M90" s="4" t="s">
        <v>30</v>
      </c>
    </row>
    <row r="91" spans="1:13" ht="17.25" customHeight="1">
      <c r="B91" s="25"/>
      <c r="C91" s="25"/>
      <c r="D91" s="25"/>
      <c r="E91" s="25"/>
      <c r="F91" s="25" t="s">
        <v>31</v>
      </c>
      <c r="G91" s="25"/>
      <c r="H91" s="25"/>
      <c r="I91" s="26" t="s">
        <v>30</v>
      </c>
      <c r="J91" s="26" t="s">
        <v>30</v>
      </c>
      <c r="K91" s="26" t="s">
        <v>30</v>
      </c>
      <c r="L91" s="25">
        <f>L12+J90-K90</f>
        <v>1991518955</v>
      </c>
      <c r="M91" s="26" t="s">
        <v>30</v>
      </c>
    </row>
    <row r="93" spans="1:13">
      <c r="B93" s="27" t="s">
        <v>47</v>
      </c>
    </row>
    <row r="94" spans="1:13">
      <c r="B94" s="27" t="s">
        <v>66</v>
      </c>
    </row>
    <row r="95" spans="1:13">
      <c r="L95" s="8" t="s">
        <v>68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101" spans="3:12">
      <c r="K101" s="6">
        <v>1073503277</v>
      </c>
    </row>
    <row r="102" spans="3:12">
      <c r="K102" s="6">
        <f>K90-K101</f>
        <v>5131733850</v>
      </c>
    </row>
  </sheetData>
  <autoFilter ref="B11:M88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34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2" width="12" style="6" customWidth="1"/>
    <col min="3" max="3" width="12.140625" style="6" customWidth="1"/>
    <col min="4" max="5" width="7" style="6" customWidth="1"/>
    <col min="6" max="6" width="28.42578125" style="6" customWidth="1"/>
    <col min="7" max="8" width="15.28515625" style="6" hidden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">
        <v>49</v>
      </c>
      <c r="C2" s="12"/>
      <c r="D2" s="12"/>
      <c r="E2" s="12"/>
      <c r="F2" s="12"/>
      <c r="G2" s="12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3"/>
      <c r="K3" s="393"/>
      <c r="L3" s="393"/>
      <c r="M3" s="39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4.5" customHeight="1">
      <c r="B9" s="396" t="s">
        <v>20</v>
      </c>
      <c r="C9" s="396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6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7"/>
      <c r="C10" s="397"/>
      <c r="D10" s="16" t="s">
        <v>5</v>
      </c>
      <c r="E10" s="16" t="s">
        <v>6</v>
      </c>
      <c r="F10" s="395"/>
      <c r="G10" s="397"/>
      <c r="H10" s="397"/>
      <c r="I10" s="397"/>
      <c r="J10" s="16" t="s">
        <v>25</v>
      </c>
      <c r="K10" s="16" t="s">
        <v>26</v>
      </c>
      <c r="L10" s="395"/>
      <c r="M10" s="395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ht="18" customHeight="1">
      <c r="B12" s="19"/>
      <c r="C12" s="19"/>
      <c r="D12" s="19"/>
      <c r="E12" s="19"/>
      <c r="F12" s="19" t="s">
        <v>28</v>
      </c>
      <c r="G12" s="19"/>
      <c r="H12" s="19"/>
      <c r="I12" s="20"/>
      <c r="J12" s="5"/>
      <c r="K12" s="19"/>
      <c r="L12" s="5">
        <f>'11'!L91</f>
        <v>1991518955</v>
      </c>
      <c r="M12" s="19"/>
    </row>
    <row r="13" spans="1:13" ht="18" customHeight="1">
      <c r="A13" s="6" t="str">
        <f>D13&amp;E13</f>
        <v>C01</v>
      </c>
      <c r="B13" s="3">
        <v>41974</v>
      </c>
      <c r="C13" s="3">
        <v>41950</v>
      </c>
      <c r="D13" s="4"/>
      <c r="E13" s="22" t="s">
        <v>87</v>
      </c>
      <c r="F13" s="5" t="s">
        <v>497</v>
      </c>
      <c r="G13" s="5"/>
      <c r="H13" s="5"/>
      <c r="I13" s="28" t="s">
        <v>256</v>
      </c>
      <c r="J13" s="21"/>
      <c r="K13" s="21">
        <v>254545</v>
      </c>
      <c r="L13" s="4">
        <f t="shared" ref="L13:L44" si="0">IF(F13&lt;&gt;"",L12+J13-K13,0)</f>
        <v>1991264410</v>
      </c>
      <c r="M13" s="19"/>
    </row>
    <row r="14" spans="1:13" ht="18" customHeight="1">
      <c r="A14" s="6" t="str">
        <f t="shared" ref="A14:A77" si="1">D14&amp;E14</f>
        <v>C01</v>
      </c>
      <c r="B14" s="3">
        <v>41974</v>
      </c>
      <c r="C14" s="3">
        <v>41950</v>
      </c>
      <c r="D14" s="4"/>
      <c r="E14" s="22" t="s">
        <v>87</v>
      </c>
      <c r="F14" s="5" t="s">
        <v>498</v>
      </c>
      <c r="G14" s="5"/>
      <c r="H14" s="5"/>
      <c r="I14" s="28" t="s">
        <v>35</v>
      </c>
      <c r="J14" s="21"/>
      <c r="K14" s="21">
        <v>25455</v>
      </c>
      <c r="L14" s="4">
        <f t="shared" si="0"/>
        <v>1991238955</v>
      </c>
      <c r="M14" s="19"/>
    </row>
    <row r="15" spans="1:13" ht="18" customHeight="1">
      <c r="A15" s="6" t="str">
        <f t="shared" si="1"/>
        <v>C02</v>
      </c>
      <c r="B15" s="3">
        <v>41974</v>
      </c>
      <c r="C15" s="3">
        <v>41967</v>
      </c>
      <c r="D15" s="4"/>
      <c r="E15" s="22" t="s">
        <v>88</v>
      </c>
      <c r="F15" s="5" t="s">
        <v>499</v>
      </c>
      <c r="G15" s="5"/>
      <c r="H15" s="5"/>
      <c r="I15" s="28" t="s">
        <v>256</v>
      </c>
      <c r="J15" s="21"/>
      <c r="K15" s="21">
        <v>9231818</v>
      </c>
      <c r="L15" s="4">
        <f t="shared" si="0"/>
        <v>1982007137</v>
      </c>
      <c r="M15" s="19"/>
    </row>
    <row r="16" spans="1:13" ht="18" customHeight="1">
      <c r="A16" s="6" t="str">
        <f t="shared" si="1"/>
        <v>C02</v>
      </c>
      <c r="B16" s="3">
        <v>41974</v>
      </c>
      <c r="C16" s="3">
        <v>41967</v>
      </c>
      <c r="D16" s="4"/>
      <c r="E16" s="22" t="s">
        <v>88</v>
      </c>
      <c r="F16" s="5" t="s">
        <v>500</v>
      </c>
      <c r="G16" s="5"/>
      <c r="H16" s="5"/>
      <c r="I16" s="28" t="s">
        <v>35</v>
      </c>
      <c r="J16" s="21"/>
      <c r="K16" s="21">
        <v>923182</v>
      </c>
      <c r="L16" s="4">
        <f t="shared" si="0"/>
        <v>1981083955</v>
      </c>
      <c r="M16" s="19"/>
    </row>
    <row r="17" spans="1:13" ht="18" customHeight="1">
      <c r="A17" s="6" t="str">
        <f t="shared" si="1"/>
        <v>C03</v>
      </c>
      <c r="B17" s="3">
        <v>41974</v>
      </c>
      <c r="C17" s="3">
        <v>41969</v>
      </c>
      <c r="D17" s="4"/>
      <c r="E17" s="22" t="s">
        <v>89</v>
      </c>
      <c r="F17" s="5" t="s">
        <v>501</v>
      </c>
      <c r="G17" s="5"/>
      <c r="H17" s="5"/>
      <c r="I17" s="28" t="s">
        <v>256</v>
      </c>
      <c r="J17" s="21"/>
      <c r="K17" s="21">
        <v>277273</v>
      </c>
      <c r="L17" s="4">
        <f t="shared" si="0"/>
        <v>1980806682</v>
      </c>
      <c r="M17" s="19"/>
    </row>
    <row r="18" spans="1:13" ht="18.75" customHeight="1">
      <c r="A18" s="6" t="str">
        <f t="shared" si="1"/>
        <v>C03</v>
      </c>
      <c r="B18" s="3">
        <v>41974</v>
      </c>
      <c r="C18" s="3">
        <v>41969</v>
      </c>
      <c r="D18" s="4"/>
      <c r="E18" s="22" t="s">
        <v>89</v>
      </c>
      <c r="F18" s="5" t="s">
        <v>502</v>
      </c>
      <c r="G18" s="5"/>
      <c r="H18" s="5"/>
      <c r="I18" s="28" t="s">
        <v>35</v>
      </c>
      <c r="J18" s="21"/>
      <c r="K18" s="21">
        <v>27727</v>
      </c>
      <c r="L18" s="4">
        <f t="shared" si="0"/>
        <v>1980778955</v>
      </c>
      <c r="M18" s="19"/>
    </row>
    <row r="19" spans="1:13" ht="18.75" customHeight="1">
      <c r="A19" s="6" t="str">
        <f t="shared" si="1"/>
        <v>C04</v>
      </c>
      <c r="B19" s="3">
        <v>41974</v>
      </c>
      <c r="C19" s="3">
        <v>41971</v>
      </c>
      <c r="D19" s="4"/>
      <c r="E19" s="22" t="s">
        <v>90</v>
      </c>
      <c r="F19" s="5" t="s">
        <v>503</v>
      </c>
      <c r="G19" s="5"/>
      <c r="H19" s="5"/>
      <c r="I19" s="28" t="s">
        <v>54</v>
      </c>
      <c r="J19" s="21"/>
      <c r="K19" s="21">
        <v>15843200</v>
      </c>
      <c r="L19" s="4">
        <f t="shared" si="0"/>
        <v>1964935755</v>
      </c>
      <c r="M19" s="19"/>
    </row>
    <row r="20" spans="1:13" ht="18.75" customHeight="1">
      <c r="A20" s="6" t="str">
        <f t="shared" si="1"/>
        <v>C04</v>
      </c>
      <c r="B20" s="3">
        <v>41974</v>
      </c>
      <c r="C20" s="3">
        <v>41971</v>
      </c>
      <c r="D20" s="4"/>
      <c r="E20" s="22" t="s">
        <v>90</v>
      </c>
      <c r="F20" s="5" t="s">
        <v>504</v>
      </c>
      <c r="G20" s="5"/>
      <c r="H20" s="5"/>
      <c r="I20" s="28" t="s">
        <v>35</v>
      </c>
      <c r="J20" s="21"/>
      <c r="K20" s="21">
        <v>949120</v>
      </c>
      <c r="L20" s="4">
        <f t="shared" si="0"/>
        <v>1963986635</v>
      </c>
      <c r="M20" s="19"/>
    </row>
    <row r="21" spans="1:13" ht="18.75" customHeight="1">
      <c r="A21" s="6" t="str">
        <f t="shared" si="1"/>
        <v>C05</v>
      </c>
      <c r="B21" s="3">
        <v>41975</v>
      </c>
      <c r="C21" s="3">
        <v>41972</v>
      </c>
      <c r="D21" s="4"/>
      <c r="E21" s="22" t="s">
        <v>91</v>
      </c>
      <c r="F21" s="5" t="s">
        <v>131</v>
      </c>
      <c r="G21" s="5"/>
      <c r="H21" s="5"/>
      <c r="I21" s="28" t="s">
        <v>54</v>
      </c>
      <c r="J21" s="21"/>
      <c r="K21" s="21">
        <v>2461000</v>
      </c>
      <c r="L21" s="4">
        <f t="shared" si="0"/>
        <v>1961525635</v>
      </c>
      <c r="M21" s="19"/>
    </row>
    <row r="22" spans="1:13" ht="18.75" customHeight="1">
      <c r="A22" s="6" t="str">
        <f t="shared" si="1"/>
        <v>C05</v>
      </c>
      <c r="B22" s="3">
        <v>41975</v>
      </c>
      <c r="C22" s="3">
        <v>41972</v>
      </c>
      <c r="D22" s="4"/>
      <c r="E22" s="22" t="s">
        <v>91</v>
      </c>
      <c r="F22" s="5" t="s">
        <v>132</v>
      </c>
      <c r="G22" s="5"/>
      <c r="H22" s="5"/>
      <c r="I22" s="28" t="s">
        <v>35</v>
      </c>
      <c r="J22" s="21"/>
      <c r="K22" s="21">
        <v>246100</v>
      </c>
      <c r="L22" s="4">
        <f t="shared" si="0"/>
        <v>1961279535</v>
      </c>
      <c r="M22" s="19"/>
    </row>
    <row r="23" spans="1:13" ht="18.75" customHeight="1">
      <c r="A23" s="6" t="str">
        <f t="shared" si="1"/>
        <v>C06</v>
      </c>
      <c r="B23" s="3">
        <v>41975</v>
      </c>
      <c r="C23" s="3">
        <v>41973</v>
      </c>
      <c r="D23" s="4"/>
      <c r="E23" s="22" t="s">
        <v>92</v>
      </c>
      <c r="F23" s="5" t="s">
        <v>505</v>
      </c>
      <c r="G23" s="5"/>
      <c r="H23" s="5"/>
      <c r="I23" s="28" t="s">
        <v>247</v>
      </c>
      <c r="J23" s="21"/>
      <c r="K23" s="21">
        <v>2269158</v>
      </c>
      <c r="L23" s="4">
        <f t="shared" si="0"/>
        <v>1959010377</v>
      </c>
      <c r="M23" s="19"/>
    </row>
    <row r="24" spans="1:13" ht="18.75" customHeight="1">
      <c r="A24" s="6" t="str">
        <f t="shared" si="1"/>
        <v>C06</v>
      </c>
      <c r="B24" s="3">
        <v>41975</v>
      </c>
      <c r="C24" s="3">
        <v>41973</v>
      </c>
      <c r="D24" s="4"/>
      <c r="E24" s="22" t="s">
        <v>92</v>
      </c>
      <c r="F24" s="5" t="s">
        <v>506</v>
      </c>
      <c r="G24" s="5"/>
      <c r="H24" s="5"/>
      <c r="I24" s="28" t="s">
        <v>35</v>
      </c>
      <c r="J24" s="21"/>
      <c r="K24" s="21">
        <v>226916</v>
      </c>
      <c r="L24" s="4">
        <f t="shared" si="0"/>
        <v>1958783461</v>
      </c>
      <c r="M24" s="19"/>
    </row>
    <row r="25" spans="1:13" ht="18.75" customHeight="1">
      <c r="A25" s="6" t="str">
        <f t="shared" si="1"/>
        <v>C07</v>
      </c>
      <c r="B25" s="3">
        <v>41976</v>
      </c>
      <c r="C25" s="3">
        <v>41976</v>
      </c>
      <c r="D25" s="4"/>
      <c r="E25" s="22" t="s">
        <v>93</v>
      </c>
      <c r="F25" s="5" t="s">
        <v>209</v>
      </c>
      <c r="G25" s="5"/>
      <c r="H25" s="5"/>
      <c r="I25" s="28" t="s">
        <v>256</v>
      </c>
      <c r="J25" s="21"/>
      <c r="K25" s="21">
        <v>481818</v>
      </c>
      <c r="L25" s="4">
        <f t="shared" si="0"/>
        <v>1958301643</v>
      </c>
      <c r="M25" s="19"/>
    </row>
    <row r="26" spans="1:13" ht="18.75" customHeight="1">
      <c r="A26" s="6" t="str">
        <f t="shared" si="1"/>
        <v>C07</v>
      </c>
      <c r="B26" s="3">
        <v>41976</v>
      </c>
      <c r="C26" s="3">
        <v>41976</v>
      </c>
      <c r="D26" s="4"/>
      <c r="E26" s="22" t="s">
        <v>93</v>
      </c>
      <c r="F26" s="5" t="s">
        <v>210</v>
      </c>
      <c r="G26" s="5"/>
      <c r="H26" s="5"/>
      <c r="I26" s="28" t="s">
        <v>35</v>
      </c>
      <c r="J26" s="21"/>
      <c r="K26" s="21">
        <v>48182</v>
      </c>
      <c r="L26" s="4">
        <f t="shared" si="0"/>
        <v>1958253461</v>
      </c>
      <c r="M26" s="19"/>
    </row>
    <row r="27" spans="1:13" ht="18.75" customHeight="1">
      <c r="A27" s="6" t="str">
        <f t="shared" si="1"/>
        <v>C08</v>
      </c>
      <c r="B27" s="3">
        <v>41977</v>
      </c>
      <c r="C27" s="3">
        <v>41977</v>
      </c>
      <c r="D27" s="4"/>
      <c r="E27" s="22" t="s">
        <v>94</v>
      </c>
      <c r="F27" s="5" t="s">
        <v>507</v>
      </c>
      <c r="G27" s="5"/>
      <c r="H27" s="5"/>
      <c r="I27" s="28" t="s">
        <v>247</v>
      </c>
      <c r="J27" s="21"/>
      <c r="K27" s="21">
        <v>1000000</v>
      </c>
      <c r="L27" s="4">
        <f t="shared" si="0"/>
        <v>1957253461</v>
      </c>
      <c r="M27" s="19"/>
    </row>
    <row r="28" spans="1:13" s="41" customFormat="1" ht="18.75" customHeight="1">
      <c r="A28" s="6" t="str">
        <f t="shared" si="1"/>
        <v>C09</v>
      </c>
      <c r="B28" s="3">
        <v>41977</v>
      </c>
      <c r="C28" s="3">
        <v>41977</v>
      </c>
      <c r="D28" s="4"/>
      <c r="E28" s="22" t="s">
        <v>95</v>
      </c>
      <c r="F28" s="5" t="s">
        <v>508</v>
      </c>
      <c r="G28" s="5"/>
      <c r="H28" s="5"/>
      <c r="I28" s="28" t="s">
        <v>256</v>
      </c>
      <c r="J28" s="21"/>
      <c r="K28" s="21">
        <v>231818</v>
      </c>
      <c r="L28" s="4">
        <f t="shared" si="0"/>
        <v>1957021643</v>
      </c>
      <c r="M28" s="40"/>
    </row>
    <row r="29" spans="1:13" s="41" customFormat="1" ht="18.75" customHeight="1">
      <c r="A29" s="6" t="str">
        <f t="shared" si="1"/>
        <v>C09</v>
      </c>
      <c r="B29" s="3">
        <v>41977</v>
      </c>
      <c r="C29" s="3">
        <v>41977</v>
      </c>
      <c r="D29" s="4"/>
      <c r="E29" s="22" t="s">
        <v>95</v>
      </c>
      <c r="F29" s="5" t="s">
        <v>509</v>
      </c>
      <c r="G29" s="5"/>
      <c r="H29" s="5"/>
      <c r="I29" s="28" t="s">
        <v>35</v>
      </c>
      <c r="J29" s="21"/>
      <c r="K29" s="21">
        <v>23182</v>
      </c>
      <c r="L29" s="4">
        <f t="shared" si="0"/>
        <v>1956998461</v>
      </c>
      <c r="M29" s="40"/>
    </row>
    <row r="30" spans="1:13" s="41" customFormat="1" ht="18.75" customHeight="1">
      <c r="A30" s="6" t="str">
        <f t="shared" si="1"/>
        <v>C09</v>
      </c>
      <c r="B30" s="3">
        <v>41977</v>
      </c>
      <c r="C30" s="3">
        <v>41970</v>
      </c>
      <c r="D30" s="4"/>
      <c r="E30" s="22" t="s">
        <v>95</v>
      </c>
      <c r="F30" s="5" t="s">
        <v>510</v>
      </c>
      <c r="G30" s="5"/>
      <c r="H30" s="5"/>
      <c r="I30" s="28" t="s">
        <v>256</v>
      </c>
      <c r="J30" s="21"/>
      <c r="K30" s="21">
        <v>250000</v>
      </c>
      <c r="L30" s="4">
        <f t="shared" si="0"/>
        <v>1956748461</v>
      </c>
      <c r="M30" s="40"/>
    </row>
    <row r="31" spans="1:13" s="41" customFormat="1" ht="18.75" customHeight="1">
      <c r="A31" s="6" t="str">
        <f t="shared" si="1"/>
        <v>C09</v>
      </c>
      <c r="B31" s="3">
        <v>41977</v>
      </c>
      <c r="C31" s="3">
        <v>41970</v>
      </c>
      <c r="D31" s="4"/>
      <c r="E31" s="22" t="s">
        <v>95</v>
      </c>
      <c r="F31" s="5" t="s">
        <v>511</v>
      </c>
      <c r="G31" s="5"/>
      <c r="H31" s="5"/>
      <c r="I31" s="28" t="s">
        <v>35</v>
      </c>
      <c r="J31" s="21"/>
      <c r="K31" s="21">
        <v>25000</v>
      </c>
      <c r="L31" s="4">
        <f t="shared" si="0"/>
        <v>1956723461</v>
      </c>
      <c r="M31" s="40"/>
    </row>
    <row r="32" spans="1:13" s="41" customFormat="1" ht="18.75" customHeight="1">
      <c r="A32" s="6" t="str">
        <f t="shared" si="1"/>
        <v>C09</v>
      </c>
      <c r="B32" s="3">
        <v>41977</v>
      </c>
      <c r="C32" s="3">
        <v>41959</v>
      </c>
      <c r="D32" s="4"/>
      <c r="E32" s="22" t="s">
        <v>95</v>
      </c>
      <c r="F32" s="5" t="s">
        <v>512</v>
      </c>
      <c r="G32" s="5"/>
      <c r="H32" s="5"/>
      <c r="I32" s="28" t="s">
        <v>256</v>
      </c>
      <c r="J32" s="21"/>
      <c r="K32" s="21">
        <v>440909</v>
      </c>
      <c r="L32" s="4">
        <f t="shared" si="0"/>
        <v>1956282552</v>
      </c>
      <c r="M32" s="40"/>
    </row>
    <row r="33" spans="1:13" s="41" customFormat="1" ht="18.75" customHeight="1">
      <c r="A33" s="6" t="str">
        <f t="shared" si="1"/>
        <v>C09</v>
      </c>
      <c r="B33" s="3">
        <v>41977</v>
      </c>
      <c r="C33" s="3">
        <v>41959</v>
      </c>
      <c r="D33" s="4"/>
      <c r="E33" s="22" t="s">
        <v>95</v>
      </c>
      <c r="F33" s="5" t="s">
        <v>513</v>
      </c>
      <c r="G33" s="5"/>
      <c r="H33" s="5"/>
      <c r="I33" s="28" t="s">
        <v>35</v>
      </c>
      <c r="J33" s="21"/>
      <c r="K33" s="21">
        <v>44091</v>
      </c>
      <c r="L33" s="4">
        <f t="shared" si="0"/>
        <v>1956238461</v>
      </c>
      <c r="M33" s="40"/>
    </row>
    <row r="34" spans="1:13" s="41" customFormat="1" ht="18.75" customHeight="1">
      <c r="A34" s="6" t="str">
        <f t="shared" si="1"/>
        <v>C09</v>
      </c>
      <c r="B34" s="3">
        <v>41977</v>
      </c>
      <c r="C34" s="3">
        <v>41957</v>
      </c>
      <c r="D34" s="4"/>
      <c r="E34" s="22" t="s">
        <v>95</v>
      </c>
      <c r="F34" s="5" t="s">
        <v>508</v>
      </c>
      <c r="G34" s="5"/>
      <c r="H34" s="5"/>
      <c r="I34" s="28" t="s">
        <v>256</v>
      </c>
      <c r="J34" s="21"/>
      <c r="K34" s="21">
        <v>345455</v>
      </c>
      <c r="L34" s="4">
        <f t="shared" si="0"/>
        <v>1955893006</v>
      </c>
      <c r="M34" s="40"/>
    </row>
    <row r="35" spans="1:13" s="41" customFormat="1" ht="18.75" customHeight="1">
      <c r="A35" s="6" t="str">
        <f t="shared" si="1"/>
        <v>C09</v>
      </c>
      <c r="B35" s="3">
        <v>41977</v>
      </c>
      <c r="C35" s="3">
        <v>41957</v>
      </c>
      <c r="D35" s="4"/>
      <c r="E35" s="22" t="s">
        <v>95</v>
      </c>
      <c r="F35" s="5" t="s">
        <v>509</v>
      </c>
      <c r="G35" s="5"/>
      <c r="H35" s="5"/>
      <c r="I35" s="28" t="s">
        <v>35</v>
      </c>
      <c r="J35" s="21"/>
      <c r="K35" s="21">
        <v>34545</v>
      </c>
      <c r="L35" s="4">
        <f t="shared" si="0"/>
        <v>1955858461</v>
      </c>
      <c r="M35" s="40"/>
    </row>
    <row r="36" spans="1:13" s="41" customFormat="1" ht="18.75" customHeight="1">
      <c r="A36" s="6" t="str">
        <f t="shared" si="1"/>
        <v>C09</v>
      </c>
      <c r="B36" s="3">
        <v>41977</v>
      </c>
      <c r="C36" s="3">
        <v>41951</v>
      </c>
      <c r="D36" s="4"/>
      <c r="E36" s="22" t="s">
        <v>95</v>
      </c>
      <c r="F36" s="5" t="s">
        <v>514</v>
      </c>
      <c r="G36" s="5"/>
      <c r="H36" s="5"/>
      <c r="I36" s="28" t="s">
        <v>256</v>
      </c>
      <c r="J36" s="21"/>
      <c r="K36" s="21">
        <v>400000</v>
      </c>
      <c r="L36" s="4">
        <f t="shared" si="0"/>
        <v>1955458461</v>
      </c>
      <c r="M36" s="40"/>
    </row>
    <row r="37" spans="1:13" s="41" customFormat="1" ht="18.75" customHeight="1">
      <c r="A37" s="6" t="str">
        <f t="shared" si="1"/>
        <v>C09</v>
      </c>
      <c r="B37" s="3">
        <v>41977</v>
      </c>
      <c r="C37" s="3">
        <v>41951</v>
      </c>
      <c r="D37" s="4"/>
      <c r="E37" s="22" t="s">
        <v>95</v>
      </c>
      <c r="F37" s="5" t="s">
        <v>515</v>
      </c>
      <c r="G37" s="5"/>
      <c r="H37" s="5"/>
      <c r="I37" s="28" t="s">
        <v>35</v>
      </c>
      <c r="J37" s="21"/>
      <c r="K37" s="21">
        <v>40000</v>
      </c>
      <c r="L37" s="4">
        <f t="shared" si="0"/>
        <v>1955418461</v>
      </c>
      <c r="M37" s="40"/>
    </row>
    <row r="38" spans="1:13" ht="18.75" customHeight="1">
      <c r="A38" s="6" t="str">
        <f t="shared" si="1"/>
        <v>C10</v>
      </c>
      <c r="B38" s="3">
        <v>41977</v>
      </c>
      <c r="C38" s="3">
        <v>41977</v>
      </c>
      <c r="D38" s="4"/>
      <c r="E38" s="22" t="s">
        <v>96</v>
      </c>
      <c r="F38" s="5" t="s">
        <v>516</v>
      </c>
      <c r="G38" s="5"/>
      <c r="H38" s="5"/>
      <c r="I38" s="28" t="s">
        <v>34</v>
      </c>
      <c r="J38" s="21"/>
      <c r="K38" s="21">
        <v>17600000</v>
      </c>
      <c r="L38" s="4">
        <f t="shared" si="0"/>
        <v>1937818461</v>
      </c>
      <c r="M38" s="19"/>
    </row>
    <row r="39" spans="1:13" ht="18.75" customHeight="1">
      <c r="A39" s="6" t="str">
        <f t="shared" si="1"/>
        <v>C11</v>
      </c>
      <c r="B39" s="3">
        <v>41977</v>
      </c>
      <c r="C39" s="3">
        <v>41977</v>
      </c>
      <c r="D39" s="4"/>
      <c r="E39" s="22" t="s">
        <v>97</v>
      </c>
      <c r="F39" s="5" t="s">
        <v>517</v>
      </c>
      <c r="G39" s="5"/>
      <c r="H39" s="5"/>
      <c r="I39" s="28" t="s">
        <v>34</v>
      </c>
      <c r="J39" s="21"/>
      <c r="K39" s="21">
        <v>12250000</v>
      </c>
      <c r="L39" s="4">
        <f t="shared" si="0"/>
        <v>1925568461</v>
      </c>
      <c r="M39" s="19"/>
    </row>
    <row r="40" spans="1:13" ht="18.75" customHeight="1">
      <c r="A40" s="6" t="str">
        <f t="shared" si="1"/>
        <v>C12</v>
      </c>
      <c r="B40" s="3">
        <v>41977</v>
      </c>
      <c r="C40" s="3">
        <v>41977</v>
      </c>
      <c r="D40" s="4"/>
      <c r="E40" s="22" t="s">
        <v>98</v>
      </c>
      <c r="F40" s="5" t="s">
        <v>518</v>
      </c>
      <c r="G40" s="5"/>
      <c r="H40" s="5"/>
      <c r="I40" s="28" t="s">
        <v>256</v>
      </c>
      <c r="J40" s="21"/>
      <c r="K40" s="21">
        <v>286364</v>
      </c>
      <c r="L40" s="4">
        <f t="shared" si="0"/>
        <v>1925282097</v>
      </c>
      <c r="M40" s="19"/>
    </row>
    <row r="41" spans="1:13" ht="18.75" customHeight="1">
      <c r="A41" s="6" t="str">
        <f t="shared" si="1"/>
        <v>C12</v>
      </c>
      <c r="B41" s="3">
        <v>41977</v>
      </c>
      <c r="C41" s="3">
        <v>41977</v>
      </c>
      <c r="D41" s="4"/>
      <c r="E41" s="22" t="s">
        <v>98</v>
      </c>
      <c r="F41" s="5" t="s">
        <v>519</v>
      </c>
      <c r="G41" s="5"/>
      <c r="H41" s="5"/>
      <c r="I41" s="28" t="s">
        <v>35</v>
      </c>
      <c r="J41" s="21"/>
      <c r="K41" s="21">
        <v>28636</v>
      </c>
      <c r="L41" s="4">
        <f t="shared" si="0"/>
        <v>1925253461</v>
      </c>
      <c r="M41" s="19"/>
    </row>
    <row r="42" spans="1:13" ht="18.75" customHeight="1">
      <c r="A42" s="6" t="str">
        <f t="shared" si="1"/>
        <v>C13</v>
      </c>
      <c r="B42" s="3">
        <v>41977</v>
      </c>
      <c r="C42" s="3">
        <v>41977</v>
      </c>
      <c r="D42" s="4"/>
      <c r="E42" s="22" t="s">
        <v>99</v>
      </c>
      <c r="F42" s="5" t="s">
        <v>520</v>
      </c>
      <c r="G42" s="5"/>
      <c r="H42" s="5"/>
      <c r="I42" s="28" t="s">
        <v>256</v>
      </c>
      <c r="J42" s="21"/>
      <c r="K42" s="21">
        <v>12545080</v>
      </c>
      <c r="L42" s="4">
        <f t="shared" si="0"/>
        <v>1912708381</v>
      </c>
      <c r="M42" s="19"/>
    </row>
    <row r="43" spans="1:13" ht="18.75" customHeight="1">
      <c r="A43" s="6" t="str">
        <f t="shared" si="1"/>
        <v>C13</v>
      </c>
      <c r="B43" s="3">
        <v>41977</v>
      </c>
      <c r="C43" s="3">
        <v>41977</v>
      </c>
      <c r="D43" s="4"/>
      <c r="E43" s="22" t="s">
        <v>99</v>
      </c>
      <c r="F43" s="5" t="s">
        <v>521</v>
      </c>
      <c r="G43" s="5"/>
      <c r="H43" s="5"/>
      <c r="I43" s="28" t="s">
        <v>35</v>
      </c>
      <c r="J43" s="21"/>
      <c r="K43" s="21">
        <v>1254508</v>
      </c>
      <c r="L43" s="4">
        <f t="shared" si="0"/>
        <v>1911453873</v>
      </c>
      <c r="M43" s="19"/>
    </row>
    <row r="44" spans="1:13" ht="18.75" customHeight="1">
      <c r="A44" s="6" t="str">
        <f t="shared" si="1"/>
        <v>C14</v>
      </c>
      <c r="B44" s="3">
        <v>41977</v>
      </c>
      <c r="C44" s="3">
        <v>41977</v>
      </c>
      <c r="D44" s="4"/>
      <c r="E44" s="22" t="s">
        <v>100</v>
      </c>
      <c r="F44" s="30" t="s">
        <v>260</v>
      </c>
      <c r="G44" s="50"/>
      <c r="H44" s="50"/>
      <c r="I44" s="28" t="s">
        <v>134</v>
      </c>
      <c r="J44" s="21"/>
      <c r="K44" s="21">
        <v>600000000</v>
      </c>
      <c r="L44" s="4">
        <f t="shared" si="0"/>
        <v>1311453873</v>
      </c>
      <c r="M44" s="19"/>
    </row>
    <row r="45" spans="1:13" ht="18.75" customHeight="1">
      <c r="A45" s="6" t="str">
        <f t="shared" si="1"/>
        <v>C15</v>
      </c>
      <c r="B45" s="3">
        <v>41977</v>
      </c>
      <c r="C45" s="3">
        <v>41977</v>
      </c>
      <c r="D45" s="4"/>
      <c r="E45" s="22" t="s">
        <v>101</v>
      </c>
      <c r="F45" s="30" t="s">
        <v>259</v>
      </c>
      <c r="G45" s="50"/>
      <c r="H45" s="50"/>
      <c r="I45" s="28" t="s">
        <v>134</v>
      </c>
      <c r="J45" s="21"/>
      <c r="K45" s="21">
        <v>550000000</v>
      </c>
      <c r="L45" s="4">
        <f t="shared" ref="L45:L108" si="2">IF(F45&lt;&gt;"",L44+J45-K45,0)</f>
        <v>761453873</v>
      </c>
      <c r="M45" s="19"/>
    </row>
    <row r="46" spans="1:13" ht="18.75" customHeight="1">
      <c r="A46" s="6" t="str">
        <f t="shared" si="1"/>
        <v>C16</v>
      </c>
      <c r="B46" s="3">
        <v>41978</v>
      </c>
      <c r="C46" s="3">
        <v>41978</v>
      </c>
      <c r="D46" s="4"/>
      <c r="E46" s="22" t="s">
        <v>102</v>
      </c>
      <c r="F46" s="5" t="s">
        <v>273</v>
      </c>
      <c r="G46" s="5"/>
      <c r="H46" s="5"/>
      <c r="I46" s="28" t="s">
        <v>256</v>
      </c>
      <c r="J46" s="21"/>
      <c r="K46" s="21">
        <v>20000</v>
      </c>
      <c r="L46" s="4">
        <f t="shared" si="2"/>
        <v>761433873</v>
      </c>
      <c r="M46" s="19"/>
    </row>
    <row r="47" spans="1:13" ht="18.75" customHeight="1">
      <c r="A47" s="6" t="str">
        <f t="shared" si="1"/>
        <v>C17</v>
      </c>
      <c r="B47" s="3">
        <v>41978</v>
      </c>
      <c r="C47" s="3">
        <v>41906</v>
      </c>
      <c r="D47" s="4"/>
      <c r="E47" s="22" t="s">
        <v>103</v>
      </c>
      <c r="F47" s="5" t="s">
        <v>273</v>
      </c>
      <c r="G47" s="5"/>
      <c r="H47" s="5"/>
      <c r="I47" s="28" t="s">
        <v>256</v>
      </c>
      <c r="J47" s="21"/>
      <c r="K47" s="21">
        <v>20000</v>
      </c>
      <c r="L47" s="4">
        <f t="shared" si="2"/>
        <v>761413873</v>
      </c>
      <c r="M47" s="19"/>
    </row>
    <row r="48" spans="1:13" ht="18.75" customHeight="1">
      <c r="A48" s="6" t="str">
        <f t="shared" si="1"/>
        <v>T01</v>
      </c>
      <c r="B48" s="3">
        <v>41979</v>
      </c>
      <c r="C48" s="3">
        <v>41979</v>
      </c>
      <c r="D48" s="4" t="s">
        <v>39</v>
      </c>
      <c r="E48" s="22"/>
      <c r="F48" s="5" t="s">
        <v>61</v>
      </c>
      <c r="G48" s="5"/>
      <c r="H48" s="5"/>
      <c r="I48" s="28" t="s">
        <v>36</v>
      </c>
      <c r="J48" s="21">
        <v>490000000</v>
      </c>
      <c r="K48" s="5"/>
      <c r="L48" s="4">
        <f t="shared" si="2"/>
        <v>1251413873</v>
      </c>
      <c r="M48" s="19"/>
    </row>
    <row r="49" spans="1:13" ht="18.75" customHeight="1">
      <c r="A49" s="6" t="str">
        <f t="shared" si="1"/>
        <v>C18</v>
      </c>
      <c r="B49" s="3">
        <v>41979</v>
      </c>
      <c r="C49" s="3">
        <v>41979</v>
      </c>
      <c r="D49" s="4"/>
      <c r="E49" s="22" t="s">
        <v>104</v>
      </c>
      <c r="F49" s="5" t="s">
        <v>522</v>
      </c>
      <c r="G49" s="5"/>
      <c r="H49" s="5"/>
      <c r="I49" s="28" t="s">
        <v>256</v>
      </c>
      <c r="J49" s="21"/>
      <c r="K49" s="21">
        <f>2003864+2539909</f>
        <v>4543773</v>
      </c>
      <c r="L49" s="4">
        <f t="shared" si="2"/>
        <v>1246870100</v>
      </c>
      <c r="M49" s="19"/>
    </row>
    <row r="50" spans="1:13" ht="18.75" customHeight="1">
      <c r="A50" s="6" t="str">
        <f t="shared" si="1"/>
        <v>C18</v>
      </c>
      <c r="B50" s="3">
        <v>41979</v>
      </c>
      <c r="C50" s="3">
        <v>41979</v>
      </c>
      <c r="D50" s="4"/>
      <c r="E50" s="22" t="s">
        <v>104</v>
      </c>
      <c r="F50" s="5" t="s">
        <v>133</v>
      </c>
      <c r="G50" s="5"/>
      <c r="H50" s="5"/>
      <c r="I50" s="28" t="s">
        <v>35</v>
      </c>
      <c r="J50" s="21"/>
      <c r="K50" s="21">
        <f>200386+253991</f>
        <v>454377</v>
      </c>
      <c r="L50" s="4">
        <f t="shared" si="2"/>
        <v>1246415723</v>
      </c>
      <c r="M50" s="19"/>
    </row>
    <row r="51" spans="1:13" ht="18.75" customHeight="1">
      <c r="A51" s="6" t="str">
        <f t="shared" si="1"/>
        <v>C19</v>
      </c>
      <c r="B51" s="3">
        <v>41979</v>
      </c>
      <c r="C51" s="3">
        <v>41979</v>
      </c>
      <c r="D51" s="4"/>
      <c r="E51" s="22" t="s">
        <v>105</v>
      </c>
      <c r="F51" s="30" t="s">
        <v>260</v>
      </c>
      <c r="G51" s="50"/>
      <c r="H51" s="50"/>
      <c r="I51" s="28" t="s">
        <v>134</v>
      </c>
      <c r="J51" s="21"/>
      <c r="K51" s="21">
        <v>600000000</v>
      </c>
      <c r="L51" s="4">
        <f t="shared" si="2"/>
        <v>646415723</v>
      </c>
      <c r="M51" s="19"/>
    </row>
    <row r="52" spans="1:13" s="61" customFormat="1" ht="18.75" customHeight="1">
      <c r="A52" s="6" t="str">
        <f t="shared" si="1"/>
        <v>T02</v>
      </c>
      <c r="B52" s="3">
        <v>41981</v>
      </c>
      <c r="C52" s="3">
        <v>41981</v>
      </c>
      <c r="D52" s="4" t="s">
        <v>40</v>
      </c>
      <c r="E52" s="22"/>
      <c r="F52" s="54" t="s">
        <v>272</v>
      </c>
      <c r="G52" s="50"/>
      <c r="H52" s="50"/>
      <c r="I52" s="28" t="s">
        <v>57</v>
      </c>
      <c r="J52" s="21">
        <v>2000000000</v>
      </c>
      <c r="K52" s="5"/>
      <c r="L52" s="4">
        <f t="shared" si="2"/>
        <v>2646415723</v>
      </c>
      <c r="M52" s="60"/>
    </row>
    <row r="53" spans="1:13" ht="18.75" customHeight="1">
      <c r="A53" s="6" t="str">
        <f t="shared" si="1"/>
        <v>C20</v>
      </c>
      <c r="B53" s="3">
        <v>41981</v>
      </c>
      <c r="C53" s="3">
        <v>41981</v>
      </c>
      <c r="D53" s="4"/>
      <c r="E53" s="22" t="s">
        <v>106</v>
      </c>
      <c r="F53" s="5" t="s">
        <v>523</v>
      </c>
      <c r="G53" s="5"/>
      <c r="H53" s="5"/>
      <c r="I53" s="28" t="s">
        <v>36</v>
      </c>
      <c r="J53" s="21"/>
      <c r="K53" s="21">
        <v>10000000</v>
      </c>
      <c r="L53" s="4">
        <f t="shared" si="2"/>
        <v>2636415723</v>
      </c>
      <c r="M53" s="19"/>
    </row>
    <row r="54" spans="1:13" ht="18.75" customHeight="1">
      <c r="A54" s="6" t="str">
        <f t="shared" si="1"/>
        <v>C21</v>
      </c>
      <c r="B54" s="3">
        <v>41981</v>
      </c>
      <c r="C54" s="3">
        <v>41981</v>
      </c>
      <c r="D54" s="4"/>
      <c r="E54" s="22" t="s">
        <v>107</v>
      </c>
      <c r="F54" s="5" t="s">
        <v>524</v>
      </c>
      <c r="G54" s="5"/>
      <c r="H54" s="5"/>
      <c r="I54" s="28" t="s">
        <v>256</v>
      </c>
      <c r="J54" s="21"/>
      <c r="K54" s="21">
        <v>10200000</v>
      </c>
      <c r="L54" s="4">
        <f t="shared" si="2"/>
        <v>2626215723</v>
      </c>
      <c r="M54" s="19"/>
    </row>
    <row r="55" spans="1:13" ht="18.75" customHeight="1">
      <c r="A55" s="6" t="str">
        <f t="shared" si="1"/>
        <v>C21</v>
      </c>
      <c r="B55" s="3">
        <v>41981</v>
      </c>
      <c r="C55" s="3">
        <v>41981</v>
      </c>
      <c r="D55" s="4"/>
      <c r="E55" s="22" t="s">
        <v>107</v>
      </c>
      <c r="F55" s="5" t="s">
        <v>525</v>
      </c>
      <c r="G55" s="5"/>
      <c r="H55" s="5"/>
      <c r="I55" s="28" t="s">
        <v>35</v>
      </c>
      <c r="J55" s="21"/>
      <c r="K55" s="21">
        <v>1020000</v>
      </c>
      <c r="L55" s="4">
        <f t="shared" si="2"/>
        <v>2625195723</v>
      </c>
      <c r="M55" s="19"/>
    </row>
    <row r="56" spans="1:13" ht="18.75" customHeight="1">
      <c r="A56" s="6" t="str">
        <f t="shared" si="1"/>
        <v>C22</v>
      </c>
      <c r="B56" s="3">
        <v>41981</v>
      </c>
      <c r="C56" s="3">
        <v>41981</v>
      </c>
      <c r="D56" s="4"/>
      <c r="E56" s="22" t="s">
        <v>108</v>
      </c>
      <c r="F56" s="5" t="s">
        <v>516</v>
      </c>
      <c r="G56" s="5"/>
      <c r="H56" s="5"/>
      <c r="I56" s="28" t="s">
        <v>34</v>
      </c>
      <c r="J56" s="21"/>
      <c r="K56" s="21">
        <v>17600000</v>
      </c>
      <c r="L56" s="4">
        <f t="shared" si="2"/>
        <v>2607595723</v>
      </c>
      <c r="M56" s="19"/>
    </row>
    <row r="57" spans="1:13" ht="18.75" customHeight="1">
      <c r="A57" s="6" t="str">
        <f t="shared" si="1"/>
        <v>C23</v>
      </c>
      <c r="B57" s="3">
        <v>41981</v>
      </c>
      <c r="C57" s="3">
        <v>41981</v>
      </c>
      <c r="D57" s="4"/>
      <c r="E57" s="22" t="s">
        <v>109</v>
      </c>
      <c r="F57" s="30" t="s">
        <v>260</v>
      </c>
      <c r="G57" s="50"/>
      <c r="H57" s="50"/>
      <c r="I57" s="28" t="s">
        <v>134</v>
      </c>
      <c r="J57" s="21"/>
      <c r="K57" s="21">
        <v>600000000</v>
      </c>
      <c r="L57" s="4">
        <f t="shared" si="2"/>
        <v>2007595723</v>
      </c>
      <c r="M57" s="19"/>
    </row>
    <row r="58" spans="1:13" ht="18.75" customHeight="1">
      <c r="A58" s="6" t="str">
        <f t="shared" si="1"/>
        <v>C24</v>
      </c>
      <c r="B58" s="3">
        <v>41982</v>
      </c>
      <c r="C58" s="3">
        <v>41982</v>
      </c>
      <c r="D58" s="4"/>
      <c r="E58" s="22" t="s">
        <v>110</v>
      </c>
      <c r="F58" s="5" t="s">
        <v>524</v>
      </c>
      <c r="G58" s="5"/>
      <c r="H58" s="5"/>
      <c r="I58" s="28" t="s">
        <v>256</v>
      </c>
      <c r="J58" s="21"/>
      <c r="K58" s="21">
        <v>8400000</v>
      </c>
      <c r="L58" s="4">
        <f t="shared" si="2"/>
        <v>1999195723</v>
      </c>
      <c r="M58" s="19"/>
    </row>
    <row r="59" spans="1:13" ht="18.75" customHeight="1">
      <c r="A59" s="6" t="str">
        <f t="shared" si="1"/>
        <v>C24</v>
      </c>
      <c r="B59" s="3">
        <v>41982</v>
      </c>
      <c r="C59" s="3">
        <v>41982</v>
      </c>
      <c r="D59" s="4"/>
      <c r="E59" s="22" t="s">
        <v>110</v>
      </c>
      <c r="F59" s="5" t="s">
        <v>525</v>
      </c>
      <c r="G59" s="5"/>
      <c r="H59" s="5"/>
      <c r="I59" s="28" t="s">
        <v>35</v>
      </c>
      <c r="J59" s="21"/>
      <c r="K59" s="21">
        <v>840000</v>
      </c>
      <c r="L59" s="4">
        <f t="shared" si="2"/>
        <v>1998355723</v>
      </c>
      <c r="M59" s="19"/>
    </row>
    <row r="60" spans="1:13" ht="18.75" customHeight="1">
      <c r="A60" s="6" t="str">
        <f t="shared" si="1"/>
        <v>C25</v>
      </c>
      <c r="B60" s="3">
        <v>41982</v>
      </c>
      <c r="C60" s="3">
        <v>41982</v>
      </c>
      <c r="D60" s="4"/>
      <c r="E60" s="22" t="s">
        <v>111</v>
      </c>
      <c r="F60" s="5" t="s">
        <v>526</v>
      </c>
      <c r="G60" s="5"/>
      <c r="H60" s="5"/>
      <c r="I60" s="28" t="s">
        <v>247</v>
      </c>
      <c r="J60" s="21"/>
      <c r="K60" s="21">
        <v>1005000</v>
      </c>
      <c r="L60" s="4">
        <f t="shared" si="2"/>
        <v>1997350723</v>
      </c>
      <c r="M60" s="19"/>
    </row>
    <row r="61" spans="1:13" ht="18.75" customHeight="1">
      <c r="A61" s="6" t="str">
        <f t="shared" si="1"/>
        <v>C26</v>
      </c>
      <c r="B61" s="3">
        <v>41982</v>
      </c>
      <c r="C61" s="3">
        <v>41982</v>
      </c>
      <c r="D61" s="4"/>
      <c r="E61" s="22" t="s">
        <v>112</v>
      </c>
      <c r="F61" s="5" t="s">
        <v>516</v>
      </c>
      <c r="G61" s="5"/>
      <c r="H61" s="5"/>
      <c r="I61" s="28" t="s">
        <v>34</v>
      </c>
      <c r="J61" s="21"/>
      <c r="K61" s="21">
        <v>17600000</v>
      </c>
      <c r="L61" s="4">
        <f t="shared" si="2"/>
        <v>1979750723</v>
      </c>
      <c r="M61" s="19"/>
    </row>
    <row r="62" spans="1:13" ht="18.75" customHeight="1">
      <c r="A62" s="6" t="str">
        <f t="shared" si="1"/>
        <v>C27</v>
      </c>
      <c r="B62" s="3">
        <v>41983</v>
      </c>
      <c r="C62" s="3">
        <v>41983</v>
      </c>
      <c r="D62" s="4"/>
      <c r="E62" s="22" t="s">
        <v>113</v>
      </c>
      <c r="F62" s="5" t="s">
        <v>527</v>
      </c>
      <c r="G62" s="5"/>
      <c r="H62" s="5"/>
      <c r="I62" s="28" t="s">
        <v>247</v>
      </c>
      <c r="J62" s="21"/>
      <c r="K62" s="21">
        <v>153985</v>
      </c>
      <c r="L62" s="4">
        <f t="shared" si="2"/>
        <v>1979596738</v>
      </c>
      <c r="M62" s="19"/>
    </row>
    <row r="63" spans="1:13" ht="18.75" customHeight="1">
      <c r="A63" s="6" t="str">
        <f t="shared" si="1"/>
        <v>C27</v>
      </c>
      <c r="B63" s="3">
        <v>41983</v>
      </c>
      <c r="C63" s="3">
        <v>41983</v>
      </c>
      <c r="D63" s="4"/>
      <c r="E63" s="22" t="s">
        <v>113</v>
      </c>
      <c r="F63" s="5" t="s">
        <v>528</v>
      </c>
      <c r="G63" s="5"/>
      <c r="H63" s="5"/>
      <c r="I63" s="28" t="s">
        <v>35</v>
      </c>
      <c r="J63" s="21"/>
      <c r="K63" s="21">
        <v>15398</v>
      </c>
      <c r="L63" s="4">
        <f t="shared" si="2"/>
        <v>1979581340</v>
      </c>
      <c r="M63" s="19"/>
    </row>
    <row r="64" spans="1:13" ht="18.75" customHeight="1">
      <c r="A64" s="6" t="str">
        <f t="shared" si="1"/>
        <v>C28</v>
      </c>
      <c r="B64" s="3">
        <v>41983</v>
      </c>
      <c r="C64" s="3">
        <v>41983</v>
      </c>
      <c r="D64" s="4"/>
      <c r="E64" s="22" t="s">
        <v>114</v>
      </c>
      <c r="F64" s="5" t="s">
        <v>516</v>
      </c>
      <c r="G64" s="5"/>
      <c r="H64" s="5"/>
      <c r="I64" s="28" t="s">
        <v>34</v>
      </c>
      <c r="J64" s="21"/>
      <c r="K64" s="21">
        <v>17600000</v>
      </c>
      <c r="L64" s="4">
        <f t="shared" si="2"/>
        <v>1961981340</v>
      </c>
      <c r="M64" s="19"/>
    </row>
    <row r="65" spans="1:13" ht="18.75" customHeight="1">
      <c r="A65" s="6" t="str">
        <f t="shared" si="1"/>
        <v>T03</v>
      </c>
      <c r="B65" s="3">
        <v>41984</v>
      </c>
      <c r="C65" s="3">
        <v>41984</v>
      </c>
      <c r="D65" s="4" t="s">
        <v>41</v>
      </c>
      <c r="E65" s="22"/>
      <c r="F65" s="5" t="s">
        <v>61</v>
      </c>
      <c r="G65" s="5"/>
      <c r="H65" s="5"/>
      <c r="I65" s="28" t="s">
        <v>36</v>
      </c>
      <c r="J65" s="21">
        <v>280000000</v>
      </c>
      <c r="K65" s="5"/>
      <c r="L65" s="4">
        <f t="shared" si="2"/>
        <v>2241981340</v>
      </c>
      <c r="M65" s="19"/>
    </row>
    <row r="66" spans="1:13" ht="18.75" customHeight="1">
      <c r="A66" s="6" t="str">
        <f t="shared" si="1"/>
        <v>C29</v>
      </c>
      <c r="B66" s="3">
        <v>41984</v>
      </c>
      <c r="C66" s="3">
        <v>41984</v>
      </c>
      <c r="D66" s="4"/>
      <c r="E66" s="22" t="s">
        <v>115</v>
      </c>
      <c r="F66" s="5" t="s">
        <v>529</v>
      </c>
      <c r="G66" s="5"/>
      <c r="H66" s="5"/>
      <c r="I66" s="28" t="s">
        <v>247</v>
      </c>
      <c r="J66" s="21"/>
      <c r="K66" s="21">
        <v>5930000</v>
      </c>
      <c r="L66" s="4">
        <f t="shared" si="2"/>
        <v>2236051340</v>
      </c>
      <c r="M66" s="19"/>
    </row>
    <row r="67" spans="1:13" ht="18.75" customHeight="1">
      <c r="A67" s="6" t="str">
        <f t="shared" si="1"/>
        <v>C30</v>
      </c>
      <c r="B67" s="3">
        <v>41984</v>
      </c>
      <c r="C67" s="3">
        <v>41984</v>
      </c>
      <c r="D67" s="4"/>
      <c r="E67" s="22" t="s">
        <v>116</v>
      </c>
      <c r="F67" s="30" t="s">
        <v>260</v>
      </c>
      <c r="G67" s="50"/>
      <c r="H67" s="50"/>
      <c r="I67" s="28" t="s">
        <v>134</v>
      </c>
      <c r="J67" s="21"/>
      <c r="K67" s="21">
        <v>600000000</v>
      </c>
      <c r="L67" s="4">
        <f t="shared" si="2"/>
        <v>1636051340</v>
      </c>
      <c r="M67" s="19"/>
    </row>
    <row r="68" spans="1:13" ht="18.75" customHeight="1">
      <c r="A68" s="6" t="str">
        <f t="shared" si="1"/>
        <v>C31</v>
      </c>
      <c r="B68" s="3">
        <v>41984</v>
      </c>
      <c r="C68" s="3">
        <v>41984</v>
      </c>
      <c r="D68" s="4"/>
      <c r="E68" s="22" t="s">
        <v>117</v>
      </c>
      <c r="F68" s="30" t="s">
        <v>259</v>
      </c>
      <c r="G68" s="50"/>
      <c r="H68" s="50"/>
      <c r="I68" s="28" t="s">
        <v>134</v>
      </c>
      <c r="J68" s="21"/>
      <c r="K68" s="21">
        <v>550000000</v>
      </c>
      <c r="L68" s="4">
        <f t="shared" si="2"/>
        <v>1086051340</v>
      </c>
      <c r="M68" s="19"/>
    </row>
    <row r="69" spans="1:13" ht="18.75" customHeight="1">
      <c r="A69" s="6" t="str">
        <f t="shared" si="1"/>
        <v>C32</v>
      </c>
      <c r="B69" s="3">
        <v>41985</v>
      </c>
      <c r="C69" s="3">
        <v>41985</v>
      </c>
      <c r="D69" s="4"/>
      <c r="E69" s="22" t="s">
        <v>118</v>
      </c>
      <c r="F69" s="5" t="s">
        <v>468</v>
      </c>
      <c r="G69" s="5"/>
      <c r="H69" s="5"/>
      <c r="I69" s="28" t="s">
        <v>247</v>
      </c>
      <c r="J69" s="21"/>
      <c r="K69" s="21">
        <v>336294</v>
      </c>
      <c r="L69" s="4">
        <f t="shared" si="2"/>
        <v>1085715046</v>
      </c>
      <c r="M69" s="19"/>
    </row>
    <row r="70" spans="1:13" ht="18.75" customHeight="1">
      <c r="A70" s="6" t="str">
        <f t="shared" si="1"/>
        <v>C32</v>
      </c>
      <c r="B70" s="3">
        <v>41985</v>
      </c>
      <c r="C70" s="3">
        <v>41985</v>
      </c>
      <c r="D70" s="4"/>
      <c r="E70" s="22" t="s">
        <v>118</v>
      </c>
      <c r="F70" s="5" t="s">
        <v>469</v>
      </c>
      <c r="G70" s="5"/>
      <c r="H70" s="5"/>
      <c r="I70" s="28" t="s">
        <v>35</v>
      </c>
      <c r="J70" s="21"/>
      <c r="K70" s="21">
        <v>33629</v>
      </c>
      <c r="L70" s="4">
        <f t="shared" si="2"/>
        <v>1085681417</v>
      </c>
      <c r="M70" s="19"/>
    </row>
    <row r="71" spans="1:13" ht="18.75" customHeight="1">
      <c r="A71" s="6" t="str">
        <f t="shared" si="1"/>
        <v>C33</v>
      </c>
      <c r="B71" s="3">
        <v>41988</v>
      </c>
      <c r="C71" s="3">
        <v>41988</v>
      </c>
      <c r="D71" s="4"/>
      <c r="E71" s="22" t="s">
        <v>119</v>
      </c>
      <c r="F71" s="5" t="s">
        <v>530</v>
      </c>
      <c r="G71" s="5"/>
      <c r="H71" s="5"/>
      <c r="I71" s="28" t="s">
        <v>247</v>
      </c>
      <c r="J71" s="21"/>
      <c r="K71" s="21">
        <v>2514063</v>
      </c>
      <c r="L71" s="4">
        <f t="shared" si="2"/>
        <v>1083167354</v>
      </c>
      <c r="M71" s="19"/>
    </row>
    <row r="72" spans="1:13" ht="18.75" customHeight="1">
      <c r="A72" s="6" t="str">
        <f t="shared" si="1"/>
        <v>C33</v>
      </c>
      <c r="B72" s="3">
        <v>41988</v>
      </c>
      <c r="C72" s="3">
        <v>41988</v>
      </c>
      <c r="D72" s="4"/>
      <c r="E72" s="22" t="s">
        <v>119</v>
      </c>
      <c r="F72" s="5" t="s">
        <v>531</v>
      </c>
      <c r="G72" s="5"/>
      <c r="H72" s="5"/>
      <c r="I72" s="28" t="s">
        <v>35</v>
      </c>
      <c r="J72" s="21"/>
      <c r="K72" s="21">
        <v>251407</v>
      </c>
      <c r="L72" s="4">
        <f t="shared" si="2"/>
        <v>1082915947</v>
      </c>
      <c r="M72" s="19"/>
    </row>
    <row r="73" spans="1:13" ht="18.75" customHeight="1">
      <c r="A73" s="6" t="str">
        <f t="shared" si="1"/>
        <v>C34</v>
      </c>
      <c r="B73" s="3">
        <v>41988</v>
      </c>
      <c r="C73" s="3">
        <v>41988</v>
      </c>
      <c r="D73" s="4"/>
      <c r="E73" s="22" t="s">
        <v>120</v>
      </c>
      <c r="F73" s="30" t="s">
        <v>260</v>
      </c>
      <c r="G73" s="50"/>
      <c r="H73" s="50"/>
      <c r="I73" s="28" t="s">
        <v>134</v>
      </c>
      <c r="J73" s="21"/>
      <c r="K73" s="21">
        <v>600000000</v>
      </c>
      <c r="L73" s="4">
        <f t="shared" si="2"/>
        <v>482915947</v>
      </c>
      <c r="M73" s="19"/>
    </row>
    <row r="74" spans="1:13" s="41" customFormat="1" ht="18.75" customHeight="1">
      <c r="A74" s="6" t="str">
        <f t="shared" si="1"/>
        <v>C35</v>
      </c>
      <c r="B74" s="3">
        <v>41988</v>
      </c>
      <c r="C74" s="3">
        <v>41988</v>
      </c>
      <c r="D74" s="4"/>
      <c r="E74" s="22" t="s">
        <v>121</v>
      </c>
      <c r="F74" s="5" t="s">
        <v>295</v>
      </c>
      <c r="G74" s="5"/>
      <c r="H74" s="5"/>
      <c r="I74" s="28" t="s">
        <v>34</v>
      </c>
      <c r="J74" s="21"/>
      <c r="K74" s="21">
        <v>11689999</v>
      </c>
      <c r="L74" s="4">
        <f t="shared" si="2"/>
        <v>471225948</v>
      </c>
      <c r="M74" s="40"/>
    </row>
    <row r="75" spans="1:13" ht="18.75" customHeight="1">
      <c r="A75" s="6" t="str">
        <f t="shared" si="1"/>
        <v>T04</v>
      </c>
      <c r="B75" s="3">
        <v>41989</v>
      </c>
      <c r="C75" s="3">
        <v>41989</v>
      </c>
      <c r="D75" s="4" t="s">
        <v>42</v>
      </c>
      <c r="E75" s="22"/>
      <c r="F75" s="5" t="s">
        <v>61</v>
      </c>
      <c r="G75" s="5"/>
      <c r="H75" s="5"/>
      <c r="I75" s="28" t="s">
        <v>36</v>
      </c>
      <c r="J75" s="21">
        <v>740000000</v>
      </c>
      <c r="K75" s="5"/>
      <c r="L75" s="4">
        <f t="shared" si="2"/>
        <v>1211225948</v>
      </c>
      <c r="M75" s="19"/>
    </row>
    <row r="76" spans="1:13" ht="18.75" customHeight="1">
      <c r="A76" s="6" t="str">
        <f t="shared" si="1"/>
        <v>C36</v>
      </c>
      <c r="B76" s="3">
        <v>41989</v>
      </c>
      <c r="C76" s="3">
        <v>41989</v>
      </c>
      <c r="D76" s="4"/>
      <c r="E76" s="22" t="s">
        <v>122</v>
      </c>
      <c r="F76" s="5" t="s">
        <v>523</v>
      </c>
      <c r="G76" s="5"/>
      <c r="H76" s="5"/>
      <c r="I76" s="28" t="s">
        <v>36</v>
      </c>
      <c r="J76" s="21"/>
      <c r="K76" s="21">
        <v>100000000</v>
      </c>
      <c r="L76" s="4">
        <f t="shared" si="2"/>
        <v>1111225948</v>
      </c>
      <c r="M76" s="19"/>
    </row>
    <row r="77" spans="1:13" ht="18.75" customHeight="1">
      <c r="A77" s="6" t="str">
        <f t="shared" si="1"/>
        <v>C37</v>
      </c>
      <c r="B77" s="3">
        <v>41990</v>
      </c>
      <c r="C77" s="3">
        <v>41990</v>
      </c>
      <c r="D77" s="4"/>
      <c r="E77" s="22" t="s">
        <v>123</v>
      </c>
      <c r="F77" s="5" t="s">
        <v>523</v>
      </c>
      <c r="G77" s="5"/>
      <c r="H77" s="5"/>
      <c r="I77" s="28" t="s">
        <v>36</v>
      </c>
      <c r="J77" s="21"/>
      <c r="K77" s="21">
        <v>40000000</v>
      </c>
      <c r="L77" s="4">
        <f t="shared" si="2"/>
        <v>1071225948</v>
      </c>
      <c r="M77" s="19"/>
    </row>
    <row r="78" spans="1:13" ht="18.75" customHeight="1">
      <c r="A78" s="6" t="str">
        <f t="shared" ref="A78:A125" si="3">D78&amp;E78</f>
        <v>C38</v>
      </c>
      <c r="B78" s="3">
        <v>41990</v>
      </c>
      <c r="C78" s="3">
        <v>41990</v>
      </c>
      <c r="D78" s="4"/>
      <c r="E78" s="22" t="s">
        <v>135</v>
      </c>
      <c r="F78" s="5" t="s">
        <v>532</v>
      </c>
      <c r="G78" s="5"/>
      <c r="H78" s="5"/>
      <c r="I78" s="28" t="s">
        <v>54</v>
      </c>
      <c r="J78" s="21"/>
      <c r="K78" s="21">
        <v>17781800</v>
      </c>
      <c r="L78" s="4">
        <f t="shared" si="2"/>
        <v>1053444148</v>
      </c>
      <c r="M78" s="19"/>
    </row>
    <row r="79" spans="1:13" ht="18.75" customHeight="1">
      <c r="A79" s="6" t="str">
        <f t="shared" si="3"/>
        <v>C38</v>
      </c>
      <c r="B79" s="3">
        <v>41990</v>
      </c>
      <c r="C79" s="3">
        <v>41990</v>
      </c>
      <c r="D79" s="4"/>
      <c r="E79" s="22" t="s">
        <v>135</v>
      </c>
      <c r="F79" s="5" t="s">
        <v>533</v>
      </c>
      <c r="G79" s="5"/>
      <c r="H79" s="5"/>
      <c r="I79" s="28" t="s">
        <v>35</v>
      </c>
      <c r="J79" s="21"/>
      <c r="K79" s="21">
        <v>1778180</v>
      </c>
      <c r="L79" s="4">
        <f t="shared" si="2"/>
        <v>1051665968</v>
      </c>
      <c r="M79" s="19"/>
    </row>
    <row r="80" spans="1:13" ht="18.75" customHeight="1">
      <c r="A80" s="6" t="str">
        <f t="shared" si="3"/>
        <v>T05</v>
      </c>
      <c r="B80" s="3">
        <v>41991</v>
      </c>
      <c r="C80" s="3">
        <v>41991</v>
      </c>
      <c r="D80" s="4" t="s">
        <v>43</v>
      </c>
      <c r="E80" s="22"/>
      <c r="F80" s="5" t="s">
        <v>534</v>
      </c>
      <c r="G80" s="5"/>
      <c r="H80" s="5"/>
      <c r="I80" s="28" t="s">
        <v>355</v>
      </c>
      <c r="J80" s="21">
        <v>2047980000</v>
      </c>
      <c r="K80" s="21"/>
      <c r="L80" s="4">
        <f t="shared" si="2"/>
        <v>3099645968</v>
      </c>
      <c r="M80" s="19"/>
    </row>
    <row r="81" spans="1:13" ht="18.75" customHeight="1">
      <c r="A81" s="6" t="str">
        <f t="shared" si="3"/>
        <v>C39</v>
      </c>
      <c r="B81" s="3">
        <v>41991</v>
      </c>
      <c r="C81" s="3">
        <v>41991</v>
      </c>
      <c r="D81" s="4"/>
      <c r="E81" s="22" t="s">
        <v>136</v>
      </c>
      <c r="F81" s="5" t="s">
        <v>523</v>
      </c>
      <c r="G81" s="5"/>
      <c r="H81" s="5"/>
      <c r="I81" s="28" t="s">
        <v>36</v>
      </c>
      <c r="J81" s="21"/>
      <c r="K81" s="21">
        <v>5000000</v>
      </c>
      <c r="L81" s="4">
        <f t="shared" si="2"/>
        <v>3094645968</v>
      </c>
      <c r="M81" s="19"/>
    </row>
    <row r="82" spans="1:13" ht="18.75" customHeight="1">
      <c r="A82" s="6" t="str">
        <f t="shared" si="3"/>
        <v>C40</v>
      </c>
      <c r="B82" s="3">
        <v>41991</v>
      </c>
      <c r="C82" s="3">
        <v>41991</v>
      </c>
      <c r="D82" s="4"/>
      <c r="E82" s="22" t="s">
        <v>137</v>
      </c>
      <c r="F82" s="30" t="s">
        <v>260</v>
      </c>
      <c r="G82" s="50"/>
      <c r="H82" s="50"/>
      <c r="I82" s="28" t="s">
        <v>134</v>
      </c>
      <c r="J82" s="21"/>
      <c r="K82" s="21">
        <v>600000000</v>
      </c>
      <c r="L82" s="4">
        <f t="shared" si="2"/>
        <v>2494645968</v>
      </c>
      <c r="M82" s="19"/>
    </row>
    <row r="83" spans="1:13" ht="18.75" customHeight="1">
      <c r="A83" s="6" t="str">
        <f t="shared" si="3"/>
        <v>C41</v>
      </c>
      <c r="B83" s="3">
        <v>41991</v>
      </c>
      <c r="C83" s="3">
        <v>41991</v>
      </c>
      <c r="D83" s="4"/>
      <c r="E83" s="22" t="s">
        <v>138</v>
      </c>
      <c r="F83" s="30" t="s">
        <v>259</v>
      </c>
      <c r="G83" s="50"/>
      <c r="H83" s="50"/>
      <c r="I83" s="28" t="s">
        <v>134</v>
      </c>
      <c r="J83" s="21"/>
      <c r="K83" s="21">
        <v>550000000</v>
      </c>
      <c r="L83" s="4">
        <f t="shared" si="2"/>
        <v>1944645968</v>
      </c>
      <c r="M83" s="19"/>
    </row>
    <row r="84" spans="1:13" ht="18.75" customHeight="1">
      <c r="A84" s="6" t="str">
        <f t="shared" si="3"/>
        <v>C42</v>
      </c>
      <c r="B84" s="3">
        <v>41992</v>
      </c>
      <c r="C84" s="3">
        <v>41992</v>
      </c>
      <c r="D84" s="4"/>
      <c r="E84" s="22" t="s">
        <v>139</v>
      </c>
      <c r="F84" s="5" t="s">
        <v>523</v>
      </c>
      <c r="G84" s="5"/>
      <c r="H84" s="5"/>
      <c r="I84" s="28" t="s">
        <v>36</v>
      </c>
      <c r="J84" s="21"/>
      <c r="K84" s="21">
        <v>200000000</v>
      </c>
      <c r="L84" s="4">
        <f t="shared" si="2"/>
        <v>1744645968</v>
      </c>
      <c r="M84" s="19"/>
    </row>
    <row r="85" spans="1:13" ht="18.75" customHeight="1">
      <c r="A85" s="6" t="str">
        <f t="shared" si="3"/>
        <v>C43</v>
      </c>
      <c r="B85" s="3">
        <v>41995</v>
      </c>
      <c r="C85" s="3">
        <v>41995</v>
      </c>
      <c r="D85" s="4"/>
      <c r="E85" s="22" t="s">
        <v>140</v>
      </c>
      <c r="F85" s="5" t="s">
        <v>523</v>
      </c>
      <c r="G85" s="5"/>
      <c r="H85" s="5"/>
      <c r="I85" s="28" t="s">
        <v>36</v>
      </c>
      <c r="J85" s="21"/>
      <c r="K85" s="21">
        <v>750000000</v>
      </c>
      <c r="L85" s="4">
        <f t="shared" si="2"/>
        <v>994645968</v>
      </c>
      <c r="M85" s="19"/>
    </row>
    <row r="86" spans="1:13" ht="18.75" customHeight="1">
      <c r="A86" s="6" t="str">
        <f t="shared" si="3"/>
        <v>C44</v>
      </c>
      <c r="B86" s="3">
        <v>41995</v>
      </c>
      <c r="C86" s="3">
        <v>41995</v>
      </c>
      <c r="D86" s="4"/>
      <c r="E86" s="22" t="s">
        <v>402</v>
      </c>
      <c r="F86" s="5" t="s">
        <v>50</v>
      </c>
      <c r="G86" s="5"/>
      <c r="H86" s="5"/>
      <c r="I86" s="28" t="s">
        <v>247</v>
      </c>
      <c r="J86" s="21"/>
      <c r="K86" s="21">
        <f>2053000+858527+1795918</f>
        <v>4707445</v>
      </c>
      <c r="L86" s="4">
        <f t="shared" si="2"/>
        <v>989938523</v>
      </c>
      <c r="M86" s="19"/>
    </row>
    <row r="87" spans="1:13" ht="18.75" customHeight="1">
      <c r="A87" s="6" t="str">
        <f t="shared" si="3"/>
        <v>C44</v>
      </c>
      <c r="B87" s="3">
        <v>41995</v>
      </c>
      <c r="C87" s="3">
        <v>41995</v>
      </c>
      <c r="D87" s="4"/>
      <c r="E87" s="22" t="s">
        <v>402</v>
      </c>
      <c r="F87" s="5" t="s">
        <v>56</v>
      </c>
      <c r="G87" s="5"/>
      <c r="H87" s="5"/>
      <c r="I87" s="28" t="s">
        <v>35</v>
      </c>
      <c r="J87" s="21"/>
      <c r="K87" s="21">
        <f>205300+85853+179592</f>
        <v>470745</v>
      </c>
      <c r="L87" s="4">
        <f t="shared" si="2"/>
        <v>989467778</v>
      </c>
      <c r="M87" s="19"/>
    </row>
    <row r="88" spans="1:13" ht="18.75" customHeight="1">
      <c r="A88" s="6" t="str">
        <f t="shared" si="3"/>
        <v>C45</v>
      </c>
      <c r="B88" s="3">
        <v>41995</v>
      </c>
      <c r="C88" s="3">
        <v>41995</v>
      </c>
      <c r="D88" s="4"/>
      <c r="E88" s="22" t="s">
        <v>403</v>
      </c>
      <c r="F88" s="5" t="s">
        <v>535</v>
      </c>
      <c r="G88" s="5"/>
      <c r="H88" s="5"/>
      <c r="I88" s="28" t="s">
        <v>247</v>
      </c>
      <c r="J88" s="21"/>
      <c r="K88" s="21">
        <v>3357500</v>
      </c>
      <c r="L88" s="4">
        <f t="shared" si="2"/>
        <v>986110278</v>
      </c>
      <c r="M88" s="19"/>
    </row>
    <row r="89" spans="1:13" ht="18.75" customHeight="1">
      <c r="A89" s="6" t="str">
        <f t="shared" ref="A89:A104" si="4">D89&amp;E89</f>
        <v>C46</v>
      </c>
      <c r="B89" s="3">
        <v>41996</v>
      </c>
      <c r="C89" s="3">
        <v>41996</v>
      </c>
      <c r="D89" s="4"/>
      <c r="E89" s="22" t="s">
        <v>404</v>
      </c>
      <c r="F89" s="5" t="s">
        <v>523</v>
      </c>
      <c r="G89" s="5"/>
      <c r="H89" s="5"/>
      <c r="I89" s="28" t="s">
        <v>36</v>
      </c>
      <c r="J89" s="21"/>
      <c r="K89" s="21">
        <v>820000000</v>
      </c>
      <c r="L89" s="4">
        <f t="shared" si="2"/>
        <v>166110278</v>
      </c>
      <c r="M89" s="19"/>
    </row>
    <row r="90" spans="1:13" ht="18.75" customHeight="1">
      <c r="A90" s="6" t="str">
        <f t="shared" si="4"/>
        <v>C47</v>
      </c>
      <c r="B90" s="3">
        <v>41996</v>
      </c>
      <c r="C90" s="3">
        <v>41996</v>
      </c>
      <c r="D90" s="4"/>
      <c r="E90" s="22" t="s">
        <v>536</v>
      </c>
      <c r="F90" s="5" t="s">
        <v>537</v>
      </c>
      <c r="G90" s="5"/>
      <c r="H90" s="5"/>
      <c r="I90" s="28" t="s">
        <v>247</v>
      </c>
      <c r="J90" s="21"/>
      <c r="K90" s="21">
        <v>495455</v>
      </c>
      <c r="L90" s="4">
        <f t="shared" si="2"/>
        <v>165614823</v>
      </c>
      <c r="M90" s="19"/>
    </row>
    <row r="91" spans="1:13" ht="18.75" customHeight="1">
      <c r="A91" s="6" t="str">
        <f t="shared" si="4"/>
        <v>C47</v>
      </c>
      <c r="B91" s="3">
        <v>41996</v>
      </c>
      <c r="C91" s="3">
        <v>41996</v>
      </c>
      <c r="D91" s="4"/>
      <c r="E91" s="22" t="s">
        <v>536</v>
      </c>
      <c r="F91" s="5" t="s">
        <v>538</v>
      </c>
      <c r="G91" s="5"/>
      <c r="H91" s="5"/>
      <c r="I91" s="28" t="s">
        <v>35</v>
      </c>
      <c r="J91" s="21"/>
      <c r="K91" s="21">
        <v>49545</v>
      </c>
      <c r="L91" s="4">
        <f t="shared" si="2"/>
        <v>165565278</v>
      </c>
      <c r="M91" s="19"/>
    </row>
    <row r="92" spans="1:13" ht="18.75" customHeight="1">
      <c r="A92" s="6" t="str">
        <f t="shared" si="4"/>
        <v>C48</v>
      </c>
      <c r="B92" s="3">
        <v>41996</v>
      </c>
      <c r="C92" s="3">
        <v>41996</v>
      </c>
      <c r="D92" s="4"/>
      <c r="E92" s="22" t="s">
        <v>539</v>
      </c>
      <c r="F92" s="5" t="s">
        <v>45</v>
      </c>
      <c r="G92" s="5"/>
      <c r="H92" s="5"/>
      <c r="I92" s="28" t="s">
        <v>247</v>
      </c>
      <c r="J92" s="21"/>
      <c r="K92" s="21">
        <v>10000000</v>
      </c>
      <c r="L92" s="4">
        <f t="shared" si="2"/>
        <v>155565278</v>
      </c>
      <c r="M92" s="19"/>
    </row>
    <row r="93" spans="1:13" ht="18.75" customHeight="1">
      <c r="A93" s="6" t="str">
        <f t="shared" si="4"/>
        <v>C48</v>
      </c>
      <c r="B93" s="3">
        <v>41996</v>
      </c>
      <c r="C93" s="3">
        <v>41996</v>
      </c>
      <c r="D93" s="4"/>
      <c r="E93" s="22" t="s">
        <v>539</v>
      </c>
      <c r="F93" s="5" t="s">
        <v>46</v>
      </c>
      <c r="G93" s="5"/>
      <c r="H93" s="5"/>
      <c r="I93" s="28" t="s">
        <v>35</v>
      </c>
      <c r="J93" s="21"/>
      <c r="K93" s="21">
        <v>1000000</v>
      </c>
      <c r="L93" s="4">
        <f t="shared" si="2"/>
        <v>154565278</v>
      </c>
      <c r="M93" s="19"/>
    </row>
    <row r="94" spans="1:13" ht="18.75" customHeight="1">
      <c r="A94" s="6" t="str">
        <f t="shared" si="4"/>
        <v>T06</v>
      </c>
      <c r="B94" s="3">
        <v>41997</v>
      </c>
      <c r="C94" s="3">
        <v>41997</v>
      </c>
      <c r="D94" s="4" t="s">
        <v>44</v>
      </c>
      <c r="E94" s="22"/>
      <c r="F94" s="5" t="s">
        <v>61</v>
      </c>
      <c r="G94" s="5"/>
      <c r="H94" s="5"/>
      <c r="I94" s="28" t="s">
        <v>36</v>
      </c>
      <c r="J94" s="21">
        <v>1500000000</v>
      </c>
      <c r="K94" s="5"/>
      <c r="L94" s="4">
        <f t="shared" si="2"/>
        <v>1654565278</v>
      </c>
      <c r="M94" s="19"/>
    </row>
    <row r="95" spans="1:13" ht="18.75" customHeight="1">
      <c r="A95" s="6" t="str">
        <f t="shared" si="4"/>
        <v>C49</v>
      </c>
      <c r="B95" s="3">
        <v>41997</v>
      </c>
      <c r="C95" s="3">
        <v>41997</v>
      </c>
      <c r="D95" s="4"/>
      <c r="E95" s="22" t="s">
        <v>540</v>
      </c>
      <c r="F95" s="30" t="s">
        <v>260</v>
      </c>
      <c r="G95" s="50"/>
      <c r="H95" s="50"/>
      <c r="I95" s="28" t="s">
        <v>134</v>
      </c>
      <c r="J95" s="21"/>
      <c r="K95" s="21">
        <v>650000000</v>
      </c>
      <c r="L95" s="4">
        <f t="shared" si="2"/>
        <v>1004565278</v>
      </c>
      <c r="M95" s="19"/>
    </row>
    <row r="96" spans="1:13" ht="18.75" customHeight="1">
      <c r="A96" s="6" t="str">
        <f t="shared" si="4"/>
        <v>C50</v>
      </c>
      <c r="B96" s="3">
        <v>41999</v>
      </c>
      <c r="C96" s="3">
        <v>41999</v>
      </c>
      <c r="D96" s="4"/>
      <c r="E96" s="22" t="s">
        <v>541</v>
      </c>
      <c r="F96" s="5" t="s">
        <v>542</v>
      </c>
      <c r="G96" s="5"/>
      <c r="H96" s="5"/>
      <c r="I96" s="28" t="s">
        <v>247</v>
      </c>
      <c r="J96" s="21"/>
      <c r="K96" s="21">
        <v>4407680</v>
      </c>
      <c r="L96" s="4">
        <f t="shared" si="2"/>
        <v>1000157598</v>
      </c>
      <c r="M96" s="19"/>
    </row>
    <row r="97" spans="1:13" ht="18.75" customHeight="1">
      <c r="A97" s="6" t="str">
        <f t="shared" si="4"/>
        <v>C50</v>
      </c>
      <c r="B97" s="3">
        <v>41999</v>
      </c>
      <c r="C97" s="3">
        <v>41999</v>
      </c>
      <c r="D97" s="4"/>
      <c r="E97" s="22" t="s">
        <v>541</v>
      </c>
      <c r="F97" s="5" t="s">
        <v>543</v>
      </c>
      <c r="G97" s="5"/>
      <c r="H97" s="5"/>
      <c r="I97" s="28" t="s">
        <v>35</v>
      </c>
      <c r="J97" s="21"/>
      <c r="K97" s="21">
        <v>440768</v>
      </c>
      <c r="L97" s="4">
        <f t="shared" si="2"/>
        <v>999716830</v>
      </c>
      <c r="M97" s="19"/>
    </row>
    <row r="98" spans="1:13" ht="18.75" customHeight="1">
      <c r="A98" s="6" t="str">
        <f t="shared" si="4"/>
        <v>C51</v>
      </c>
      <c r="B98" s="3">
        <v>42000</v>
      </c>
      <c r="C98" s="3">
        <v>42000</v>
      </c>
      <c r="D98" s="4"/>
      <c r="E98" s="22" t="s">
        <v>544</v>
      </c>
      <c r="F98" s="5" t="s">
        <v>545</v>
      </c>
      <c r="G98" s="5"/>
      <c r="H98" s="5"/>
      <c r="I98" s="28" t="s">
        <v>247</v>
      </c>
      <c r="J98" s="21"/>
      <c r="K98" s="21">
        <v>16300000</v>
      </c>
      <c r="L98" s="4">
        <f t="shared" si="2"/>
        <v>983416830</v>
      </c>
      <c r="M98" s="19"/>
    </row>
    <row r="99" spans="1:13" ht="18.75" customHeight="1">
      <c r="A99" s="6" t="str">
        <f t="shared" si="4"/>
        <v>C51</v>
      </c>
      <c r="B99" s="3">
        <v>42000</v>
      </c>
      <c r="C99" s="3">
        <v>42000</v>
      </c>
      <c r="D99" s="4"/>
      <c r="E99" s="22" t="s">
        <v>544</v>
      </c>
      <c r="F99" s="5" t="s">
        <v>546</v>
      </c>
      <c r="G99" s="5"/>
      <c r="H99" s="5"/>
      <c r="I99" s="28" t="s">
        <v>35</v>
      </c>
      <c r="J99" s="21"/>
      <c r="K99" s="21">
        <v>1630000</v>
      </c>
      <c r="L99" s="4">
        <f t="shared" si="2"/>
        <v>981786830</v>
      </c>
      <c r="M99" s="19"/>
    </row>
    <row r="100" spans="1:13" ht="18.75" customHeight="1">
      <c r="A100" s="6" t="str">
        <f t="shared" si="4"/>
        <v>C52</v>
      </c>
      <c r="B100" s="3">
        <v>42002</v>
      </c>
      <c r="C100" s="3">
        <v>42002</v>
      </c>
      <c r="D100" s="4"/>
      <c r="E100" s="22" t="s">
        <v>547</v>
      </c>
      <c r="F100" s="5" t="s">
        <v>548</v>
      </c>
      <c r="G100" s="5"/>
      <c r="H100" s="5"/>
      <c r="I100" s="28" t="s">
        <v>247</v>
      </c>
      <c r="J100" s="21"/>
      <c r="K100" s="21">
        <v>14400000</v>
      </c>
      <c r="L100" s="4">
        <f t="shared" si="2"/>
        <v>967386830</v>
      </c>
      <c r="M100" s="19"/>
    </row>
    <row r="101" spans="1:13" ht="18.75" customHeight="1">
      <c r="A101" s="6" t="str">
        <f t="shared" si="4"/>
        <v>C52</v>
      </c>
      <c r="B101" s="3">
        <v>42002</v>
      </c>
      <c r="C101" s="3">
        <v>42002</v>
      </c>
      <c r="D101" s="4"/>
      <c r="E101" s="22" t="s">
        <v>547</v>
      </c>
      <c r="F101" s="5" t="s">
        <v>549</v>
      </c>
      <c r="G101" s="5"/>
      <c r="H101" s="5"/>
      <c r="I101" s="28" t="s">
        <v>35</v>
      </c>
      <c r="J101" s="21"/>
      <c r="K101" s="21">
        <v>1440000</v>
      </c>
      <c r="L101" s="4">
        <f t="shared" si="2"/>
        <v>965946830</v>
      </c>
      <c r="M101" s="19"/>
    </row>
    <row r="102" spans="1:13" ht="18.75" customHeight="1">
      <c r="A102" s="6" t="str">
        <f t="shared" si="4"/>
        <v>C53</v>
      </c>
      <c r="B102" s="3">
        <v>42002</v>
      </c>
      <c r="C102" s="3">
        <v>42002</v>
      </c>
      <c r="D102" s="4"/>
      <c r="E102" s="22" t="s">
        <v>550</v>
      </c>
      <c r="F102" s="30" t="s">
        <v>260</v>
      </c>
      <c r="G102" s="50"/>
      <c r="H102" s="50"/>
      <c r="I102" s="28" t="s">
        <v>134</v>
      </c>
      <c r="J102" s="21"/>
      <c r="K102" s="21">
        <v>650000000</v>
      </c>
      <c r="L102" s="4">
        <f t="shared" si="2"/>
        <v>315946830</v>
      </c>
      <c r="M102" s="19"/>
    </row>
    <row r="103" spans="1:13" ht="18.75" customHeight="1">
      <c r="A103" s="6" t="str">
        <f t="shared" si="4"/>
        <v>T07</v>
      </c>
      <c r="B103" s="3">
        <v>42003</v>
      </c>
      <c r="C103" s="3">
        <v>42003</v>
      </c>
      <c r="D103" s="4" t="s">
        <v>58</v>
      </c>
      <c r="E103" s="22"/>
      <c r="F103" s="5" t="s">
        <v>61</v>
      </c>
      <c r="G103" s="5"/>
      <c r="H103" s="5"/>
      <c r="I103" s="28" t="s">
        <v>36</v>
      </c>
      <c r="J103" s="21">
        <v>390000000</v>
      </c>
      <c r="K103" s="5"/>
      <c r="L103" s="4">
        <f t="shared" si="2"/>
        <v>705946830</v>
      </c>
      <c r="M103" s="19"/>
    </row>
    <row r="104" spans="1:13" ht="18.75" customHeight="1">
      <c r="A104" s="6" t="str">
        <f t="shared" si="4"/>
        <v>C54</v>
      </c>
      <c r="B104" s="3">
        <v>42003</v>
      </c>
      <c r="C104" s="3">
        <v>42003</v>
      </c>
      <c r="D104" s="4"/>
      <c r="E104" s="22" t="s">
        <v>551</v>
      </c>
      <c r="F104" s="30" t="s">
        <v>259</v>
      </c>
      <c r="G104" s="50"/>
      <c r="H104" s="50"/>
      <c r="I104" s="28" t="s">
        <v>134</v>
      </c>
      <c r="J104" s="21"/>
      <c r="K104" s="21">
        <v>550000000</v>
      </c>
      <c r="L104" s="4">
        <f t="shared" si="2"/>
        <v>155946830</v>
      </c>
      <c r="M104" s="19"/>
    </row>
    <row r="105" spans="1:13" ht="18.75" customHeight="1">
      <c r="A105" s="6" t="str">
        <f t="shared" ref="A105:A119" si="5">D105&amp;E105</f>
        <v>C55</v>
      </c>
      <c r="B105" s="3">
        <v>42003</v>
      </c>
      <c r="C105" s="3">
        <v>42003</v>
      </c>
      <c r="D105" s="4"/>
      <c r="E105" s="22" t="s">
        <v>552</v>
      </c>
      <c r="F105" s="5" t="s">
        <v>50</v>
      </c>
      <c r="G105" s="5"/>
      <c r="H105" s="5"/>
      <c r="I105" s="28" t="s">
        <v>247</v>
      </c>
      <c r="J105" s="21"/>
      <c r="K105" s="21">
        <v>1596000</v>
      </c>
      <c r="L105" s="4">
        <f t="shared" si="2"/>
        <v>154350830</v>
      </c>
      <c r="M105" s="19"/>
    </row>
    <row r="106" spans="1:13" ht="18.75" customHeight="1">
      <c r="A106" s="6" t="str">
        <f t="shared" si="5"/>
        <v>C55</v>
      </c>
      <c r="B106" s="3">
        <v>42003</v>
      </c>
      <c r="C106" s="3">
        <v>42003</v>
      </c>
      <c r="D106" s="4"/>
      <c r="E106" s="22" t="s">
        <v>552</v>
      </c>
      <c r="F106" s="5" t="s">
        <v>56</v>
      </c>
      <c r="G106" s="5"/>
      <c r="H106" s="5"/>
      <c r="I106" s="28" t="s">
        <v>35</v>
      </c>
      <c r="J106" s="21"/>
      <c r="K106" s="21">
        <v>159600</v>
      </c>
      <c r="L106" s="4">
        <f t="shared" si="2"/>
        <v>154191230</v>
      </c>
      <c r="M106" s="19"/>
    </row>
    <row r="107" spans="1:13" ht="18.75" customHeight="1">
      <c r="A107" s="6" t="str">
        <f t="shared" si="5"/>
        <v>C56</v>
      </c>
      <c r="B107" s="3">
        <v>42003</v>
      </c>
      <c r="C107" s="3">
        <v>42003</v>
      </c>
      <c r="D107" s="4"/>
      <c r="E107" s="22" t="s">
        <v>553</v>
      </c>
      <c r="F107" s="5" t="s">
        <v>258</v>
      </c>
      <c r="G107" s="5"/>
      <c r="H107" s="5"/>
      <c r="I107" s="28" t="s">
        <v>34</v>
      </c>
      <c r="J107" s="21"/>
      <c r="K107" s="21">
        <v>5742000</v>
      </c>
      <c r="L107" s="4">
        <f t="shared" si="2"/>
        <v>148449230</v>
      </c>
      <c r="M107" s="19"/>
    </row>
    <row r="108" spans="1:13" ht="18.75" customHeight="1">
      <c r="A108" s="6" t="str">
        <f t="shared" si="5"/>
        <v>C57</v>
      </c>
      <c r="B108" s="3">
        <v>42003</v>
      </c>
      <c r="C108" s="3">
        <v>42003</v>
      </c>
      <c r="D108" s="4"/>
      <c r="E108" s="22" t="s">
        <v>554</v>
      </c>
      <c r="F108" s="5" t="s">
        <v>295</v>
      </c>
      <c r="G108" s="5"/>
      <c r="H108" s="5"/>
      <c r="I108" s="28" t="s">
        <v>34</v>
      </c>
      <c r="J108" s="21"/>
      <c r="K108" s="21">
        <v>11689999</v>
      </c>
      <c r="L108" s="4">
        <f t="shared" si="2"/>
        <v>136759231</v>
      </c>
      <c r="M108" s="19"/>
    </row>
    <row r="109" spans="1:13" ht="18.75" customHeight="1">
      <c r="A109" s="6" t="str">
        <f t="shared" si="5"/>
        <v>T08</v>
      </c>
      <c r="B109" s="3">
        <v>42004</v>
      </c>
      <c r="C109" s="3">
        <v>42004</v>
      </c>
      <c r="D109" s="4" t="s">
        <v>60</v>
      </c>
      <c r="E109" s="22"/>
      <c r="F109" s="5" t="s">
        <v>61</v>
      </c>
      <c r="G109" s="5"/>
      <c r="H109" s="5"/>
      <c r="I109" s="28" t="s">
        <v>36</v>
      </c>
      <c r="J109" s="21">
        <v>930000000</v>
      </c>
      <c r="K109" s="5"/>
      <c r="L109" s="4">
        <f t="shared" ref="L109:L124" si="6">IF(F109&lt;&gt;"",L108+J109-K109,0)</f>
        <v>1066759231</v>
      </c>
      <c r="M109" s="19"/>
    </row>
    <row r="110" spans="1:13" ht="18.75" customHeight="1">
      <c r="A110" s="6" t="str">
        <f t="shared" si="5"/>
        <v>C58</v>
      </c>
      <c r="B110" s="3">
        <v>42004</v>
      </c>
      <c r="C110" s="3">
        <v>41995</v>
      </c>
      <c r="D110" s="4"/>
      <c r="E110" s="22" t="s">
        <v>555</v>
      </c>
      <c r="F110" s="5" t="s">
        <v>556</v>
      </c>
      <c r="G110" s="5"/>
      <c r="H110" s="5"/>
      <c r="I110" s="28" t="s">
        <v>256</v>
      </c>
      <c r="J110" s="21"/>
      <c r="K110" s="21">
        <f>345455+231818+250000+345455+440909</f>
        <v>1613637</v>
      </c>
      <c r="L110" s="4">
        <f t="shared" si="6"/>
        <v>1065145594</v>
      </c>
      <c r="M110" s="19"/>
    </row>
    <row r="111" spans="1:13" ht="18.75" customHeight="1">
      <c r="A111" s="6" t="str">
        <f t="shared" ref="A111:A117" si="7">D111&amp;E111</f>
        <v>C58</v>
      </c>
      <c r="B111" s="3">
        <v>42004</v>
      </c>
      <c r="C111" s="3">
        <v>41995</v>
      </c>
      <c r="D111" s="4"/>
      <c r="E111" s="22" t="s">
        <v>555</v>
      </c>
      <c r="F111" s="5" t="s">
        <v>557</v>
      </c>
      <c r="G111" s="5"/>
      <c r="H111" s="5"/>
      <c r="I111" s="28" t="s">
        <v>35</v>
      </c>
      <c r="J111" s="21"/>
      <c r="K111" s="21">
        <f>34545+23182+25000+34545+44091</f>
        <v>161363</v>
      </c>
      <c r="L111" s="4">
        <f t="shared" si="6"/>
        <v>1064984231</v>
      </c>
      <c r="M111" s="19"/>
    </row>
    <row r="112" spans="1:13" ht="18.75" customHeight="1">
      <c r="A112" s="6" t="str">
        <f t="shared" si="7"/>
        <v>C59</v>
      </c>
      <c r="B112" s="3">
        <v>42004</v>
      </c>
      <c r="C112" s="3">
        <v>42004</v>
      </c>
      <c r="D112" s="4"/>
      <c r="E112" s="22" t="s">
        <v>558</v>
      </c>
      <c r="F112" s="5" t="s">
        <v>522</v>
      </c>
      <c r="G112" s="5"/>
      <c r="H112" s="5"/>
      <c r="I112" s="28" t="s">
        <v>247</v>
      </c>
      <c r="J112" s="21"/>
      <c r="K112" s="21">
        <f>276327+722400</f>
        <v>998727</v>
      </c>
      <c r="L112" s="4">
        <f t="shared" si="6"/>
        <v>1063985504</v>
      </c>
      <c r="M112" s="19"/>
    </row>
    <row r="113" spans="1:13" ht="18.75" customHeight="1">
      <c r="A113" s="6" t="str">
        <f t="shared" si="7"/>
        <v>C59</v>
      </c>
      <c r="B113" s="3">
        <v>42004</v>
      </c>
      <c r="C113" s="3">
        <v>42004</v>
      </c>
      <c r="D113" s="4"/>
      <c r="E113" s="22" t="s">
        <v>558</v>
      </c>
      <c r="F113" s="5" t="s">
        <v>133</v>
      </c>
      <c r="G113" s="5"/>
      <c r="H113" s="5"/>
      <c r="I113" s="28" t="s">
        <v>35</v>
      </c>
      <c r="J113" s="21"/>
      <c r="K113" s="21">
        <f>27633+72240</f>
        <v>99873</v>
      </c>
      <c r="L113" s="4">
        <f t="shared" si="6"/>
        <v>1063885631</v>
      </c>
      <c r="M113" s="19"/>
    </row>
    <row r="114" spans="1:13" ht="18.75" customHeight="1">
      <c r="A114" s="6" t="str">
        <f t="shared" si="7"/>
        <v>C60</v>
      </c>
      <c r="B114" s="3">
        <v>42004</v>
      </c>
      <c r="C114" s="3">
        <v>42004</v>
      </c>
      <c r="D114" s="4"/>
      <c r="E114" s="22" t="s">
        <v>559</v>
      </c>
      <c r="F114" s="5" t="s">
        <v>507</v>
      </c>
      <c r="G114" s="5"/>
      <c r="H114" s="5"/>
      <c r="I114" s="28" t="s">
        <v>247</v>
      </c>
      <c r="J114" s="21"/>
      <c r="K114" s="21">
        <v>500000</v>
      </c>
      <c r="L114" s="4">
        <f t="shared" si="6"/>
        <v>1063385631</v>
      </c>
      <c r="M114" s="19"/>
    </row>
    <row r="115" spans="1:13" ht="18.75" customHeight="1">
      <c r="A115" s="6" t="str">
        <f t="shared" si="7"/>
        <v>C61</v>
      </c>
      <c r="B115" s="3">
        <v>42004</v>
      </c>
      <c r="C115" s="3">
        <v>42004</v>
      </c>
      <c r="D115" s="4"/>
      <c r="E115" s="22" t="s">
        <v>560</v>
      </c>
      <c r="F115" s="5" t="s">
        <v>561</v>
      </c>
      <c r="G115" s="5"/>
      <c r="H115" s="5"/>
      <c r="I115" s="28" t="s">
        <v>256</v>
      </c>
      <c r="J115" s="21"/>
      <c r="K115" s="21">
        <v>336357</v>
      </c>
      <c r="L115" s="4">
        <f t="shared" si="6"/>
        <v>1063049274</v>
      </c>
      <c r="M115" s="19"/>
    </row>
    <row r="116" spans="1:13" ht="18.75" customHeight="1">
      <c r="A116" s="6" t="str">
        <f t="shared" si="7"/>
        <v>C61</v>
      </c>
      <c r="B116" s="3">
        <v>42004</v>
      </c>
      <c r="C116" s="3">
        <v>42004</v>
      </c>
      <c r="D116" s="4"/>
      <c r="E116" s="22" t="s">
        <v>560</v>
      </c>
      <c r="F116" s="5" t="s">
        <v>562</v>
      </c>
      <c r="G116" s="5"/>
      <c r="H116" s="5"/>
      <c r="I116" s="28" t="s">
        <v>35</v>
      </c>
      <c r="J116" s="21"/>
      <c r="K116" s="21">
        <v>33636</v>
      </c>
      <c r="L116" s="4">
        <f t="shared" si="6"/>
        <v>1063015638</v>
      </c>
      <c r="M116" s="19"/>
    </row>
    <row r="117" spans="1:13" ht="18.75" customHeight="1">
      <c r="A117" s="6" t="str">
        <f t="shared" si="7"/>
        <v>C62</v>
      </c>
      <c r="B117" s="3">
        <v>42004</v>
      </c>
      <c r="C117" s="3">
        <v>42004</v>
      </c>
      <c r="D117" s="4"/>
      <c r="E117" s="22" t="s">
        <v>563</v>
      </c>
      <c r="F117" s="5" t="s">
        <v>564</v>
      </c>
      <c r="G117" s="5"/>
      <c r="H117" s="5"/>
      <c r="I117" s="28" t="s">
        <v>247</v>
      </c>
      <c r="J117" s="21"/>
      <c r="K117" s="21">
        <v>102809</v>
      </c>
      <c r="L117" s="4">
        <f t="shared" si="6"/>
        <v>1062912829</v>
      </c>
      <c r="M117" s="19"/>
    </row>
    <row r="118" spans="1:13" ht="18.75" customHeight="1">
      <c r="A118" s="6" t="str">
        <f t="shared" si="5"/>
        <v>C62</v>
      </c>
      <c r="B118" s="3">
        <v>42004</v>
      </c>
      <c r="C118" s="3">
        <v>42004</v>
      </c>
      <c r="D118" s="4"/>
      <c r="E118" s="22" t="s">
        <v>563</v>
      </c>
      <c r="F118" s="5" t="s">
        <v>565</v>
      </c>
      <c r="G118" s="5"/>
      <c r="H118" s="5"/>
      <c r="I118" s="28" t="s">
        <v>35</v>
      </c>
      <c r="J118" s="21"/>
      <c r="K118" s="21">
        <v>10281</v>
      </c>
      <c r="L118" s="4">
        <f t="shared" si="6"/>
        <v>1062902548</v>
      </c>
      <c r="M118" s="19"/>
    </row>
    <row r="119" spans="1:13" ht="18.75" customHeight="1">
      <c r="A119" s="6" t="str">
        <f t="shared" si="5"/>
        <v>C63</v>
      </c>
      <c r="B119" s="3">
        <v>42004</v>
      </c>
      <c r="C119" s="3">
        <v>42004</v>
      </c>
      <c r="D119" s="4"/>
      <c r="E119" s="22" t="s">
        <v>566</v>
      </c>
      <c r="F119" s="5" t="s">
        <v>567</v>
      </c>
      <c r="G119" s="5"/>
      <c r="H119" s="5"/>
      <c r="I119" s="28" t="s">
        <v>247</v>
      </c>
      <c r="J119" s="21"/>
      <c r="K119" s="21">
        <v>5244225</v>
      </c>
      <c r="L119" s="4">
        <f t="shared" si="6"/>
        <v>1057658323</v>
      </c>
      <c r="M119" s="19"/>
    </row>
    <row r="120" spans="1:13" ht="18.75" customHeight="1">
      <c r="A120" s="6" t="str">
        <f t="shared" si="3"/>
        <v>C63</v>
      </c>
      <c r="B120" s="3">
        <v>42004</v>
      </c>
      <c r="C120" s="3">
        <v>42004</v>
      </c>
      <c r="D120" s="4"/>
      <c r="E120" s="22" t="s">
        <v>566</v>
      </c>
      <c r="F120" s="5" t="s">
        <v>568</v>
      </c>
      <c r="G120" s="5"/>
      <c r="H120" s="5"/>
      <c r="I120" s="28" t="s">
        <v>35</v>
      </c>
      <c r="J120" s="21"/>
      <c r="K120" s="21">
        <v>208292</v>
      </c>
      <c r="L120" s="4">
        <f t="shared" si="6"/>
        <v>1057450031</v>
      </c>
      <c r="M120" s="19"/>
    </row>
    <row r="121" spans="1:13" ht="18.75" customHeight="1">
      <c r="A121" s="6" t="str">
        <f t="shared" si="3"/>
        <v>C63</v>
      </c>
      <c r="B121" s="3">
        <v>42004</v>
      </c>
      <c r="C121" s="3">
        <v>42004</v>
      </c>
      <c r="D121" s="4"/>
      <c r="E121" s="22" t="s">
        <v>566</v>
      </c>
      <c r="F121" s="5" t="s">
        <v>490</v>
      </c>
      <c r="G121" s="5"/>
      <c r="H121" s="5"/>
      <c r="I121" s="28" t="s">
        <v>247</v>
      </c>
      <c r="J121" s="21"/>
      <c r="K121" s="21">
        <v>550000</v>
      </c>
      <c r="L121" s="4">
        <f t="shared" si="6"/>
        <v>1056900031</v>
      </c>
      <c r="M121" s="19"/>
    </row>
    <row r="122" spans="1:13" ht="18.75" customHeight="1">
      <c r="A122" s="6" t="str">
        <f t="shared" si="3"/>
        <v>C63</v>
      </c>
      <c r="B122" s="3">
        <v>42004</v>
      </c>
      <c r="C122" s="3">
        <v>42004</v>
      </c>
      <c r="D122" s="4"/>
      <c r="E122" s="22" t="s">
        <v>566</v>
      </c>
      <c r="F122" s="5" t="s">
        <v>569</v>
      </c>
      <c r="G122" s="5"/>
      <c r="H122" s="5"/>
      <c r="I122" s="28" t="s">
        <v>35</v>
      </c>
      <c r="J122" s="21"/>
      <c r="K122" s="21">
        <v>28930</v>
      </c>
      <c r="L122" s="4">
        <f t="shared" si="6"/>
        <v>1056871101</v>
      </c>
      <c r="M122" s="19"/>
    </row>
    <row r="123" spans="1:13" ht="18.75" customHeight="1">
      <c r="A123" s="6" t="str">
        <f t="shared" si="3"/>
        <v>C64</v>
      </c>
      <c r="B123" s="3">
        <v>42004</v>
      </c>
      <c r="C123" s="3">
        <v>42004</v>
      </c>
      <c r="D123" s="22"/>
      <c r="E123" s="22" t="s">
        <v>570</v>
      </c>
      <c r="F123" s="5" t="s">
        <v>571</v>
      </c>
      <c r="G123" s="5"/>
      <c r="H123" s="5"/>
      <c r="I123" s="28" t="s">
        <v>37</v>
      </c>
      <c r="J123" s="21"/>
      <c r="K123" s="21">
        <v>144996989</v>
      </c>
      <c r="L123" s="4">
        <f t="shared" si="6"/>
        <v>911874112</v>
      </c>
      <c r="M123" s="19"/>
    </row>
    <row r="124" spans="1:13" ht="18.75" customHeight="1">
      <c r="A124" s="6" t="str">
        <f t="shared" si="3"/>
        <v>T09</v>
      </c>
      <c r="B124" s="3">
        <v>42004</v>
      </c>
      <c r="C124" s="3">
        <v>42004</v>
      </c>
      <c r="D124" s="4" t="s">
        <v>69</v>
      </c>
      <c r="E124" s="22"/>
      <c r="F124" s="5" t="s">
        <v>572</v>
      </c>
      <c r="G124" s="5"/>
      <c r="H124" s="5"/>
      <c r="I124" s="28" t="s">
        <v>134</v>
      </c>
      <c r="J124" s="21">
        <v>33776500</v>
      </c>
      <c r="K124" s="21"/>
      <c r="L124" s="4">
        <f t="shared" si="6"/>
        <v>945650612</v>
      </c>
      <c r="M124" s="19"/>
    </row>
    <row r="125" spans="1:13" ht="18.75" customHeight="1">
      <c r="A125" s="6" t="str">
        <f t="shared" si="3"/>
        <v>T10</v>
      </c>
      <c r="B125" s="3">
        <v>42004</v>
      </c>
      <c r="C125" s="3">
        <v>42004</v>
      </c>
      <c r="D125" s="4" t="s">
        <v>573</v>
      </c>
      <c r="E125" s="22"/>
      <c r="F125" s="5" t="s">
        <v>574</v>
      </c>
      <c r="G125" s="5"/>
      <c r="H125" s="5"/>
      <c r="I125" s="28" t="s">
        <v>134</v>
      </c>
      <c r="J125" s="21">
        <v>45296500</v>
      </c>
      <c r="K125" s="21"/>
      <c r="L125" s="4">
        <f t="shared" ref="L125" si="8">IF(F125&lt;&gt;"",L124+J125-K125,0)</f>
        <v>990947112</v>
      </c>
      <c r="M125" s="19"/>
    </row>
    <row r="126" spans="1:13" ht="18.75" customHeight="1">
      <c r="B126" s="3"/>
      <c r="C126" s="3"/>
      <c r="D126" s="4"/>
      <c r="E126" s="22"/>
      <c r="F126" s="5"/>
      <c r="G126" s="5"/>
      <c r="H126" s="5"/>
      <c r="I126" s="28"/>
      <c r="J126" s="21"/>
      <c r="K126" s="21"/>
      <c r="L126" s="4"/>
      <c r="M126" s="19"/>
    </row>
    <row r="127" spans="1:13" ht="17.25" customHeight="1">
      <c r="B127" s="19"/>
      <c r="C127" s="19"/>
      <c r="D127" s="19"/>
      <c r="E127" s="19"/>
      <c r="F127" s="19" t="s">
        <v>29</v>
      </c>
      <c r="G127" s="19"/>
      <c r="H127" s="19"/>
      <c r="I127" s="4" t="s">
        <v>30</v>
      </c>
      <c r="J127" s="19">
        <f>SUM(J13:J125)</f>
        <v>8457053000</v>
      </c>
      <c r="K127" s="19">
        <f>SUM(K13:K125)</f>
        <v>9457624843</v>
      </c>
      <c r="L127" s="4" t="s">
        <v>30</v>
      </c>
      <c r="M127" s="4" t="s">
        <v>30</v>
      </c>
    </row>
    <row r="128" spans="1:13" ht="17.25" customHeight="1">
      <c r="B128" s="25"/>
      <c r="C128" s="25"/>
      <c r="D128" s="25"/>
      <c r="E128" s="25"/>
      <c r="F128" s="25" t="s">
        <v>31</v>
      </c>
      <c r="G128" s="25"/>
      <c r="H128" s="25"/>
      <c r="I128" s="26" t="s">
        <v>30</v>
      </c>
      <c r="J128" s="26" t="s">
        <v>30</v>
      </c>
      <c r="K128" s="26" t="s">
        <v>30</v>
      </c>
      <c r="L128" s="25">
        <f>L12+J127-K127</f>
        <v>990947112</v>
      </c>
      <c r="M128" s="26" t="s">
        <v>30</v>
      </c>
    </row>
    <row r="130" spans="2:12">
      <c r="B130" s="27" t="s">
        <v>47</v>
      </c>
    </row>
    <row r="131" spans="2:12">
      <c r="B131" s="27" t="s">
        <v>63</v>
      </c>
    </row>
    <row r="132" spans="2:12">
      <c r="L132" s="8" t="s">
        <v>62</v>
      </c>
    </row>
    <row r="133" spans="2:12" s="7" customFormat="1" ht="14.25">
      <c r="C133" s="7" t="s">
        <v>33</v>
      </c>
      <c r="F133" s="7" t="s">
        <v>13</v>
      </c>
      <c r="L133" s="7" t="s">
        <v>14</v>
      </c>
    </row>
    <row r="134" spans="2:12" s="2" customFormat="1">
      <c r="C134" s="2" t="s">
        <v>15</v>
      </c>
      <c r="F134" s="2" t="s">
        <v>15</v>
      </c>
      <c r="L134" s="2" t="s">
        <v>16</v>
      </c>
    </row>
  </sheetData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enableFormatConditionsCalculation="0">
    <tabColor indexed="10"/>
  </sheetPr>
  <dimension ref="A1:N748"/>
  <sheetViews>
    <sheetView tabSelected="1" topLeftCell="A8" workbookViewId="0">
      <pane ySplit="4" topLeftCell="A735" activePane="bottomLeft" state="frozen"/>
      <selection activeCell="E186" sqref="E186"/>
      <selection pane="bottomLeft" activeCell="E600" sqref="E600"/>
    </sheetView>
  </sheetViews>
  <sheetFormatPr defaultRowHeight="15.75"/>
  <cols>
    <col min="1" max="1" width="3.5703125" style="183" customWidth="1"/>
    <col min="2" max="2" width="9" style="184" customWidth="1"/>
    <col min="3" max="3" width="5.42578125" style="185" customWidth="1"/>
    <col min="4" max="4" width="9.5703125" style="184" customWidth="1"/>
    <col min="5" max="5" width="43.85546875" style="186" customWidth="1"/>
    <col min="6" max="6" width="10.140625" style="186" customWidth="1"/>
    <col min="7" max="7" width="6.5703125" style="183" customWidth="1"/>
    <col min="8" max="10" width="15.28515625" style="183" customWidth="1"/>
    <col min="11" max="11" width="6.42578125" style="183" customWidth="1"/>
    <col min="12" max="12" width="10.7109375" style="183" bestFit="1" customWidth="1"/>
    <col min="13" max="13" width="9.85546875" style="183" bestFit="1" customWidth="1"/>
    <col min="14" max="16384" width="9.140625" style="183"/>
  </cols>
  <sheetData>
    <row r="1" spans="1:14" s="126" customFormat="1" ht="16.5" customHeight="1">
      <c r="B1" s="127" t="s">
        <v>142</v>
      </c>
      <c r="C1" s="128"/>
      <c r="D1" s="129"/>
      <c r="E1" s="130"/>
      <c r="F1" s="130"/>
      <c r="I1" s="404" t="s">
        <v>143</v>
      </c>
      <c r="J1" s="404"/>
      <c r="K1" s="404"/>
      <c r="L1" s="131"/>
      <c r="M1" s="131"/>
    </row>
    <row r="2" spans="1:14" s="126" customFormat="1" ht="16.5" customHeight="1">
      <c r="B2" s="403" t="s">
        <v>144</v>
      </c>
      <c r="C2" s="403"/>
      <c r="D2" s="403"/>
      <c r="E2" s="403"/>
      <c r="F2" s="132"/>
      <c r="I2" s="405" t="s">
        <v>145</v>
      </c>
      <c r="J2" s="405"/>
      <c r="K2" s="405"/>
      <c r="L2" s="133"/>
      <c r="M2" s="133"/>
    </row>
    <row r="3" spans="1:14" s="126" customFormat="1" ht="16.5" customHeight="1">
      <c r="B3" s="403"/>
      <c r="C3" s="403"/>
      <c r="D3" s="403"/>
      <c r="E3" s="403"/>
      <c r="F3" s="132"/>
      <c r="I3" s="405" t="s">
        <v>146</v>
      </c>
      <c r="J3" s="405"/>
      <c r="K3" s="405"/>
    </row>
    <row r="4" spans="1:14" s="126" customFormat="1" ht="19.5" customHeight="1">
      <c r="B4" s="406" t="s">
        <v>147</v>
      </c>
      <c r="C4" s="406"/>
      <c r="D4" s="406"/>
      <c r="E4" s="406"/>
      <c r="F4" s="406"/>
      <c r="G4" s="406"/>
      <c r="H4" s="406"/>
      <c r="I4" s="406"/>
      <c r="J4" s="406"/>
      <c r="K4" s="406"/>
    </row>
    <row r="5" spans="1:14" s="126" customFormat="1" ht="15">
      <c r="B5" s="405" t="s">
        <v>148</v>
      </c>
      <c r="C5" s="405"/>
      <c r="D5" s="405"/>
      <c r="E5" s="405"/>
      <c r="F5" s="405"/>
      <c r="G5" s="405"/>
      <c r="H5" s="405"/>
      <c r="I5" s="405"/>
      <c r="J5" s="405"/>
      <c r="K5" s="405"/>
    </row>
    <row r="6" spans="1:14" s="126" customFormat="1" ht="15">
      <c r="B6" s="405" t="s">
        <v>149</v>
      </c>
      <c r="C6" s="405"/>
      <c r="D6" s="405"/>
      <c r="E6" s="405"/>
      <c r="F6" s="405"/>
      <c r="G6" s="405"/>
      <c r="H6" s="405"/>
      <c r="I6" s="405"/>
      <c r="J6" s="405"/>
      <c r="K6" s="405"/>
    </row>
    <row r="7" spans="1:14" s="126" customFormat="1" ht="5.25" customHeight="1">
      <c r="B7" s="134"/>
      <c r="C7" s="133"/>
      <c r="D7" s="134"/>
      <c r="E7" s="135"/>
      <c r="F7" s="135"/>
      <c r="G7" s="133"/>
      <c r="H7" s="133"/>
      <c r="I7" s="133"/>
      <c r="J7" s="133"/>
      <c r="K7" s="133"/>
    </row>
    <row r="8" spans="1:14" s="143" customFormat="1" ht="17.25" customHeight="1">
      <c r="A8" s="401" t="s">
        <v>126</v>
      </c>
      <c r="B8" s="407" t="s">
        <v>150</v>
      </c>
      <c r="C8" s="409" t="s">
        <v>151</v>
      </c>
      <c r="D8" s="410"/>
      <c r="E8" s="413" t="s">
        <v>3</v>
      </c>
      <c r="F8" s="142"/>
      <c r="G8" s="413" t="s">
        <v>22</v>
      </c>
      <c r="H8" s="415" t="s">
        <v>78</v>
      </c>
      <c r="I8" s="409"/>
      <c r="J8" s="410"/>
      <c r="K8" s="413" t="s">
        <v>4</v>
      </c>
    </row>
    <row r="9" spans="1:14" s="143" customFormat="1" ht="29.25" customHeight="1">
      <c r="A9" s="402"/>
      <c r="B9" s="408"/>
      <c r="C9" s="141" t="s">
        <v>152</v>
      </c>
      <c r="D9" s="144" t="s">
        <v>153</v>
      </c>
      <c r="E9" s="414"/>
      <c r="F9" s="145"/>
      <c r="G9" s="414"/>
      <c r="H9" s="142" t="s">
        <v>154</v>
      </c>
      <c r="I9" s="142" t="s">
        <v>155</v>
      </c>
      <c r="J9" s="142" t="s">
        <v>156</v>
      </c>
      <c r="K9" s="414"/>
    </row>
    <row r="10" spans="1:14" s="149" customFormat="1" ht="12">
      <c r="A10" s="146"/>
      <c r="B10" s="147" t="s">
        <v>7</v>
      </c>
      <c r="C10" s="148" t="s">
        <v>8</v>
      </c>
      <c r="D10" s="147" t="s">
        <v>9</v>
      </c>
      <c r="E10" s="148" t="s">
        <v>10</v>
      </c>
      <c r="F10" s="148"/>
      <c r="G10" s="148" t="s">
        <v>11</v>
      </c>
      <c r="H10" s="148">
        <v>1</v>
      </c>
      <c r="I10" s="148">
        <v>2</v>
      </c>
      <c r="J10" s="148">
        <v>3</v>
      </c>
      <c r="K10" s="148" t="s">
        <v>27</v>
      </c>
    </row>
    <row r="11" spans="1:14" s="143" customFormat="1" ht="17.25" customHeight="1">
      <c r="A11" s="150"/>
      <c r="B11" s="151"/>
      <c r="C11" s="152"/>
      <c r="D11" s="151"/>
      <c r="E11" s="153" t="s">
        <v>157</v>
      </c>
      <c r="F11" s="153"/>
      <c r="G11" s="154"/>
      <c r="H11" s="155"/>
      <c r="I11" s="154"/>
      <c r="J11" s="155">
        <v>100446725</v>
      </c>
      <c r="K11" s="154"/>
      <c r="L11" s="156">
        <f>J11+'Q4-VND'!J11+M11</f>
        <v>100557234</v>
      </c>
      <c r="M11" s="157">
        <v>109992</v>
      </c>
      <c r="N11" s="143" t="s">
        <v>158</v>
      </c>
    </row>
    <row r="12" spans="1:14" s="143" customFormat="1" ht="19.5" customHeight="1">
      <c r="A12" s="143">
        <f t="shared" ref="A12:A75" si="0">IF(B12&lt;&gt;"",MONTH(B12),"")</f>
        <v>1</v>
      </c>
      <c r="B12" s="158">
        <v>41641</v>
      </c>
      <c r="C12" s="159" t="s">
        <v>160</v>
      </c>
      <c r="D12" s="158">
        <v>41641</v>
      </c>
      <c r="E12" s="160" t="s">
        <v>164</v>
      </c>
      <c r="F12" s="160"/>
      <c r="G12" s="161" t="s">
        <v>162</v>
      </c>
      <c r="H12" s="162">
        <v>101208000</v>
      </c>
      <c r="I12" s="162"/>
      <c r="J12" s="163">
        <f>IF(B12&lt;&gt;"",J11+H12-I12,0)</f>
        <v>201654725</v>
      </c>
      <c r="K12" s="163"/>
    </row>
    <row r="13" spans="1:14" s="143" customFormat="1" ht="19.5" customHeight="1">
      <c r="A13" s="143">
        <f t="shared" si="0"/>
        <v>1</v>
      </c>
      <c r="B13" s="158">
        <v>41641</v>
      </c>
      <c r="C13" s="159" t="s">
        <v>160</v>
      </c>
      <c r="D13" s="158">
        <v>41641</v>
      </c>
      <c r="E13" s="160" t="s">
        <v>575</v>
      </c>
      <c r="F13" s="160"/>
      <c r="G13" s="159" t="s">
        <v>57</v>
      </c>
      <c r="H13" s="162"/>
      <c r="I13" s="162">
        <v>58000000</v>
      </c>
      <c r="J13" s="163">
        <f t="shared" ref="J13:J76" si="1">IF(B13&lt;&gt;"",J12+H13-I13,0)</f>
        <v>143654725</v>
      </c>
      <c r="K13" s="163"/>
    </row>
    <row r="14" spans="1:14" s="143" customFormat="1" ht="19.5" customHeight="1">
      <c r="A14" s="143">
        <f t="shared" si="0"/>
        <v>1</v>
      </c>
      <c r="B14" s="158">
        <v>41641</v>
      </c>
      <c r="C14" s="159" t="s">
        <v>160</v>
      </c>
      <c r="D14" s="158">
        <v>41641</v>
      </c>
      <c r="E14" s="160" t="s">
        <v>576</v>
      </c>
      <c r="F14" s="160"/>
      <c r="G14" s="161" t="s">
        <v>34</v>
      </c>
      <c r="H14" s="162"/>
      <c r="I14" s="162">
        <v>36671250</v>
      </c>
      <c r="J14" s="163">
        <f t="shared" si="1"/>
        <v>106983475</v>
      </c>
      <c r="K14" s="163"/>
    </row>
    <row r="15" spans="1:14" s="143" customFormat="1" ht="19.5" customHeight="1">
      <c r="A15" s="143">
        <f t="shared" si="0"/>
        <v>1</v>
      </c>
      <c r="B15" s="158">
        <v>41641</v>
      </c>
      <c r="C15" s="159" t="s">
        <v>160</v>
      </c>
      <c r="D15" s="158">
        <v>41641</v>
      </c>
      <c r="E15" s="160" t="s">
        <v>222</v>
      </c>
      <c r="F15" s="160"/>
      <c r="G15" s="161" t="s">
        <v>247</v>
      </c>
      <c r="H15" s="162"/>
      <c r="I15" s="162">
        <v>20000</v>
      </c>
      <c r="J15" s="163">
        <f t="shared" si="1"/>
        <v>106963475</v>
      </c>
      <c r="K15" s="163"/>
    </row>
    <row r="16" spans="1:14" s="143" customFormat="1" ht="19.5" customHeight="1">
      <c r="A16" s="143">
        <f t="shared" si="0"/>
        <v>1</v>
      </c>
      <c r="B16" s="158">
        <v>41641</v>
      </c>
      <c r="C16" s="159" t="s">
        <v>160</v>
      </c>
      <c r="D16" s="158">
        <v>41641</v>
      </c>
      <c r="E16" s="160" t="s">
        <v>223</v>
      </c>
      <c r="F16" s="160"/>
      <c r="G16" s="159" t="s">
        <v>35</v>
      </c>
      <c r="H16" s="162"/>
      <c r="I16" s="162">
        <v>2000</v>
      </c>
      <c r="J16" s="163">
        <f t="shared" si="1"/>
        <v>106961475</v>
      </c>
      <c r="K16" s="163"/>
    </row>
    <row r="17" spans="1:11" s="143" customFormat="1" ht="19.5" customHeight="1">
      <c r="A17" s="143">
        <f t="shared" si="0"/>
        <v>1</v>
      </c>
      <c r="B17" s="158">
        <v>41642</v>
      </c>
      <c r="C17" s="159" t="s">
        <v>160</v>
      </c>
      <c r="D17" s="158">
        <v>41642</v>
      </c>
      <c r="E17" s="160" t="s">
        <v>577</v>
      </c>
      <c r="F17" s="160"/>
      <c r="G17" s="159" t="s">
        <v>159</v>
      </c>
      <c r="H17" s="162"/>
      <c r="I17" s="162">
        <v>106000000</v>
      </c>
      <c r="J17" s="163">
        <f t="shared" si="1"/>
        <v>961475</v>
      </c>
      <c r="K17" s="163"/>
    </row>
    <row r="18" spans="1:11" s="143" customFormat="1" ht="19.5" customHeight="1">
      <c r="A18" s="143">
        <f t="shared" si="0"/>
        <v>1</v>
      </c>
      <c r="B18" s="158">
        <v>41647</v>
      </c>
      <c r="C18" s="159" t="s">
        <v>163</v>
      </c>
      <c r="D18" s="158">
        <v>41647</v>
      </c>
      <c r="E18" s="160" t="s">
        <v>578</v>
      </c>
      <c r="F18" s="160"/>
      <c r="G18" s="159" t="s">
        <v>190</v>
      </c>
      <c r="H18" s="162">
        <v>100378200</v>
      </c>
      <c r="I18" s="162"/>
      <c r="J18" s="163">
        <f t="shared" si="1"/>
        <v>101339675</v>
      </c>
      <c r="K18" s="163"/>
    </row>
    <row r="19" spans="1:11" s="143" customFormat="1" ht="19.5" customHeight="1">
      <c r="A19" s="143">
        <f t="shared" si="0"/>
        <v>1</v>
      </c>
      <c r="B19" s="158">
        <v>41649</v>
      </c>
      <c r="C19" s="159" t="s">
        <v>160</v>
      </c>
      <c r="D19" s="158">
        <v>41649</v>
      </c>
      <c r="E19" s="160" t="s">
        <v>164</v>
      </c>
      <c r="F19" s="160"/>
      <c r="G19" s="159" t="s">
        <v>162</v>
      </c>
      <c r="H19" s="162">
        <v>432181000</v>
      </c>
      <c r="I19" s="162"/>
      <c r="J19" s="163">
        <f t="shared" si="1"/>
        <v>533520675</v>
      </c>
      <c r="K19" s="163"/>
    </row>
    <row r="20" spans="1:11" s="143" customFormat="1" ht="19.5" customHeight="1">
      <c r="A20" s="143">
        <f t="shared" si="0"/>
        <v>1</v>
      </c>
      <c r="B20" s="158">
        <v>41650</v>
      </c>
      <c r="C20" s="159" t="s">
        <v>160</v>
      </c>
      <c r="D20" s="158">
        <v>41650</v>
      </c>
      <c r="E20" s="160" t="s">
        <v>577</v>
      </c>
      <c r="F20" s="160"/>
      <c r="G20" s="159" t="s">
        <v>159</v>
      </c>
      <c r="H20" s="162"/>
      <c r="I20" s="162">
        <v>530000000</v>
      </c>
      <c r="J20" s="163">
        <f t="shared" si="1"/>
        <v>3520675</v>
      </c>
      <c r="K20" s="163"/>
    </row>
    <row r="21" spans="1:11" s="143" customFormat="1" ht="19.5" customHeight="1">
      <c r="A21" s="143">
        <f t="shared" si="0"/>
        <v>1</v>
      </c>
      <c r="B21" s="158">
        <v>41653</v>
      </c>
      <c r="C21" s="159" t="s">
        <v>163</v>
      </c>
      <c r="D21" s="158">
        <v>41653</v>
      </c>
      <c r="E21" s="160" t="s">
        <v>51</v>
      </c>
      <c r="F21" s="160"/>
      <c r="G21" s="161" t="s">
        <v>159</v>
      </c>
      <c r="H21" s="162">
        <v>25000000</v>
      </c>
      <c r="I21" s="162"/>
      <c r="J21" s="163">
        <f t="shared" si="1"/>
        <v>28520675</v>
      </c>
      <c r="K21" s="163"/>
    </row>
    <row r="22" spans="1:11" s="143" customFormat="1" ht="19.5" customHeight="1">
      <c r="A22" s="143">
        <f t="shared" si="0"/>
        <v>1</v>
      </c>
      <c r="B22" s="158">
        <v>41653</v>
      </c>
      <c r="C22" s="159" t="s">
        <v>160</v>
      </c>
      <c r="D22" s="158">
        <v>41653</v>
      </c>
      <c r="E22" s="160" t="s">
        <v>164</v>
      </c>
      <c r="F22" s="160"/>
      <c r="G22" s="159" t="s">
        <v>162</v>
      </c>
      <c r="H22" s="162">
        <v>1996938900</v>
      </c>
      <c r="I22" s="162"/>
      <c r="J22" s="163">
        <f t="shared" si="1"/>
        <v>2025459575</v>
      </c>
      <c r="K22" s="163"/>
    </row>
    <row r="23" spans="1:11" s="143" customFormat="1" ht="19.5" customHeight="1">
      <c r="A23" s="143">
        <f t="shared" si="0"/>
        <v>1</v>
      </c>
      <c r="B23" s="158">
        <v>41653</v>
      </c>
      <c r="C23" s="159" t="s">
        <v>160</v>
      </c>
      <c r="D23" s="158">
        <v>41653</v>
      </c>
      <c r="E23" s="160" t="s">
        <v>164</v>
      </c>
      <c r="F23" s="160"/>
      <c r="G23" s="159" t="s">
        <v>162</v>
      </c>
      <c r="H23" s="162">
        <v>2530200000</v>
      </c>
      <c r="I23" s="162"/>
      <c r="J23" s="163">
        <f t="shared" si="1"/>
        <v>4555659575</v>
      </c>
      <c r="K23" s="163"/>
    </row>
    <row r="24" spans="1:11" s="143" customFormat="1" ht="19.5" customHeight="1">
      <c r="A24" s="143">
        <f t="shared" si="0"/>
        <v>1</v>
      </c>
      <c r="B24" s="158">
        <v>41653</v>
      </c>
      <c r="C24" s="159" t="s">
        <v>160</v>
      </c>
      <c r="D24" s="158">
        <v>41653</v>
      </c>
      <c r="E24" s="160" t="s">
        <v>579</v>
      </c>
      <c r="F24" s="160"/>
      <c r="G24" s="161" t="s">
        <v>34</v>
      </c>
      <c r="H24" s="162"/>
      <c r="I24" s="162">
        <v>24963739</v>
      </c>
      <c r="J24" s="163">
        <f t="shared" si="1"/>
        <v>4530695836</v>
      </c>
      <c r="K24" s="163"/>
    </row>
    <row r="25" spans="1:11" s="143" customFormat="1" ht="19.5" customHeight="1">
      <c r="A25" s="143">
        <f t="shared" si="0"/>
        <v>1</v>
      </c>
      <c r="B25" s="158">
        <v>41653</v>
      </c>
      <c r="C25" s="159" t="s">
        <v>160</v>
      </c>
      <c r="D25" s="158">
        <v>41653</v>
      </c>
      <c r="E25" s="160" t="s">
        <v>222</v>
      </c>
      <c r="F25" s="160"/>
      <c r="G25" s="161" t="s">
        <v>247</v>
      </c>
      <c r="H25" s="162"/>
      <c r="I25" s="162">
        <v>20000</v>
      </c>
      <c r="J25" s="163">
        <f t="shared" si="1"/>
        <v>4530675836</v>
      </c>
      <c r="K25" s="163"/>
    </row>
    <row r="26" spans="1:11" s="143" customFormat="1" ht="19.5" customHeight="1">
      <c r="A26" s="143">
        <f t="shared" si="0"/>
        <v>1</v>
      </c>
      <c r="B26" s="158">
        <v>41653</v>
      </c>
      <c r="C26" s="159" t="s">
        <v>160</v>
      </c>
      <c r="D26" s="158">
        <v>41653</v>
      </c>
      <c r="E26" s="160" t="s">
        <v>223</v>
      </c>
      <c r="F26" s="160"/>
      <c r="G26" s="159" t="s">
        <v>35</v>
      </c>
      <c r="H26" s="162"/>
      <c r="I26" s="162">
        <v>2000</v>
      </c>
      <c r="J26" s="163">
        <f t="shared" si="1"/>
        <v>4530673836</v>
      </c>
      <c r="K26" s="163"/>
    </row>
    <row r="27" spans="1:11" s="143" customFormat="1" ht="19.5" customHeight="1">
      <c r="A27" s="143">
        <f t="shared" si="0"/>
        <v>1</v>
      </c>
      <c r="B27" s="158">
        <v>41653</v>
      </c>
      <c r="C27" s="159" t="s">
        <v>160</v>
      </c>
      <c r="D27" s="158">
        <v>41653</v>
      </c>
      <c r="E27" s="160" t="s">
        <v>179</v>
      </c>
      <c r="F27" s="160"/>
      <c r="G27" s="161" t="s">
        <v>247</v>
      </c>
      <c r="H27" s="162"/>
      <c r="I27" s="162">
        <v>10000</v>
      </c>
      <c r="J27" s="163">
        <f t="shared" si="1"/>
        <v>4530663836</v>
      </c>
      <c r="K27" s="163"/>
    </row>
    <row r="28" spans="1:11" s="143" customFormat="1" ht="19.5" customHeight="1">
      <c r="A28" s="143">
        <f t="shared" si="0"/>
        <v>1</v>
      </c>
      <c r="B28" s="158">
        <v>41653</v>
      </c>
      <c r="C28" s="159" t="s">
        <v>160</v>
      </c>
      <c r="D28" s="158">
        <v>41653</v>
      </c>
      <c r="E28" s="160" t="s">
        <v>180</v>
      </c>
      <c r="F28" s="160"/>
      <c r="G28" s="159" t="s">
        <v>35</v>
      </c>
      <c r="H28" s="162"/>
      <c r="I28" s="162">
        <v>1000</v>
      </c>
      <c r="J28" s="163">
        <f t="shared" si="1"/>
        <v>4530662836</v>
      </c>
      <c r="K28" s="163"/>
    </row>
    <row r="29" spans="1:11" s="143" customFormat="1" ht="19.5" customHeight="1">
      <c r="A29" s="143">
        <f t="shared" si="0"/>
        <v>1</v>
      </c>
      <c r="B29" s="158">
        <v>41653</v>
      </c>
      <c r="C29" s="159" t="s">
        <v>160</v>
      </c>
      <c r="D29" s="158">
        <v>41653</v>
      </c>
      <c r="E29" s="160" t="s">
        <v>577</v>
      </c>
      <c r="F29" s="160"/>
      <c r="G29" s="159" t="s">
        <v>159</v>
      </c>
      <c r="H29" s="162"/>
      <c r="I29" s="162">
        <v>2500000000</v>
      </c>
      <c r="J29" s="163">
        <f t="shared" si="1"/>
        <v>2030662836</v>
      </c>
      <c r="K29" s="163"/>
    </row>
    <row r="30" spans="1:11" s="143" customFormat="1" ht="19.5" customHeight="1">
      <c r="A30" s="143">
        <f t="shared" si="0"/>
        <v>1</v>
      </c>
      <c r="B30" s="158">
        <v>41654</v>
      </c>
      <c r="C30" s="159" t="s">
        <v>160</v>
      </c>
      <c r="D30" s="158">
        <v>41654</v>
      </c>
      <c r="E30" s="160" t="s">
        <v>577</v>
      </c>
      <c r="F30" s="160"/>
      <c r="G30" s="161" t="s">
        <v>159</v>
      </c>
      <c r="H30" s="162"/>
      <c r="I30" s="162">
        <v>1700000000</v>
      </c>
      <c r="J30" s="163">
        <f t="shared" si="1"/>
        <v>330662836</v>
      </c>
      <c r="K30" s="163"/>
    </row>
    <row r="31" spans="1:11" s="143" customFormat="1" ht="19.5" customHeight="1">
      <c r="A31" s="143">
        <f t="shared" si="0"/>
        <v>1</v>
      </c>
      <c r="B31" s="158">
        <v>41655</v>
      </c>
      <c r="C31" s="159" t="s">
        <v>160</v>
      </c>
      <c r="D31" s="158">
        <v>41655</v>
      </c>
      <c r="E31" s="160" t="s">
        <v>164</v>
      </c>
      <c r="F31" s="160"/>
      <c r="G31" s="159" t="s">
        <v>162</v>
      </c>
      <c r="H31" s="162">
        <v>2024160000</v>
      </c>
      <c r="I31" s="162"/>
      <c r="J31" s="163">
        <f t="shared" si="1"/>
        <v>2354822836</v>
      </c>
      <c r="K31" s="163"/>
    </row>
    <row r="32" spans="1:11" s="143" customFormat="1" ht="19.5" customHeight="1">
      <c r="A32" s="143">
        <f t="shared" si="0"/>
        <v>1</v>
      </c>
      <c r="B32" s="158">
        <v>41655</v>
      </c>
      <c r="C32" s="159" t="s">
        <v>160</v>
      </c>
      <c r="D32" s="158">
        <v>41655</v>
      </c>
      <c r="E32" s="160" t="s">
        <v>172</v>
      </c>
      <c r="F32" s="160"/>
      <c r="G32" s="159" t="s">
        <v>38</v>
      </c>
      <c r="H32" s="162"/>
      <c r="I32" s="162">
        <v>63805223</v>
      </c>
      <c r="J32" s="163">
        <f t="shared" si="1"/>
        <v>2291017613</v>
      </c>
      <c r="K32" s="163"/>
    </row>
    <row r="33" spans="1:11" s="143" customFormat="1" ht="19.5" customHeight="1">
      <c r="A33" s="143">
        <f t="shared" si="0"/>
        <v>1</v>
      </c>
      <c r="B33" s="158">
        <v>41655</v>
      </c>
      <c r="C33" s="159" t="s">
        <v>160</v>
      </c>
      <c r="D33" s="158">
        <v>41655</v>
      </c>
      <c r="E33" s="160" t="s">
        <v>580</v>
      </c>
      <c r="F33" s="160"/>
      <c r="G33" s="161" t="s">
        <v>173</v>
      </c>
      <c r="H33" s="162"/>
      <c r="I33" s="162">
        <v>11243611</v>
      </c>
      <c r="J33" s="163">
        <f t="shared" si="1"/>
        <v>2279774002</v>
      </c>
      <c r="K33" s="163"/>
    </row>
    <row r="34" spans="1:11" s="143" customFormat="1" ht="19.5" customHeight="1">
      <c r="A34" s="143">
        <f t="shared" si="0"/>
        <v>1</v>
      </c>
      <c r="B34" s="158">
        <v>41655</v>
      </c>
      <c r="C34" s="159" t="s">
        <v>160</v>
      </c>
      <c r="D34" s="158">
        <v>41655</v>
      </c>
      <c r="E34" s="160" t="s">
        <v>174</v>
      </c>
      <c r="F34" s="160"/>
      <c r="G34" s="159" t="s">
        <v>581</v>
      </c>
      <c r="H34" s="162"/>
      <c r="I34" s="162">
        <v>4951166</v>
      </c>
      <c r="J34" s="163">
        <f t="shared" si="1"/>
        <v>2274822836</v>
      </c>
      <c r="K34" s="163"/>
    </row>
    <row r="35" spans="1:11" s="143" customFormat="1" ht="19.5" customHeight="1">
      <c r="A35" s="143">
        <f t="shared" si="0"/>
        <v>1</v>
      </c>
      <c r="B35" s="158">
        <v>41655</v>
      </c>
      <c r="C35" s="159" t="s">
        <v>160</v>
      </c>
      <c r="D35" s="158">
        <v>41655</v>
      </c>
      <c r="E35" s="160" t="s">
        <v>222</v>
      </c>
      <c r="F35" s="160"/>
      <c r="G35" s="161" t="s">
        <v>247</v>
      </c>
      <c r="H35" s="162"/>
      <c r="I35" s="162">
        <v>40000</v>
      </c>
      <c r="J35" s="163">
        <f t="shared" si="1"/>
        <v>2274782836</v>
      </c>
      <c r="K35" s="163"/>
    </row>
    <row r="36" spans="1:11" s="143" customFormat="1" ht="19.5" customHeight="1">
      <c r="A36" s="143">
        <f t="shared" si="0"/>
        <v>1</v>
      </c>
      <c r="B36" s="158">
        <v>41655</v>
      </c>
      <c r="C36" s="159" t="s">
        <v>160</v>
      </c>
      <c r="D36" s="158">
        <v>41655</v>
      </c>
      <c r="E36" s="160" t="s">
        <v>223</v>
      </c>
      <c r="F36" s="160"/>
      <c r="G36" s="159" t="s">
        <v>35</v>
      </c>
      <c r="H36" s="162"/>
      <c r="I36" s="162">
        <v>4000</v>
      </c>
      <c r="J36" s="163">
        <f t="shared" si="1"/>
        <v>2274778836</v>
      </c>
      <c r="K36" s="163"/>
    </row>
    <row r="37" spans="1:11" s="143" customFormat="1" ht="19.5" customHeight="1">
      <c r="A37" s="143">
        <f t="shared" si="0"/>
        <v>1</v>
      </c>
      <c r="B37" s="158">
        <v>41655</v>
      </c>
      <c r="C37" s="159" t="s">
        <v>160</v>
      </c>
      <c r="D37" s="158">
        <v>41655</v>
      </c>
      <c r="E37" s="160" t="s">
        <v>225</v>
      </c>
      <c r="F37" s="160"/>
      <c r="G37" s="161" t="s">
        <v>34</v>
      </c>
      <c r="H37" s="162"/>
      <c r="I37" s="162">
        <v>50000000</v>
      </c>
      <c r="J37" s="163">
        <f t="shared" si="1"/>
        <v>2224778836</v>
      </c>
      <c r="K37" s="163"/>
    </row>
    <row r="38" spans="1:11" s="143" customFormat="1" ht="19.5" customHeight="1">
      <c r="A38" s="143">
        <f t="shared" si="0"/>
        <v>1</v>
      </c>
      <c r="B38" s="158">
        <v>41655</v>
      </c>
      <c r="C38" s="159" t="s">
        <v>160</v>
      </c>
      <c r="D38" s="158">
        <v>41655</v>
      </c>
      <c r="E38" s="160" t="s">
        <v>222</v>
      </c>
      <c r="F38" s="160"/>
      <c r="G38" s="161" t="s">
        <v>247</v>
      </c>
      <c r="H38" s="162"/>
      <c r="I38" s="162">
        <v>10000</v>
      </c>
      <c r="J38" s="163">
        <f t="shared" si="1"/>
        <v>2224768836</v>
      </c>
      <c r="K38" s="163"/>
    </row>
    <row r="39" spans="1:11" s="143" customFormat="1" ht="19.5" customHeight="1">
      <c r="A39" s="143">
        <f t="shared" si="0"/>
        <v>1</v>
      </c>
      <c r="B39" s="158">
        <v>41655</v>
      </c>
      <c r="C39" s="159" t="s">
        <v>160</v>
      </c>
      <c r="D39" s="158">
        <v>41655</v>
      </c>
      <c r="E39" s="160" t="s">
        <v>223</v>
      </c>
      <c r="F39" s="160"/>
      <c r="G39" s="161" t="s">
        <v>35</v>
      </c>
      <c r="H39" s="162"/>
      <c r="I39" s="162">
        <v>1000</v>
      </c>
      <c r="J39" s="163">
        <f t="shared" si="1"/>
        <v>2224767836</v>
      </c>
      <c r="K39" s="163"/>
    </row>
    <row r="40" spans="1:11" s="143" customFormat="1" ht="19.5" customHeight="1">
      <c r="A40" s="143">
        <f t="shared" si="0"/>
        <v>1</v>
      </c>
      <c r="B40" s="158">
        <v>41655</v>
      </c>
      <c r="C40" s="159" t="s">
        <v>160</v>
      </c>
      <c r="D40" s="158">
        <v>41655</v>
      </c>
      <c r="E40" s="160" t="s">
        <v>582</v>
      </c>
      <c r="F40" s="160"/>
      <c r="G40" s="159" t="s">
        <v>34</v>
      </c>
      <c r="H40" s="162"/>
      <c r="I40" s="162">
        <v>10667747</v>
      </c>
      <c r="J40" s="163">
        <f t="shared" si="1"/>
        <v>2214100089</v>
      </c>
      <c r="K40" s="163"/>
    </row>
    <row r="41" spans="1:11" s="143" customFormat="1" ht="19.5" customHeight="1">
      <c r="A41" s="143">
        <f t="shared" si="0"/>
        <v>1</v>
      </c>
      <c r="B41" s="158">
        <v>41655</v>
      </c>
      <c r="C41" s="159" t="s">
        <v>160</v>
      </c>
      <c r="D41" s="158">
        <v>41655</v>
      </c>
      <c r="E41" s="160" t="s">
        <v>222</v>
      </c>
      <c r="F41" s="160"/>
      <c r="G41" s="161" t="s">
        <v>247</v>
      </c>
      <c r="H41" s="162"/>
      <c r="I41" s="162">
        <v>10000</v>
      </c>
      <c r="J41" s="163">
        <f t="shared" si="1"/>
        <v>2214090089</v>
      </c>
      <c r="K41" s="163"/>
    </row>
    <row r="42" spans="1:11" s="143" customFormat="1" ht="19.5" customHeight="1">
      <c r="A42" s="143">
        <f t="shared" si="0"/>
        <v>1</v>
      </c>
      <c r="B42" s="158">
        <v>41655</v>
      </c>
      <c r="C42" s="159" t="s">
        <v>160</v>
      </c>
      <c r="D42" s="158">
        <v>41655</v>
      </c>
      <c r="E42" s="160" t="s">
        <v>223</v>
      </c>
      <c r="F42" s="160"/>
      <c r="G42" s="159" t="s">
        <v>35</v>
      </c>
      <c r="H42" s="162"/>
      <c r="I42" s="162">
        <v>1000</v>
      </c>
      <c r="J42" s="163">
        <f t="shared" si="1"/>
        <v>2214089089</v>
      </c>
      <c r="K42" s="163"/>
    </row>
    <row r="43" spans="1:11" s="143" customFormat="1" ht="19.5" customHeight="1">
      <c r="A43" s="143">
        <f t="shared" si="0"/>
        <v>1</v>
      </c>
      <c r="B43" s="158">
        <v>41655</v>
      </c>
      <c r="C43" s="159" t="s">
        <v>160</v>
      </c>
      <c r="D43" s="158">
        <v>41655</v>
      </c>
      <c r="E43" s="160" t="s">
        <v>216</v>
      </c>
      <c r="F43" s="160"/>
      <c r="G43" s="159" t="s">
        <v>34</v>
      </c>
      <c r="H43" s="162"/>
      <c r="I43" s="162">
        <v>100000000</v>
      </c>
      <c r="J43" s="163">
        <f t="shared" si="1"/>
        <v>2114089089</v>
      </c>
      <c r="K43" s="163"/>
    </row>
    <row r="44" spans="1:11" s="143" customFormat="1" ht="19.5" customHeight="1">
      <c r="A44" s="143">
        <f t="shared" si="0"/>
        <v>1</v>
      </c>
      <c r="B44" s="158">
        <v>41655</v>
      </c>
      <c r="C44" s="159" t="s">
        <v>160</v>
      </c>
      <c r="D44" s="158">
        <v>41655</v>
      </c>
      <c r="E44" s="160" t="s">
        <v>222</v>
      </c>
      <c r="F44" s="160"/>
      <c r="G44" s="161" t="s">
        <v>247</v>
      </c>
      <c r="H44" s="162"/>
      <c r="I44" s="162">
        <v>50000</v>
      </c>
      <c r="J44" s="163">
        <f t="shared" si="1"/>
        <v>2114039089</v>
      </c>
      <c r="K44" s="163"/>
    </row>
    <row r="45" spans="1:11" s="143" customFormat="1" ht="19.5" customHeight="1">
      <c r="A45" s="143">
        <f t="shared" si="0"/>
        <v>1</v>
      </c>
      <c r="B45" s="158">
        <v>41655</v>
      </c>
      <c r="C45" s="159" t="s">
        <v>160</v>
      </c>
      <c r="D45" s="158">
        <v>41655</v>
      </c>
      <c r="E45" s="160" t="s">
        <v>223</v>
      </c>
      <c r="F45" s="160"/>
      <c r="G45" s="161" t="s">
        <v>35</v>
      </c>
      <c r="H45" s="162"/>
      <c r="I45" s="162">
        <v>5000</v>
      </c>
      <c r="J45" s="163">
        <f t="shared" si="1"/>
        <v>2114034089</v>
      </c>
      <c r="K45" s="163"/>
    </row>
    <row r="46" spans="1:11" s="143" customFormat="1" ht="19.5" customHeight="1">
      <c r="A46" s="143">
        <f t="shared" si="0"/>
        <v>1</v>
      </c>
      <c r="B46" s="158">
        <v>41655</v>
      </c>
      <c r="C46" s="159" t="s">
        <v>160</v>
      </c>
      <c r="D46" s="158">
        <v>41655</v>
      </c>
      <c r="E46" s="160" t="s">
        <v>583</v>
      </c>
      <c r="F46" s="160"/>
      <c r="G46" s="161" t="s">
        <v>34</v>
      </c>
      <c r="H46" s="162"/>
      <c r="I46" s="162">
        <v>38085850</v>
      </c>
      <c r="J46" s="163">
        <f t="shared" si="1"/>
        <v>2075948239</v>
      </c>
      <c r="K46" s="163"/>
    </row>
    <row r="47" spans="1:11" s="143" customFormat="1" ht="19.5" customHeight="1">
      <c r="A47" s="143">
        <f t="shared" si="0"/>
        <v>1</v>
      </c>
      <c r="B47" s="158">
        <v>41655</v>
      </c>
      <c r="C47" s="159" t="s">
        <v>160</v>
      </c>
      <c r="D47" s="158">
        <v>41655</v>
      </c>
      <c r="E47" s="160" t="s">
        <v>222</v>
      </c>
      <c r="F47" s="160"/>
      <c r="G47" s="161" t="s">
        <v>247</v>
      </c>
      <c r="H47" s="162"/>
      <c r="I47" s="162">
        <v>10000</v>
      </c>
      <c r="J47" s="163">
        <f t="shared" si="1"/>
        <v>2075938239</v>
      </c>
      <c r="K47" s="163"/>
    </row>
    <row r="48" spans="1:11" s="143" customFormat="1" ht="19.5" customHeight="1">
      <c r="A48" s="143">
        <f t="shared" si="0"/>
        <v>1</v>
      </c>
      <c r="B48" s="158">
        <v>41655</v>
      </c>
      <c r="C48" s="159" t="s">
        <v>160</v>
      </c>
      <c r="D48" s="158">
        <v>41655</v>
      </c>
      <c r="E48" s="160" t="s">
        <v>223</v>
      </c>
      <c r="F48" s="160"/>
      <c r="G48" s="159" t="s">
        <v>35</v>
      </c>
      <c r="H48" s="162"/>
      <c r="I48" s="162">
        <v>1000</v>
      </c>
      <c r="J48" s="163">
        <f t="shared" si="1"/>
        <v>2075937239</v>
      </c>
      <c r="K48" s="163"/>
    </row>
    <row r="49" spans="1:11" s="143" customFormat="1" ht="19.5" customHeight="1">
      <c r="A49" s="143">
        <f t="shared" si="0"/>
        <v>1</v>
      </c>
      <c r="B49" s="158">
        <v>41655</v>
      </c>
      <c r="C49" s="159" t="s">
        <v>160</v>
      </c>
      <c r="D49" s="158">
        <v>41655</v>
      </c>
      <c r="E49" s="160" t="s">
        <v>584</v>
      </c>
      <c r="F49" s="160"/>
      <c r="G49" s="161" t="s">
        <v>34</v>
      </c>
      <c r="H49" s="162"/>
      <c r="I49" s="162">
        <v>11772880</v>
      </c>
      <c r="J49" s="163">
        <f t="shared" si="1"/>
        <v>2064164359</v>
      </c>
      <c r="K49" s="163"/>
    </row>
    <row r="50" spans="1:11" s="143" customFormat="1" ht="19.5" customHeight="1">
      <c r="A50" s="143">
        <f t="shared" si="0"/>
        <v>1</v>
      </c>
      <c r="B50" s="158">
        <v>41655</v>
      </c>
      <c r="C50" s="159" t="s">
        <v>160</v>
      </c>
      <c r="D50" s="158">
        <v>41655</v>
      </c>
      <c r="E50" s="160" t="s">
        <v>222</v>
      </c>
      <c r="F50" s="160"/>
      <c r="G50" s="161" t="s">
        <v>247</v>
      </c>
      <c r="H50" s="162"/>
      <c r="I50" s="162">
        <v>20000</v>
      </c>
      <c r="J50" s="163">
        <f t="shared" si="1"/>
        <v>2064144359</v>
      </c>
      <c r="K50" s="163"/>
    </row>
    <row r="51" spans="1:11" s="143" customFormat="1" ht="19.5" customHeight="1">
      <c r="A51" s="143">
        <f t="shared" si="0"/>
        <v>1</v>
      </c>
      <c r="B51" s="158">
        <v>41655</v>
      </c>
      <c r="C51" s="159" t="s">
        <v>160</v>
      </c>
      <c r="D51" s="158">
        <v>41655</v>
      </c>
      <c r="E51" s="160" t="s">
        <v>223</v>
      </c>
      <c r="F51" s="160"/>
      <c r="G51" s="159" t="s">
        <v>35</v>
      </c>
      <c r="H51" s="162"/>
      <c r="I51" s="162">
        <v>2000</v>
      </c>
      <c r="J51" s="163">
        <f t="shared" si="1"/>
        <v>2064142359</v>
      </c>
      <c r="K51" s="163"/>
    </row>
    <row r="52" spans="1:11" s="143" customFormat="1" ht="19.5" customHeight="1">
      <c r="A52" s="143">
        <f t="shared" si="0"/>
        <v>1</v>
      </c>
      <c r="B52" s="158">
        <v>41655</v>
      </c>
      <c r="C52" s="159" t="s">
        <v>160</v>
      </c>
      <c r="D52" s="158">
        <v>41655</v>
      </c>
      <c r="E52" s="160" t="s">
        <v>585</v>
      </c>
      <c r="F52" s="160"/>
      <c r="G52" s="161" t="s">
        <v>34</v>
      </c>
      <c r="H52" s="162"/>
      <c r="I52" s="162">
        <v>3160000</v>
      </c>
      <c r="J52" s="163">
        <f t="shared" si="1"/>
        <v>2060982359</v>
      </c>
      <c r="K52" s="163"/>
    </row>
    <row r="53" spans="1:11" s="143" customFormat="1" ht="19.5" customHeight="1">
      <c r="A53" s="143">
        <f t="shared" si="0"/>
        <v>1</v>
      </c>
      <c r="B53" s="158">
        <v>41655</v>
      </c>
      <c r="C53" s="159" t="s">
        <v>160</v>
      </c>
      <c r="D53" s="158">
        <v>41655</v>
      </c>
      <c r="E53" s="160" t="s">
        <v>222</v>
      </c>
      <c r="F53" s="160"/>
      <c r="G53" s="161" t="s">
        <v>247</v>
      </c>
      <c r="H53" s="162"/>
      <c r="I53" s="162">
        <v>10000</v>
      </c>
      <c r="J53" s="163">
        <f t="shared" si="1"/>
        <v>2060972359</v>
      </c>
      <c r="K53" s="163"/>
    </row>
    <row r="54" spans="1:11" s="143" customFormat="1" ht="19.5" customHeight="1">
      <c r="A54" s="143">
        <f t="shared" si="0"/>
        <v>1</v>
      </c>
      <c r="B54" s="158">
        <v>41655</v>
      </c>
      <c r="C54" s="159" t="s">
        <v>160</v>
      </c>
      <c r="D54" s="158">
        <v>41655</v>
      </c>
      <c r="E54" s="160" t="s">
        <v>223</v>
      </c>
      <c r="F54" s="160"/>
      <c r="G54" s="159" t="s">
        <v>35</v>
      </c>
      <c r="H54" s="162"/>
      <c r="I54" s="162">
        <v>1000</v>
      </c>
      <c r="J54" s="163">
        <f t="shared" si="1"/>
        <v>2060971359</v>
      </c>
      <c r="K54" s="163"/>
    </row>
    <row r="55" spans="1:11" s="143" customFormat="1" ht="19.5" customHeight="1">
      <c r="A55" s="143">
        <f t="shared" si="0"/>
        <v>1</v>
      </c>
      <c r="B55" s="158">
        <v>41655</v>
      </c>
      <c r="C55" s="159" t="s">
        <v>160</v>
      </c>
      <c r="D55" s="158">
        <v>41655</v>
      </c>
      <c r="E55" s="160" t="s">
        <v>585</v>
      </c>
      <c r="F55" s="160"/>
      <c r="G55" s="159" t="s">
        <v>34</v>
      </c>
      <c r="H55" s="162"/>
      <c r="I55" s="162">
        <v>780000</v>
      </c>
      <c r="J55" s="163">
        <f t="shared" si="1"/>
        <v>2060191359</v>
      </c>
      <c r="K55" s="163"/>
    </row>
    <row r="56" spans="1:11" s="143" customFormat="1" ht="19.5" customHeight="1">
      <c r="A56" s="143">
        <f t="shared" si="0"/>
        <v>1</v>
      </c>
      <c r="B56" s="158">
        <v>41655</v>
      </c>
      <c r="C56" s="159" t="s">
        <v>160</v>
      </c>
      <c r="D56" s="158">
        <v>41655</v>
      </c>
      <c r="E56" s="160" t="s">
        <v>222</v>
      </c>
      <c r="F56" s="160"/>
      <c r="G56" s="161" t="s">
        <v>247</v>
      </c>
      <c r="H56" s="162"/>
      <c r="I56" s="162">
        <v>10000</v>
      </c>
      <c r="J56" s="163">
        <f t="shared" si="1"/>
        <v>2060181359</v>
      </c>
      <c r="K56" s="163"/>
    </row>
    <row r="57" spans="1:11" s="143" customFormat="1" ht="19.5" customHeight="1">
      <c r="A57" s="143">
        <f t="shared" si="0"/>
        <v>1</v>
      </c>
      <c r="B57" s="158">
        <v>41655</v>
      </c>
      <c r="C57" s="159" t="s">
        <v>160</v>
      </c>
      <c r="D57" s="158">
        <v>41655</v>
      </c>
      <c r="E57" s="160" t="s">
        <v>223</v>
      </c>
      <c r="F57" s="160"/>
      <c r="G57" s="159" t="s">
        <v>35</v>
      </c>
      <c r="H57" s="162"/>
      <c r="I57" s="162">
        <v>1000</v>
      </c>
      <c r="J57" s="163">
        <f t="shared" si="1"/>
        <v>2060180359</v>
      </c>
      <c r="K57" s="163"/>
    </row>
    <row r="58" spans="1:11" s="143" customFormat="1" ht="19.5" customHeight="1">
      <c r="A58" s="143">
        <f t="shared" si="0"/>
        <v>1</v>
      </c>
      <c r="B58" s="158">
        <v>41655</v>
      </c>
      <c r="C58" s="159" t="s">
        <v>160</v>
      </c>
      <c r="D58" s="158">
        <v>41655</v>
      </c>
      <c r="E58" s="160" t="s">
        <v>576</v>
      </c>
      <c r="F58" s="160"/>
      <c r="G58" s="159" t="s">
        <v>34</v>
      </c>
      <c r="H58" s="162"/>
      <c r="I58" s="162">
        <v>26217840</v>
      </c>
      <c r="J58" s="163">
        <f t="shared" si="1"/>
        <v>2033962519</v>
      </c>
      <c r="K58" s="163"/>
    </row>
    <row r="59" spans="1:11" s="143" customFormat="1" ht="19.5" customHeight="1">
      <c r="A59" s="143">
        <f t="shared" si="0"/>
        <v>1</v>
      </c>
      <c r="B59" s="158">
        <v>41655</v>
      </c>
      <c r="C59" s="159" t="s">
        <v>160</v>
      </c>
      <c r="D59" s="158">
        <v>41655</v>
      </c>
      <c r="E59" s="160" t="s">
        <v>222</v>
      </c>
      <c r="F59" s="160"/>
      <c r="G59" s="161" t="s">
        <v>247</v>
      </c>
      <c r="H59" s="162"/>
      <c r="I59" s="162">
        <v>20000</v>
      </c>
      <c r="J59" s="163">
        <f t="shared" si="1"/>
        <v>2033942519</v>
      </c>
      <c r="K59" s="163"/>
    </row>
    <row r="60" spans="1:11" s="143" customFormat="1" ht="19.5" customHeight="1">
      <c r="A60" s="143">
        <f t="shared" si="0"/>
        <v>1</v>
      </c>
      <c r="B60" s="158">
        <v>41655</v>
      </c>
      <c r="C60" s="159" t="s">
        <v>160</v>
      </c>
      <c r="D60" s="158">
        <v>41655</v>
      </c>
      <c r="E60" s="160" t="s">
        <v>223</v>
      </c>
      <c r="F60" s="160"/>
      <c r="G60" s="159" t="s">
        <v>35</v>
      </c>
      <c r="H60" s="162"/>
      <c r="I60" s="162">
        <v>2000</v>
      </c>
      <c r="J60" s="163">
        <f t="shared" si="1"/>
        <v>2033940519</v>
      </c>
      <c r="K60" s="163"/>
    </row>
    <row r="61" spans="1:11" s="143" customFormat="1" ht="19.5" customHeight="1">
      <c r="A61" s="143">
        <f t="shared" si="0"/>
        <v>1</v>
      </c>
      <c r="B61" s="158">
        <v>41656</v>
      </c>
      <c r="C61" s="159" t="s">
        <v>160</v>
      </c>
      <c r="D61" s="158">
        <v>41656</v>
      </c>
      <c r="E61" s="160" t="s">
        <v>577</v>
      </c>
      <c r="F61" s="160"/>
      <c r="G61" s="159" t="s">
        <v>159</v>
      </c>
      <c r="H61" s="162"/>
      <c r="I61" s="162">
        <v>2000000000</v>
      </c>
      <c r="J61" s="163">
        <f t="shared" si="1"/>
        <v>33940519</v>
      </c>
      <c r="K61" s="163"/>
    </row>
    <row r="62" spans="1:11" s="143" customFormat="1" ht="19.5" customHeight="1">
      <c r="A62" s="143">
        <f t="shared" si="0"/>
        <v>1</v>
      </c>
      <c r="B62" s="158">
        <v>41657</v>
      </c>
      <c r="C62" s="159" t="s">
        <v>160</v>
      </c>
      <c r="D62" s="158">
        <v>41657</v>
      </c>
      <c r="E62" s="160" t="s">
        <v>586</v>
      </c>
      <c r="F62" s="160"/>
      <c r="G62" s="161" t="s">
        <v>166</v>
      </c>
      <c r="H62" s="162"/>
      <c r="I62" s="162">
        <v>10693271</v>
      </c>
      <c r="J62" s="163">
        <f t="shared" si="1"/>
        <v>23247248</v>
      </c>
      <c r="K62" s="163"/>
    </row>
    <row r="63" spans="1:11" s="143" customFormat="1" ht="19.5" customHeight="1">
      <c r="A63" s="143">
        <f t="shared" si="0"/>
        <v>1</v>
      </c>
      <c r="B63" s="158">
        <v>41660</v>
      </c>
      <c r="C63" s="159" t="s">
        <v>160</v>
      </c>
      <c r="D63" s="158">
        <v>41660</v>
      </c>
      <c r="E63" s="160" t="s">
        <v>575</v>
      </c>
      <c r="F63" s="160"/>
      <c r="G63" s="159" t="s">
        <v>57</v>
      </c>
      <c r="H63" s="162"/>
      <c r="I63" s="162">
        <v>1500000</v>
      </c>
      <c r="J63" s="163">
        <f t="shared" si="1"/>
        <v>21747248</v>
      </c>
      <c r="K63" s="163"/>
    </row>
    <row r="64" spans="1:11" s="143" customFormat="1" ht="19.5" customHeight="1">
      <c r="A64" s="143">
        <f t="shared" si="0"/>
        <v>1</v>
      </c>
      <c r="B64" s="158">
        <v>41660</v>
      </c>
      <c r="C64" s="159" t="s">
        <v>160</v>
      </c>
      <c r="D64" s="158">
        <v>41660</v>
      </c>
      <c r="E64" s="160" t="s">
        <v>587</v>
      </c>
      <c r="F64" s="160"/>
      <c r="G64" s="161" t="s">
        <v>242</v>
      </c>
      <c r="H64" s="162"/>
      <c r="I64" s="162">
        <v>2000000</v>
      </c>
      <c r="J64" s="163">
        <f t="shared" si="1"/>
        <v>19747248</v>
      </c>
      <c r="K64" s="163"/>
    </row>
    <row r="65" spans="1:11" s="143" customFormat="1" ht="19.5" customHeight="1">
      <c r="A65" s="143">
        <f t="shared" si="0"/>
        <v>1</v>
      </c>
      <c r="B65" s="158">
        <v>41660</v>
      </c>
      <c r="C65" s="159" t="s">
        <v>160</v>
      </c>
      <c r="D65" s="158">
        <v>41660</v>
      </c>
      <c r="E65" s="160" t="s">
        <v>222</v>
      </c>
      <c r="F65" s="160"/>
      <c r="G65" s="161" t="s">
        <v>247</v>
      </c>
      <c r="H65" s="162"/>
      <c r="I65" s="162">
        <v>20000</v>
      </c>
      <c r="J65" s="163">
        <f t="shared" si="1"/>
        <v>19727248</v>
      </c>
      <c r="K65" s="163"/>
    </row>
    <row r="66" spans="1:11" s="143" customFormat="1" ht="19.5" customHeight="1">
      <c r="A66" s="143">
        <f t="shared" si="0"/>
        <v>1</v>
      </c>
      <c r="B66" s="158">
        <v>41660</v>
      </c>
      <c r="C66" s="159" t="s">
        <v>160</v>
      </c>
      <c r="D66" s="158">
        <v>41660</v>
      </c>
      <c r="E66" s="160" t="s">
        <v>223</v>
      </c>
      <c r="F66" s="160"/>
      <c r="G66" s="159" t="s">
        <v>35</v>
      </c>
      <c r="H66" s="162"/>
      <c r="I66" s="162">
        <v>2000</v>
      </c>
      <c r="J66" s="163">
        <f t="shared" si="1"/>
        <v>19725248</v>
      </c>
      <c r="K66" s="163"/>
    </row>
    <row r="67" spans="1:11" s="143" customFormat="1" ht="19.5" customHeight="1">
      <c r="A67" s="143">
        <f t="shared" si="0"/>
        <v>1</v>
      </c>
      <c r="B67" s="158">
        <v>41664</v>
      </c>
      <c r="C67" s="159" t="s">
        <v>160</v>
      </c>
      <c r="D67" s="158">
        <v>41664</v>
      </c>
      <c r="E67" s="160" t="s">
        <v>588</v>
      </c>
      <c r="F67" s="160"/>
      <c r="G67" s="159" t="s">
        <v>176</v>
      </c>
      <c r="H67" s="162">
        <v>81288</v>
      </c>
      <c r="I67" s="162"/>
      <c r="J67" s="163">
        <f t="shared" si="1"/>
        <v>19806536</v>
      </c>
      <c r="K67" s="163"/>
    </row>
    <row r="68" spans="1:11" s="143" customFormat="1" ht="19.5" customHeight="1">
      <c r="A68" s="143">
        <f t="shared" si="0"/>
        <v>1</v>
      </c>
      <c r="B68" s="158">
        <v>41664</v>
      </c>
      <c r="C68" s="159" t="s">
        <v>163</v>
      </c>
      <c r="D68" s="158">
        <v>41664</v>
      </c>
      <c r="E68" s="160" t="s">
        <v>51</v>
      </c>
      <c r="F68" s="160"/>
      <c r="G68" s="159" t="s">
        <v>159</v>
      </c>
      <c r="H68" s="162">
        <v>12000000</v>
      </c>
      <c r="I68" s="162"/>
      <c r="J68" s="163">
        <f t="shared" si="1"/>
        <v>31806536</v>
      </c>
      <c r="K68" s="163"/>
    </row>
    <row r="69" spans="1:11" s="143" customFormat="1" ht="19.5" customHeight="1">
      <c r="A69" s="143">
        <f t="shared" si="0"/>
        <v>1</v>
      </c>
      <c r="B69" s="158">
        <v>41664</v>
      </c>
      <c r="C69" s="159" t="s">
        <v>160</v>
      </c>
      <c r="D69" s="158">
        <v>41664</v>
      </c>
      <c r="E69" s="160" t="s">
        <v>589</v>
      </c>
      <c r="F69" s="160"/>
      <c r="G69" s="159" t="s">
        <v>34</v>
      </c>
      <c r="H69" s="162"/>
      <c r="I69" s="162">
        <v>30000000</v>
      </c>
      <c r="J69" s="163">
        <f t="shared" si="1"/>
        <v>1806536</v>
      </c>
      <c r="K69" s="163"/>
    </row>
    <row r="70" spans="1:11" s="143" customFormat="1" ht="19.5" customHeight="1">
      <c r="A70" s="143">
        <f t="shared" si="0"/>
        <v>1</v>
      </c>
      <c r="B70" s="158">
        <v>41664</v>
      </c>
      <c r="C70" s="159" t="s">
        <v>160</v>
      </c>
      <c r="D70" s="158">
        <v>41664</v>
      </c>
      <c r="E70" s="160" t="s">
        <v>222</v>
      </c>
      <c r="F70" s="160"/>
      <c r="G70" s="161" t="s">
        <v>247</v>
      </c>
      <c r="H70" s="162"/>
      <c r="I70" s="162">
        <v>10000</v>
      </c>
      <c r="J70" s="163">
        <f t="shared" si="1"/>
        <v>1796536</v>
      </c>
      <c r="K70" s="163"/>
    </row>
    <row r="71" spans="1:11" s="143" customFormat="1" ht="19.5" customHeight="1">
      <c r="A71" s="143">
        <f t="shared" si="0"/>
        <v>1</v>
      </c>
      <c r="B71" s="158">
        <v>41664</v>
      </c>
      <c r="C71" s="159" t="s">
        <v>160</v>
      </c>
      <c r="D71" s="158">
        <v>41664</v>
      </c>
      <c r="E71" s="160" t="s">
        <v>223</v>
      </c>
      <c r="F71" s="160"/>
      <c r="G71" s="159" t="s">
        <v>35</v>
      </c>
      <c r="H71" s="162"/>
      <c r="I71" s="162">
        <v>1000</v>
      </c>
      <c r="J71" s="163">
        <f t="shared" si="1"/>
        <v>1795536</v>
      </c>
      <c r="K71" s="163"/>
    </row>
    <row r="72" spans="1:11" s="143" customFormat="1" ht="19.5" customHeight="1">
      <c r="A72" s="143">
        <f t="shared" si="0"/>
        <v>1</v>
      </c>
      <c r="B72" s="158">
        <v>41664</v>
      </c>
      <c r="C72" s="159" t="s">
        <v>160</v>
      </c>
      <c r="D72" s="158">
        <v>41664</v>
      </c>
      <c r="E72" s="160" t="s">
        <v>179</v>
      </c>
      <c r="F72" s="160"/>
      <c r="G72" s="161" t="s">
        <v>247</v>
      </c>
      <c r="H72" s="162"/>
      <c r="I72" s="162">
        <v>10000</v>
      </c>
      <c r="J72" s="163">
        <f t="shared" si="1"/>
        <v>1785536</v>
      </c>
      <c r="K72" s="163"/>
    </row>
    <row r="73" spans="1:11" s="143" customFormat="1" ht="19.5" customHeight="1">
      <c r="A73" s="143">
        <f t="shared" si="0"/>
        <v>1</v>
      </c>
      <c r="B73" s="158">
        <v>41664</v>
      </c>
      <c r="C73" s="159" t="s">
        <v>160</v>
      </c>
      <c r="D73" s="158">
        <v>41664</v>
      </c>
      <c r="E73" s="160" t="s">
        <v>180</v>
      </c>
      <c r="F73" s="160"/>
      <c r="G73" s="161" t="s">
        <v>35</v>
      </c>
      <c r="H73" s="162"/>
      <c r="I73" s="162">
        <v>1000</v>
      </c>
      <c r="J73" s="163">
        <f t="shared" si="1"/>
        <v>1784536</v>
      </c>
      <c r="K73" s="163"/>
    </row>
    <row r="74" spans="1:11" s="143" customFormat="1" ht="19.5" customHeight="1">
      <c r="A74" s="143">
        <f t="shared" si="0"/>
        <v>2</v>
      </c>
      <c r="B74" s="158">
        <v>41680</v>
      </c>
      <c r="C74" s="159" t="s">
        <v>160</v>
      </c>
      <c r="D74" s="158">
        <v>41680</v>
      </c>
      <c r="E74" s="160" t="s">
        <v>164</v>
      </c>
      <c r="F74" s="160"/>
      <c r="G74" s="161" t="s">
        <v>162</v>
      </c>
      <c r="H74" s="162">
        <v>633150000</v>
      </c>
      <c r="I74" s="162"/>
      <c r="J74" s="163">
        <f t="shared" si="1"/>
        <v>634934536</v>
      </c>
      <c r="K74" s="163"/>
    </row>
    <row r="75" spans="1:11" s="143" customFormat="1" ht="19.5" customHeight="1">
      <c r="A75" s="143">
        <f t="shared" si="0"/>
        <v>2</v>
      </c>
      <c r="B75" s="158">
        <v>41680</v>
      </c>
      <c r="C75" s="159" t="s">
        <v>160</v>
      </c>
      <c r="D75" s="158">
        <v>41680</v>
      </c>
      <c r="E75" s="160" t="s">
        <v>576</v>
      </c>
      <c r="F75" s="160"/>
      <c r="G75" s="159" t="s">
        <v>34</v>
      </c>
      <c r="H75" s="162"/>
      <c r="I75" s="162">
        <v>36479850</v>
      </c>
      <c r="J75" s="163">
        <f t="shared" si="1"/>
        <v>598454686</v>
      </c>
      <c r="K75" s="163"/>
    </row>
    <row r="76" spans="1:11" s="143" customFormat="1" ht="19.5" customHeight="1">
      <c r="A76" s="143">
        <f t="shared" ref="A76:A139" si="2">IF(B76&lt;&gt;"",MONTH(B76),"")</f>
        <v>2</v>
      </c>
      <c r="B76" s="158">
        <v>41680</v>
      </c>
      <c r="C76" s="159" t="s">
        <v>160</v>
      </c>
      <c r="D76" s="158">
        <v>41680</v>
      </c>
      <c r="E76" s="160" t="s">
        <v>222</v>
      </c>
      <c r="F76" s="160"/>
      <c r="G76" s="159" t="s">
        <v>247</v>
      </c>
      <c r="H76" s="162"/>
      <c r="I76" s="162">
        <v>20000</v>
      </c>
      <c r="J76" s="163">
        <f t="shared" si="1"/>
        <v>598434686</v>
      </c>
      <c r="K76" s="163"/>
    </row>
    <row r="77" spans="1:11" s="143" customFormat="1" ht="19.5" customHeight="1">
      <c r="A77" s="143">
        <f t="shared" si="2"/>
        <v>2</v>
      </c>
      <c r="B77" s="158">
        <v>41680</v>
      </c>
      <c r="C77" s="159" t="s">
        <v>160</v>
      </c>
      <c r="D77" s="158">
        <v>41680</v>
      </c>
      <c r="E77" s="160" t="s">
        <v>223</v>
      </c>
      <c r="F77" s="160"/>
      <c r="G77" s="161" t="s">
        <v>35</v>
      </c>
      <c r="H77" s="162"/>
      <c r="I77" s="162">
        <v>2000</v>
      </c>
      <c r="J77" s="163">
        <f t="shared" ref="J77:J140" si="3">IF(B77&lt;&gt;"",J76+H77-I77,0)</f>
        <v>598432686</v>
      </c>
      <c r="K77" s="163"/>
    </row>
    <row r="78" spans="1:11" s="143" customFormat="1" ht="19.5" customHeight="1">
      <c r="A78" s="143">
        <f t="shared" si="2"/>
        <v>2</v>
      </c>
      <c r="B78" s="158">
        <v>41680</v>
      </c>
      <c r="C78" s="159" t="s">
        <v>160</v>
      </c>
      <c r="D78" s="158">
        <v>41680</v>
      </c>
      <c r="E78" s="160" t="s">
        <v>590</v>
      </c>
      <c r="F78" s="160"/>
      <c r="G78" s="161" t="s">
        <v>166</v>
      </c>
      <c r="H78" s="162"/>
      <c r="I78" s="162">
        <v>8599276</v>
      </c>
      <c r="J78" s="163">
        <f t="shared" si="3"/>
        <v>589833410</v>
      </c>
      <c r="K78" s="163"/>
    </row>
    <row r="79" spans="1:11" s="143" customFormat="1" ht="19.5" customHeight="1">
      <c r="A79" s="143">
        <f t="shared" si="2"/>
        <v>2</v>
      </c>
      <c r="B79" s="158">
        <v>41681</v>
      </c>
      <c r="C79" s="159" t="s">
        <v>163</v>
      </c>
      <c r="D79" s="158">
        <v>41681</v>
      </c>
      <c r="E79" s="160" t="s">
        <v>51</v>
      </c>
      <c r="F79" s="160"/>
      <c r="G79" s="161" t="s">
        <v>159</v>
      </c>
      <c r="H79" s="162">
        <v>200000</v>
      </c>
      <c r="I79" s="162"/>
      <c r="J79" s="163">
        <f t="shared" si="3"/>
        <v>590033410</v>
      </c>
      <c r="K79" s="163"/>
    </row>
    <row r="80" spans="1:11" s="143" customFormat="1" ht="19.5" customHeight="1">
      <c r="A80" s="143">
        <f t="shared" si="2"/>
        <v>2</v>
      </c>
      <c r="B80" s="158">
        <v>41681</v>
      </c>
      <c r="C80" s="159" t="s">
        <v>160</v>
      </c>
      <c r="D80" s="158">
        <v>41681</v>
      </c>
      <c r="E80" s="160" t="s">
        <v>164</v>
      </c>
      <c r="F80" s="160"/>
      <c r="G80" s="159" t="s">
        <v>162</v>
      </c>
      <c r="H80" s="162">
        <v>2068094000</v>
      </c>
      <c r="I80" s="162"/>
      <c r="J80" s="163">
        <f t="shared" si="3"/>
        <v>2658127410</v>
      </c>
      <c r="K80" s="163"/>
    </row>
    <row r="81" spans="1:12" s="143" customFormat="1" ht="19.5" customHeight="1">
      <c r="A81" s="143">
        <f t="shared" si="2"/>
        <v>2</v>
      </c>
      <c r="B81" s="158">
        <v>41681</v>
      </c>
      <c r="C81" s="159" t="s">
        <v>160</v>
      </c>
      <c r="D81" s="158">
        <v>41681</v>
      </c>
      <c r="E81" s="160" t="s">
        <v>170</v>
      </c>
      <c r="F81" s="160"/>
      <c r="G81" s="159" t="s">
        <v>247</v>
      </c>
      <c r="H81" s="162"/>
      <c r="I81" s="162">
        <v>11000</v>
      </c>
      <c r="J81" s="163">
        <f t="shared" si="3"/>
        <v>2658116410</v>
      </c>
      <c r="K81" s="163"/>
    </row>
    <row r="82" spans="1:12" s="143" customFormat="1" ht="19.5" customHeight="1">
      <c r="A82" s="143">
        <f t="shared" si="2"/>
        <v>2</v>
      </c>
      <c r="B82" s="158">
        <v>41681</v>
      </c>
      <c r="C82" s="159" t="s">
        <v>160</v>
      </c>
      <c r="D82" s="158">
        <v>41681</v>
      </c>
      <c r="E82" s="160" t="s">
        <v>577</v>
      </c>
      <c r="F82" s="160"/>
      <c r="G82" s="161" t="s">
        <v>159</v>
      </c>
      <c r="H82" s="162"/>
      <c r="I82" s="162">
        <v>590000000</v>
      </c>
      <c r="J82" s="163">
        <f t="shared" si="3"/>
        <v>2068116410</v>
      </c>
      <c r="K82" s="163"/>
    </row>
    <row r="83" spans="1:12" s="143" customFormat="1" ht="19.5" customHeight="1">
      <c r="A83" s="143">
        <f t="shared" si="2"/>
        <v>2</v>
      </c>
      <c r="B83" s="158">
        <v>41682</v>
      </c>
      <c r="C83" s="159" t="s">
        <v>160</v>
      </c>
      <c r="D83" s="158">
        <v>41682</v>
      </c>
      <c r="E83" s="160" t="s">
        <v>591</v>
      </c>
      <c r="F83" s="160"/>
      <c r="G83" s="161" t="s">
        <v>34</v>
      </c>
      <c r="H83" s="162"/>
      <c r="I83" s="162">
        <v>26499000</v>
      </c>
      <c r="J83" s="163">
        <f t="shared" si="3"/>
        <v>2041617410</v>
      </c>
      <c r="K83" s="163"/>
      <c r="L83" s="156">
        <f>J83+'Q4-VND'!J16+M11</f>
        <v>2042164919</v>
      </c>
    </row>
    <row r="84" spans="1:12" s="143" customFormat="1" ht="19.5" customHeight="1">
      <c r="A84" s="143">
        <f t="shared" si="2"/>
        <v>2</v>
      </c>
      <c r="B84" s="158">
        <v>41682</v>
      </c>
      <c r="C84" s="159" t="s">
        <v>160</v>
      </c>
      <c r="D84" s="158">
        <v>41682</v>
      </c>
      <c r="E84" s="160" t="s">
        <v>222</v>
      </c>
      <c r="F84" s="160"/>
      <c r="G84" s="161" t="s">
        <v>247</v>
      </c>
      <c r="H84" s="162"/>
      <c r="I84" s="162">
        <v>10000</v>
      </c>
      <c r="J84" s="163">
        <f t="shared" si="3"/>
        <v>2041607410</v>
      </c>
      <c r="K84" s="163"/>
    </row>
    <row r="85" spans="1:12" s="143" customFormat="1" ht="19.5" customHeight="1">
      <c r="A85" s="143">
        <f t="shared" si="2"/>
        <v>2</v>
      </c>
      <c r="B85" s="158">
        <v>41682</v>
      </c>
      <c r="C85" s="159" t="s">
        <v>160</v>
      </c>
      <c r="D85" s="158">
        <v>41682</v>
      </c>
      <c r="E85" s="160" t="s">
        <v>223</v>
      </c>
      <c r="F85" s="160"/>
      <c r="G85" s="161" t="s">
        <v>35</v>
      </c>
      <c r="H85" s="162"/>
      <c r="I85" s="162">
        <v>1000</v>
      </c>
      <c r="J85" s="163">
        <f t="shared" si="3"/>
        <v>2041606410</v>
      </c>
      <c r="K85" s="163"/>
    </row>
    <row r="86" spans="1:12" s="143" customFormat="1" ht="19.5" customHeight="1">
      <c r="A86" s="143">
        <f t="shared" si="2"/>
        <v>2</v>
      </c>
      <c r="B86" s="158">
        <v>41682</v>
      </c>
      <c r="C86" s="159" t="s">
        <v>160</v>
      </c>
      <c r="D86" s="158">
        <v>41682</v>
      </c>
      <c r="E86" s="160" t="s">
        <v>579</v>
      </c>
      <c r="F86" s="160"/>
      <c r="G86" s="161" t="s">
        <v>34</v>
      </c>
      <c r="H86" s="162"/>
      <c r="I86" s="162">
        <v>28151338</v>
      </c>
      <c r="J86" s="163">
        <f t="shared" si="3"/>
        <v>2013455072</v>
      </c>
      <c r="K86" s="163"/>
    </row>
    <row r="87" spans="1:12" s="143" customFormat="1" ht="19.5" customHeight="1">
      <c r="A87" s="143">
        <f t="shared" si="2"/>
        <v>2</v>
      </c>
      <c r="B87" s="158">
        <v>41682</v>
      </c>
      <c r="C87" s="159" t="s">
        <v>160</v>
      </c>
      <c r="D87" s="158">
        <v>41682</v>
      </c>
      <c r="E87" s="160" t="s">
        <v>222</v>
      </c>
      <c r="F87" s="160"/>
      <c r="G87" s="161" t="s">
        <v>247</v>
      </c>
      <c r="H87" s="162"/>
      <c r="I87" s="162">
        <v>20000</v>
      </c>
      <c r="J87" s="163">
        <f t="shared" si="3"/>
        <v>2013435072</v>
      </c>
      <c r="K87" s="163"/>
    </row>
    <row r="88" spans="1:12" s="143" customFormat="1" ht="19.5" customHeight="1">
      <c r="A88" s="143">
        <f t="shared" si="2"/>
        <v>2</v>
      </c>
      <c r="B88" s="158">
        <v>41682</v>
      </c>
      <c r="C88" s="159" t="s">
        <v>160</v>
      </c>
      <c r="D88" s="158">
        <v>41682</v>
      </c>
      <c r="E88" s="160" t="s">
        <v>223</v>
      </c>
      <c r="F88" s="160"/>
      <c r="G88" s="159" t="s">
        <v>35</v>
      </c>
      <c r="H88" s="162"/>
      <c r="I88" s="162">
        <v>2000</v>
      </c>
      <c r="J88" s="163">
        <f t="shared" si="3"/>
        <v>2013433072</v>
      </c>
      <c r="K88" s="163"/>
    </row>
    <row r="89" spans="1:12" s="143" customFormat="1" ht="19.5" customHeight="1">
      <c r="A89" s="143">
        <f t="shared" si="2"/>
        <v>2</v>
      </c>
      <c r="B89" s="158">
        <v>41684</v>
      </c>
      <c r="C89" s="159" t="s">
        <v>163</v>
      </c>
      <c r="D89" s="158">
        <v>41684</v>
      </c>
      <c r="E89" s="160" t="s">
        <v>51</v>
      </c>
      <c r="F89" s="160"/>
      <c r="G89" s="161" t="s">
        <v>159</v>
      </c>
      <c r="H89" s="162">
        <v>37000000</v>
      </c>
      <c r="I89" s="162"/>
      <c r="J89" s="163">
        <f t="shared" si="3"/>
        <v>2050433072</v>
      </c>
      <c r="K89" s="163"/>
    </row>
    <row r="90" spans="1:12" s="143" customFormat="1" ht="19.5" customHeight="1">
      <c r="A90" s="143">
        <f t="shared" si="2"/>
        <v>2</v>
      </c>
      <c r="B90" s="158">
        <v>41684</v>
      </c>
      <c r="C90" s="159" t="s">
        <v>160</v>
      </c>
      <c r="D90" s="158">
        <v>41684</v>
      </c>
      <c r="E90" s="160" t="s">
        <v>170</v>
      </c>
      <c r="F90" s="160"/>
      <c r="G90" s="159" t="s">
        <v>247</v>
      </c>
      <c r="H90" s="162"/>
      <c r="I90" s="162">
        <v>12067</v>
      </c>
      <c r="J90" s="163">
        <f t="shared" si="3"/>
        <v>2050421005</v>
      </c>
      <c r="K90" s="163"/>
    </row>
    <row r="91" spans="1:12" s="143" customFormat="1" ht="19.5" customHeight="1">
      <c r="A91" s="143">
        <f t="shared" si="2"/>
        <v>2</v>
      </c>
      <c r="B91" s="158">
        <v>41684</v>
      </c>
      <c r="C91" s="159" t="s">
        <v>160</v>
      </c>
      <c r="D91" s="158">
        <v>41684</v>
      </c>
      <c r="E91" s="160" t="s">
        <v>577</v>
      </c>
      <c r="F91" s="160"/>
      <c r="G91" s="161" t="s">
        <v>159</v>
      </c>
      <c r="H91" s="162"/>
      <c r="I91" s="162">
        <v>2050000000</v>
      </c>
      <c r="J91" s="163">
        <f t="shared" si="3"/>
        <v>421005</v>
      </c>
      <c r="K91" s="163"/>
    </row>
    <row r="92" spans="1:12" s="143" customFormat="1" ht="19.5" customHeight="1">
      <c r="A92" s="143">
        <f t="shared" si="2"/>
        <v>2</v>
      </c>
      <c r="B92" s="158">
        <v>41690</v>
      </c>
      <c r="C92" s="159" t="s">
        <v>163</v>
      </c>
      <c r="D92" s="158">
        <v>41690</v>
      </c>
      <c r="E92" s="160" t="s">
        <v>592</v>
      </c>
      <c r="F92" s="160"/>
      <c r="G92" s="161" t="s">
        <v>190</v>
      </c>
      <c r="H92" s="162">
        <v>150000000</v>
      </c>
      <c r="I92" s="162"/>
      <c r="J92" s="163">
        <f t="shared" si="3"/>
        <v>150421005</v>
      </c>
      <c r="K92" s="163"/>
    </row>
    <row r="93" spans="1:12" s="143" customFormat="1" ht="19.5" customHeight="1">
      <c r="A93" s="143">
        <f t="shared" si="2"/>
        <v>2</v>
      </c>
      <c r="B93" s="158">
        <v>41690</v>
      </c>
      <c r="C93" s="159" t="s">
        <v>160</v>
      </c>
      <c r="D93" s="158">
        <v>41690</v>
      </c>
      <c r="E93" s="160" t="s">
        <v>164</v>
      </c>
      <c r="F93" s="160"/>
      <c r="G93" s="159" t="s">
        <v>162</v>
      </c>
      <c r="H93" s="162">
        <v>1350400000</v>
      </c>
      <c r="I93" s="162"/>
      <c r="J93" s="163">
        <f t="shared" si="3"/>
        <v>1500821005</v>
      </c>
      <c r="K93" s="163"/>
    </row>
    <row r="94" spans="1:12" s="143" customFormat="1" ht="19.5" customHeight="1">
      <c r="A94" s="143">
        <f t="shared" si="2"/>
        <v>2</v>
      </c>
      <c r="B94" s="158">
        <v>41690</v>
      </c>
      <c r="C94" s="159" t="s">
        <v>160</v>
      </c>
      <c r="D94" s="158">
        <v>41690</v>
      </c>
      <c r="E94" s="160" t="s">
        <v>585</v>
      </c>
      <c r="F94" s="160"/>
      <c r="G94" s="161" t="s">
        <v>34</v>
      </c>
      <c r="H94" s="162"/>
      <c r="I94" s="162">
        <v>70000</v>
      </c>
      <c r="J94" s="163">
        <f t="shared" si="3"/>
        <v>1500751005</v>
      </c>
      <c r="K94" s="163"/>
    </row>
    <row r="95" spans="1:12" s="143" customFormat="1" ht="19.5" customHeight="1">
      <c r="A95" s="143">
        <f t="shared" si="2"/>
        <v>2</v>
      </c>
      <c r="B95" s="158">
        <v>41690</v>
      </c>
      <c r="C95" s="159" t="s">
        <v>160</v>
      </c>
      <c r="D95" s="158">
        <v>41690</v>
      </c>
      <c r="E95" s="160" t="s">
        <v>222</v>
      </c>
      <c r="F95" s="160"/>
      <c r="G95" s="161" t="s">
        <v>247</v>
      </c>
      <c r="H95" s="162"/>
      <c r="I95" s="162">
        <v>10000</v>
      </c>
      <c r="J95" s="163">
        <f t="shared" si="3"/>
        <v>1500741005</v>
      </c>
      <c r="K95" s="163"/>
    </row>
    <row r="96" spans="1:12" s="143" customFormat="1" ht="19.5" customHeight="1">
      <c r="A96" s="143">
        <f t="shared" si="2"/>
        <v>2</v>
      </c>
      <c r="B96" s="158">
        <v>41690</v>
      </c>
      <c r="C96" s="159" t="s">
        <v>160</v>
      </c>
      <c r="D96" s="158">
        <v>41690</v>
      </c>
      <c r="E96" s="160" t="s">
        <v>223</v>
      </c>
      <c r="F96" s="160"/>
      <c r="G96" s="159" t="s">
        <v>35</v>
      </c>
      <c r="H96" s="162"/>
      <c r="I96" s="162">
        <v>1000</v>
      </c>
      <c r="J96" s="163">
        <f t="shared" si="3"/>
        <v>1500740005</v>
      </c>
      <c r="K96" s="163"/>
    </row>
    <row r="97" spans="1:11" s="143" customFormat="1" ht="19.5" customHeight="1">
      <c r="A97" s="143">
        <f t="shared" si="2"/>
        <v>2</v>
      </c>
      <c r="B97" s="158">
        <v>41690</v>
      </c>
      <c r="C97" s="159" t="s">
        <v>160</v>
      </c>
      <c r="D97" s="158">
        <v>41690</v>
      </c>
      <c r="E97" s="160" t="s">
        <v>585</v>
      </c>
      <c r="F97" s="160"/>
      <c r="G97" s="161" t="s">
        <v>34</v>
      </c>
      <c r="H97" s="162"/>
      <c r="I97" s="162">
        <v>2834000</v>
      </c>
      <c r="J97" s="163">
        <f t="shared" si="3"/>
        <v>1497906005</v>
      </c>
      <c r="K97" s="163"/>
    </row>
    <row r="98" spans="1:11" s="143" customFormat="1" ht="19.5" customHeight="1">
      <c r="A98" s="143">
        <f t="shared" si="2"/>
        <v>2</v>
      </c>
      <c r="B98" s="158">
        <v>41690</v>
      </c>
      <c r="C98" s="159" t="s">
        <v>160</v>
      </c>
      <c r="D98" s="158">
        <v>41690</v>
      </c>
      <c r="E98" s="160" t="s">
        <v>222</v>
      </c>
      <c r="F98" s="160"/>
      <c r="G98" s="161" t="s">
        <v>247</v>
      </c>
      <c r="H98" s="162"/>
      <c r="I98" s="162">
        <v>10000</v>
      </c>
      <c r="J98" s="163">
        <f t="shared" si="3"/>
        <v>1497896005</v>
      </c>
      <c r="K98" s="163"/>
    </row>
    <row r="99" spans="1:11" s="143" customFormat="1" ht="19.5" customHeight="1">
      <c r="A99" s="143">
        <f t="shared" si="2"/>
        <v>2</v>
      </c>
      <c r="B99" s="158">
        <v>41690</v>
      </c>
      <c r="C99" s="159" t="s">
        <v>160</v>
      </c>
      <c r="D99" s="158">
        <v>41690</v>
      </c>
      <c r="E99" s="160" t="s">
        <v>223</v>
      </c>
      <c r="F99" s="160"/>
      <c r="G99" s="159" t="s">
        <v>35</v>
      </c>
      <c r="H99" s="162"/>
      <c r="I99" s="162">
        <v>1000</v>
      </c>
      <c r="J99" s="163">
        <f t="shared" si="3"/>
        <v>1497895005</v>
      </c>
      <c r="K99" s="163"/>
    </row>
    <row r="100" spans="1:11" s="143" customFormat="1" ht="19.5" customHeight="1">
      <c r="A100" s="143">
        <f t="shared" si="2"/>
        <v>2</v>
      </c>
      <c r="B100" s="158">
        <v>41690</v>
      </c>
      <c r="C100" s="159" t="s">
        <v>160</v>
      </c>
      <c r="D100" s="158">
        <v>41690</v>
      </c>
      <c r="E100" s="160" t="s">
        <v>584</v>
      </c>
      <c r="F100" s="160"/>
      <c r="G100" s="159" t="s">
        <v>34</v>
      </c>
      <c r="H100" s="162"/>
      <c r="I100" s="162">
        <v>6112275</v>
      </c>
      <c r="J100" s="163">
        <f t="shared" si="3"/>
        <v>1491782730</v>
      </c>
      <c r="K100" s="163"/>
    </row>
    <row r="101" spans="1:11" s="143" customFormat="1" ht="19.5" customHeight="1">
      <c r="A101" s="143">
        <f t="shared" si="2"/>
        <v>2</v>
      </c>
      <c r="B101" s="158">
        <v>41690</v>
      </c>
      <c r="C101" s="159" t="s">
        <v>160</v>
      </c>
      <c r="D101" s="158">
        <v>41690</v>
      </c>
      <c r="E101" s="160" t="s">
        <v>222</v>
      </c>
      <c r="F101" s="160"/>
      <c r="G101" s="161" t="s">
        <v>247</v>
      </c>
      <c r="H101" s="162"/>
      <c r="I101" s="162">
        <v>20000</v>
      </c>
      <c r="J101" s="163">
        <f t="shared" si="3"/>
        <v>1491762730</v>
      </c>
      <c r="K101" s="163"/>
    </row>
    <row r="102" spans="1:11" s="143" customFormat="1" ht="19.5" customHeight="1">
      <c r="A102" s="143">
        <f t="shared" si="2"/>
        <v>2</v>
      </c>
      <c r="B102" s="158">
        <v>41690</v>
      </c>
      <c r="C102" s="159" t="s">
        <v>160</v>
      </c>
      <c r="D102" s="158">
        <v>41690</v>
      </c>
      <c r="E102" s="160" t="s">
        <v>223</v>
      </c>
      <c r="F102" s="160"/>
      <c r="G102" s="159" t="s">
        <v>35</v>
      </c>
      <c r="H102" s="162"/>
      <c r="I102" s="162">
        <v>2000</v>
      </c>
      <c r="J102" s="163">
        <f t="shared" si="3"/>
        <v>1491760730</v>
      </c>
      <c r="K102" s="163"/>
    </row>
    <row r="103" spans="1:11" s="143" customFormat="1" ht="19.5" customHeight="1">
      <c r="A103" s="143">
        <f t="shared" si="2"/>
        <v>2</v>
      </c>
      <c r="B103" s="158">
        <v>41690</v>
      </c>
      <c r="C103" s="159" t="s">
        <v>160</v>
      </c>
      <c r="D103" s="158">
        <v>41690</v>
      </c>
      <c r="E103" s="160" t="s">
        <v>593</v>
      </c>
      <c r="F103" s="160"/>
      <c r="G103" s="159" t="s">
        <v>34</v>
      </c>
      <c r="H103" s="162"/>
      <c r="I103" s="162">
        <v>12000000</v>
      </c>
      <c r="J103" s="163">
        <f t="shared" si="3"/>
        <v>1479760730</v>
      </c>
      <c r="K103" s="163"/>
    </row>
    <row r="104" spans="1:11" s="143" customFormat="1" ht="19.5" customHeight="1">
      <c r="A104" s="143">
        <f t="shared" si="2"/>
        <v>2</v>
      </c>
      <c r="B104" s="158">
        <v>41690</v>
      </c>
      <c r="C104" s="159" t="s">
        <v>160</v>
      </c>
      <c r="D104" s="158">
        <v>41690</v>
      </c>
      <c r="E104" s="160" t="s">
        <v>222</v>
      </c>
      <c r="F104" s="160"/>
      <c r="G104" s="161" t="s">
        <v>247</v>
      </c>
      <c r="H104" s="162"/>
      <c r="I104" s="162">
        <v>10000</v>
      </c>
      <c r="J104" s="163">
        <f t="shared" si="3"/>
        <v>1479750730</v>
      </c>
      <c r="K104" s="163"/>
    </row>
    <row r="105" spans="1:11" s="143" customFormat="1" ht="19.5" customHeight="1">
      <c r="A105" s="143">
        <f t="shared" si="2"/>
        <v>2</v>
      </c>
      <c r="B105" s="158">
        <v>41690</v>
      </c>
      <c r="C105" s="159" t="s">
        <v>160</v>
      </c>
      <c r="D105" s="158">
        <v>41690</v>
      </c>
      <c r="E105" s="160" t="s">
        <v>223</v>
      </c>
      <c r="F105" s="160"/>
      <c r="G105" s="159" t="s">
        <v>35</v>
      </c>
      <c r="H105" s="162"/>
      <c r="I105" s="162">
        <v>1000</v>
      </c>
      <c r="J105" s="163">
        <f t="shared" si="3"/>
        <v>1479749730</v>
      </c>
      <c r="K105" s="163"/>
    </row>
    <row r="106" spans="1:11" s="143" customFormat="1" ht="19.5" customHeight="1">
      <c r="A106" s="143">
        <f t="shared" si="2"/>
        <v>2</v>
      </c>
      <c r="B106" s="158">
        <v>41690</v>
      </c>
      <c r="C106" s="159" t="s">
        <v>160</v>
      </c>
      <c r="D106" s="158">
        <v>41690</v>
      </c>
      <c r="E106" s="160" t="s">
        <v>579</v>
      </c>
      <c r="F106" s="160"/>
      <c r="G106" s="159" t="s">
        <v>34</v>
      </c>
      <c r="H106" s="162"/>
      <c r="I106" s="162">
        <v>14343270</v>
      </c>
      <c r="J106" s="163">
        <f t="shared" si="3"/>
        <v>1465406460</v>
      </c>
      <c r="K106" s="163"/>
    </row>
    <row r="107" spans="1:11" s="143" customFormat="1" ht="19.5" customHeight="1">
      <c r="A107" s="143">
        <f t="shared" si="2"/>
        <v>2</v>
      </c>
      <c r="B107" s="158">
        <v>41690</v>
      </c>
      <c r="C107" s="159" t="s">
        <v>160</v>
      </c>
      <c r="D107" s="158">
        <v>41690</v>
      </c>
      <c r="E107" s="160" t="s">
        <v>222</v>
      </c>
      <c r="F107" s="160"/>
      <c r="G107" s="161" t="s">
        <v>247</v>
      </c>
      <c r="H107" s="162"/>
      <c r="I107" s="162">
        <v>20000</v>
      </c>
      <c r="J107" s="163">
        <f t="shared" si="3"/>
        <v>1465386460</v>
      </c>
      <c r="K107" s="163"/>
    </row>
    <row r="108" spans="1:11" s="143" customFormat="1" ht="19.5" customHeight="1">
      <c r="A108" s="143">
        <f t="shared" si="2"/>
        <v>2</v>
      </c>
      <c r="B108" s="158">
        <v>41690</v>
      </c>
      <c r="C108" s="159" t="s">
        <v>160</v>
      </c>
      <c r="D108" s="158">
        <v>41690</v>
      </c>
      <c r="E108" s="160" t="s">
        <v>223</v>
      </c>
      <c r="F108" s="160"/>
      <c r="G108" s="159" t="s">
        <v>35</v>
      </c>
      <c r="H108" s="162"/>
      <c r="I108" s="162">
        <v>2000</v>
      </c>
      <c r="J108" s="163">
        <f t="shared" si="3"/>
        <v>1465384460</v>
      </c>
      <c r="K108" s="163"/>
    </row>
    <row r="109" spans="1:11" s="143" customFormat="1" ht="19.5" customHeight="1">
      <c r="A109" s="143">
        <f t="shared" si="2"/>
        <v>2</v>
      </c>
      <c r="B109" s="158">
        <v>41690</v>
      </c>
      <c r="C109" s="159" t="s">
        <v>160</v>
      </c>
      <c r="D109" s="158">
        <v>41690</v>
      </c>
      <c r="E109" s="160" t="s">
        <v>576</v>
      </c>
      <c r="F109" s="160"/>
      <c r="G109" s="159" t="s">
        <v>34</v>
      </c>
      <c r="H109" s="162"/>
      <c r="I109" s="162">
        <v>21196560</v>
      </c>
      <c r="J109" s="163">
        <f t="shared" si="3"/>
        <v>1444187900</v>
      </c>
      <c r="K109" s="163"/>
    </row>
    <row r="110" spans="1:11" s="143" customFormat="1" ht="19.5" customHeight="1">
      <c r="A110" s="143">
        <f t="shared" si="2"/>
        <v>2</v>
      </c>
      <c r="B110" s="158">
        <v>41690</v>
      </c>
      <c r="C110" s="159" t="s">
        <v>160</v>
      </c>
      <c r="D110" s="158">
        <v>41690</v>
      </c>
      <c r="E110" s="160" t="s">
        <v>222</v>
      </c>
      <c r="F110" s="160"/>
      <c r="G110" s="161" t="s">
        <v>247</v>
      </c>
      <c r="H110" s="162"/>
      <c r="I110" s="162">
        <v>20000</v>
      </c>
      <c r="J110" s="163">
        <f t="shared" si="3"/>
        <v>1444167900</v>
      </c>
      <c r="K110" s="163"/>
    </row>
    <row r="111" spans="1:11" s="143" customFormat="1" ht="19.5" customHeight="1">
      <c r="A111" s="143">
        <f t="shared" si="2"/>
        <v>2</v>
      </c>
      <c r="B111" s="158">
        <v>41690</v>
      </c>
      <c r="C111" s="159" t="s">
        <v>160</v>
      </c>
      <c r="D111" s="158">
        <v>41690</v>
      </c>
      <c r="E111" s="160" t="s">
        <v>223</v>
      </c>
      <c r="F111" s="160"/>
      <c r="G111" s="159" t="s">
        <v>35</v>
      </c>
      <c r="H111" s="162"/>
      <c r="I111" s="162">
        <v>2000</v>
      </c>
      <c r="J111" s="163">
        <f t="shared" si="3"/>
        <v>1444165900</v>
      </c>
      <c r="K111" s="163"/>
    </row>
    <row r="112" spans="1:11" s="143" customFormat="1" ht="19.5" customHeight="1">
      <c r="A112" s="143">
        <f t="shared" si="2"/>
        <v>2</v>
      </c>
      <c r="B112" s="158">
        <v>41690</v>
      </c>
      <c r="C112" s="159" t="s">
        <v>160</v>
      </c>
      <c r="D112" s="158">
        <v>41690</v>
      </c>
      <c r="E112" s="160" t="s">
        <v>594</v>
      </c>
      <c r="F112" s="160"/>
      <c r="G112" s="161" t="s">
        <v>57</v>
      </c>
      <c r="H112" s="162"/>
      <c r="I112" s="162">
        <v>1150000000</v>
      </c>
      <c r="J112" s="163">
        <f t="shared" si="3"/>
        <v>294165900</v>
      </c>
      <c r="K112" s="163"/>
    </row>
    <row r="113" spans="1:11" s="143" customFormat="1" ht="19.5" customHeight="1">
      <c r="A113" s="143">
        <f t="shared" si="2"/>
        <v>2</v>
      </c>
      <c r="B113" s="158">
        <v>41695</v>
      </c>
      <c r="C113" s="159" t="s">
        <v>163</v>
      </c>
      <c r="D113" s="158">
        <v>41695</v>
      </c>
      <c r="E113" s="160" t="s">
        <v>588</v>
      </c>
      <c r="F113" s="160"/>
      <c r="G113" s="161" t="s">
        <v>176</v>
      </c>
      <c r="H113" s="162">
        <v>113705</v>
      </c>
      <c r="I113" s="162"/>
      <c r="J113" s="163">
        <f t="shared" si="3"/>
        <v>294279605</v>
      </c>
      <c r="K113" s="163"/>
    </row>
    <row r="114" spans="1:11" s="143" customFormat="1" ht="19.5" customHeight="1">
      <c r="A114" s="143">
        <f t="shared" si="2"/>
        <v>2</v>
      </c>
      <c r="B114" s="158">
        <v>41695</v>
      </c>
      <c r="C114" s="159" t="s">
        <v>160</v>
      </c>
      <c r="D114" s="158">
        <v>41695</v>
      </c>
      <c r="E114" s="160" t="s">
        <v>595</v>
      </c>
      <c r="F114" s="160"/>
      <c r="G114" s="159" t="s">
        <v>34</v>
      </c>
      <c r="H114" s="162"/>
      <c r="I114" s="162">
        <v>150000000</v>
      </c>
      <c r="J114" s="163">
        <f t="shared" si="3"/>
        <v>144279605</v>
      </c>
      <c r="K114" s="163"/>
    </row>
    <row r="115" spans="1:11" s="143" customFormat="1" ht="19.5" customHeight="1">
      <c r="A115" s="143">
        <f t="shared" si="2"/>
        <v>2</v>
      </c>
      <c r="B115" s="158">
        <v>41695</v>
      </c>
      <c r="C115" s="159" t="s">
        <v>160</v>
      </c>
      <c r="D115" s="158">
        <v>41695</v>
      </c>
      <c r="E115" s="160" t="s">
        <v>222</v>
      </c>
      <c r="F115" s="160"/>
      <c r="G115" s="159" t="s">
        <v>247</v>
      </c>
      <c r="H115" s="162"/>
      <c r="I115" s="162">
        <v>15000</v>
      </c>
      <c r="J115" s="163">
        <f t="shared" si="3"/>
        <v>144264605</v>
      </c>
      <c r="K115" s="163"/>
    </row>
    <row r="116" spans="1:11" s="143" customFormat="1" ht="19.5" customHeight="1">
      <c r="A116" s="143">
        <f t="shared" si="2"/>
        <v>2</v>
      </c>
      <c r="B116" s="158">
        <v>41695</v>
      </c>
      <c r="C116" s="159" t="s">
        <v>160</v>
      </c>
      <c r="D116" s="158">
        <v>41695</v>
      </c>
      <c r="E116" s="160" t="s">
        <v>223</v>
      </c>
      <c r="F116" s="160"/>
      <c r="G116" s="161" t="s">
        <v>35</v>
      </c>
      <c r="H116" s="162"/>
      <c r="I116" s="162">
        <v>1500</v>
      </c>
      <c r="J116" s="163">
        <f t="shared" si="3"/>
        <v>144263105</v>
      </c>
      <c r="K116" s="163"/>
    </row>
    <row r="117" spans="1:11" s="143" customFormat="1" ht="19.5" customHeight="1">
      <c r="A117" s="143">
        <f t="shared" si="2"/>
        <v>2</v>
      </c>
      <c r="B117" s="158">
        <v>41695</v>
      </c>
      <c r="C117" s="159" t="s">
        <v>160</v>
      </c>
      <c r="D117" s="158">
        <v>41695</v>
      </c>
      <c r="E117" s="160" t="s">
        <v>577</v>
      </c>
      <c r="F117" s="160"/>
      <c r="G117" s="161" t="s">
        <v>159</v>
      </c>
      <c r="H117" s="162"/>
      <c r="I117" s="162">
        <v>90000000</v>
      </c>
      <c r="J117" s="163">
        <f t="shared" si="3"/>
        <v>54263105</v>
      </c>
      <c r="K117" s="163"/>
    </row>
    <row r="118" spans="1:11" s="143" customFormat="1" ht="19.5" customHeight="1">
      <c r="A118" s="143">
        <f t="shared" si="2"/>
        <v>2</v>
      </c>
      <c r="B118" s="158">
        <v>41696</v>
      </c>
      <c r="C118" s="159" t="s">
        <v>160</v>
      </c>
      <c r="D118" s="158">
        <v>41696</v>
      </c>
      <c r="E118" s="160" t="s">
        <v>164</v>
      </c>
      <c r="F118" s="160"/>
      <c r="G118" s="159" t="s">
        <v>162</v>
      </c>
      <c r="H118" s="162">
        <v>670514680</v>
      </c>
      <c r="I118" s="162"/>
      <c r="J118" s="163">
        <f t="shared" si="3"/>
        <v>724777785</v>
      </c>
      <c r="K118" s="163"/>
    </row>
    <row r="119" spans="1:11" s="143" customFormat="1" ht="19.5" customHeight="1">
      <c r="A119" s="143">
        <f t="shared" si="2"/>
        <v>2</v>
      </c>
      <c r="B119" s="158">
        <v>41696</v>
      </c>
      <c r="C119" s="159" t="s">
        <v>160</v>
      </c>
      <c r="D119" s="158">
        <v>41696</v>
      </c>
      <c r="E119" s="160" t="s">
        <v>596</v>
      </c>
      <c r="F119" s="160"/>
      <c r="G119" s="161" t="s">
        <v>247</v>
      </c>
      <c r="H119" s="162"/>
      <c r="I119" s="162">
        <v>316800</v>
      </c>
      <c r="J119" s="163">
        <f t="shared" si="3"/>
        <v>724460985</v>
      </c>
      <c r="K119" s="163"/>
    </row>
    <row r="120" spans="1:11" s="143" customFormat="1" ht="19.5" customHeight="1">
      <c r="A120" s="143">
        <f t="shared" si="2"/>
        <v>2</v>
      </c>
      <c r="B120" s="158">
        <v>41696</v>
      </c>
      <c r="C120" s="159" t="s">
        <v>160</v>
      </c>
      <c r="D120" s="158">
        <v>41696</v>
      </c>
      <c r="E120" s="160" t="s">
        <v>597</v>
      </c>
      <c r="F120" s="160"/>
      <c r="G120" s="161" t="s">
        <v>35</v>
      </c>
      <c r="H120" s="162"/>
      <c r="I120" s="162">
        <v>31680</v>
      </c>
      <c r="J120" s="163">
        <f t="shared" si="3"/>
        <v>724429305</v>
      </c>
      <c r="K120" s="163"/>
    </row>
    <row r="121" spans="1:11" s="143" customFormat="1" ht="19.5" customHeight="1">
      <c r="A121" s="143">
        <f t="shared" si="2"/>
        <v>2</v>
      </c>
      <c r="B121" s="158">
        <v>41697</v>
      </c>
      <c r="C121" s="159" t="s">
        <v>160</v>
      </c>
      <c r="D121" s="158">
        <v>41697</v>
      </c>
      <c r="E121" s="160" t="s">
        <v>220</v>
      </c>
      <c r="F121" s="160"/>
      <c r="G121" s="159" t="s">
        <v>36</v>
      </c>
      <c r="H121" s="162">
        <v>31670000</v>
      </c>
      <c r="I121" s="162"/>
      <c r="J121" s="163">
        <f t="shared" si="3"/>
        <v>756099305</v>
      </c>
      <c r="K121" s="163"/>
    </row>
    <row r="122" spans="1:11" s="143" customFormat="1" ht="19.5" customHeight="1">
      <c r="A122" s="143">
        <f t="shared" si="2"/>
        <v>2</v>
      </c>
      <c r="B122" s="158">
        <v>41697</v>
      </c>
      <c r="C122" s="159" t="s">
        <v>160</v>
      </c>
      <c r="D122" s="158">
        <v>41697</v>
      </c>
      <c r="E122" s="160" t="s">
        <v>216</v>
      </c>
      <c r="F122" s="160"/>
      <c r="G122" s="159" t="s">
        <v>34</v>
      </c>
      <c r="H122" s="162"/>
      <c r="I122" s="162">
        <v>50000000</v>
      </c>
      <c r="J122" s="163">
        <f t="shared" si="3"/>
        <v>706099305</v>
      </c>
      <c r="K122" s="163"/>
    </row>
    <row r="123" spans="1:11" s="143" customFormat="1" ht="19.5" customHeight="1">
      <c r="A123" s="143">
        <f t="shared" si="2"/>
        <v>2</v>
      </c>
      <c r="B123" s="158">
        <v>41697</v>
      </c>
      <c r="C123" s="159" t="s">
        <v>160</v>
      </c>
      <c r="D123" s="158">
        <v>41697</v>
      </c>
      <c r="E123" s="160" t="s">
        <v>222</v>
      </c>
      <c r="F123" s="160"/>
      <c r="G123" s="159" t="s">
        <v>247</v>
      </c>
      <c r="H123" s="162"/>
      <c r="I123" s="162">
        <v>25000</v>
      </c>
      <c r="J123" s="163">
        <f t="shared" si="3"/>
        <v>706074305</v>
      </c>
      <c r="K123" s="163"/>
    </row>
    <row r="124" spans="1:11" s="143" customFormat="1" ht="19.5" customHeight="1">
      <c r="A124" s="143">
        <f t="shared" si="2"/>
        <v>2</v>
      </c>
      <c r="B124" s="158">
        <v>41697</v>
      </c>
      <c r="C124" s="159" t="s">
        <v>160</v>
      </c>
      <c r="D124" s="158">
        <v>41697</v>
      </c>
      <c r="E124" s="160" t="s">
        <v>223</v>
      </c>
      <c r="F124" s="160"/>
      <c r="G124" s="161" t="s">
        <v>35</v>
      </c>
      <c r="H124" s="162"/>
      <c r="I124" s="162">
        <v>2500</v>
      </c>
      <c r="J124" s="163">
        <f t="shared" si="3"/>
        <v>706071805</v>
      </c>
      <c r="K124" s="163"/>
    </row>
    <row r="125" spans="1:11" s="143" customFormat="1" ht="19.5" customHeight="1">
      <c r="A125" s="143">
        <f t="shared" si="2"/>
        <v>2</v>
      </c>
      <c r="B125" s="158">
        <v>41697</v>
      </c>
      <c r="C125" s="159" t="s">
        <v>160</v>
      </c>
      <c r="D125" s="158">
        <v>41697</v>
      </c>
      <c r="E125" s="160" t="s">
        <v>577</v>
      </c>
      <c r="F125" s="160"/>
      <c r="G125" s="161" t="s">
        <v>159</v>
      </c>
      <c r="H125" s="162"/>
      <c r="I125" s="162">
        <v>700000000</v>
      </c>
      <c r="J125" s="163">
        <f t="shared" si="3"/>
        <v>6071805</v>
      </c>
      <c r="K125" s="163"/>
    </row>
    <row r="126" spans="1:11" s="143" customFormat="1" ht="19.5" customHeight="1">
      <c r="A126" s="143">
        <f t="shared" si="2"/>
        <v>3</v>
      </c>
      <c r="B126" s="158">
        <v>41701</v>
      </c>
      <c r="C126" s="159" t="s">
        <v>163</v>
      </c>
      <c r="D126" s="158">
        <v>41701</v>
      </c>
      <c r="E126" s="160" t="s">
        <v>592</v>
      </c>
      <c r="F126" s="160"/>
      <c r="G126" s="161" t="s">
        <v>190</v>
      </c>
      <c r="H126" s="162">
        <v>344651054</v>
      </c>
      <c r="I126" s="162"/>
      <c r="J126" s="163">
        <f t="shared" si="3"/>
        <v>350722859</v>
      </c>
      <c r="K126" s="163"/>
    </row>
    <row r="127" spans="1:11" s="143" customFormat="1" ht="19.5" customHeight="1">
      <c r="A127" s="143">
        <f t="shared" si="2"/>
        <v>3</v>
      </c>
      <c r="B127" s="158">
        <v>41704</v>
      </c>
      <c r="C127" s="159" t="s">
        <v>160</v>
      </c>
      <c r="D127" s="158">
        <v>41704</v>
      </c>
      <c r="E127" s="160" t="s">
        <v>598</v>
      </c>
      <c r="F127" s="160"/>
      <c r="G127" s="161" t="s">
        <v>34</v>
      </c>
      <c r="H127" s="162"/>
      <c r="I127" s="162">
        <v>85536000</v>
      </c>
      <c r="J127" s="163">
        <f t="shared" si="3"/>
        <v>265186859</v>
      </c>
      <c r="K127" s="163"/>
    </row>
    <row r="128" spans="1:11" s="143" customFormat="1" ht="19.5" customHeight="1">
      <c r="A128" s="143">
        <f t="shared" si="2"/>
        <v>3</v>
      </c>
      <c r="B128" s="158">
        <v>41704</v>
      </c>
      <c r="C128" s="159" t="s">
        <v>160</v>
      </c>
      <c r="D128" s="158">
        <v>41704</v>
      </c>
      <c r="E128" s="160" t="s">
        <v>222</v>
      </c>
      <c r="F128" s="160"/>
      <c r="G128" s="161" t="s">
        <v>247</v>
      </c>
      <c r="H128" s="162"/>
      <c r="I128" s="162">
        <v>10000</v>
      </c>
      <c r="J128" s="163">
        <f t="shared" si="3"/>
        <v>265176859</v>
      </c>
      <c r="K128" s="163"/>
    </row>
    <row r="129" spans="1:11" s="143" customFormat="1" ht="19.5" customHeight="1">
      <c r="A129" s="143">
        <f t="shared" si="2"/>
        <v>3</v>
      </c>
      <c r="B129" s="158">
        <v>41704</v>
      </c>
      <c r="C129" s="159" t="s">
        <v>160</v>
      </c>
      <c r="D129" s="158">
        <v>41704</v>
      </c>
      <c r="E129" s="160" t="s">
        <v>223</v>
      </c>
      <c r="F129" s="160"/>
      <c r="G129" s="161" t="s">
        <v>35</v>
      </c>
      <c r="H129" s="162"/>
      <c r="I129" s="162">
        <v>1000</v>
      </c>
      <c r="J129" s="163">
        <f t="shared" si="3"/>
        <v>265175859</v>
      </c>
      <c r="K129" s="163"/>
    </row>
    <row r="130" spans="1:11" s="143" customFormat="1" ht="19.5" customHeight="1">
      <c r="A130" s="143">
        <f t="shared" si="2"/>
        <v>3</v>
      </c>
      <c r="B130" s="158">
        <v>41704</v>
      </c>
      <c r="C130" s="159" t="s">
        <v>160</v>
      </c>
      <c r="D130" s="158">
        <v>41704</v>
      </c>
      <c r="E130" s="160" t="s">
        <v>577</v>
      </c>
      <c r="F130" s="160"/>
      <c r="G130" s="161" t="s">
        <v>159</v>
      </c>
      <c r="H130" s="162"/>
      <c r="I130" s="162">
        <v>265000000</v>
      </c>
      <c r="J130" s="163">
        <f t="shared" si="3"/>
        <v>175859</v>
      </c>
      <c r="K130" s="163"/>
    </row>
    <row r="131" spans="1:11" s="143" customFormat="1" ht="19.5" customHeight="1">
      <c r="A131" s="143">
        <f t="shared" si="2"/>
        <v>3</v>
      </c>
      <c r="B131" s="158">
        <v>41708</v>
      </c>
      <c r="C131" s="159" t="s">
        <v>163</v>
      </c>
      <c r="D131" s="158">
        <v>41708</v>
      </c>
      <c r="E131" s="160" t="s">
        <v>599</v>
      </c>
      <c r="F131" s="160"/>
      <c r="G131" s="161" t="s">
        <v>213</v>
      </c>
      <c r="H131" s="162">
        <v>2100000000</v>
      </c>
      <c r="I131" s="162"/>
      <c r="J131" s="163">
        <f t="shared" si="3"/>
        <v>2100175859</v>
      </c>
      <c r="K131" s="163"/>
    </row>
    <row r="132" spans="1:11" s="143" customFormat="1" ht="19.5" customHeight="1">
      <c r="A132" s="143">
        <f t="shared" si="2"/>
        <v>3</v>
      </c>
      <c r="B132" s="158">
        <v>41709</v>
      </c>
      <c r="C132" s="159" t="s">
        <v>160</v>
      </c>
      <c r="D132" s="158">
        <v>41709</v>
      </c>
      <c r="E132" s="160" t="s">
        <v>164</v>
      </c>
      <c r="F132" s="160"/>
      <c r="G132" s="159" t="s">
        <v>162</v>
      </c>
      <c r="H132" s="162">
        <v>2011353300</v>
      </c>
      <c r="I132" s="162"/>
      <c r="J132" s="163">
        <f t="shared" si="3"/>
        <v>4111529159</v>
      </c>
      <c r="K132" s="163"/>
    </row>
    <row r="133" spans="1:11" s="143" customFormat="1" ht="19.5" customHeight="1">
      <c r="A133" s="143">
        <f t="shared" si="2"/>
        <v>3</v>
      </c>
      <c r="B133" s="158">
        <v>41709</v>
      </c>
      <c r="C133" s="159" t="s">
        <v>163</v>
      </c>
      <c r="D133" s="158">
        <v>41709</v>
      </c>
      <c r="E133" s="160" t="s">
        <v>161</v>
      </c>
      <c r="F133" s="160"/>
      <c r="G133" s="161" t="s">
        <v>162</v>
      </c>
      <c r="H133" s="162"/>
      <c r="I133" s="162">
        <v>2012307000</v>
      </c>
      <c r="J133" s="163">
        <f t="shared" si="3"/>
        <v>2099222159</v>
      </c>
      <c r="K133" s="163"/>
    </row>
    <row r="134" spans="1:11" s="143" customFormat="1" ht="19.5" customHeight="1">
      <c r="A134" s="143">
        <f t="shared" si="2"/>
        <v>3</v>
      </c>
      <c r="B134" s="158">
        <v>41709</v>
      </c>
      <c r="C134" s="159" t="s">
        <v>160</v>
      </c>
      <c r="D134" s="158">
        <v>41709</v>
      </c>
      <c r="E134" s="160" t="s">
        <v>596</v>
      </c>
      <c r="F134" s="160"/>
      <c r="G134" s="161" t="s">
        <v>247</v>
      </c>
      <c r="H134" s="162"/>
      <c r="I134" s="162">
        <v>316125</v>
      </c>
      <c r="J134" s="163">
        <f t="shared" si="3"/>
        <v>2098906034</v>
      </c>
      <c r="K134" s="163"/>
    </row>
    <row r="135" spans="1:11" s="143" customFormat="1" ht="19.5" customHeight="1">
      <c r="A135" s="143">
        <f t="shared" si="2"/>
        <v>3</v>
      </c>
      <c r="B135" s="158">
        <v>41709</v>
      </c>
      <c r="C135" s="159" t="s">
        <v>160</v>
      </c>
      <c r="D135" s="158">
        <v>41709</v>
      </c>
      <c r="E135" s="160" t="s">
        <v>597</v>
      </c>
      <c r="F135" s="160"/>
      <c r="G135" s="161" t="s">
        <v>35</v>
      </c>
      <c r="H135" s="162"/>
      <c r="I135" s="162">
        <v>31613</v>
      </c>
      <c r="J135" s="163">
        <f t="shared" si="3"/>
        <v>2098874421</v>
      </c>
      <c r="K135" s="163"/>
    </row>
    <row r="136" spans="1:11" s="143" customFormat="1" ht="19.5" customHeight="1">
      <c r="A136" s="143">
        <f t="shared" si="2"/>
        <v>3</v>
      </c>
      <c r="B136" s="158">
        <v>41709</v>
      </c>
      <c r="C136" s="159" t="s">
        <v>160</v>
      </c>
      <c r="D136" s="158">
        <v>41709</v>
      </c>
      <c r="E136" s="160" t="s">
        <v>600</v>
      </c>
      <c r="F136" s="160"/>
      <c r="G136" s="161" t="s">
        <v>166</v>
      </c>
      <c r="H136" s="162"/>
      <c r="I136" s="162">
        <v>8544396</v>
      </c>
      <c r="J136" s="163">
        <f t="shared" si="3"/>
        <v>2090330025</v>
      </c>
      <c r="K136" s="163"/>
    </row>
    <row r="137" spans="1:11" s="143" customFormat="1" ht="19.5" customHeight="1">
      <c r="A137" s="143">
        <f t="shared" si="2"/>
        <v>3</v>
      </c>
      <c r="B137" s="158">
        <v>41709</v>
      </c>
      <c r="C137" s="159" t="s">
        <v>160</v>
      </c>
      <c r="D137" s="158">
        <v>41709</v>
      </c>
      <c r="E137" s="160" t="s">
        <v>165</v>
      </c>
      <c r="F137" s="160"/>
      <c r="G137" s="161" t="s">
        <v>166</v>
      </c>
      <c r="H137" s="162"/>
      <c r="I137" s="162">
        <v>4873131</v>
      </c>
      <c r="J137" s="163">
        <f t="shared" si="3"/>
        <v>2085456894</v>
      </c>
      <c r="K137" s="163"/>
    </row>
    <row r="138" spans="1:11" s="143" customFormat="1" ht="19.5" customHeight="1">
      <c r="A138" s="143">
        <f t="shared" si="2"/>
        <v>3</v>
      </c>
      <c r="B138" s="158">
        <v>41709</v>
      </c>
      <c r="C138" s="159" t="s">
        <v>160</v>
      </c>
      <c r="D138" s="158">
        <v>41709</v>
      </c>
      <c r="E138" s="160" t="s">
        <v>167</v>
      </c>
      <c r="F138" s="160"/>
      <c r="G138" s="161" t="s">
        <v>166</v>
      </c>
      <c r="H138" s="162"/>
      <c r="I138" s="162">
        <v>12720521</v>
      </c>
      <c r="J138" s="163">
        <f t="shared" si="3"/>
        <v>2072736373</v>
      </c>
      <c r="K138" s="163"/>
    </row>
    <row r="139" spans="1:11" s="143" customFormat="1" ht="19.5" customHeight="1">
      <c r="A139" s="143">
        <f t="shared" si="2"/>
        <v>3</v>
      </c>
      <c r="B139" s="158">
        <v>41709</v>
      </c>
      <c r="C139" s="159" t="s">
        <v>160</v>
      </c>
      <c r="D139" s="158">
        <v>41709</v>
      </c>
      <c r="E139" s="160" t="s">
        <v>168</v>
      </c>
      <c r="F139" s="160"/>
      <c r="G139" s="161" t="s">
        <v>166</v>
      </c>
      <c r="H139" s="162"/>
      <c r="I139" s="162">
        <v>7933328</v>
      </c>
      <c r="J139" s="163">
        <f t="shared" si="3"/>
        <v>2064803045</v>
      </c>
      <c r="K139" s="163"/>
    </row>
    <row r="140" spans="1:11" s="143" customFormat="1" ht="19.5" customHeight="1">
      <c r="A140" s="143">
        <f t="shared" ref="A140:A203" si="4">IF(B140&lt;&gt;"",MONTH(B140),"")</f>
        <v>3</v>
      </c>
      <c r="B140" s="158">
        <v>41709</v>
      </c>
      <c r="C140" s="159" t="s">
        <v>160</v>
      </c>
      <c r="D140" s="158">
        <v>41709</v>
      </c>
      <c r="E140" s="160" t="s">
        <v>169</v>
      </c>
      <c r="F140" s="160"/>
      <c r="G140" s="161" t="s">
        <v>166</v>
      </c>
      <c r="H140" s="162"/>
      <c r="I140" s="162">
        <v>11106068</v>
      </c>
      <c r="J140" s="163">
        <f t="shared" si="3"/>
        <v>2053696977</v>
      </c>
      <c r="K140" s="163"/>
    </row>
    <row r="141" spans="1:11" s="143" customFormat="1" ht="19.5" customHeight="1">
      <c r="A141" s="143">
        <f t="shared" si="4"/>
        <v>3</v>
      </c>
      <c r="B141" s="158">
        <v>41709</v>
      </c>
      <c r="C141" s="159" t="s">
        <v>160</v>
      </c>
      <c r="D141" s="158">
        <v>41709</v>
      </c>
      <c r="E141" s="160" t="s">
        <v>307</v>
      </c>
      <c r="F141" s="160"/>
      <c r="G141" s="161" t="s">
        <v>213</v>
      </c>
      <c r="H141" s="162"/>
      <c r="I141" s="162">
        <v>2050000000</v>
      </c>
      <c r="J141" s="163">
        <f t="shared" ref="J141:J204" si="5">IF(B141&lt;&gt;"",J140+H141-I141,0)</f>
        <v>3696977</v>
      </c>
      <c r="K141" s="163"/>
    </row>
    <row r="142" spans="1:11" s="143" customFormat="1" ht="19.5" customHeight="1">
      <c r="A142" s="143">
        <f t="shared" si="4"/>
        <v>3</v>
      </c>
      <c r="B142" s="158">
        <v>41710</v>
      </c>
      <c r="C142" s="159" t="s">
        <v>160</v>
      </c>
      <c r="D142" s="158">
        <v>41710</v>
      </c>
      <c r="E142" s="160" t="s">
        <v>596</v>
      </c>
      <c r="F142" s="160"/>
      <c r="G142" s="161" t="s">
        <v>247</v>
      </c>
      <c r="H142" s="162"/>
      <c r="I142" s="162">
        <v>316725</v>
      </c>
      <c r="J142" s="163">
        <f t="shared" si="5"/>
        <v>3380252</v>
      </c>
      <c r="K142" s="163"/>
    </row>
    <row r="143" spans="1:11" s="143" customFormat="1" ht="19.5" customHeight="1">
      <c r="A143" s="143">
        <f t="shared" si="4"/>
        <v>3</v>
      </c>
      <c r="B143" s="158">
        <v>41710</v>
      </c>
      <c r="C143" s="159" t="s">
        <v>160</v>
      </c>
      <c r="D143" s="158">
        <v>41710</v>
      </c>
      <c r="E143" s="160" t="s">
        <v>597</v>
      </c>
      <c r="F143" s="160"/>
      <c r="G143" s="161" t="s">
        <v>35</v>
      </c>
      <c r="H143" s="162"/>
      <c r="I143" s="162">
        <v>31673</v>
      </c>
      <c r="J143" s="163">
        <f t="shared" si="5"/>
        <v>3348579</v>
      </c>
      <c r="K143" s="163"/>
    </row>
    <row r="144" spans="1:11" s="143" customFormat="1" ht="19.5" customHeight="1">
      <c r="A144" s="143">
        <f t="shared" si="4"/>
        <v>3</v>
      </c>
      <c r="B144" s="158">
        <v>41711</v>
      </c>
      <c r="C144" s="159" t="s">
        <v>163</v>
      </c>
      <c r="D144" s="158">
        <v>41711</v>
      </c>
      <c r="E144" s="160" t="s">
        <v>51</v>
      </c>
      <c r="F144" s="160"/>
      <c r="G144" s="161" t="s">
        <v>159</v>
      </c>
      <c r="H144" s="162">
        <v>20000000</v>
      </c>
      <c r="I144" s="162"/>
      <c r="J144" s="163">
        <f t="shared" si="5"/>
        <v>23348579</v>
      </c>
      <c r="K144" s="163"/>
    </row>
    <row r="145" spans="1:11" s="143" customFormat="1" ht="19.5" customHeight="1">
      <c r="A145" s="143">
        <f t="shared" si="4"/>
        <v>3</v>
      </c>
      <c r="B145" s="158">
        <v>41711</v>
      </c>
      <c r="C145" s="159" t="s">
        <v>160</v>
      </c>
      <c r="D145" s="158">
        <v>41711</v>
      </c>
      <c r="E145" s="160" t="s">
        <v>576</v>
      </c>
      <c r="F145" s="160"/>
      <c r="G145" s="161" t="s">
        <v>34</v>
      </c>
      <c r="H145" s="162"/>
      <c r="I145" s="162">
        <v>19364730</v>
      </c>
      <c r="J145" s="163">
        <f t="shared" si="5"/>
        <v>3983849</v>
      </c>
      <c r="K145" s="163"/>
    </row>
    <row r="146" spans="1:11" s="143" customFormat="1" ht="19.5" customHeight="1">
      <c r="A146" s="143">
        <f t="shared" si="4"/>
        <v>3</v>
      </c>
      <c r="B146" s="158">
        <v>41711</v>
      </c>
      <c r="C146" s="159" t="s">
        <v>160</v>
      </c>
      <c r="D146" s="158">
        <v>41711</v>
      </c>
      <c r="E146" s="160" t="s">
        <v>222</v>
      </c>
      <c r="F146" s="160"/>
      <c r="G146" s="161" t="s">
        <v>247</v>
      </c>
      <c r="H146" s="162"/>
      <c r="I146" s="162">
        <v>30000</v>
      </c>
      <c r="J146" s="163">
        <f t="shared" si="5"/>
        <v>3953849</v>
      </c>
      <c r="K146" s="163"/>
    </row>
    <row r="147" spans="1:11" s="143" customFormat="1" ht="19.5" customHeight="1">
      <c r="A147" s="143">
        <f t="shared" si="4"/>
        <v>3</v>
      </c>
      <c r="B147" s="158">
        <v>41711</v>
      </c>
      <c r="C147" s="159" t="s">
        <v>160</v>
      </c>
      <c r="D147" s="158">
        <v>41711</v>
      </c>
      <c r="E147" s="160" t="s">
        <v>223</v>
      </c>
      <c r="F147" s="160"/>
      <c r="G147" s="161" t="s">
        <v>35</v>
      </c>
      <c r="H147" s="162"/>
      <c r="I147" s="162">
        <v>3000</v>
      </c>
      <c r="J147" s="163">
        <f t="shared" si="5"/>
        <v>3950849</v>
      </c>
      <c r="K147" s="163"/>
    </row>
    <row r="148" spans="1:11" s="143" customFormat="1" ht="19.5" customHeight="1">
      <c r="A148" s="143">
        <f t="shared" si="4"/>
        <v>3</v>
      </c>
      <c r="B148" s="158">
        <v>41712</v>
      </c>
      <c r="C148" s="159" t="s">
        <v>160</v>
      </c>
      <c r="D148" s="158">
        <v>41712</v>
      </c>
      <c r="E148" s="160" t="s">
        <v>164</v>
      </c>
      <c r="F148" s="160"/>
      <c r="G148" s="161" t="s">
        <v>162</v>
      </c>
      <c r="H148" s="162">
        <v>2256630000</v>
      </c>
      <c r="I148" s="162"/>
      <c r="J148" s="163">
        <f t="shared" si="5"/>
        <v>2260580849</v>
      </c>
      <c r="K148" s="163"/>
    </row>
    <row r="149" spans="1:11" s="143" customFormat="1" ht="19.5" customHeight="1">
      <c r="A149" s="143">
        <f t="shared" si="4"/>
        <v>3</v>
      </c>
      <c r="B149" s="158">
        <v>41713</v>
      </c>
      <c r="C149" s="159" t="s">
        <v>160</v>
      </c>
      <c r="D149" s="158">
        <v>41713</v>
      </c>
      <c r="E149" s="160" t="s">
        <v>577</v>
      </c>
      <c r="F149" s="160"/>
      <c r="G149" s="161" t="s">
        <v>159</v>
      </c>
      <c r="H149" s="162"/>
      <c r="I149" s="162">
        <v>2260000000</v>
      </c>
      <c r="J149" s="163">
        <f t="shared" si="5"/>
        <v>580849</v>
      </c>
      <c r="K149" s="163"/>
    </row>
    <row r="150" spans="1:11" s="143" customFormat="1" ht="19.5" customHeight="1">
      <c r="A150" s="143">
        <f t="shared" si="4"/>
        <v>3</v>
      </c>
      <c r="B150" s="158">
        <v>41715</v>
      </c>
      <c r="C150" s="159" t="s">
        <v>160</v>
      </c>
      <c r="D150" s="158">
        <v>41715</v>
      </c>
      <c r="E150" s="160" t="s">
        <v>164</v>
      </c>
      <c r="F150" s="160"/>
      <c r="G150" s="161" t="s">
        <v>162</v>
      </c>
      <c r="H150" s="162">
        <v>995448000</v>
      </c>
      <c r="I150" s="162"/>
      <c r="J150" s="163">
        <f t="shared" si="5"/>
        <v>996028849</v>
      </c>
      <c r="K150" s="163"/>
    </row>
    <row r="151" spans="1:11" s="143" customFormat="1" ht="19.5" customHeight="1">
      <c r="A151" s="143">
        <f t="shared" si="4"/>
        <v>3</v>
      </c>
      <c r="B151" s="158">
        <v>41716</v>
      </c>
      <c r="C151" s="159" t="s">
        <v>160</v>
      </c>
      <c r="D151" s="158">
        <v>41716</v>
      </c>
      <c r="E151" s="160" t="s">
        <v>576</v>
      </c>
      <c r="F151" s="160"/>
      <c r="G151" s="161" t="s">
        <v>34</v>
      </c>
      <c r="H151" s="162"/>
      <c r="I151" s="162">
        <v>18890190</v>
      </c>
      <c r="J151" s="163">
        <f t="shared" si="5"/>
        <v>977138659</v>
      </c>
      <c r="K151" s="163"/>
    </row>
    <row r="152" spans="1:11" s="143" customFormat="1" ht="19.5" customHeight="1">
      <c r="A152" s="143">
        <f t="shared" si="4"/>
        <v>3</v>
      </c>
      <c r="B152" s="158">
        <v>41716</v>
      </c>
      <c r="C152" s="159" t="s">
        <v>160</v>
      </c>
      <c r="D152" s="158">
        <v>41716</v>
      </c>
      <c r="E152" s="160" t="s">
        <v>222</v>
      </c>
      <c r="F152" s="160"/>
      <c r="G152" s="161" t="s">
        <v>247</v>
      </c>
      <c r="H152" s="162"/>
      <c r="I152" s="162">
        <v>20000</v>
      </c>
      <c r="J152" s="163">
        <f t="shared" si="5"/>
        <v>977118659</v>
      </c>
      <c r="K152" s="163"/>
    </row>
    <row r="153" spans="1:11" s="143" customFormat="1" ht="19.5" customHeight="1">
      <c r="A153" s="143">
        <f t="shared" si="4"/>
        <v>3</v>
      </c>
      <c r="B153" s="158">
        <v>41716</v>
      </c>
      <c r="C153" s="159" t="s">
        <v>160</v>
      </c>
      <c r="D153" s="158">
        <v>41716</v>
      </c>
      <c r="E153" s="160" t="s">
        <v>223</v>
      </c>
      <c r="F153" s="160"/>
      <c r="G153" s="161" t="s">
        <v>35</v>
      </c>
      <c r="H153" s="162"/>
      <c r="I153" s="162">
        <v>2000</v>
      </c>
      <c r="J153" s="163">
        <f t="shared" si="5"/>
        <v>977116659</v>
      </c>
      <c r="K153" s="163"/>
    </row>
    <row r="154" spans="1:11" s="143" customFormat="1" ht="19.5" customHeight="1">
      <c r="A154" s="143">
        <f t="shared" si="4"/>
        <v>3</v>
      </c>
      <c r="B154" s="158">
        <v>41716</v>
      </c>
      <c r="C154" s="159" t="s">
        <v>160</v>
      </c>
      <c r="D154" s="158">
        <v>41716</v>
      </c>
      <c r="E154" s="160" t="s">
        <v>584</v>
      </c>
      <c r="F154" s="160"/>
      <c r="G154" s="159" t="s">
        <v>34</v>
      </c>
      <c r="H154" s="162"/>
      <c r="I154" s="162">
        <v>5908109</v>
      </c>
      <c r="J154" s="163">
        <f t="shared" si="5"/>
        <v>971208550</v>
      </c>
      <c r="K154" s="163"/>
    </row>
    <row r="155" spans="1:11" s="143" customFormat="1" ht="19.5" customHeight="1">
      <c r="A155" s="143">
        <f t="shared" si="4"/>
        <v>3</v>
      </c>
      <c r="B155" s="158">
        <v>41716</v>
      </c>
      <c r="C155" s="159" t="s">
        <v>160</v>
      </c>
      <c r="D155" s="158">
        <v>41716</v>
      </c>
      <c r="E155" s="160" t="s">
        <v>222</v>
      </c>
      <c r="F155" s="160"/>
      <c r="G155" s="161" t="s">
        <v>247</v>
      </c>
      <c r="H155" s="162"/>
      <c r="I155" s="162">
        <v>20000</v>
      </c>
      <c r="J155" s="163">
        <f t="shared" si="5"/>
        <v>971188550</v>
      </c>
      <c r="K155" s="163"/>
    </row>
    <row r="156" spans="1:11" s="143" customFormat="1" ht="19.5" customHeight="1">
      <c r="A156" s="143">
        <f t="shared" si="4"/>
        <v>3</v>
      </c>
      <c r="B156" s="158">
        <v>41716</v>
      </c>
      <c r="C156" s="159" t="s">
        <v>160</v>
      </c>
      <c r="D156" s="158">
        <v>41716</v>
      </c>
      <c r="E156" s="160" t="s">
        <v>223</v>
      </c>
      <c r="F156" s="160"/>
      <c r="G156" s="161" t="s">
        <v>35</v>
      </c>
      <c r="H156" s="162"/>
      <c r="I156" s="162">
        <v>2000</v>
      </c>
      <c r="J156" s="163">
        <f t="shared" si="5"/>
        <v>971186550</v>
      </c>
      <c r="K156" s="163"/>
    </row>
    <row r="157" spans="1:11" s="143" customFormat="1" ht="19.5" customHeight="1">
      <c r="A157" s="143">
        <f t="shared" si="4"/>
        <v>3</v>
      </c>
      <c r="B157" s="158">
        <v>41716</v>
      </c>
      <c r="C157" s="159" t="s">
        <v>160</v>
      </c>
      <c r="D157" s="158">
        <v>41716</v>
      </c>
      <c r="E157" s="160" t="s">
        <v>585</v>
      </c>
      <c r="F157" s="160"/>
      <c r="G157" s="161" t="s">
        <v>34</v>
      </c>
      <c r="H157" s="162"/>
      <c r="I157" s="162">
        <v>3620000</v>
      </c>
      <c r="J157" s="163">
        <f t="shared" si="5"/>
        <v>967566550</v>
      </c>
      <c r="K157" s="163"/>
    </row>
    <row r="158" spans="1:11" s="143" customFormat="1" ht="19.5" customHeight="1">
      <c r="A158" s="143">
        <f t="shared" si="4"/>
        <v>3</v>
      </c>
      <c r="B158" s="158">
        <v>41716</v>
      </c>
      <c r="C158" s="159" t="s">
        <v>160</v>
      </c>
      <c r="D158" s="158">
        <v>41716</v>
      </c>
      <c r="E158" s="160" t="s">
        <v>601</v>
      </c>
      <c r="F158" s="160"/>
      <c r="G158" s="161" t="s">
        <v>247</v>
      </c>
      <c r="H158" s="162"/>
      <c r="I158" s="162">
        <v>10000</v>
      </c>
      <c r="J158" s="163">
        <f t="shared" si="5"/>
        <v>967556550</v>
      </c>
      <c r="K158" s="163"/>
    </row>
    <row r="159" spans="1:11" s="143" customFormat="1" ht="19.5" customHeight="1">
      <c r="A159" s="143">
        <f t="shared" si="4"/>
        <v>3</v>
      </c>
      <c r="B159" s="158">
        <v>41716</v>
      </c>
      <c r="C159" s="159" t="s">
        <v>160</v>
      </c>
      <c r="D159" s="158">
        <v>41716</v>
      </c>
      <c r="E159" s="160" t="s">
        <v>223</v>
      </c>
      <c r="F159" s="160"/>
      <c r="G159" s="161" t="s">
        <v>35</v>
      </c>
      <c r="H159" s="162"/>
      <c r="I159" s="162">
        <v>1000</v>
      </c>
      <c r="J159" s="163">
        <f t="shared" si="5"/>
        <v>967555550</v>
      </c>
      <c r="K159" s="163"/>
    </row>
    <row r="160" spans="1:11" s="143" customFormat="1" ht="19.5" customHeight="1">
      <c r="A160" s="143">
        <f t="shared" si="4"/>
        <v>3</v>
      </c>
      <c r="B160" s="158">
        <v>41716</v>
      </c>
      <c r="C160" s="159" t="s">
        <v>160</v>
      </c>
      <c r="D160" s="158">
        <v>41716</v>
      </c>
      <c r="E160" s="160" t="s">
        <v>579</v>
      </c>
      <c r="F160" s="160"/>
      <c r="G160" s="161" t="s">
        <v>34</v>
      </c>
      <c r="H160" s="162"/>
      <c r="I160" s="162">
        <v>13234056</v>
      </c>
      <c r="J160" s="163">
        <f t="shared" si="5"/>
        <v>954321494</v>
      </c>
      <c r="K160" s="163"/>
    </row>
    <row r="161" spans="1:11" s="143" customFormat="1" ht="19.5" customHeight="1">
      <c r="A161" s="143">
        <f t="shared" si="4"/>
        <v>3</v>
      </c>
      <c r="B161" s="158">
        <v>41716</v>
      </c>
      <c r="C161" s="159" t="s">
        <v>160</v>
      </c>
      <c r="D161" s="158">
        <v>41716</v>
      </c>
      <c r="E161" s="160" t="s">
        <v>222</v>
      </c>
      <c r="F161" s="160"/>
      <c r="G161" s="161" t="s">
        <v>247</v>
      </c>
      <c r="H161" s="162"/>
      <c r="I161" s="162">
        <v>20000</v>
      </c>
      <c r="J161" s="163">
        <f t="shared" si="5"/>
        <v>954301494</v>
      </c>
      <c r="K161" s="163"/>
    </row>
    <row r="162" spans="1:11" s="143" customFormat="1" ht="19.5" customHeight="1">
      <c r="A162" s="143">
        <f t="shared" si="4"/>
        <v>3</v>
      </c>
      <c r="B162" s="158">
        <v>41716</v>
      </c>
      <c r="C162" s="159" t="s">
        <v>160</v>
      </c>
      <c r="D162" s="158">
        <v>41716</v>
      </c>
      <c r="E162" s="160" t="s">
        <v>223</v>
      </c>
      <c r="F162" s="160"/>
      <c r="G162" s="161" t="s">
        <v>35</v>
      </c>
      <c r="H162" s="162"/>
      <c r="I162" s="162">
        <v>2000</v>
      </c>
      <c r="J162" s="163">
        <f t="shared" si="5"/>
        <v>954299494</v>
      </c>
      <c r="K162" s="163"/>
    </row>
    <row r="163" spans="1:11" s="143" customFormat="1" ht="19.5" customHeight="1">
      <c r="A163" s="143">
        <f t="shared" si="4"/>
        <v>3</v>
      </c>
      <c r="B163" s="158">
        <v>41716</v>
      </c>
      <c r="C163" s="159" t="s">
        <v>160</v>
      </c>
      <c r="D163" s="158">
        <v>41716</v>
      </c>
      <c r="E163" s="160" t="s">
        <v>585</v>
      </c>
      <c r="F163" s="160"/>
      <c r="G163" s="161" t="s">
        <v>34</v>
      </c>
      <c r="H163" s="162"/>
      <c r="I163" s="162">
        <v>780000</v>
      </c>
      <c r="J163" s="163">
        <f t="shared" si="5"/>
        <v>953519494</v>
      </c>
      <c r="K163" s="163"/>
    </row>
    <row r="164" spans="1:11" s="143" customFormat="1" ht="19.5" customHeight="1">
      <c r="A164" s="143">
        <f t="shared" si="4"/>
        <v>3</v>
      </c>
      <c r="B164" s="158">
        <v>41716</v>
      </c>
      <c r="C164" s="159" t="s">
        <v>160</v>
      </c>
      <c r="D164" s="158">
        <v>41716</v>
      </c>
      <c r="E164" s="160" t="s">
        <v>222</v>
      </c>
      <c r="F164" s="160"/>
      <c r="G164" s="161" t="s">
        <v>247</v>
      </c>
      <c r="H164" s="162"/>
      <c r="I164" s="162">
        <v>10000</v>
      </c>
      <c r="J164" s="163">
        <f t="shared" si="5"/>
        <v>953509494</v>
      </c>
      <c r="K164" s="163"/>
    </row>
    <row r="165" spans="1:11" s="143" customFormat="1" ht="19.5" customHeight="1">
      <c r="A165" s="143">
        <f t="shared" si="4"/>
        <v>3</v>
      </c>
      <c r="B165" s="158">
        <v>41716</v>
      </c>
      <c r="C165" s="159" t="s">
        <v>160</v>
      </c>
      <c r="D165" s="158">
        <v>41716</v>
      </c>
      <c r="E165" s="160" t="s">
        <v>223</v>
      </c>
      <c r="F165" s="160"/>
      <c r="G165" s="161" t="s">
        <v>35</v>
      </c>
      <c r="H165" s="162"/>
      <c r="I165" s="162">
        <v>1000</v>
      </c>
      <c r="J165" s="163">
        <f t="shared" si="5"/>
        <v>953508494</v>
      </c>
      <c r="K165" s="163"/>
    </row>
    <row r="166" spans="1:11" s="143" customFormat="1" ht="19.5" customHeight="1">
      <c r="A166" s="143">
        <f t="shared" si="4"/>
        <v>3</v>
      </c>
      <c r="B166" s="158">
        <v>41716</v>
      </c>
      <c r="C166" s="159" t="s">
        <v>160</v>
      </c>
      <c r="D166" s="158">
        <v>41716</v>
      </c>
      <c r="E166" s="160" t="s">
        <v>577</v>
      </c>
      <c r="F166" s="160"/>
      <c r="G166" s="161" t="s">
        <v>159</v>
      </c>
      <c r="H166" s="162"/>
      <c r="I166" s="162">
        <v>950000000</v>
      </c>
      <c r="J166" s="163">
        <f t="shared" si="5"/>
        <v>3508494</v>
      </c>
      <c r="K166" s="163"/>
    </row>
    <row r="167" spans="1:11" s="143" customFormat="1" ht="19.5" customHeight="1">
      <c r="A167" s="143">
        <f t="shared" si="4"/>
        <v>3</v>
      </c>
      <c r="B167" s="158">
        <v>41717</v>
      </c>
      <c r="C167" s="159" t="s">
        <v>160</v>
      </c>
      <c r="D167" s="158">
        <v>41717</v>
      </c>
      <c r="E167" s="160" t="s">
        <v>602</v>
      </c>
      <c r="F167" s="160"/>
      <c r="G167" s="161" t="s">
        <v>247</v>
      </c>
      <c r="H167" s="162"/>
      <c r="I167" s="162">
        <v>30000</v>
      </c>
      <c r="J167" s="163">
        <f t="shared" si="5"/>
        <v>3478494</v>
      </c>
      <c r="K167" s="163"/>
    </row>
    <row r="168" spans="1:11" s="143" customFormat="1" ht="19.5" customHeight="1">
      <c r="A168" s="143">
        <f t="shared" si="4"/>
        <v>3</v>
      </c>
      <c r="B168" s="158">
        <v>41717</v>
      </c>
      <c r="C168" s="159" t="s">
        <v>160</v>
      </c>
      <c r="D168" s="158">
        <v>41717</v>
      </c>
      <c r="E168" s="160" t="s">
        <v>603</v>
      </c>
      <c r="F168" s="160"/>
      <c r="G168" s="161" t="s">
        <v>35</v>
      </c>
      <c r="H168" s="162"/>
      <c r="I168" s="162">
        <v>3000</v>
      </c>
      <c r="J168" s="163">
        <f t="shared" si="5"/>
        <v>3475494</v>
      </c>
      <c r="K168" s="163"/>
    </row>
    <row r="169" spans="1:11" s="143" customFormat="1" ht="19.5" customHeight="1">
      <c r="A169" s="143">
        <f t="shared" si="4"/>
        <v>3</v>
      </c>
      <c r="B169" s="158">
        <v>41717</v>
      </c>
      <c r="C169" s="159" t="s">
        <v>160</v>
      </c>
      <c r="D169" s="158">
        <v>41717</v>
      </c>
      <c r="E169" s="160" t="s">
        <v>602</v>
      </c>
      <c r="F169" s="160"/>
      <c r="G169" s="161" t="s">
        <v>247</v>
      </c>
      <c r="H169" s="162"/>
      <c r="I169" s="162">
        <v>30000</v>
      </c>
      <c r="J169" s="163">
        <f t="shared" si="5"/>
        <v>3445494</v>
      </c>
      <c r="K169" s="163"/>
    </row>
    <row r="170" spans="1:11" s="143" customFormat="1" ht="19.5" customHeight="1">
      <c r="A170" s="143">
        <f t="shared" si="4"/>
        <v>3</v>
      </c>
      <c r="B170" s="158">
        <v>41717</v>
      </c>
      <c r="C170" s="159" t="s">
        <v>160</v>
      </c>
      <c r="D170" s="158">
        <v>41717</v>
      </c>
      <c r="E170" s="160" t="s">
        <v>603</v>
      </c>
      <c r="F170" s="160"/>
      <c r="G170" s="161" t="s">
        <v>35</v>
      </c>
      <c r="H170" s="162"/>
      <c r="I170" s="162">
        <v>3000</v>
      </c>
      <c r="J170" s="163">
        <f t="shared" si="5"/>
        <v>3442494</v>
      </c>
      <c r="K170" s="163"/>
    </row>
    <row r="171" spans="1:11" s="143" customFormat="1" ht="19.5" customHeight="1">
      <c r="A171" s="143">
        <f t="shared" si="4"/>
        <v>3</v>
      </c>
      <c r="B171" s="158">
        <v>41717</v>
      </c>
      <c r="C171" s="159" t="s">
        <v>160</v>
      </c>
      <c r="D171" s="158">
        <v>41717</v>
      </c>
      <c r="E171" s="160" t="s">
        <v>602</v>
      </c>
      <c r="F171" s="160"/>
      <c r="G171" s="161" t="s">
        <v>247</v>
      </c>
      <c r="H171" s="162"/>
      <c r="I171" s="162">
        <v>30000</v>
      </c>
      <c r="J171" s="163">
        <f t="shared" si="5"/>
        <v>3412494</v>
      </c>
      <c r="K171" s="163"/>
    </row>
    <row r="172" spans="1:11" s="143" customFormat="1" ht="19.5" customHeight="1">
      <c r="A172" s="143">
        <f t="shared" si="4"/>
        <v>3</v>
      </c>
      <c r="B172" s="158">
        <v>41717</v>
      </c>
      <c r="C172" s="159" t="s">
        <v>160</v>
      </c>
      <c r="D172" s="158">
        <v>41717</v>
      </c>
      <c r="E172" s="160" t="s">
        <v>603</v>
      </c>
      <c r="F172" s="160"/>
      <c r="G172" s="161" t="s">
        <v>35</v>
      </c>
      <c r="H172" s="162"/>
      <c r="I172" s="162">
        <v>3000</v>
      </c>
      <c r="J172" s="163">
        <f t="shared" si="5"/>
        <v>3409494</v>
      </c>
      <c r="K172" s="163"/>
    </row>
    <row r="173" spans="1:11" s="143" customFormat="1" ht="19.5" customHeight="1">
      <c r="A173" s="143">
        <f t="shared" si="4"/>
        <v>3</v>
      </c>
      <c r="B173" s="158">
        <v>41717</v>
      </c>
      <c r="C173" s="159" t="s">
        <v>160</v>
      </c>
      <c r="D173" s="158">
        <v>41717</v>
      </c>
      <c r="E173" s="160" t="s">
        <v>604</v>
      </c>
      <c r="F173" s="160"/>
      <c r="G173" s="161" t="s">
        <v>247</v>
      </c>
      <c r="H173" s="162"/>
      <c r="I173" s="162">
        <v>30000</v>
      </c>
      <c r="J173" s="163">
        <f t="shared" si="5"/>
        <v>3379494</v>
      </c>
      <c r="K173" s="163"/>
    </row>
    <row r="174" spans="1:11" s="143" customFormat="1" ht="19.5" customHeight="1">
      <c r="A174" s="143">
        <f t="shared" si="4"/>
        <v>3</v>
      </c>
      <c r="B174" s="158">
        <v>41717</v>
      </c>
      <c r="C174" s="159" t="s">
        <v>160</v>
      </c>
      <c r="D174" s="158">
        <v>41717</v>
      </c>
      <c r="E174" s="160" t="s">
        <v>605</v>
      </c>
      <c r="F174" s="160"/>
      <c r="G174" s="161" t="s">
        <v>35</v>
      </c>
      <c r="H174" s="162"/>
      <c r="I174" s="162">
        <v>3000</v>
      </c>
      <c r="J174" s="163">
        <f t="shared" si="5"/>
        <v>3376494</v>
      </c>
      <c r="K174" s="163"/>
    </row>
    <row r="175" spans="1:11" s="143" customFormat="1" ht="19.5" customHeight="1">
      <c r="A175" s="143">
        <f t="shared" si="4"/>
        <v>3</v>
      </c>
      <c r="B175" s="158">
        <v>41717</v>
      </c>
      <c r="C175" s="159" t="s">
        <v>160</v>
      </c>
      <c r="D175" s="158">
        <v>41717</v>
      </c>
      <c r="E175" s="160" t="s">
        <v>604</v>
      </c>
      <c r="F175" s="160"/>
      <c r="G175" s="161" t="s">
        <v>247</v>
      </c>
      <c r="H175" s="162"/>
      <c r="I175" s="162">
        <v>30000</v>
      </c>
      <c r="J175" s="163">
        <f t="shared" si="5"/>
        <v>3346494</v>
      </c>
      <c r="K175" s="163"/>
    </row>
    <row r="176" spans="1:11" s="143" customFormat="1" ht="19.5" customHeight="1">
      <c r="A176" s="143">
        <f t="shared" si="4"/>
        <v>3</v>
      </c>
      <c r="B176" s="158">
        <v>41717</v>
      </c>
      <c r="C176" s="159" t="s">
        <v>160</v>
      </c>
      <c r="D176" s="158">
        <v>41717</v>
      </c>
      <c r="E176" s="160" t="s">
        <v>605</v>
      </c>
      <c r="F176" s="160"/>
      <c r="G176" s="161" t="s">
        <v>35</v>
      </c>
      <c r="H176" s="162"/>
      <c r="I176" s="162">
        <v>3000</v>
      </c>
      <c r="J176" s="163">
        <f t="shared" si="5"/>
        <v>3343494</v>
      </c>
      <c r="K176" s="163"/>
    </row>
    <row r="177" spans="1:11" s="143" customFormat="1" ht="19.5" customHeight="1">
      <c r="A177" s="143">
        <f t="shared" si="4"/>
        <v>3</v>
      </c>
      <c r="B177" s="158">
        <v>41717</v>
      </c>
      <c r="C177" s="159" t="s">
        <v>160</v>
      </c>
      <c r="D177" s="158">
        <v>41717</v>
      </c>
      <c r="E177" s="160" t="s">
        <v>604</v>
      </c>
      <c r="F177" s="160"/>
      <c r="G177" s="161" t="s">
        <v>247</v>
      </c>
      <c r="H177" s="162"/>
      <c r="I177" s="162">
        <v>30000</v>
      </c>
      <c r="J177" s="163">
        <f t="shared" si="5"/>
        <v>3313494</v>
      </c>
      <c r="K177" s="163"/>
    </row>
    <row r="178" spans="1:11" s="143" customFormat="1" ht="19.5" customHeight="1">
      <c r="A178" s="143">
        <f t="shared" si="4"/>
        <v>3</v>
      </c>
      <c r="B178" s="158">
        <v>41717</v>
      </c>
      <c r="C178" s="159" t="s">
        <v>160</v>
      </c>
      <c r="D178" s="158">
        <v>41717</v>
      </c>
      <c r="E178" s="160" t="s">
        <v>605</v>
      </c>
      <c r="F178" s="160"/>
      <c r="G178" s="161" t="s">
        <v>35</v>
      </c>
      <c r="H178" s="162"/>
      <c r="I178" s="162">
        <v>3000</v>
      </c>
      <c r="J178" s="163">
        <f t="shared" si="5"/>
        <v>3310494</v>
      </c>
      <c r="K178" s="163"/>
    </row>
    <row r="179" spans="1:11" s="143" customFormat="1" ht="19.5" customHeight="1">
      <c r="A179" s="143">
        <f t="shared" si="4"/>
        <v>3</v>
      </c>
      <c r="B179" s="158">
        <v>41723</v>
      </c>
      <c r="C179" s="159" t="s">
        <v>160</v>
      </c>
      <c r="D179" s="158">
        <v>41723</v>
      </c>
      <c r="E179" s="160" t="s">
        <v>588</v>
      </c>
      <c r="F179" s="160"/>
      <c r="G179" s="161" t="s">
        <v>176</v>
      </c>
      <c r="H179" s="162">
        <v>100669</v>
      </c>
      <c r="I179" s="162"/>
      <c r="J179" s="163">
        <f t="shared" si="5"/>
        <v>3411163</v>
      </c>
      <c r="K179" s="163"/>
    </row>
    <row r="180" spans="1:11" s="143" customFormat="1" ht="19.5" customHeight="1">
      <c r="A180" s="143">
        <f t="shared" si="4"/>
        <v>3</v>
      </c>
      <c r="B180" s="158">
        <v>41723</v>
      </c>
      <c r="C180" s="159" t="s">
        <v>160</v>
      </c>
      <c r="D180" s="158">
        <v>41723</v>
      </c>
      <c r="E180" s="160" t="s">
        <v>164</v>
      </c>
      <c r="F180" s="160"/>
      <c r="G180" s="161" t="s">
        <v>162</v>
      </c>
      <c r="H180" s="162">
        <v>1501608000</v>
      </c>
      <c r="I180" s="162"/>
      <c r="J180" s="163">
        <f t="shared" si="5"/>
        <v>1505019163</v>
      </c>
      <c r="K180" s="163"/>
    </row>
    <row r="181" spans="1:11" s="143" customFormat="1" ht="19.5" customHeight="1">
      <c r="A181" s="143">
        <f t="shared" si="4"/>
        <v>3</v>
      </c>
      <c r="B181" s="158">
        <v>41724</v>
      </c>
      <c r="C181" s="159" t="s">
        <v>160</v>
      </c>
      <c r="D181" s="158">
        <v>41724</v>
      </c>
      <c r="E181" s="160" t="s">
        <v>606</v>
      </c>
      <c r="F181" s="160"/>
      <c r="G181" s="161" t="s">
        <v>34</v>
      </c>
      <c r="H181" s="162"/>
      <c r="I181" s="162">
        <v>47590000</v>
      </c>
      <c r="J181" s="163">
        <f t="shared" si="5"/>
        <v>1457429163</v>
      </c>
      <c r="K181" s="163"/>
    </row>
    <row r="182" spans="1:11" s="143" customFormat="1" ht="19.5" customHeight="1">
      <c r="A182" s="143">
        <f t="shared" si="4"/>
        <v>3</v>
      </c>
      <c r="B182" s="158">
        <v>41724</v>
      </c>
      <c r="C182" s="159" t="s">
        <v>160</v>
      </c>
      <c r="D182" s="158">
        <v>41724</v>
      </c>
      <c r="E182" s="160" t="s">
        <v>595</v>
      </c>
      <c r="F182" s="160"/>
      <c r="G182" s="161" t="s">
        <v>34</v>
      </c>
      <c r="H182" s="162"/>
      <c r="I182" s="162">
        <v>40000000</v>
      </c>
      <c r="J182" s="163">
        <f t="shared" si="5"/>
        <v>1417429163</v>
      </c>
      <c r="K182" s="163"/>
    </row>
    <row r="183" spans="1:11" s="143" customFormat="1" ht="19.5" customHeight="1">
      <c r="A183" s="143">
        <f t="shared" si="4"/>
        <v>3</v>
      </c>
      <c r="B183" s="158">
        <v>41724</v>
      </c>
      <c r="C183" s="159" t="s">
        <v>160</v>
      </c>
      <c r="D183" s="158">
        <v>41724</v>
      </c>
      <c r="E183" s="160" t="s">
        <v>222</v>
      </c>
      <c r="F183" s="160"/>
      <c r="G183" s="161" t="s">
        <v>247</v>
      </c>
      <c r="H183" s="162"/>
      <c r="I183" s="162">
        <v>10000</v>
      </c>
      <c r="J183" s="163">
        <f t="shared" si="5"/>
        <v>1417419163</v>
      </c>
      <c r="K183" s="163"/>
    </row>
    <row r="184" spans="1:11" s="143" customFormat="1" ht="19.5" customHeight="1">
      <c r="A184" s="143">
        <f t="shared" si="4"/>
        <v>3</v>
      </c>
      <c r="B184" s="158">
        <v>41724</v>
      </c>
      <c r="C184" s="159" t="s">
        <v>160</v>
      </c>
      <c r="D184" s="158">
        <v>41724</v>
      </c>
      <c r="E184" s="160" t="s">
        <v>223</v>
      </c>
      <c r="F184" s="160"/>
      <c r="G184" s="161" t="s">
        <v>35</v>
      </c>
      <c r="H184" s="162"/>
      <c r="I184" s="162">
        <v>1000</v>
      </c>
      <c r="J184" s="163">
        <f t="shared" si="5"/>
        <v>1417418163</v>
      </c>
      <c r="K184" s="163"/>
    </row>
    <row r="185" spans="1:11" s="143" customFormat="1" ht="19.5" customHeight="1">
      <c r="A185" s="143">
        <f t="shared" si="4"/>
        <v>3</v>
      </c>
      <c r="B185" s="158">
        <v>41724</v>
      </c>
      <c r="C185" s="159" t="s">
        <v>160</v>
      </c>
      <c r="D185" s="158">
        <v>41724</v>
      </c>
      <c r="E185" s="160" t="s">
        <v>598</v>
      </c>
      <c r="F185" s="160"/>
      <c r="G185" s="161" t="s">
        <v>34</v>
      </c>
      <c r="H185" s="162"/>
      <c r="I185" s="162">
        <v>70000000</v>
      </c>
      <c r="J185" s="163">
        <f t="shared" si="5"/>
        <v>1347418163</v>
      </c>
      <c r="K185" s="163"/>
    </row>
    <row r="186" spans="1:11" s="143" customFormat="1" ht="19.5" customHeight="1">
      <c r="A186" s="143">
        <f t="shared" si="4"/>
        <v>3</v>
      </c>
      <c r="B186" s="158">
        <v>41724</v>
      </c>
      <c r="C186" s="159" t="s">
        <v>160</v>
      </c>
      <c r="D186" s="158">
        <v>41724</v>
      </c>
      <c r="E186" s="160" t="s">
        <v>222</v>
      </c>
      <c r="F186" s="160"/>
      <c r="G186" s="161" t="s">
        <v>247</v>
      </c>
      <c r="H186" s="162"/>
      <c r="I186" s="162">
        <v>10000</v>
      </c>
      <c r="J186" s="163">
        <f t="shared" si="5"/>
        <v>1347408163</v>
      </c>
      <c r="K186" s="163"/>
    </row>
    <row r="187" spans="1:11" s="143" customFormat="1" ht="19.5" customHeight="1">
      <c r="A187" s="143">
        <f t="shared" si="4"/>
        <v>3</v>
      </c>
      <c r="B187" s="158">
        <v>41724</v>
      </c>
      <c r="C187" s="159" t="s">
        <v>160</v>
      </c>
      <c r="D187" s="158">
        <v>41724</v>
      </c>
      <c r="E187" s="160" t="s">
        <v>223</v>
      </c>
      <c r="F187" s="354"/>
      <c r="G187" s="161" t="s">
        <v>35</v>
      </c>
      <c r="H187" s="162"/>
      <c r="I187" s="162">
        <v>1000</v>
      </c>
      <c r="J187" s="163">
        <f t="shared" si="5"/>
        <v>1347407163</v>
      </c>
      <c r="K187" s="163"/>
    </row>
    <row r="188" spans="1:11" s="143" customFormat="1" ht="19.5" customHeight="1">
      <c r="A188" s="143">
        <f t="shared" si="4"/>
        <v>3</v>
      </c>
      <c r="B188" s="158">
        <v>41724</v>
      </c>
      <c r="C188" s="159" t="s">
        <v>160</v>
      </c>
      <c r="D188" s="158">
        <v>41724</v>
      </c>
      <c r="E188" s="160" t="s">
        <v>607</v>
      </c>
      <c r="F188" s="160"/>
      <c r="G188" s="161" t="s">
        <v>34</v>
      </c>
      <c r="H188" s="162"/>
      <c r="I188" s="162">
        <v>26400000</v>
      </c>
      <c r="J188" s="163">
        <f t="shared" si="5"/>
        <v>1321007163</v>
      </c>
      <c r="K188" s="163"/>
    </row>
    <row r="189" spans="1:11" s="143" customFormat="1" ht="19.5" customHeight="1">
      <c r="A189" s="143">
        <f t="shared" si="4"/>
        <v>3</v>
      </c>
      <c r="B189" s="158">
        <v>41724</v>
      </c>
      <c r="C189" s="159" t="s">
        <v>160</v>
      </c>
      <c r="D189" s="158">
        <v>41724</v>
      </c>
      <c r="E189" s="160" t="s">
        <v>222</v>
      </c>
      <c r="F189" s="160"/>
      <c r="G189" s="161" t="s">
        <v>247</v>
      </c>
      <c r="H189" s="162"/>
      <c r="I189" s="162">
        <v>10000</v>
      </c>
      <c r="J189" s="163">
        <f t="shared" si="5"/>
        <v>1320997163</v>
      </c>
      <c r="K189" s="163"/>
    </row>
    <row r="190" spans="1:11" s="143" customFormat="1" ht="19.5" customHeight="1">
      <c r="A190" s="143">
        <f t="shared" si="4"/>
        <v>3</v>
      </c>
      <c r="B190" s="158">
        <v>41724</v>
      </c>
      <c r="C190" s="159" t="s">
        <v>160</v>
      </c>
      <c r="D190" s="158">
        <v>41724</v>
      </c>
      <c r="E190" s="160" t="s">
        <v>223</v>
      </c>
      <c r="F190" s="160"/>
      <c r="G190" s="161" t="s">
        <v>35</v>
      </c>
      <c r="H190" s="162"/>
      <c r="I190" s="162">
        <v>1000</v>
      </c>
      <c r="J190" s="163">
        <f t="shared" si="5"/>
        <v>1320996163</v>
      </c>
      <c r="K190" s="163"/>
    </row>
    <row r="191" spans="1:11" s="143" customFormat="1" ht="19.5" customHeight="1">
      <c r="A191" s="143">
        <f t="shared" si="4"/>
        <v>3</v>
      </c>
      <c r="B191" s="158">
        <v>41724</v>
      </c>
      <c r="C191" s="159" t="s">
        <v>160</v>
      </c>
      <c r="D191" s="158">
        <v>41724</v>
      </c>
      <c r="E191" s="160" t="s">
        <v>608</v>
      </c>
      <c r="F191" s="160"/>
      <c r="G191" s="161" t="s">
        <v>609</v>
      </c>
      <c r="H191" s="162"/>
      <c r="I191" s="162">
        <v>2413626</v>
      </c>
      <c r="J191" s="163">
        <f t="shared" si="5"/>
        <v>1318582537</v>
      </c>
      <c r="K191" s="163"/>
    </row>
    <row r="192" spans="1:11" s="143" customFormat="1" ht="19.5" customHeight="1">
      <c r="A192" s="143">
        <f t="shared" si="4"/>
        <v>3</v>
      </c>
      <c r="B192" s="158">
        <v>41724</v>
      </c>
      <c r="C192" s="159" t="s">
        <v>160</v>
      </c>
      <c r="D192" s="158">
        <v>41724</v>
      </c>
      <c r="E192" s="160" t="s">
        <v>177</v>
      </c>
      <c r="F192" s="160"/>
      <c r="G192" s="161" t="s">
        <v>247</v>
      </c>
      <c r="H192" s="162"/>
      <c r="I192" s="162">
        <v>20000</v>
      </c>
      <c r="J192" s="163">
        <f t="shared" si="5"/>
        <v>1318562537</v>
      </c>
      <c r="K192" s="163"/>
    </row>
    <row r="193" spans="1:11" s="143" customFormat="1" ht="19.5" customHeight="1">
      <c r="A193" s="143">
        <f t="shared" si="4"/>
        <v>3</v>
      </c>
      <c r="B193" s="158">
        <v>41724</v>
      </c>
      <c r="C193" s="159" t="s">
        <v>160</v>
      </c>
      <c r="D193" s="158">
        <v>41724</v>
      </c>
      <c r="E193" s="160" t="s">
        <v>178</v>
      </c>
      <c r="F193" s="160"/>
      <c r="G193" s="161" t="s">
        <v>35</v>
      </c>
      <c r="H193" s="162"/>
      <c r="I193" s="162">
        <v>2000</v>
      </c>
      <c r="J193" s="163">
        <f t="shared" si="5"/>
        <v>1318560537</v>
      </c>
      <c r="K193" s="163"/>
    </row>
    <row r="194" spans="1:11" s="143" customFormat="1" ht="19.5" customHeight="1">
      <c r="A194" s="143">
        <f t="shared" si="4"/>
        <v>3</v>
      </c>
      <c r="B194" s="158">
        <v>41724</v>
      </c>
      <c r="C194" s="159" t="s">
        <v>160</v>
      </c>
      <c r="D194" s="158">
        <v>41724</v>
      </c>
      <c r="E194" s="160" t="s">
        <v>577</v>
      </c>
      <c r="F194" s="160"/>
      <c r="G194" s="161" t="s">
        <v>159</v>
      </c>
      <c r="H194" s="162"/>
      <c r="I194" s="162">
        <v>1300000000</v>
      </c>
      <c r="J194" s="163">
        <f t="shared" si="5"/>
        <v>18560537</v>
      </c>
      <c r="K194" s="163"/>
    </row>
    <row r="195" spans="1:11" s="143" customFormat="1" ht="19.5" customHeight="1">
      <c r="A195" s="143">
        <f t="shared" si="4"/>
        <v>4</v>
      </c>
      <c r="B195" s="158">
        <v>41731</v>
      </c>
      <c r="C195" s="159" t="s">
        <v>163</v>
      </c>
      <c r="D195" s="158">
        <v>41731</v>
      </c>
      <c r="E195" s="160" t="s">
        <v>51</v>
      </c>
      <c r="F195" s="160"/>
      <c r="G195" s="161" t="s">
        <v>159</v>
      </c>
      <c r="H195" s="162">
        <v>5000000</v>
      </c>
      <c r="I195" s="162"/>
      <c r="J195" s="163">
        <f t="shared" si="5"/>
        <v>23560537</v>
      </c>
      <c r="K195" s="163"/>
    </row>
    <row r="196" spans="1:11" s="143" customFormat="1" ht="19.5" customHeight="1">
      <c r="A196" s="143">
        <f t="shared" si="4"/>
        <v>4</v>
      </c>
      <c r="B196" s="158">
        <v>41731</v>
      </c>
      <c r="C196" s="159" t="s">
        <v>160</v>
      </c>
      <c r="D196" s="158">
        <v>41731</v>
      </c>
      <c r="E196" s="160" t="s">
        <v>576</v>
      </c>
      <c r="F196" s="160"/>
      <c r="G196" s="161" t="s">
        <v>34</v>
      </c>
      <c r="H196" s="162"/>
      <c r="I196" s="162">
        <v>21139470</v>
      </c>
      <c r="J196" s="163">
        <f t="shared" si="5"/>
        <v>2421067</v>
      </c>
      <c r="K196" s="163"/>
    </row>
    <row r="197" spans="1:11" s="143" customFormat="1" ht="19.5" customHeight="1">
      <c r="A197" s="143">
        <f t="shared" si="4"/>
        <v>4</v>
      </c>
      <c r="B197" s="158">
        <v>41731</v>
      </c>
      <c r="C197" s="159" t="s">
        <v>160</v>
      </c>
      <c r="D197" s="158">
        <v>41731</v>
      </c>
      <c r="E197" s="160" t="s">
        <v>610</v>
      </c>
      <c r="F197" s="160"/>
      <c r="G197" s="161" t="s">
        <v>247</v>
      </c>
      <c r="H197" s="162"/>
      <c r="I197" s="162">
        <v>30000</v>
      </c>
      <c r="J197" s="163">
        <f t="shared" si="5"/>
        <v>2391067</v>
      </c>
      <c r="K197" s="163"/>
    </row>
    <row r="198" spans="1:11" s="143" customFormat="1" ht="19.5" customHeight="1">
      <c r="A198" s="143">
        <f t="shared" si="4"/>
        <v>4</v>
      </c>
      <c r="B198" s="158">
        <v>41731</v>
      </c>
      <c r="C198" s="159" t="s">
        <v>160</v>
      </c>
      <c r="D198" s="158">
        <v>41731</v>
      </c>
      <c r="E198" s="160" t="s">
        <v>611</v>
      </c>
      <c r="F198" s="160"/>
      <c r="G198" s="161" t="s">
        <v>35</v>
      </c>
      <c r="H198" s="162"/>
      <c r="I198" s="162">
        <v>3000</v>
      </c>
      <c r="J198" s="163">
        <f t="shared" si="5"/>
        <v>2388067</v>
      </c>
      <c r="K198" s="163"/>
    </row>
    <row r="199" spans="1:11" s="143" customFormat="1" ht="19.5" customHeight="1">
      <c r="A199" s="143">
        <f t="shared" si="4"/>
        <v>4</v>
      </c>
      <c r="B199" s="158">
        <v>41733</v>
      </c>
      <c r="C199" s="159" t="s">
        <v>163</v>
      </c>
      <c r="D199" s="158">
        <v>41733</v>
      </c>
      <c r="E199" s="160" t="s">
        <v>51</v>
      </c>
      <c r="F199" s="160"/>
      <c r="G199" s="161" t="s">
        <v>159</v>
      </c>
      <c r="H199" s="162">
        <v>830000000</v>
      </c>
      <c r="I199" s="162"/>
      <c r="J199" s="163">
        <f t="shared" si="5"/>
        <v>832388067</v>
      </c>
      <c r="K199" s="163"/>
    </row>
    <row r="200" spans="1:11" s="143" customFormat="1" ht="19.5" customHeight="1">
      <c r="A200" s="143">
        <f t="shared" si="4"/>
        <v>4</v>
      </c>
      <c r="B200" s="158">
        <v>41733</v>
      </c>
      <c r="C200" s="159" t="s">
        <v>160</v>
      </c>
      <c r="D200" s="158">
        <v>41733</v>
      </c>
      <c r="E200" s="160" t="s">
        <v>164</v>
      </c>
      <c r="F200" s="160"/>
      <c r="G200" s="161" t="s">
        <v>162</v>
      </c>
      <c r="H200" s="162">
        <v>1908826000</v>
      </c>
      <c r="I200" s="162"/>
      <c r="J200" s="163">
        <f t="shared" si="5"/>
        <v>2741214067</v>
      </c>
      <c r="K200" s="163"/>
    </row>
    <row r="201" spans="1:11" s="143" customFormat="1" ht="19.5" customHeight="1">
      <c r="A201" s="143">
        <f t="shared" si="4"/>
        <v>4</v>
      </c>
      <c r="B201" s="158">
        <v>41733</v>
      </c>
      <c r="C201" s="159" t="s">
        <v>163</v>
      </c>
      <c r="D201" s="158">
        <v>41733</v>
      </c>
      <c r="E201" s="160" t="s">
        <v>161</v>
      </c>
      <c r="F201" s="160"/>
      <c r="G201" s="161" t="s">
        <v>162</v>
      </c>
      <c r="H201" s="162"/>
      <c r="I201" s="162">
        <v>818602400</v>
      </c>
      <c r="J201" s="163">
        <f t="shared" si="5"/>
        <v>1922611667</v>
      </c>
      <c r="K201" s="163"/>
    </row>
    <row r="202" spans="1:11" s="143" customFormat="1" ht="19.5" customHeight="1">
      <c r="A202" s="143">
        <f t="shared" si="4"/>
        <v>4</v>
      </c>
      <c r="B202" s="158">
        <v>41733</v>
      </c>
      <c r="C202" s="159" t="s">
        <v>160</v>
      </c>
      <c r="D202" s="158">
        <v>41733</v>
      </c>
      <c r="E202" s="160" t="s">
        <v>586</v>
      </c>
      <c r="F202" s="160"/>
      <c r="G202" s="161" t="s">
        <v>166</v>
      </c>
      <c r="H202" s="162"/>
      <c r="I202" s="162">
        <v>6210344</v>
      </c>
      <c r="J202" s="163">
        <f t="shared" si="5"/>
        <v>1916401323</v>
      </c>
      <c r="K202" s="163"/>
    </row>
    <row r="203" spans="1:11" s="143" customFormat="1" ht="19.5" customHeight="1">
      <c r="A203" s="143">
        <f t="shared" si="4"/>
        <v>4</v>
      </c>
      <c r="B203" s="158">
        <v>41733</v>
      </c>
      <c r="C203" s="159" t="s">
        <v>160</v>
      </c>
      <c r="D203" s="158">
        <v>41733</v>
      </c>
      <c r="E203" s="160" t="s">
        <v>576</v>
      </c>
      <c r="F203" s="160"/>
      <c r="G203" s="161" t="s">
        <v>34</v>
      </c>
      <c r="H203" s="162"/>
      <c r="I203" s="162">
        <v>19285860</v>
      </c>
      <c r="J203" s="163">
        <f t="shared" si="5"/>
        <v>1897115463</v>
      </c>
      <c r="K203" s="163"/>
    </row>
    <row r="204" spans="1:11" s="143" customFormat="1" ht="19.5" customHeight="1">
      <c r="A204" s="143">
        <f t="shared" ref="A204:A376" si="6">IF(B204&lt;&gt;"",MONTH(B204),"")</f>
        <v>4</v>
      </c>
      <c r="B204" s="158">
        <v>41733</v>
      </c>
      <c r="C204" s="159" t="s">
        <v>160</v>
      </c>
      <c r="D204" s="158">
        <v>41733</v>
      </c>
      <c r="E204" s="160" t="s">
        <v>177</v>
      </c>
      <c r="F204" s="160"/>
      <c r="G204" s="161" t="s">
        <v>247</v>
      </c>
      <c r="H204" s="162"/>
      <c r="I204" s="162">
        <v>20000</v>
      </c>
      <c r="J204" s="163">
        <f t="shared" si="5"/>
        <v>1897095463</v>
      </c>
      <c r="K204" s="163"/>
    </row>
    <row r="205" spans="1:11" s="143" customFormat="1" ht="19.5" customHeight="1">
      <c r="A205" s="143">
        <f t="shared" si="6"/>
        <v>4</v>
      </c>
      <c r="B205" s="158">
        <v>41733</v>
      </c>
      <c r="C205" s="159" t="s">
        <v>160</v>
      </c>
      <c r="D205" s="158">
        <v>41733</v>
      </c>
      <c r="E205" s="160" t="s">
        <v>178</v>
      </c>
      <c r="F205" s="160"/>
      <c r="G205" s="161" t="s">
        <v>35</v>
      </c>
      <c r="H205" s="162"/>
      <c r="I205" s="162">
        <v>2000</v>
      </c>
      <c r="J205" s="163">
        <f t="shared" ref="J205:J268" si="7">IF(B205&lt;&gt;"",J204+H205-I205,0)</f>
        <v>1897093463</v>
      </c>
      <c r="K205" s="163"/>
    </row>
    <row r="206" spans="1:11" s="143" customFormat="1" ht="19.5" customHeight="1">
      <c r="A206" s="143">
        <f t="shared" si="6"/>
        <v>4</v>
      </c>
      <c r="B206" s="158">
        <v>41734</v>
      </c>
      <c r="C206" s="159" t="s">
        <v>160</v>
      </c>
      <c r="D206" s="158">
        <v>41734</v>
      </c>
      <c r="E206" s="160" t="s">
        <v>577</v>
      </c>
      <c r="F206" s="160"/>
      <c r="G206" s="161" t="s">
        <v>159</v>
      </c>
      <c r="H206" s="162"/>
      <c r="I206" s="162">
        <v>1890000000</v>
      </c>
      <c r="J206" s="163">
        <f t="shared" si="7"/>
        <v>7093463</v>
      </c>
      <c r="K206" s="163"/>
    </row>
    <row r="207" spans="1:11" s="143" customFormat="1" ht="19.5" customHeight="1">
      <c r="A207" s="143">
        <f t="shared" si="6"/>
        <v>4</v>
      </c>
      <c r="B207" s="158">
        <v>41737</v>
      </c>
      <c r="C207" s="159" t="s">
        <v>160</v>
      </c>
      <c r="D207" s="158">
        <v>41737</v>
      </c>
      <c r="E207" s="160" t="s">
        <v>612</v>
      </c>
      <c r="F207" s="160"/>
      <c r="G207" s="161" t="s">
        <v>247</v>
      </c>
      <c r="H207" s="162"/>
      <c r="I207" s="162">
        <v>754574</v>
      </c>
      <c r="J207" s="163">
        <f t="shared" si="7"/>
        <v>6338889</v>
      </c>
      <c r="K207" s="163"/>
    </row>
    <row r="208" spans="1:11" s="143" customFormat="1" ht="19.5" customHeight="1">
      <c r="A208" s="143">
        <f t="shared" si="6"/>
        <v>4</v>
      </c>
      <c r="B208" s="158">
        <v>41737</v>
      </c>
      <c r="C208" s="159" t="s">
        <v>160</v>
      </c>
      <c r="D208" s="158">
        <v>41737</v>
      </c>
      <c r="E208" s="160" t="s">
        <v>613</v>
      </c>
      <c r="F208" s="160"/>
      <c r="G208" s="161" t="s">
        <v>35</v>
      </c>
      <c r="H208" s="162"/>
      <c r="I208" s="162">
        <v>75457</v>
      </c>
      <c r="J208" s="163">
        <f t="shared" si="7"/>
        <v>6263432</v>
      </c>
      <c r="K208" s="163"/>
    </row>
    <row r="209" spans="1:11" s="143" customFormat="1" ht="19.5" customHeight="1">
      <c r="A209" s="143">
        <f t="shared" si="6"/>
        <v>4</v>
      </c>
      <c r="B209" s="158">
        <v>41737</v>
      </c>
      <c r="C209" s="159" t="s">
        <v>160</v>
      </c>
      <c r="D209" s="158">
        <v>41737</v>
      </c>
      <c r="E209" s="160" t="s">
        <v>612</v>
      </c>
      <c r="F209" s="160"/>
      <c r="G209" s="161" t="s">
        <v>247</v>
      </c>
      <c r="H209" s="162"/>
      <c r="I209" s="162">
        <v>583158</v>
      </c>
      <c r="J209" s="163">
        <f t="shared" si="7"/>
        <v>5680274</v>
      </c>
      <c r="K209" s="163"/>
    </row>
    <row r="210" spans="1:11" s="143" customFormat="1" ht="19.5" customHeight="1">
      <c r="A210" s="143">
        <f t="shared" si="6"/>
        <v>4</v>
      </c>
      <c r="B210" s="158">
        <v>41737</v>
      </c>
      <c r="C210" s="159" t="s">
        <v>160</v>
      </c>
      <c r="D210" s="158">
        <v>41737</v>
      </c>
      <c r="E210" s="160" t="s">
        <v>613</v>
      </c>
      <c r="F210" s="160"/>
      <c r="G210" s="161" t="s">
        <v>35</v>
      </c>
      <c r="H210" s="162"/>
      <c r="I210" s="162">
        <v>58316</v>
      </c>
      <c r="J210" s="163">
        <f t="shared" si="7"/>
        <v>5621958</v>
      </c>
      <c r="K210" s="163"/>
    </row>
    <row r="211" spans="1:11" s="143" customFormat="1" ht="19.5" customHeight="1">
      <c r="A211" s="143">
        <f t="shared" si="6"/>
        <v>4</v>
      </c>
      <c r="B211" s="158">
        <v>41737</v>
      </c>
      <c r="C211" s="159" t="s">
        <v>160</v>
      </c>
      <c r="D211" s="158">
        <v>41737</v>
      </c>
      <c r="E211" s="160" t="s">
        <v>596</v>
      </c>
      <c r="F211" s="160"/>
      <c r="G211" s="161" t="s">
        <v>247</v>
      </c>
      <c r="H211" s="162"/>
      <c r="I211" s="162">
        <v>223397</v>
      </c>
      <c r="J211" s="163">
        <f t="shared" si="7"/>
        <v>5398561</v>
      </c>
      <c r="K211" s="163"/>
    </row>
    <row r="212" spans="1:11" s="143" customFormat="1" ht="19.5" customHeight="1">
      <c r="A212" s="143">
        <f t="shared" si="6"/>
        <v>4</v>
      </c>
      <c r="B212" s="158">
        <v>41737</v>
      </c>
      <c r="C212" s="159" t="s">
        <v>160</v>
      </c>
      <c r="D212" s="158">
        <v>41737</v>
      </c>
      <c r="E212" s="160" t="s">
        <v>597</v>
      </c>
      <c r="F212" s="160"/>
      <c r="G212" s="161" t="s">
        <v>35</v>
      </c>
      <c r="H212" s="162"/>
      <c r="I212" s="162">
        <v>22340</v>
      </c>
      <c r="J212" s="163">
        <f t="shared" si="7"/>
        <v>5376221</v>
      </c>
      <c r="K212" s="163"/>
    </row>
    <row r="213" spans="1:11" s="143" customFormat="1" ht="19.5" customHeight="1">
      <c r="A213" s="143">
        <f t="shared" si="6"/>
        <v>4</v>
      </c>
      <c r="B213" s="158">
        <v>41741</v>
      </c>
      <c r="C213" s="159" t="s">
        <v>163</v>
      </c>
      <c r="D213" s="158">
        <v>41741</v>
      </c>
      <c r="E213" s="160" t="s">
        <v>51</v>
      </c>
      <c r="F213" s="160"/>
      <c r="G213" s="161" t="s">
        <v>159</v>
      </c>
      <c r="H213" s="162">
        <v>43000000</v>
      </c>
      <c r="I213" s="162"/>
      <c r="J213" s="163">
        <f t="shared" si="7"/>
        <v>48376221</v>
      </c>
      <c r="K213" s="163"/>
    </row>
    <row r="214" spans="1:11" s="143" customFormat="1" ht="19.5" customHeight="1">
      <c r="A214" s="143">
        <f t="shared" si="6"/>
        <v>4</v>
      </c>
      <c r="B214" s="158">
        <v>41741</v>
      </c>
      <c r="C214" s="159" t="s">
        <v>160</v>
      </c>
      <c r="D214" s="158">
        <v>41741</v>
      </c>
      <c r="E214" s="160" t="s">
        <v>165</v>
      </c>
      <c r="F214" s="160"/>
      <c r="G214" s="161" t="s">
        <v>166</v>
      </c>
      <c r="H214" s="162"/>
      <c r="I214" s="162">
        <v>5397205</v>
      </c>
      <c r="J214" s="163">
        <f t="shared" si="7"/>
        <v>42979016</v>
      </c>
      <c r="K214" s="163"/>
    </row>
    <row r="215" spans="1:11" s="143" customFormat="1" ht="19.5" customHeight="1">
      <c r="A215" s="143">
        <f t="shared" si="6"/>
        <v>4</v>
      </c>
      <c r="B215" s="158">
        <v>41741</v>
      </c>
      <c r="C215" s="159" t="s">
        <v>160</v>
      </c>
      <c r="D215" s="158">
        <v>41741</v>
      </c>
      <c r="E215" s="160" t="s">
        <v>167</v>
      </c>
      <c r="F215" s="160"/>
      <c r="G215" s="161" t="s">
        <v>166</v>
      </c>
      <c r="H215" s="162"/>
      <c r="I215" s="162">
        <v>14087928</v>
      </c>
      <c r="J215" s="163">
        <f t="shared" si="7"/>
        <v>28891088</v>
      </c>
      <c r="K215" s="163"/>
    </row>
    <row r="216" spans="1:11" s="143" customFormat="1" ht="19.5" customHeight="1">
      <c r="A216" s="143">
        <f t="shared" si="6"/>
        <v>4</v>
      </c>
      <c r="B216" s="158">
        <v>41741</v>
      </c>
      <c r="C216" s="159" t="s">
        <v>160</v>
      </c>
      <c r="D216" s="158">
        <v>41741</v>
      </c>
      <c r="E216" s="160" t="s">
        <v>168</v>
      </c>
      <c r="F216" s="160"/>
      <c r="G216" s="161" t="s">
        <v>166</v>
      </c>
      <c r="H216" s="162"/>
      <c r="I216" s="162">
        <v>8786163</v>
      </c>
      <c r="J216" s="163">
        <f t="shared" si="7"/>
        <v>20104925</v>
      </c>
      <c r="K216" s="163"/>
    </row>
    <row r="217" spans="1:11" s="143" customFormat="1" ht="19.5" customHeight="1">
      <c r="A217" s="143">
        <f t="shared" si="6"/>
        <v>4</v>
      </c>
      <c r="B217" s="158">
        <v>41741</v>
      </c>
      <c r="C217" s="159" t="s">
        <v>160</v>
      </c>
      <c r="D217" s="158">
        <v>41741</v>
      </c>
      <c r="E217" s="160" t="s">
        <v>169</v>
      </c>
      <c r="F217" s="160"/>
      <c r="G217" s="161" t="s">
        <v>166</v>
      </c>
      <c r="H217" s="162"/>
      <c r="I217" s="162">
        <v>12299910</v>
      </c>
      <c r="J217" s="163">
        <f t="shared" si="7"/>
        <v>7805015</v>
      </c>
      <c r="K217" s="163"/>
    </row>
    <row r="218" spans="1:11" s="143" customFormat="1" ht="19.5" customHeight="1">
      <c r="A218" s="143">
        <f t="shared" si="6"/>
        <v>4</v>
      </c>
      <c r="B218" s="158">
        <v>41746</v>
      </c>
      <c r="C218" s="159" t="s">
        <v>160</v>
      </c>
      <c r="D218" s="158">
        <v>41746</v>
      </c>
      <c r="E218" s="160" t="s">
        <v>164</v>
      </c>
      <c r="F218" s="160"/>
      <c r="G218" s="161" t="s">
        <v>162</v>
      </c>
      <c r="H218" s="162">
        <v>2320120000</v>
      </c>
      <c r="I218" s="162"/>
      <c r="J218" s="163">
        <f t="shared" si="7"/>
        <v>2327925015</v>
      </c>
      <c r="K218" s="163"/>
    </row>
    <row r="219" spans="1:11" s="143" customFormat="1" ht="19.5" customHeight="1">
      <c r="A219" s="143">
        <f t="shared" si="6"/>
        <v>4</v>
      </c>
      <c r="B219" s="158">
        <v>41747</v>
      </c>
      <c r="C219" s="159" t="s">
        <v>160</v>
      </c>
      <c r="D219" s="158">
        <v>41747</v>
      </c>
      <c r="E219" s="160" t="s">
        <v>595</v>
      </c>
      <c r="F219" s="160"/>
      <c r="G219" s="161" t="s">
        <v>34</v>
      </c>
      <c r="H219" s="162"/>
      <c r="I219" s="162">
        <v>50000000</v>
      </c>
      <c r="J219" s="163">
        <f t="shared" si="7"/>
        <v>2277925015</v>
      </c>
      <c r="K219" s="163"/>
    </row>
    <row r="220" spans="1:11" s="143" customFormat="1" ht="19.5" customHeight="1">
      <c r="A220" s="143">
        <f t="shared" si="6"/>
        <v>4</v>
      </c>
      <c r="B220" s="158">
        <v>41747</v>
      </c>
      <c r="C220" s="159" t="s">
        <v>160</v>
      </c>
      <c r="D220" s="158">
        <v>41747</v>
      </c>
      <c r="E220" s="160" t="s">
        <v>222</v>
      </c>
      <c r="F220" s="160"/>
      <c r="G220" s="161" t="s">
        <v>247</v>
      </c>
      <c r="H220" s="162"/>
      <c r="I220" s="162">
        <v>10000</v>
      </c>
      <c r="J220" s="163">
        <f t="shared" si="7"/>
        <v>2277915015</v>
      </c>
      <c r="K220" s="163"/>
    </row>
    <row r="221" spans="1:11" s="143" customFormat="1" ht="19.5" customHeight="1">
      <c r="A221" s="143">
        <f t="shared" si="6"/>
        <v>4</v>
      </c>
      <c r="B221" s="158">
        <v>41747</v>
      </c>
      <c r="C221" s="159" t="s">
        <v>160</v>
      </c>
      <c r="D221" s="158">
        <v>41747</v>
      </c>
      <c r="E221" s="160" t="s">
        <v>223</v>
      </c>
      <c r="F221" s="160"/>
      <c r="G221" s="161" t="s">
        <v>35</v>
      </c>
      <c r="H221" s="162"/>
      <c r="I221" s="162">
        <v>1000</v>
      </c>
      <c r="J221" s="163">
        <f t="shared" si="7"/>
        <v>2277914015</v>
      </c>
      <c r="K221" s="163"/>
    </row>
    <row r="222" spans="1:11" s="143" customFormat="1" ht="19.5" customHeight="1">
      <c r="A222" s="143">
        <f t="shared" si="6"/>
        <v>4</v>
      </c>
      <c r="B222" s="158">
        <v>41747</v>
      </c>
      <c r="C222" s="159" t="s">
        <v>160</v>
      </c>
      <c r="D222" s="158">
        <v>41747</v>
      </c>
      <c r="E222" s="160" t="s">
        <v>576</v>
      </c>
      <c r="F222" s="160"/>
      <c r="G222" s="161" t="s">
        <v>34</v>
      </c>
      <c r="H222" s="162"/>
      <c r="I222" s="162">
        <v>28226880</v>
      </c>
      <c r="J222" s="163">
        <f t="shared" si="7"/>
        <v>2249687135</v>
      </c>
      <c r="K222" s="163"/>
    </row>
    <row r="223" spans="1:11" s="143" customFormat="1" ht="19.5" customHeight="1">
      <c r="A223" s="143">
        <f t="shared" si="6"/>
        <v>4</v>
      </c>
      <c r="B223" s="158">
        <v>41747</v>
      </c>
      <c r="C223" s="159" t="s">
        <v>160</v>
      </c>
      <c r="D223" s="158">
        <v>41747</v>
      </c>
      <c r="E223" s="160" t="s">
        <v>222</v>
      </c>
      <c r="F223" s="160"/>
      <c r="G223" s="161" t="s">
        <v>247</v>
      </c>
      <c r="H223" s="162"/>
      <c r="I223" s="162">
        <v>20000</v>
      </c>
      <c r="J223" s="163">
        <f t="shared" si="7"/>
        <v>2249667135</v>
      </c>
      <c r="K223" s="163"/>
    </row>
    <row r="224" spans="1:11" s="143" customFormat="1" ht="19.5" customHeight="1">
      <c r="A224" s="143">
        <f t="shared" si="6"/>
        <v>4</v>
      </c>
      <c r="B224" s="158">
        <v>41747</v>
      </c>
      <c r="C224" s="159" t="s">
        <v>160</v>
      </c>
      <c r="D224" s="158">
        <v>41747</v>
      </c>
      <c r="E224" s="160" t="s">
        <v>223</v>
      </c>
      <c r="F224" s="160"/>
      <c r="G224" s="161" t="s">
        <v>35</v>
      </c>
      <c r="H224" s="162"/>
      <c r="I224" s="162">
        <v>2000</v>
      </c>
      <c r="J224" s="163">
        <f t="shared" si="7"/>
        <v>2249665135</v>
      </c>
      <c r="K224" s="163"/>
    </row>
    <row r="225" spans="1:11" s="143" customFormat="1" ht="19.5" customHeight="1">
      <c r="A225" s="143">
        <f t="shared" si="6"/>
        <v>4</v>
      </c>
      <c r="B225" s="158">
        <v>41747</v>
      </c>
      <c r="C225" s="159" t="s">
        <v>160</v>
      </c>
      <c r="D225" s="158">
        <v>41747</v>
      </c>
      <c r="E225" s="160" t="s">
        <v>598</v>
      </c>
      <c r="F225" s="160"/>
      <c r="G225" s="161" t="s">
        <v>34</v>
      </c>
      <c r="H225" s="162"/>
      <c r="I225" s="162">
        <v>111056278</v>
      </c>
      <c r="J225" s="163">
        <f t="shared" si="7"/>
        <v>2138608857</v>
      </c>
      <c r="K225" s="163"/>
    </row>
    <row r="226" spans="1:11" s="143" customFormat="1" ht="19.5" customHeight="1">
      <c r="A226" s="143">
        <f t="shared" si="6"/>
        <v>4</v>
      </c>
      <c r="B226" s="158">
        <v>41747</v>
      </c>
      <c r="C226" s="159" t="s">
        <v>160</v>
      </c>
      <c r="D226" s="158">
        <v>41747</v>
      </c>
      <c r="E226" s="160" t="s">
        <v>222</v>
      </c>
      <c r="F226" s="160"/>
      <c r="G226" s="161" t="s">
        <v>247</v>
      </c>
      <c r="H226" s="162"/>
      <c r="I226" s="162">
        <v>11106</v>
      </c>
      <c r="J226" s="163">
        <f t="shared" si="7"/>
        <v>2138597751</v>
      </c>
      <c r="K226" s="163"/>
    </row>
    <row r="227" spans="1:11" s="143" customFormat="1" ht="19.5" customHeight="1">
      <c r="A227" s="143">
        <f t="shared" si="6"/>
        <v>4</v>
      </c>
      <c r="B227" s="158">
        <v>41747</v>
      </c>
      <c r="C227" s="159" t="s">
        <v>160</v>
      </c>
      <c r="D227" s="158">
        <v>41747</v>
      </c>
      <c r="E227" s="160" t="s">
        <v>223</v>
      </c>
      <c r="F227" s="160"/>
      <c r="G227" s="161" t="s">
        <v>35</v>
      </c>
      <c r="H227" s="162"/>
      <c r="I227" s="162">
        <v>1111</v>
      </c>
      <c r="J227" s="163">
        <f t="shared" si="7"/>
        <v>2138596640</v>
      </c>
      <c r="K227" s="163"/>
    </row>
    <row r="228" spans="1:11" s="143" customFormat="1" ht="19.5" customHeight="1">
      <c r="A228" s="143">
        <f t="shared" si="6"/>
        <v>4</v>
      </c>
      <c r="B228" s="158">
        <v>41747</v>
      </c>
      <c r="C228" s="159" t="s">
        <v>160</v>
      </c>
      <c r="D228" s="158">
        <v>41747</v>
      </c>
      <c r="E228" s="160" t="s">
        <v>172</v>
      </c>
      <c r="F228" s="160"/>
      <c r="G228" s="161" t="s">
        <v>38</v>
      </c>
      <c r="H228" s="162"/>
      <c r="I228" s="162">
        <v>74645829</v>
      </c>
      <c r="J228" s="163">
        <f t="shared" si="7"/>
        <v>2063950811</v>
      </c>
      <c r="K228" s="163"/>
    </row>
    <row r="229" spans="1:11" s="143" customFormat="1" ht="19.5" customHeight="1">
      <c r="A229" s="143">
        <f t="shared" si="6"/>
        <v>4</v>
      </c>
      <c r="B229" s="158">
        <v>41747</v>
      </c>
      <c r="C229" s="364" t="s">
        <v>160</v>
      </c>
      <c r="D229" s="158">
        <v>41747</v>
      </c>
      <c r="E229" s="160" t="s">
        <v>614</v>
      </c>
      <c r="F229" s="160"/>
      <c r="G229" s="161" t="s">
        <v>173</v>
      </c>
      <c r="H229" s="162"/>
      <c r="I229" s="162">
        <v>17758590</v>
      </c>
      <c r="J229" s="163">
        <f t="shared" si="7"/>
        <v>2046192221</v>
      </c>
      <c r="K229" s="163"/>
    </row>
    <row r="230" spans="1:11" s="143" customFormat="1" ht="19.5" customHeight="1">
      <c r="A230" s="143">
        <f t="shared" si="6"/>
        <v>4</v>
      </c>
      <c r="B230" s="158">
        <v>41747</v>
      </c>
      <c r="C230" s="159" t="s">
        <v>160</v>
      </c>
      <c r="D230" s="158">
        <v>41747</v>
      </c>
      <c r="E230" s="160" t="s">
        <v>174</v>
      </c>
      <c r="F230" s="160"/>
      <c r="G230" s="161" t="s">
        <v>581</v>
      </c>
      <c r="H230" s="162"/>
      <c r="I230" s="162">
        <v>7595581</v>
      </c>
      <c r="J230" s="163">
        <f t="shared" si="7"/>
        <v>2038596640</v>
      </c>
      <c r="K230" s="163"/>
    </row>
    <row r="231" spans="1:11" s="143" customFormat="1" ht="19.5" customHeight="1">
      <c r="A231" s="143">
        <f t="shared" si="6"/>
        <v>4</v>
      </c>
      <c r="B231" s="158">
        <v>41747</v>
      </c>
      <c r="C231" s="159" t="s">
        <v>160</v>
      </c>
      <c r="D231" s="158">
        <v>41747</v>
      </c>
      <c r="E231" s="160" t="s">
        <v>222</v>
      </c>
      <c r="F231" s="160"/>
      <c r="G231" s="161" t="s">
        <v>247</v>
      </c>
      <c r="H231" s="162"/>
      <c r="I231" s="162">
        <v>50000</v>
      </c>
      <c r="J231" s="163">
        <f t="shared" si="7"/>
        <v>2038546640</v>
      </c>
      <c r="K231" s="163"/>
    </row>
    <row r="232" spans="1:11" s="143" customFormat="1" ht="19.5" customHeight="1">
      <c r="A232" s="143">
        <f t="shared" si="6"/>
        <v>4</v>
      </c>
      <c r="B232" s="158">
        <v>41747</v>
      </c>
      <c r="C232" s="159" t="s">
        <v>160</v>
      </c>
      <c r="D232" s="158">
        <v>41747</v>
      </c>
      <c r="E232" s="160" t="s">
        <v>223</v>
      </c>
      <c r="F232" s="160"/>
      <c r="G232" s="161" t="s">
        <v>35</v>
      </c>
      <c r="H232" s="162"/>
      <c r="I232" s="162">
        <v>5000</v>
      </c>
      <c r="J232" s="163">
        <f t="shared" si="7"/>
        <v>2038541640</v>
      </c>
      <c r="K232" s="163"/>
    </row>
    <row r="233" spans="1:11" s="143" customFormat="1" ht="19.5" customHeight="1">
      <c r="A233" s="143">
        <f t="shared" si="6"/>
        <v>4</v>
      </c>
      <c r="B233" s="158">
        <v>41747</v>
      </c>
      <c r="C233" s="159" t="s">
        <v>160</v>
      </c>
      <c r="D233" s="158">
        <v>41747</v>
      </c>
      <c r="E233" s="160" t="s">
        <v>584</v>
      </c>
      <c r="F233" s="160"/>
      <c r="G233" s="161" t="s">
        <v>34</v>
      </c>
      <c r="H233" s="162"/>
      <c r="I233" s="162">
        <v>9542439</v>
      </c>
      <c r="J233" s="163">
        <f t="shared" si="7"/>
        <v>2028999201</v>
      </c>
      <c r="K233" s="163"/>
    </row>
    <row r="234" spans="1:11" s="143" customFormat="1" ht="19.5" customHeight="1">
      <c r="A234" s="143">
        <f t="shared" si="6"/>
        <v>4</v>
      </c>
      <c r="B234" s="158">
        <v>41747</v>
      </c>
      <c r="C234" s="364" t="s">
        <v>160</v>
      </c>
      <c r="D234" s="158">
        <v>41747</v>
      </c>
      <c r="E234" s="160" t="s">
        <v>222</v>
      </c>
      <c r="F234" s="160"/>
      <c r="G234" s="161" t="s">
        <v>247</v>
      </c>
      <c r="H234" s="162"/>
      <c r="I234" s="162">
        <v>20000</v>
      </c>
      <c r="J234" s="163">
        <f t="shared" si="7"/>
        <v>2028979201</v>
      </c>
      <c r="K234" s="163"/>
    </row>
    <row r="235" spans="1:11" s="143" customFormat="1" ht="19.5" customHeight="1">
      <c r="A235" s="143">
        <f t="shared" si="6"/>
        <v>4</v>
      </c>
      <c r="B235" s="158">
        <v>41747</v>
      </c>
      <c r="C235" s="159" t="s">
        <v>160</v>
      </c>
      <c r="D235" s="158">
        <v>41747</v>
      </c>
      <c r="E235" s="160" t="s">
        <v>223</v>
      </c>
      <c r="F235" s="160"/>
      <c r="G235" s="161" t="s">
        <v>35</v>
      </c>
      <c r="H235" s="162"/>
      <c r="I235" s="162">
        <v>2000</v>
      </c>
      <c r="J235" s="163">
        <f t="shared" si="7"/>
        <v>2028977201</v>
      </c>
      <c r="K235" s="163"/>
    </row>
    <row r="236" spans="1:11" s="143" customFormat="1" ht="19.5" customHeight="1">
      <c r="A236" s="143">
        <f t="shared" si="6"/>
        <v>4</v>
      </c>
      <c r="B236" s="158">
        <v>41747</v>
      </c>
      <c r="C236" s="159" t="s">
        <v>160</v>
      </c>
      <c r="D236" s="158">
        <v>41747</v>
      </c>
      <c r="E236" s="160" t="s">
        <v>579</v>
      </c>
      <c r="F236" s="160"/>
      <c r="G236" s="161" t="s">
        <v>34</v>
      </c>
      <c r="H236" s="162"/>
      <c r="I236" s="162">
        <v>27114912</v>
      </c>
      <c r="J236" s="163">
        <f t="shared" si="7"/>
        <v>2001862289</v>
      </c>
      <c r="K236" s="163"/>
    </row>
    <row r="237" spans="1:11" s="143" customFormat="1" ht="19.5" customHeight="1">
      <c r="A237" s="143">
        <f t="shared" si="6"/>
        <v>4</v>
      </c>
      <c r="B237" s="158">
        <v>41747</v>
      </c>
      <c r="C237" s="159" t="s">
        <v>160</v>
      </c>
      <c r="D237" s="158">
        <v>41747</v>
      </c>
      <c r="E237" s="160" t="s">
        <v>222</v>
      </c>
      <c r="F237" s="160"/>
      <c r="G237" s="161" t="s">
        <v>247</v>
      </c>
      <c r="H237" s="162"/>
      <c r="I237" s="162">
        <v>20000</v>
      </c>
      <c r="J237" s="163">
        <f t="shared" si="7"/>
        <v>2001842289</v>
      </c>
      <c r="K237" s="163"/>
    </row>
    <row r="238" spans="1:11" s="143" customFormat="1" ht="19.5" customHeight="1">
      <c r="A238" s="143">
        <f t="shared" si="6"/>
        <v>4</v>
      </c>
      <c r="B238" s="158">
        <v>41747</v>
      </c>
      <c r="C238" s="159" t="s">
        <v>160</v>
      </c>
      <c r="D238" s="158">
        <v>41747</v>
      </c>
      <c r="E238" s="160" t="s">
        <v>223</v>
      </c>
      <c r="F238" s="160"/>
      <c r="G238" s="161" t="s">
        <v>35</v>
      </c>
      <c r="H238" s="162"/>
      <c r="I238" s="162">
        <v>2000</v>
      </c>
      <c r="J238" s="163">
        <f t="shared" si="7"/>
        <v>2001840289</v>
      </c>
      <c r="K238" s="163"/>
    </row>
    <row r="239" spans="1:11" s="143" customFormat="1" ht="19.5" customHeight="1">
      <c r="A239" s="143">
        <f t="shared" si="6"/>
        <v>4</v>
      </c>
      <c r="B239" s="158">
        <v>41747</v>
      </c>
      <c r="C239" s="159" t="s">
        <v>160</v>
      </c>
      <c r="D239" s="158">
        <v>41747</v>
      </c>
      <c r="E239" s="160" t="s">
        <v>577</v>
      </c>
      <c r="F239" s="160"/>
      <c r="G239" s="161" t="s">
        <v>159</v>
      </c>
      <c r="H239" s="162"/>
      <c r="I239" s="162">
        <v>2000000000</v>
      </c>
      <c r="J239" s="163">
        <f t="shared" si="7"/>
        <v>1840289</v>
      </c>
      <c r="K239" s="163"/>
    </row>
    <row r="240" spans="1:11" s="143" customFormat="1" ht="19.5" customHeight="1">
      <c r="A240" s="143">
        <f t="shared" si="6"/>
        <v>4</v>
      </c>
      <c r="B240" s="158">
        <v>41750</v>
      </c>
      <c r="C240" s="364" t="s">
        <v>160</v>
      </c>
      <c r="D240" s="158">
        <v>41750</v>
      </c>
      <c r="E240" s="160" t="s">
        <v>164</v>
      </c>
      <c r="F240" s="160"/>
      <c r="G240" s="161" t="s">
        <v>162</v>
      </c>
      <c r="H240" s="162">
        <v>120213000</v>
      </c>
      <c r="I240" s="162"/>
      <c r="J240" s="163">
        <f t="shared" si="7"/>
        <v>122053289</v>
      </c>
      <c r="K240" s="163"/>
    </row>
    <row r="241" spans="1:11" s="143" customFormat="1" ht="19.5" customHeight="1">
      <c r="A241" s="143">
        <f t="shared" si="6"/>
        <v>4</v>
      </c>
      <c r="B241" s="158">
        <v>41750</v>
      </c>
      <c r="C241" s="159" t="s">
        <v>160</v>
      </c>
      <c r="D241" s="158">
        <v>41750</v>
      </c>
      <c r="E241" s="160" t="s">
        <v>615</v>
      </c>
      <c r="F241" s="160"/>
      <c r="G241" s="161" t="s">
        <v>34</v>
      </c>
      <c r="H241" s="162"/>
      <c r="I241" s="162">
        <v>30000000</v>
      </c>
      <c r="J241" s="163">
        <f t="shared" si="7"/>
        <v>92053289</v>
      </c>
      <c r="K241" s="163"/>
    </row>
    <row r="242" spans="1:11" s="143" customFormat="1" ht="19.5" customHeight="1">
      <c r="A242" s="143">
        <f t="shared" si="6"/>
        <v>4</v>
      </c>
      <c r="B242" s="158">
        <v>41750</v>
      </c>
      <c r="C242" s="159" t="s">
        <v>160</v>
      </c>
      <c r="D242" s="158">
        <v>41750</v>
      </c>
      <c r="E242" s="160" t="s">
        <v>616</v>
      </c>
      <c r="F242" s="160"/>
      <c r="G242" s="161" t="s">
        <v>212</v>
      </c>
      <c r="H242" s="162"/>
      <c r="I242" s="162">
        <v>2413626</v>
      </c>
      <c r="J242" s="163">
        <f t="shared" si="7"/>
        <v>89639663</v>
      </c>
      <c r="K242" s="163"/>
    </row>
    <row r="243" spans="1:11" s="143" customFormat="1" ht="19.5" customHeight="1">
      <c r="A243" s="143">
        <f t="shared" si="6"/>
        <v>4</v>
      </c>
      <c r="B243" s="158">
        <v>41750</v>
      </c>
      <c r="C243" s="159" t="s">
        <v>160</v>
      </c>
      <c r="D243" s="158">
        <v>41750</v>
      </c>
      <c r="E243" s="160" t="s">
        <v>617</v>
      </c>
      <c r="F243" s="160"/>
      <c r="G243" s="161" t="s">
        <v>215</v>
      </c>
      <c r="H243" s="162"/>
      <c r="I243" s="162">
        <v>37411</v>
      </c>
      <c r="J243" s="163">
        <f t="shared" si="7"/>
        <v>89602252</v>
      </c>
      <c r="K243" s="163"/>
    </row>
    <row r="244" spans="1:11" s="143" customFormat="1" ht="19.5" customHeight="1">
      <c r="A244" s="143">
        <f t="shared" si="6"/>
        <v>4</v>
      </c>
      <c r="B244" s="158">
        <v>41750</v>
      </c>
      <c r="C244" s="159" t="s">
        <v>160</v>
      </c>
      <c r="D244" s="158">
        <v>41750</v>
      </c>
      <c r="E244" s="160" t="s">
        <v>222</v>
      </c>
      <c r="F244" s="160"/>
      <c r="G244" s="161" t="s">
        <v>247</v>
      </c>
      <c r="H244" s="162"/>
      <c r="I244" s="162">
        <v>20000</v>
      </c>
      <c r="J244" s="163">
        <f t="shared" si="7"/>
        <v>89582252</v>
      </c>
      <c r="K244" s="163"/>
    </row>
    <row r="245" spans="1:11" s="143" customFormat="1" ht="19.5" customHeight="1">
      <c r="A245" s="143">
        <f t="shared" si="6"/>
        <v>4</v>
      </c>
      <c r="B245" s="158">
        <v>41750</v>
      </c>
      <c r="C245" s="159" t="s">
        <v>160</v>
      </c>
      <c r="D245" s="158">
        <v>41750</v>
      </c>
      <c r="E245" s="160" t="s">
        <v>223</v>
      </c>
      <c r="F245" s="160"/>
      <c r="G245" s="161" t="s">
        <v>35</v>
      </c>
      <c r="H245" s="162"/>
      <c r="I245" s="162">
        <v>2000</v>
      </c>
      <c r="J245" s="163">
        <f t="shared" si="7"/>
        <v>89580252</v>
      </c>
      <c r="K245" s="163"/>
    </row>
    <row r="246" spans="1:11" s="143" customFormat="1" ht="19.5" customHeight="1">
      <c r="A246" s="143">
        <f t="shared" si="6"/>
        <v>4</v>
      </c>
      <c r="B246" s="158">
        <v>41750</v>
      </c>
      <c r="C246" s="159" t="s">
        <v>160</v>
      </c>
      <c r="D246" s="158">
        <v>41750</v>
      </c>
      <c r="E246" s="160" t="s">
        <v>618</v>
      </c>
      <c r="F246" s="160"/>
      <c r="G246" s="161" t="s">
        <v>215</v>
      </c>
      <c r="H246" s="162"/>
      <c r="I246" s="162">
        <v>26550</v>
      </c>
      <c r="J246" s="163">
        <f t="shared" si="7"/>
        <v>89553702</v>
      </c>
      <c r="K246" s="163"/>
    </row>
    <row r="247" spans="1:11" s="143" customFormat="1" ht="19.5" customHeight="1">
      <c r="A247" s="143">
        <f t="shared" si="6"/>
        <v>4</v>
      </c>
      <c r="B247" s="158">
        <v>41750</v>
      </c>
      <c r="C247" s="159" t="s">
        <v>160</v>
      </c>
      <c r="D247" s="158">
        <v>41750</v>
      </c>
      <c r="E247" s="160" t="s">
        <v>222</v>
      </c>
      <c r="F247" s="160"/>
      <c r="G247" s="161" t="s">
        <v>247</v>
      </c>
      <c r="H247" s="162"/>
      <c r="I247" s="162">
        <v>20000</v>
      </c>
      <c r="J247" s="163">
        <f t="shared" si="7"/>
        <v>89533702</v>
      </c>
      <c r="K247" s="163"/>
    </row>
    <row r="248" spans="1:11" s="143" customFormat="1" ht="19.5" customHeight="1">
      <c r="A248" s="143">
        <f t="shared" si="6"/>
        <v>4</v>
      </c>
      <c r="B248" s="158">
        <v>41750</v>
      </c>
      <c r="C248" s="159" t="s">
        <v>160</v>
      </c>
      <c r="D248" s="158">
        <v>41750</v>
      </c>
      <c r="E248" s="160" t="s">
        <v>223</v>
      </c>
      <c r="F248" s="160"/>
      <c r="G248" s="161" t="s">
        <v>35</v>
      </c>
      <c r="H248" s="162"/>
      <c r="I248" s="162">
        <v>2000</v>
      </c>
      <c r="J248" s="163">
        <f t="shared" si="7"/>
        <v>89531702</v>
      </c>
      <c r="K248" s="163"/>
    </row>
    <row r="249" spans="1:11" s="143" customFormat="1" ht="19.5" customHeight="1">
      <c r="A249" s="143">
        <f t="shared" si="6"/>
        <v>4</v>
      </c>
      <c r="B249" s="158">
        <v>41752</v>
      </c>
      <c r="C249" s="159" t="s">
        <v>163</v>
      </c>
      <c r="D249" s="158">
        <v>41752</v>
      </c>
      <c r="E249" s="160" t="s">
        <v>619</v>
      </c>
      <c r="F249" s="160"/>
      <c r="G249" s="161" t="s">
        <v>38</v>
      </c>
      <c r="H249" s="162">
        <v>24530680</v>
      </c>
      <c r="I249" s="162"/>
      <c r="J249" s="163">
        <f t="shared" si="7"/>
        <v>114062382</v>
      </c>
      <c r="K249" s="163"/>
    </row>
    <row r="250" spans="1:11" s="143" customFormat="1" ht="19.5" customHeight="1">
      <c r="A250" s="143">
        <f t="shared" si="6"/>
        <v>4</v>
      </c>
      <c r="B250" s="158">
        <v>41752</v>
      </c>
      <c r="C250" s="159" t="s">
        <v>160</v>
      </c>
      <c r="D250" s="158">
        <v>41752</v>
      </c>
      <c r="E250" s="160" t="s">
        <v>577</v>
      </c>
      <c r="F250" s="160"/>
      <c r="G250" s="161" t="s">
        <v>159</v>
      </c>
      <c r="H250" s="162"/>
      <c r="I250" s="162">
        <v>85000000</v>
      </c>
      <c r="J250" s="163">
        <f t="shared" si="7"/>
        <v>29062382</v>
      </c>
      <c r="K250" s="163"/>
    </row>
    <row r="251" spans="1:11" s="143" customFormat="1" ht="19.5" customHeight="1">
      <c r="A251" s="143">
        <f t="shared" si="6"/>
        <v>4</v>
      </c>
      <c r="B251" s="158">
        <v>41754</v>
      </c>
      <c r="C251" s="159" t="s">
        <v>163</v>
      </c>
      <c r="D251" s="158">
        <v>41754</v>
      </c>
      <c r="E251" s="160" t="s">
        <v>588</v>
      </c>
      <c r="F251" s="160"/>
      <c r="G251" s="161" t="s">
        <v>176</v>
      </c>
      <c r="H251" s="162">
        <v>85962</v>
      </c>
      <c r="I251" s="162"/>
      <c r="J251" s="163">
        <f t="shared" si="7"/>
        <v>29148344</v>
      </c>
      <c r="K251" s="163"/>
    </row>
    <row r="252" spans="1:11" s="143" customFormat="1" ht="19.5" customHeight="1">
      <c r="A252" s="143">
        <f t="shared" si="6"/>
        <v>5</v>
      </c>
      <c r="B252" s="158">
        <v>41766</v>
      </c>
      <c r="C252" s="159" t="s">
        <v>160</v>
      </c>
      <c r="D252" s="158">
        <v>41766</v>
      </c>
      <c r="E252" s="160" t="s">
        <v>164</v>
      </c>
      <c r="F252" s="160"/>
      <c r="G252" s="161" t="s">
        <v>162</v>
      </c>
      <c r="H252" s="162">
        <v>879327900</v>
      </c>
      <c r="I252" s="162"/>
      <c r="J252" s="163">
        <f t="shared" si="7"/>
        <v>908476244</v>
      </c>
      <c r="K252" s="163"/>
    </row>
    <row r="253" spans="1:11" s="143" customFormat="1" ht="19.5" customHeight="1">
      <c r="A253" s="143">
        <f t="shared" si="6"/>
        <v>5</v>
      </c>
      <c r="B253" s="158">
        <v>41766</v>
      </c>
      <c r="C253" s="159" t="s">
        <v>160</v>
      </c>
      <c r="D253" s="158">
        <v>41766</v>
      </c>
      <c r="E253" s="160" t="s">
        <v>576</v>
      </c>
      <c r="F253" s="160"/>
      <c r="G253" s="161" t="s">
        <v>34</v>
      </c>
      <c r="H253" s="162"/>
      <c r="I253" s="162">
        <v>23761320</v>
      </c>
      <c r="J253" s="163">
        <f t="shared" si="7"/>
        <v>884714924</v>
      </c>
      <c r="K253" s="163"/>
    </row>
    <row r="254" spans="1:11" s="143" customFormat="1" ht="19.5" customHeight="1">
      <c r="A254" s="143">
        <f t="shared" si="6"/>
        <v>5</v>
      </c>
      <c r="B254" s="158">
        <v>41766</v>
      </c>
      <c r="C254" s="159" t="s">
        <v>160</v>
      </c>
      <c r="D254" s="158">
        <v>41766</v>
      </c>
      <c r="E254" s="160" t="s">
        <v>222</v>
      </c>
      <c r="F254" s="160"/>
      <c r="G254" s="161" t="s">
        <v>247</v>
      </c>
      <c r="H254" s="162"/>
      <c r="I254" s="162">
        <v>25000</v>
      </c>
      <c r="J254" s="163">
        <f t="shared" si="7"/>
        <v>884689924</v>
      </c>
      <c r="K254" s="163"/>
    </row>
    <row r="255" spans="1:11" s="143" customFormat="1" ht="19.5" customHeight="1">
      <c r="A255" s="143">
        <f t="shared" si="6"/>
        <v>5</v>
      </c>
      <c r="B255" s="158">
        <v>41766</v>
      </c>
      <c r="C255" s="159" t="s">
        <v>160</v>
      </c>
      <c r="D255" s="158">
        <v>41766</v>
      </c>
      <c r="E255" s="160" t="s">
        <v>223</v>
      </c>
      <c r="F255" s="160"/>
      <c r="G255" s="161" t="s">
        <v>35</v>
      </c>
      <c r="H255" s="162"/>
      <c r="I255" s="162">
        <v>2500</v>
      </c>
      <c r="J255" s="163">
        <f t="shared" si="7"/>
        <v>884687424</v>
      </c>
      <c r="K255" s="163"/>
    </row>
    <row r="256" spans="1:11" s="143" customFormat="1" ht="19.5" customHeight="1">
      <c r="A256" s="143">
        <f t="shared" si="6"/>
        <v>5</v>
      </c>
      <c r="B256" s="158">
        <v>41766</v>
      </c>
      <c r="C256" s="159" t="s">
        <v>160</v>
      </c>
      <c r="D256" s="158">
        <v>41766</v>
      </c>
      <c r="E256" s="160" t="s">
        <v>216</v>
      </c>
      <c r="F256" s="160"/>
      <c r="G256" s="161" t="s">
        <v>34</v>
      </c>
      <c r="H256" s="162"/>
      <c r="I256" s="162">
        <v>50000000</v>
      </c>
      <c r="J256" s="163">
        <f t="shared" si="7"/>
        <v>834687424</v>
      </c>
      <c r="K256" s="163"/>
    </row>
    <row r="257" spans="1:11" s="143" customFormat="1" ht="19.5" customHeight="1">
      <c r="A257" s="143">
        <f t="shared" si="6"/>
        <v>5</v>
      </c>
      <c r="B257" s="158">
        <v>41766</v>
      </c>
      <c r="C257" s="159" t="s">
        <v>160</v>
      </c>
      <c r="D257" s="158">
        <v>41766</v>
      </c>
      <c r="E257" s="160" t="s">
        <v>222</v>
      </c>
      <c r="F257" s="160"/>
      <c r="G257" s="161" t="s">
        <v>247</v>
      </c>
      <c r="H257" s="162"/>
      <c r="I257" s="162">
        <v>25000</v>
      </c>
      <c r="J257" s="163">
        <f t="shared" si="7"/>
        <v>834662424</v>
      </c>
      <c r="K257" s="163"/>
    </row>
    <row r="258" spans="1:11" s="143" customFormat="1" ht="19.5" customHeight="1">
      <c r="A258" s="143">
        <f t="shared" si="6"/>
        <v>5</v>
      </c>
      <c r="B258" s="158">
        <v>41766</v>
      </c>
      <c r="C258" s="159" t="s">
        <v>160</v>
      </c>
      <c r="D258" s="158">
        <v>41766</v>
      </c>
      <c r="E258" s="160" t="s">
        <v>223</v>
      </c>
      <c r="F258" s="160"/>
      <c r="G258" s="161" t="s">
        <v>35</v>
      </c>
      <c r="H258" s="162"/>
      <c r="I258" s="162">
        <v>2500</v>
      </c>
      <c r="J258" s="163">
        <f t="shared" si="7"/>
        <v>834659924</v>
      </c>
      <c r="K258" s="163"/>
    </row>
    <row r="259" spans="1:11" s="143" customFormat="1" ht="19.5" customHeight="1">
      <c r="A259" s="143">
        <f t="shared" si="6"/>
        <v>5</v>
      </c>
      <c r="B259" s="158">
        <v>41766</v>
      </c>
      <c r="C259" s="159" t="s">
        <v>160</v>
      </c>
      <c r="D259" s="158">
        <v>41766</v>
      </c>
      <c r="E259" s="160" t="s">
        <v>585</v>
      </c>
      <c r="F259" s="160"/>
      <c r="G259" s="161" t="s">
        <v>34</v>
      </c>
      <c r="H259" s="162"/>
      <c r="I259" s="162">
        <v>4512000</v>
      </c>
      <c r="J259" s="163">
        <f t="shared" si="7"/>
        <v>830147924</v>
      </c>
      <c r="K259" s="163"/>
    </row>
    <row r="260" spans="1:11" s="143" customFormat="1" ht="19.5" customHeight="1">
      <c r="A260" s="143">
        <f t="shared" si="6"/>
        <v>5</v>
      </c>
      <c r="B260" s="158">
        <v>41766</v>
      </c>
      <c r="C260" s="159" t="s">
        <v>160</v>
      </c>
      <c r="D260" s="158">
        <v>41766</v>
      </c>
      <c r="E260" s="160" t="s">
        <v>222</v>
      </c>
      <c r="F260" s="160"/>
      <c r="G260" s="161" t="s">
        <v>247</v>
      </c>
      <c r="H260" s="162"/>
      <c r="I260" s="162">
        <v>20000</v>
      </c>
      <c r="J260" s="163">
        <f t="shared" si="7"/>
        <v>830127924</v>
      </c>
      <c r="K260" s="163"/>
    </row>
    <row r="261" spans="1:11" s="143" customFormat="1" ht="19.5" customHeight="1">
      <c r="A261" s="143">
        <f t="shared" si="6"/>
        <v>5</v>
      </c>
      <c r="B261" s="158">
        <v>41766</v>
      </c>
      <c r="C261" s="159" t="s">
        <v>160</v>
      </c>
      <c r="D261" s="158">
        <v>41766</v>
      </c>
      <c r="E261" s="160" t="s">
        <v>223</v>
      </c>
      <c r="F261" s="160"/>
      <c r="G261" s="161" t="s">
        <v>35</v>
      </c>
      <c r="H261" s="162"/>
      <c r="I261" s="162">
        <v>2000</v>
      </c>
      <c r="J261" s="163">
        <f t="shared" si="7"/>
        <v>830125924</v>
      </c>
      <c r="K261" s="163"/>
    </row>
    <row r="262" spans="1:11" s="143" customFormat="1" ht="19.5" customHeight="1">
      <c r="A262" s="143">
        <f t="shared" si="6"/>
        <v>5</v>
      </c>
      <c r="B262" s="158">
        <v>41766</v>
      </c>
      <c r="C262" s="159" t="s">
        <v>160</v>
      </c>
      <c r="D262" s="158">
        <v>41766</v>
      </c>
      <c r="E262" s="160" t="s">
        <v>577</v>
      </c>
      <c r="F262" s="160"/>
      <c r="G262" s="161" t="s">
        <v>159</v>
      </c>
      <c r="H262" s="162"/>
      <c r="I262" s="162">
        <v>830000000</v>
      </c>
      <c r="J262" s="163">
        <f t="shared" si="7"/>
        <v>125924</v>
      </c>
      <c r="K262" s="163"/>
    </row>
    <row r="263" spans="1:11" s="143" customFormat="1" ht="19.5" customHeight="1">
      <c r="A263" s="143">
        <f t="shared" si="6"/>
        <v>5</v>
      </c>
      <c r="B263" s="158">
        <v>41772</v>
      </c>
      <c r="C263" s="159" t="s">
        <v>163</v>
      </c>
      <c r="D263" s="158">
        <v>41772</v>
      </c>
      <c r="E263" s="160" t="s">
        <v>578</v>
      </c>
      <c r="F263" s="160"/>
      <c r="G263" s="161" t="s">
        <v>190</v>
      </c>
      <c r="H263" s="162">
        <v>100000000</v>
      </c>
      <c r="I263" s="162"/>
      <c r="J263" s="163">
        <f t="shared" si="7"/>
        <v>100125924</v>
      </c>
      <c r="K263" s="163"/>
    </row>
    <row r="264" spans="1:11" s="143" customFormat="1" ht="19.5" customHeight="1">
      <c r="A264" s="143">
        <f t="shared" si="6"/>
        <v>5</v>
      </c>
      <c r="B264" s="158">
        <v>41773</v>
      </c>
      <c r="C264" s="159" t="s">
        <v>163</v>
      </c>
      <c r="D264" s="158">
        <v>41773</v>
      </c>
      <c r="E264" s="160" t="s">
        <v>592</v>
      </c>
      <c r="F264" s="160"/>
      <c r="G264" s="161" t="s">
        <v>190</v>
      </c>
      <c r="H264" s="162">
        <v>1244677500</v>
      </c>
      <c r="I264" s="162"/>
      <c r="J264" s="163">
        <f t="shared" si="7"/>
        <v>1344803424</v>
      </c>
      <c r="K264" s="163"/>
    </row>
    <row r="265" spans="1:11" s="143" customFormat="1" ht="19.5" customHeight="1">
      <c r="A265" s="143">
        <f t="shared" si="6"/>
        <v>5</v>
      </c>
      <c r="B265" s="158">
        <v>41774</v>
      </c>
      <c r="C265" s="159" t="s">
        <v>160</v>
      </c>
      <c r="D265" s="158">
        <v>41774</v>
      </c>
      <c r="E265" s="160" t="s">
        <v>584</v>
      </c>
      <c r="F265" s="160"/>
      <c r="G265" s="161" t="s">
        <v>34</v>
      </c>
      <c r="H265" s="162"/>
      <c r="I265" s="162">
        <v>5972800</v>
      </c>
      <c r="J265" s="163">
        <f t="shared" si="7"/>
        <v>1338830624</v>
      </c>
      <c r="K265" s="163"/>
    </row>
    <row r="266" spans="1:11" s="143" customFormat="1" ht="19.5" customHeight="1">
      <c r="A266" s="143">
        <f t="shared" si="6"/>
        <v>5</v>
      </c>
      <c r="B266" s="158">
        <v>41774</v>
      </c>
      <c r="C266" s="159" t="s">
        <v>160</v>
      </c>
      <c r="D266" s="158">
        <v>41774</v>
      </c>
      <c r="E266" s="160" t="s">
        <v>222</v>
      </c>
      <c r="F266" s="160"/>
      <c r="G266" s="161" t="s">
        <v>247</v>
      </c>
      <c r="H266" s="162"/>
      <c r="I266" s="162">
        <v>25000</v>
      </c>
      <c r="J266" s="163">
        <f t="shared" si="7"/>
        <v>1338805624</v>
      </c>
      <c r="K266" s="163"/>
    </row>
    <row r="267" spans="1:11" s="143" customFormat="1" ht="19.5" customHeight="1">
      <c r="A267" s="143">
        <f t="shared" si="6"/>
        <v>5</v>
      </c>
      <c r="B267" s="158">
        <v>41774</v>
      </c>
      <c r="C267" s="159" t="s">
        <v>160</v>
      </c>
      <c r="D267" s="158">
        <v>41774</v>
      </c>
      <c r="E267" s="160" t="s">
        <v>223</v>
      </c>
      <c r="F267" s="160"/>
      <c r="G267" s="161" t="s">
        <v>35</v>
      </c>
      <c r="H267" s="162"/>
      <c r="I267" s="162">
        <v>2500</v>
      </c>
      <c r="J267" s="163">
        <f t="shared" si="7"/>
        <v>1338803124</v>
      </c>
      <c r="K267" s="163"/>
    </row>
    <row r="268" spans="1:11" s="143" customFormat="1" ht="19.5" customHeight="1">
      <c r="A268" s="143">
        <f t="shared" si="6"/>
        <v>5</v>
      </c>
      <c r="B268" s="158">
        <v>41774</v>
      </c>
      <c r="C268" s="159" t="s">
        <v>160</v>
      </c>
      <c r="D268" s="158">
        <v>41774</v>
      </c>
      <c r="E268" s="160" t="s">
        <v>620</v>
      </c>
      <c r="F268" s="160"/>
      <c r="G268" s="161" t="s">
        <v>34</v>
      </c>
      <c r="H268" s="162"/>
      <c r="I268" s="162">
        <v>14580000</v>
      </c>
      <c r="J268" s="163">
        <f t="shared" si="7"/>
        <v>1324223124</v>
      </c>
      <c r="K268" s="163"/>
    </row>
    <row r="269" spans="1:11" s="143" customFormat="1" ht="19.5" customHeight="1">
      <c r="A269" s="143">
        <f t="shared" si="6"/>
        <v>5</v>
      </c>
      <c r="B269" s="158">
        <v>41774</v>
      </c>
      <c r="C269" s="159" t="s">
        <v>160</v>
      </c>
      <c r="D269" s="158">
        <v>41774</v>
      </c>
      <c r="E269" s="160" t="s">
        <v>222</v>
      </c>
      <c r="F269" s="160"/>
      <c r="G269" s="161" t="s">
        <v>247</v>
      </c>
      <c r="H269" s="162"/>
      <c r="I269" s="162">
        <v>20000</v>
      </c>
      <c r="J269" s="163">
        <f t="shared" ref="J269:J334" si="8">IF(B269&lt;&gt;"",J268+H269-I269,0)</f>
        <v>1324203124</v>
      </c>
      <c r="K269" s="163"/>
    </row>
    <row r="270" spans="1:11" s="143" customFormat="1" ht="19.5" customHeight="1">
      <c r="A270" s="143">
        <f t="shared" si="6"/>
        <v>5</v>
      </c>
      <c r="B270" s="158">
        <v>41774</v>
      </c>
      <c r="C270" s="159" t="s">
        <v>160</v>
      </c>
      <c r="D270" s="158">
        <v>41774</v>
      </c>
      <c r="E270" s="160" t="s">
        <v>223</v>
      </c>
      <c r="F270" s="160"/>
      <c r="G270" s="161" t="s">
        <v>35</v>
      </c>
      <c r="H270" s="162"/>
      <c r="I270" s="162">
        <v>2000</v>
      </c>
      <c r="J270" s="163">
        <f t="shared" si="8"/>
        <v>1324201124</v>
      </c>
      <c r="K270" s="163"/>
    </row>
    <row r="271" spans="1:11" s="143" customFormat="1" ht="19.5" customHeight="1">
      <c r="A271" s="143">
        <f t="shared" si="6"/>
        <v>5</v>
      </c>
      <c r="B271" s="158">
        <v>41774</v>
      </c>
      <c r="C271" s="364" t="s">
        <v>160</v>
      </c>
      <c r="D271" s="158">
        <v>41774</v>
      </c>
      <c r="E271" s="160" t="s">
        <v>598</v>
      </c>
      <c r="F271" s="160"/>
      <c r="G271" s="161" t="s">
        <v>34</v>
      </c>
      <c r="H271" s="162"/>
      <c r="I271" s="162">
        <v>94186752</v>
      </c>
      <c r="J271" s="163">
        <f t="shared" si="8"/>
        <v>1230014372</v>
      </c>
      <c r="K271" s="163"/>
    </row>
    <row r="272" spans="1:11" s="143" customFormat="1" ht="19.5" customHeight="1">
      <c r="A272" s="143">
        <f t="shared" si="6"/>
        <v>5</v>
      </c>
      <c r="B272" s="158">
        <v>41774</v>
      </c>
      <c r="C272" s="364" t="s">
        <v>160</v>
      </c>
      <c r="D272" s="158">
        <v>41774</v>
      </c>
      <c r="E272" s="160" t="s">
        <v>222</v>
      </c>
      <c r="F272" s="160"/>
      <c r="G272" s="161" t="s">
        <v>247</v>
      </c>
      <c r="H272" s="162"/>
      <c r="I272" s="162">
        <v>28256</v>
      </c>
      <c r="J272" s="163">
        <f t="shared" si="8"/>
        <v>1229986116</v>
      </c>
      <c r="K272" s="163"/>
    </row>
    <row r="273" spans="1:11" s="143" customFormat="1" ht="19.5" customHeight="1">
      <c r="A273" s="143">
        <f t="shared" si="6"/>
        <v>5</v>
      </c>
      <c r="B273" s="158">
        <v>41774</v>
      </c>
      <c r="C273" s="159" t="s">
        <v>160</v>
      </c>
      <c r="D273" s="158">
        <v>41774</v>
      </c>
      <c r="E273" s="160" t="s">
        <v>223</v>
      </c>
      <c r="F273" s="160"/>
      <c r="G273" s="161" t="s">
        <v>35</v>
      </c>
      <c r="H273" s="162"/>
      <c r="I273" s="162">
        <v>2826</v>
      </c>
      <c r="J273" s="163">
        <f t="shared" si="8"/>
        <v>1229983290</v>
      </c>
      <c r="K273" s="163"/>
    </row>
    <row r="274" spans="1:11" s="143" customFormat="1" ht="19.5" customHeight="1">
      <c r="A274" s="143">
        <f t="shared" si="6"/>
        <v>5</v>
      </c>
      <c r="B274" s="158">
        <v>41774</v>
      </c>
      <c r="C274" s="159" t="s">
        <v>160</v>
      </c>
      <c r="D274" s="158">
        <v>41774</v>
      </c>
      <c r="E274" s="160" t="s">
        <v>576</v>
      </c>
      <c r="F274" s="160"/>
      <c r="G274" s="161" t="s">
        <v>34</v>
      </c>
      <c r="H274" s="162"/>
      <c r="I274" s="162">
        <v>19232730</v>
      </c>
      <c r="J274" s="163">
        <f t="shared" si="8"/>
        <v>1210750560</v>
      </c>
      <c r="K274" s="163"/>
    </row>
    <row r="275" spans="1:11" s="143" customFormat="1" ht="19.5" customHeight="1">
      <c r="A275" s="143">
        <f t="shared" si="6"/>
        <v>5</v>
      </c>
      <c r="B275" s="158">
        <v>41774</v>
      </c>
      <c r="C275" s="159" t="s">
        <v>160</v>
      </c>
      <c r="D275" s="158">
        <v>41774</v>
      </c>
      <c r="E275" s="160" t="s">
        <v>222</v>
      </c>
      <c r="F275" s="160"/>
      <c r="G275" s="161" t="s">
        <v>247</v>
      </c>
      <c r="H275" s="162"/>
      <c r="I275" s="162">
        <v>25000</v>
      </c>
      <c r="J275" s="163">
        <f t="shared" si="8"/>
        <v>1210725560</v>
      </c>
      <c r="K275" s="163"/>
    </row>
    <row r="276" spans="1:11" s="143" customFormat="1" ht="19.5" customHeight="1">
      <c r="A276" s="143">
        <f t="shared" si="6"/>
        <v>5</v>
      </c>
      <c r="B276" s="158">
        <v>41774</v>
      </c>
      <c r="C276" s="159" t="s">
        <v>160</v>
      </c>
      <c r="D276" s="158">
        <v>41774</v>
      </c>
      <c r="E276" s="160" t="s">
        <v>223</v>
      </c>
      <c r="F276" s="160"/>
      <c r="G276" s="161" t="s">
        <v>35</v>
      </c>
      <c r="H276" s="162"/>
      <c r="I276" s="162">
        <v>2500</v>
      </c>
      <c r="J276" s="163">
        <f t="shared" si="8"/>
        <v>1210723060</v>
      </c>
      <c r="K276" s="163"/>
    </row>
    <row r="277" spans="1:11" s="143" customFormat="1" ht="19.5" customHeight="1">
      <c r="A277" s="143">
        <f t="shared" si="6"/>
        <v>5</v>
      </c>
      <c r="B277" s="158">
        <v>41774</v>
      </c>
      <c r="C277" s="159" t="s">
        <v>160</v>
      </c>
      <c r="D277" s="158">
        <v>41774</v>
      </c>
      <c r="E277" s="160" t="s">
        <v>593</v>
      </c>
      <c r="F277" s="160"/>
      <c r="G277" s="161" t="s">
        <v>34</v>
      </c>
      <c r="H277" s="162"/>
      <c r="I277" s="162">
        <v>12000000</v>
      </c>
      <c r="J277" s="163">
        <f t="shared" si="8"/>
        <v>1198723060</v>
      </c>
      <c r="K277" s="163"/>
    </row>
    <row r="278" spans="1:11" s="143" customFormat="1" ht="19.5" customHeight="1">
      <c r="A278" s="143">
        <f t="shared" si="6"/>
        <v>5</v>
      </c>
      <c r="B278" s="158">
        <v>41774</v>
      </c>
      <c r="C278" s="159" t="s">
        <v>160</v>
      </c>
      <c r="D278" s="158">
        <v>41774</v>
      </c>
      <c r="E278" s="160" t="s">
        <v>222</v>
      </c>
      <c r="F278" s="160"/>
      <c r="G278" s="161" t="s">
        <v>247</v>
      </c>
      <c r="H278" s="162"/>
      <c r="I278" s="162">
        <v>20000</v>
      </c>
      <c r="J278" s="163">
        <f t="shared" si="8"/>
        <v>1198703060</v>
      </c>
      <c r="K278" s="163"/>
    </row>
    <row r="279" spans="1:11" s="143" customFormat="1" ht="19.5" customHeight="1">
      <c r="A279" s="143">
        <f t="shared" si="6"/>
        <v>5</v>
      </c>
      <c r="B279" s="158">
        <v>41774</v>
      </c>
      <c r="C279" s="159" t="s">
        <v>160</v>
      </c>
      <c r="D279" s="158">
        <v>41774</v>
      </c>
      <c r="E279" s="160" t="s">
        <v>223</v>
      </c>
      <c r="F279" s="160"/>
      <c r="G279" s="161" t="s">
        <v>35</v>
      </c>
      <c r="H279" s="162"/>
      <c r="I279" s="162">
        <v>2000</v>
      </c>
      <c r="J279" s="163">
        <f t="shared" si="8"/>
        <v>1198701060</v>
      </c>
      <c r="K279" s="163"/>
    </row>
    <row r="280" spans="1:11" s="143" customFormat="1" ht="19.5" customHeight="1">
      <c r="A280" s="143">
        <f t="shared" si="6"/>
        <v>5</v>
      </c>
      <c r="B280" s="158">
        <v>41774</v>
      </c>
      <c r="C280" s="159" t="s">
        <v>160</v>
      </c>
      <c r="D280" s="158">
        <v>41774</v>
      </c>
      <c r="E280" s="160" t="s">
        <v>595</v>
      </c>
      <c r="F280" s="160"/>
      <c r="G280" s="161" t="s">
        <v>34</v>
      </c>
      <c r="H280" s="162"/>
      <c r="I280" s="162">
        <v>120000000</v>
      </c>
      <c r="J280" s="163">
        <f t="shared" si="8"/>
        <v>1078701060</v>
      </c>
      <c r="K280" s="163"/>
    </row>
    <row r="281" spans="1:11" s="143" customFormat="1" ht="19.5" customHeight="1">
      <c r="A281" s="143">
        <f t="shared" si="6"/>
        <v>5</v>
      </c>
      <c r="B281" s="158">
        <v>41774</v>
      </c>
      <c r="C281" s="159" t="s">
        <v>160</v>
      </c>
      <c r="D281" s="158">
        <v>41774</v>
      </c>
      <c r="E281" s="160" t="s">
        <v>222</v>
      </c>
      <c r="F281" s="160"/>
      <c r="G281" s="161" t="s">
        <v>247</v>
      </c>
      <c r="H281" s="162"/>
      <c r="I281" s="162">
        <v>36000</v>
      </c>
      <c r="J281" s="163">
        <f t="shared" si="8"/>
        <v>1078665060</v>
      </c>
      <c r="K281" s="163"/>
    </row>
    <row r="282" spans="1:11" s="143" customFormat="1" ht="19.5" customHeight="1">
      <c r="A282" s="143">
        <f t="shared" si="6"/>
        <v>5</v>
      </c>
      <c r="B282" s="158">
        <v>41774</v>
      </c>
      <c r="C282" s="159" t="s">
        <v>160</v>
      </c>
      <c r="D282" s="158">
        <v>41774</v>
      </c>
      <c r="E282" s="160" t="s">
        <v>223</v>
      </c>
      <c r="F282" s="160"/>
      <c r="G282" s="161" t="s">
        <v>35</v>
      </c>
      <c r="H282" s="162"/>
      <c r="I282" s="162">
        <v>3600</v>
      </c>
      <c r="J282" s="163">
        <f t="shared" si="8"/>
        <v>1078661460</v>
      </c>
      <c r="K282" s="163"/>
    </row>
    <row r="283" spans="1:11" s="143" customFormat="1" ht="19.5" customHeight="1">
      <c r="A283" s="143">
        <f t="shared" si="6"/>
        <v>5</v>
      </c>
      <c r="B283" s="158">
        <v>41774</v>
      </c>
      <c r="C283" s="159" t="s">
        <v>160</v>
      </c>
      <c r="D283" s="158">
        <v>41774</v>
      </c>
      <c r="E283" s="160" t="s">
        <v>621</v>
      </c>
      <c r="F283" s="160"/>
      <c r="G283" s="161" t="s">
        <v>212</v>
      </c>
      <c r="H283" s="162"/>
      <c r="I283" s="162">
        <v>2254292</v>
      </c>
      <c r="J283" s="163">
        <f t="shared" si="8"/>
        <v>1076407168</v>
      </c>
      <c r="K283" s="163"/>
    </row>
    <row r="284" spans="1:11" s="143" customFormat="1" ht="19.5" customHeight="1">
      <c r="A284" s="143">
        <f t="shared" si="6"/>
        <v>5</v>
      </c>
      <c r="B284" s="158">
        <v>41774</v>
      </c>
      <c r="C284" s="159" t="s">
        <v>160</v>
      </c>
      <c r="D284" s="158">
        <v>41774</v>
      </c>
      <c r="E284" s="160" t="s">
        <v>222</v>
      </c>
      <c r="F284" s="160"/>
      <c r="G284" s="161" t="s">
        <v>247</v>
      </c>
      <c r="H284" s="162"/>
      <c r="I284" s="162">
        <v>25000</v>
      </c>
      <c r="J284" s="163">
        <f t="shared" si="8"/>
        <v>1076382168</v>
      </c>
      <c r="K284" s="163"/>
    </row>
    <row r="285" spans="1:11" s="143" customFormat="1" ht="19.5" customHeight="1">
      <c r="A285" s="143">
        <f t="shared" si="6"/>
        <v>5</v>
      </c>
      <c r="B285" s="158">
        <v>41774</v>
      </c>
      <c r="C285" s="159" t="s">
        <v>160</v>
      </c>
      <c r="D285" s="158">
        <v>41774</v>
      </c>
      <c r="E285" s="160" t="s">
        <v>223</v>
      </c>
      <c r="F285" s="160"/>
      <c r="G285" s="161" t="s">
        <v>35</v>
      </c>
      <c r="H285" s="162"/>
      <c r="I285" s="162">
        <v>2500</v>
      </c>
      <c r="J285" s="163">
        <f t="shared" si="8"/>
        <v>1076379668</v>
      </c>
      <c r="K285" s="163"/>
    </row>
    <row r="286" spans="1:11" s="143" customFormat="1" ht="19.5" customHeight="1">
      <c r="A286" s="143">
        <f t="shared" si="6"/>
        <v>5</v>
      </c>
      <c r="B286" s="158">
        <v>41774</v>
      </c>
      <c r="C286" s="159" t="s">
        <v>160</v>
      </c>
      <c r="D286" s="158">
        <v>41774</v>
      </c>
      <c r="E286" s="160" t="s">
        <v>615</v>
      </c>
      <c r="F286" s="160"/>
      <c r="G286" s="161" t="s">
        <v>34</v>
      </c>
      <c r="H286" s="162"/>
      <c r="I286" s="162">
        <v>50000000</v>
      </c>
      <c r="J286" s="163">
        <f t="shared" si="8"/>
        <v>1026379668</v>
      </c>
      <c r="K286" s="163"/>
    </row>
    <row r="287" spans="1:11" s="143" customFormat="1" ht="19.5" customHeight="1">
      <c r="A287" s="143">
        <f t="shared" si="6"/>
        <v>5</v>
      </c>
      <c r="B287" s="158">
        <v>41774</v>
      </c>
      <c r="C287" s="159" t="s">
        <v>160</v>
      </c>
      <c r="D287" s="158">
        <v>41774</v>
      </c>
      <c r="E287" s="160" t="s">
        <v>615</v>
      </c>
      <c r="F287" s="160"/>
      <c r="G287" s="161" t="s">
        <v>34</v>
      </c>
      <c r="H287" s="162"/>
      <c r="I287" s="162">
        <v>1000000</v>
      </c>
      <c r="J287" s="163">
        <f t="shared" si="8"/>
        <v>1025379668</v>
      </c>
      <c r="K287" s="163"/>
    </row>
    <row r="288" spans="1:11" s="143" customFormat="1" ht="19.5" customHeight="1">
      <c r="A288" s="143">
        <f t="shared" si="6"/>
        <v>5</v>
      </c>
      <c r="B288" s="158">
        <v>41774</v>
      </c>
      <c r="C288" s="159" t="s">
        <v>160</v>
      </c>
      <c r="D288" s="158">
        <v>41774</v>
      </c>
      <c r="E288" s="160" t="s">
        <v>577</v>
      </c>
      <c r="F288" s="160"/>
      <c r="G288" s="161" t="s">
        <v>159</v>
      </c>
      <c r="H288" s="162"/>
      <c r="I288" s="162">
        <v>1000000000</v>
      </c>
      <c r="J288" s="163">
        <f t="shared" si="8"/>
        <v>25379668</v>
      </c>
      <c r="K288" s="163"/>
    </row>
    <row r="289" spans="1:12" s="143" customFormat="1" ht="19.5" customHeight="1">
      <c r="A289" s="143">
        <f t="shared" si="6"/>
        <v>5</v>
      </c>
      <c r="B289" s="158">
        <v>41775</v>
      </c>
      <c r="C289" s="159" t="s">
        <v>160</v>
      </c>
      <c r="D289" s="158">
        <v>41775</v>
      </c>
      <c r="E289" s="160" t="s">
        <v>164</v>
      </c>
      <c r="F289" s="160"/>
      <c r="G289" s="161" t="s">
        <v>162</v>
      </c>
      <c r="H289" s="162">
        <v>528750000</v>
      </c>
      <c r="I289" s="162"/>
      <c r="J289" s="163">
        <f t="shared" si="8"/>
        <v>554129668</v>
      </c>
      <c r="K289" s="163"/>
    </row>
    <row r="290" spans="1:12" s="143" customFormat="1" ht="19.5" customHeight="1">
      <c r="A290" s="143">
        <f t="shared" si="6"/>
        <v>5</v>
      </c>
      <c r="B290" s="158">
        <v>41775</v>
      </c>
      <c r="C290" s="159" t="s">
        <v>163</v>
      </c>
      <c r="D290" s="158">
        <v>41775</v>
      </c>
      <c r="E290" s="160" t="s">
        <v>575</v>
      </c>
      <c r="F290" s="160"/>
      <c r="G290" s="161" t="s">
        <v>57</v>
      </c>
      <c r="H290" s="162"/>
      <c r="I290" s="162">
        <v>33000000</v>
      </c>
      <c r="J290" s="163">
        <f t="shared" si="8"/>
        <v>521129668</v>
      </c>
      <c r="K290" s="163"/>
    </row>
    <row r="291" spans="1:12" s="365" customFormat="1" ht="19.5" customHeight="1">
      <c r="A291" s="365">
        <f t="shared" si="6"/>
        <v>5</v>
      </c>
      <c r="B291" s="366">
        <v>41776</v>
      </c>
      <c r="C291" s="364" t="s">
        <v>160</v>
      </c>
      <c r="D291" s="366">
        <v>41776</v>
      </c>
      <c r="E291" s="354" t="s">
        <v>577</v>
      </c>
      <c r="F291" s="354"/>
      <c r="G291" s="367" t="s">
        <v>159</v>
      </c>
      <c r="H291" s="368"/>
      <c r="I291" s="368">
        <v>520000000</v>
      </c>
      <c r="J291" s="369">
        <f t="shared" si="8"/>
        <v>1129668</v>
      </c>
      <c r="K291" s="369"/>
    </row>
    <row r="292" spans="1:12" s="365" customFormat="1" ht="19.5" customHeight="1">
      <c r="A292" s="365">
        <f>IF(B292&lt;&gt;"",MONTH(B292),"")</f>
        <v>5</v>
      </c>
      <c r="B292" s="366">
        <v>41778</v>
      </c>
      <c r="C292" s="364" t="s">
        <v>160</v>
      </c>
      <c r="D292" s="366">
        <v>41778</v>
      </c>
      <c r="E292" s="354" t="s">
        <v>164</v>
      </c>
      <c r="F292" s="354"/>
      <c r="G292" s="367" t="s">
        <v>162</v>
      </c>
      <c r="H292" s="368">
        <v>1795200000</v>
      </c>
      <c r="I292" s="368"/>
      <c r="J292" s="369">
        <f t="shared" si="8"/>
        <v>1796329668</v>
      </c>
      <c r="K292" s="369"/>
    </row>
    <row r="293" spans="1:12" s="365" customFormat="1" ht="19.5" customHeight="1">
      <c r="A293" s="365">
        <f>IF(B293&lt;&gt;"",MONTH(B293),"")</f>
        <v>5</v>
      </c>
      <c r="B293" s="366">
        <v>41778</v>
      </c>
      <c r="C293" s="364" t="s">
        <v>163</v>
      </c>
      <c r="D293" s="366">
        <v>41778</v>
      </c>
      <c r="E293" s="354" t="s">
        <v>594</v>
      </c>
      <c r="F293" s="354"/>
      <c r="G293" s="367" t="s">
        <v>57</v>
      </c>
      <c r="H293" s="368"/>
      <c r="I293" s="368">
        <v>1793000000</v>
      </c>
      <c r="J293" s="369">
        <f t="shared" si="8"/>
        <v>3329668</v>
      </c>
      <c r="K293" s="369"/>
    </row>
    <row r="294" spans="1:12" s="143" customFormat="1" ht="19.5" customHeight="1">
      <c r="A294" s="143">
        <f t="shared" si="6"/>
        <v>5</v>
      </c>
      <c r="B294" s="158">
        <v>41779</v>
      </c>
      <c r="C294" s="159" t="s">
        <v>163</v>
      </c>
      <c r="D294" s="158">
        <v>41779</v>
      </c>
      <c r="E294" s="160" t="s">
        <v>594</v>
      </c>
      <c r="F294" s="160"/>
      <c r="G294" s="161" t="s">
        <v>57</v>
      </c>
      <c r="H294" s="162">
        <v>65000000</v>
      </c>
      <c r="I294" s="162"/>
      <c r="J294" s="163">
        <f t="shared" si="8"/>
        <v>68329668</v>
      </c>
      <c r="K294" s="163"/>
    </row>
    <row r="295" spans="1:12" s="143" customFormat="1" ht="19.5" customHeight="1">
      <c r="A295" s="143">
        <f t="shared" si="6"/>
        <v>5</v>
      </c>
      <c r="B295" s="158">
        <v>41779</v>
      </c>
      <c r="C295" s="159" t="s">
        <v>163</v>
      </c>
      <c r="D295" s="158">
        <v>41779</v>
      </c>
      <c r="E295" s="160" t="s">
        <v>161</v>
      </c>
      <c r="F295" s="160"/>
      <c r="G295" s="161" t="s">
        <v>162</v>
      </c>
      <c r="H295" s="162"/>
      <c r="I295" s="162">
        <v>63450000</v>
      </c>
      <c r="J295" s="163">
        <f t="shared" si="8"/>
        <v>4879668</v>
      </c>
      <c r="K295" s="163"/>
    </row>
    <row r="296" spans="1:12" s="143" customFormat="1" ht="19.5" customHeight="1">
      <c r="A296" s="143">
        <f t="shared" si="6"/>
        <v>5</v>
      </c>
      <c r="B296" s="158">
        <v>41781</v>
      </c>
      <c r="C296" s="159" t="s">
        <v>163</v>
      </c>
      <c r="D296" s="158">
        <v>41781</v>
      </c>
      <c r="E296" s="160" t="s">
        <v>51</v>
      </c>
      <c r="F296" s="160"/>
      <c r="G296" s="161" t="s">
        <v>159</v>
      </c>
      <c r="H296" s="162">
        <v>91000000</v>
      </c>
      <c r="I296" s="162"/>
      <c r="J296" s="163">
        <f t="shared" si="8"/>
        <v>95879668</v>
      </c>
      <c r="K296" s="163"/>
    </row>
    <row r="297" spans="1:12" s="143" customFormat="1" ht="19.5" customHeight="1">
      <c r="A297" s="143">
        <f t="shared" si="6"/>
        <v>5</v>
      </c>
      <c r="B297" s="158">
        <v>41781</v>
      </c>
      <c r="C297" s="159" t="s">
        <v>160</v>
      </c>
      <c r="D297" s="158">
        <v>41781</v>
      </c>
      <c r="E297" s="160" t="s">
        <v>622</v>
      </c>
      <c r="F297" s="160"/>
      <c r="G297" s="161" t="s">
        <v>34</v>
      </c>
      <c r="H297" s="162"/>
      <c r="I297" s="162">
        <v>90892032</v>
      </c>
      <c r="J297" s="163">
        <f t="shared" si="8"/>
        <v>4987636</v>
      </c>
      <c r="K297" s="163"/>
      <c r="L297" s="156">
        <f>J297+'Q4-VND'!J49</f>
        <v>83092067</v>
      </c>
    </row>
    <row r="298" spans="1:12" s="143" customFormat="1" ht="19.5" customHeight="1">
      <c r="A298" s="143">
        <f t="shared" si="6"/>
        <v>5</v>
      </c>
      <c r="B298" s="158">
        <v>41781</v>
      </c>
      <c r="C298" s="159" t="s">
        <v>160</v>
      </c>
      <c r="D298" s="158">
        <v>41781</v>
      </c>
      <c r="E298" s="160" t="s">
        <v>222</v>
      </c>
      <c r="F298" s="160"/>
      <c r="G298" s="161" t="s">
        <v>247</v>
      </c>
      <c r="H298" s="162"/>
      <c r="I298" s="162">
        <v>53072</v>
      </c>
      <c r="J298" s="163">
        <f t="shared" si="8"/>
        <v>4934564</v>
      </c>
      <c r="K298" s="163"/>
    </row>
    <row r="299" spans="1:12" s="143" customFormat="1" ht="19.5" customHeight="1">
      <c r="A299" s="143">
        <f t="shared" si="6"/>
        <v>5</v>
      </c>
      <c r="B299" s="158">
        <v>41781</v>
      </c>
      <c r="C299" s="159" t="s">
        <v>160</v>
      </c>
      <c r="D299" s="158">
        <v>41781</v>
      </c>
      <c r="E299" s="160" t="s">
        <v>223</v>
      </c>
      <c r="F299" s="160"/>
      <c r="G299" s="161" t="s">
        <v>35</v>
      </c>
      <c r="H299" s="162"/>
      <c r="I299" s="162">
        <v>5307</v>
      </c>
      <c r="J299" s="163">
        <f t="shared" si="8"/>
        <v>4929257</v>
      </c>
      <c r="K299" s="163"/>
    </row>
    <row r="300" spans="1:12" s="143" customFormat="1" ht="19.5" customHeight="1">
      <c r="A300" s="143">
        <f t="shared" si="6"/>
        <v>5</v>
      </c>
      <c r="B300" s="158">
        <v>41783</v>
      </c>
      <c r="C300" s="159" t="s">
        <v>163</v>
      </c>
      <c r="D300" s="158">
        <v>41783</v>
      </c>
      <c r="E300" s="160" t="s">
        <v>51</v>
      </c>
      <c r="F300" s="160"/>
      <c r="G300" s="161" t="s">
        <v>159</v>
      </c>
      <c r="H300" s="162">
        <v>41000000</v>
      </c>
      <c r="I300" s="162"/>
      <c r="J300" s="163">
        <f t="shared" si="8"/>
        <v>45929257</v>
      </c>
      <c r="K300" s="163"/>
    </row>
    <row r="301" spans="1:12" s="143" customFormat="1" ht="19.5" customHeight="1">
      <c r="A301" s="143">
        <f t="shared" si="6"/>
        <v>5</v>
      </c>
      <c r="B301" s="158">
        <v>41783</v>
      </c>
      <c r="C301" s="159" t="s">
        <v>160</v>
      </c>
      <c r="D301" s="158">
        <v>41783</v>
      </c>
      <c r="E301" s="160" t="s">
        <v>576</v>
      </c>
      <c r="F301" s="160"/>
      <c r="G301" s="161" t="s">
        <v>34</v>
      </c>
      <c r="H301" s="162"/>
      <c r="I301" s="162">
        <v>19853460</v>
      </c>
      <c r="J301" s="163">
        <f t="shared" si="8"/>
        <v>26075797</v>
      </c>
      <c r="K301" s="163"/>
    </row>
    <row r="302" spans="1:12" s="143" customFormat="1" ht="19.5" customHeight="1">
      <c r="A302" s="143">
        <f t="shared" si="6"/>
        <v>5</v>
      </c>
      <c r="B302" s="158">
        <v>41783</v>
      </c>
      <c r="C302" s="159" t="s">
        <v>160</v>
      </c>
      <c r="D302" s="158">
        <v>41783</v>
      </c>
      <c r="E302" s="160" t="s">
        <v>222</v>
      </c>
      <c r="F302" s="160"/>
      <c r="G302" s="161" t="s">
        <v>247</v>
      </c>
      <c r="H302" s="162"/>
      <c r="I302" s="162">
        <v>45000</v>
      </c>
      <c r="J302" s="163">
        <f t="shared" si="8"/>
        <v>26030797</v>
      </c>
      <c r="K302" s="163"/>
    </row>
    <row r="303" spans="1:12" s="143" customFormat="1" ht="19.5" customHeight="1">
      <c r="A303" s="143">
        <f t="shared" si="6"/>
        <v>5</v>
      </c>
      <c r="B303" s="158">
        <v>41783</v>
      </c>
      <c r="C303" s="159" t="s">
        <v>160</v>
      </c>
      <c r="D303" s="158">
        <v>41783</v>
      </c>
      <c r="E303" s="160" t="s">
        <v>223</v>
      </c>
      <c r="F303" s="160"/>
      <c r="G303" s="161" t="s">
        <v>35</v>
      </c>
      <c r="H303" s="162"/>
      <c r="I303" s="162">
        <v>4500</v>
      </c>
      <c r="J303" s="163">
        <f t="shared" si="8"/>
        <v>26026297</v>
      </c>
      <c r="K303" s="163"/>
    </row>
    <row r="304" spans="1:12" s="143" customFormat="1" ht="19.5" customHeight="1">
      <c r="A304" s="143">
        <f t="shared" si="6"/>
        <v>5</v>
      </c>
      <c r="B304" s="158">
        <v>41783</v>
      </c>
      <c r="C304" s="159" t="s">
        <v>160</v>
      </c>
      <c r="D304" s="158">
        <v>41783</v>
      </c>
      <c r="E304" s="160" t="s">
        <v>623</v>
      </c>
      <c r="F304" s="160"/>
      <c r="G304" s="161" t="s">
        <v>212</v>
      </c>
      <c r="H304" s="162"/>
      <c r="I304" s="162">
        <v>20673248</v>
      </c>
      <c r="J304" s="163">
        <f t="shared" si="8"/>
        <v>5353049</v>
      </c>
      <c r="K304" s="163"/>
    </row>
    <row r="305" spans="1:11" s="143" customFormat="1" ht="19.5" customHeight="1">
      <c r="A305" s="143">
        <f t="shared" si="6"/>
        <v>5</v>
      </c>
      <c r="B305" s="158">
        <v>41783</v>
      </c>
      <c r="C305" s="159" t="s">
        <v>160</v>
      </c>
      <c r="D305" s="158">
        <v>41783</v>
      </c>
      <c r="E305" s="160" t="s">
        <v>624</v>
      </c>
      <c r="F305" s="160"/>
      <c r="G305" s="161" t="s">
        <v>215</v>
      </c>
      <c r="H305" s="162"/>
      <c r="I305" s="162">
        <v>369649</v>
      </c>
      <c r="J305" s="163">
        <f t="shared" si="8"/>
        <v>4983400</v>
      </c>
      <c r="K305" s="163"/>
    </row>
    <row r="306" spans="1:11" s="143" customFormat="1" ht="19.5" customHeight="1">
      <c r="A306" s="143">
        <f t="shared" si="6"/>
        <v>5</v>
      </c>
      <c r="B306" s="158">
        <v>41783</v>
      </c>
      <c r="C306" s="159" t="s">
        <v>160</v>
      </c>
      <c r="D306" s="158">
        <v>41783</v>
      </c>
      <c r="E306" s="160" t="s">
        <v>222</v>
      </c>
      <c r="F306" s="160"/>
      <c r="G306" s="161" t="s">
        <v>247</v>
      </c>
      <c r="H306" s="162"/>
      <c r="I306" s="162">
        <v>25000</v>
      </c>
      <c r="J306" s="163">
        <f t="shared" si="8"/>
        <v>4958400</v>
      </c>
      <c r="K306" s="163"/>
    </row>
    <row r="307" spans="1:11" s="143" customFormat="1" ht="19.5" customHeight="1">
      <c r="A307" s="143">
        <f t="shared" si="6"/>
        <v>5</v>
      </c>
      <c r="B307" s="158">
        <v>41783</v>
      </c>
      <c r="C307" s="159" t="s">
        <v>160</v>
      </c>
      <c r="D307" s="158">
        <v>41783</v>
      </c>
      <c r="E307" s="160" t="s">
        <v>223</v>
      </c>
      <c r="F307" s="160"/>
      <c r="G307" s="161" t="s">
        <v>35</v>
      </c>
      <c r="H307" s="162"/>
      <c r="I307" s="162">
        <v>2500</v>
      </c>
      <c r="J307" s="163">
        <f t="shared" si="8"/>
        <v>4955900</v>
      </c>
      <c r="K307" s="163"/>
    </row>
    <row r="308" spans="1:11" s="143" customFormat="1" ht="19.5" customHeight="1">
      <c r="A308" s="143">
        <f t="shared" si="6"/>
        <v>5</v>
      </c>
      <c r="B308" s="158">
        <v>41783</v>
      </c>
      <c r="C308" s="159" t="s">
        <v>160</v>
      </c>
      <c r="D308" s="158">
        <v>41783</v>
      </c>
      <c r="E308" s="160" t="s">
        <v>625</v>
      </c>
      <c r="F308" s="160"/>
      <c r="G308" s="161" t="s">
        <v>215</v>
      </c>
      <c r="H308" s="162"/>
      <c r="I308" s="162">
        <v>37411</v>
      </c>
      <c r="J308" s="163">
        <f t="shared" si="8"/>
        <v>4918489</v>
      </c>
      <c r="K308" s="163"/>
    </row>
    <row r="309" spans="1:11" s="143" customFormat="1" ht="19.5" customHeight="1">
      <c r="A309" s="143">
        <f t="shared" si="6"/>
        <v>5</v>
      </c>
      <c r="B309" s="158">
        <v>41783</v>
      </c>
      <c r="C309" s="159" t="s">
        <v>160</v>
      </c>
      <c r="D309" s="158">
        <v>41783</v>
      </c>
      <c r="E309" s="160" t="s">
        <v>222</v>
      </c>
      <c r="F309" s="160"/>
      <c r="G309" s="161" t="s">
        <v>247</v>
      </c>
      <c r="H309" s="162"/>
      <c r="I309" s="162">
        <v>25000</v>
      </c>
      <c r="J309" s="163">
        <f t="shared" si="8"/>
        <v>4893489</v>
      </c>
      <c r="K309" s="163"/>
    </row>
    <row r="310" spans="1:11" s="143" customFormat="1" ht="19.5" customHeight="1">
      <c r="A310" s="143">
        <f t="shared" si="6"/>
        <v>5</v>
      </c>
      <c r="B310" s="158">
        <v>41783</v>
      </c>
      <c r="C310" s="159" t="s">
        <v>160</v>
      </c>
      <c r="D310" s="158">
        <v>41783</v>
      </c>
      <c r="E310" s="160" t="s">
        <v>223</v>
      </c>
      <c r="F310" s="160"/>
      <c r="G310" s="161" t="s">
        <v>35</v>
      </c>
      <c r="H310" s="162"/>
      <c r="I310" s="162">
        <v>2500</v>
      </c>
      <c r="J310" s="163">
        <f t="shared" si="8"/>
        <v>4890989</v>
      </c>
      <c r="K310" s="163"/>
    </row>
    <row r="311" spans="1:11" s="143" customFormat="1" ht="19.5" customHeight="1">
      <c r="A311" s="143">
        <f t="shared" si="6"/>
        <v>5</v>
      </c>
      <c r="B311" s="158">
        <v>41785</v>
      </c>
      <c r="C311" s="159" t="s">
        <v>160</v>
      </c>
      <c r="D311" s="158">
        <v>41785</v>
      </c>
      <c r="E311" s="160" t="s">
        <v>588</v>
      </c>
      <c r="F311" s="160"/>
      <c r="G311" s="161" t="s">
        <v>176</v>
      </c>
      <c r="H311" s="162">
        <v>32945</v>
      </c>
      <c r="I311" s="162"/>
      <c r="J311" s="163">
        <f t="shared" si="8"/>
        <v>4923934</v>
      </c>
      <c r="K311" s="163"/>
    </row>
    <row r="312" spans="1:11" s="143" customFormat="1" ht="19.5" customHeight="1">
      <c r="A312" s="143">
        <f t="shared" si="6"/>
        <v>5</v>
      </c>
      <c r="B312" s="158">
        <v>41785</v>
      </c>
      <c r="C312" s="159" t="s">
        <v>160</v>
      </c>
      <c r="D312" s="158">
        <v>41785</v>
      </c>
      <c r="E312" s="160" t="s">
        <v>621</v>
      </c>
      <c r="F312" s="160"/>
      <c r="G312" s="161" t="s">
        <v>212</v>
      </c>
      <c r="H312" s="162"/>
      <c r="I312" s="162">
        <v>2254292</v>
      </c>
      <c r="J312" s="163">
        <f t="shared" si="8"/>
        <v>2669642</v>
      </c>
      <c r="K312" s="163"/>
    </row>
    <row r="313" spans="1:11" s="143" customFormat="1" ht="19.5" customHeight="1">
      <c r="A313" s="143">
        <f t="shared" si="6"/>
        <v>5</v>
      </c>
      <c r="B313" s="158">
        <v>41785</v>
      </c>
      <c r="C313" s="159" t="s">
        <v>160</v>
      </c>
      <c r="D313" s="158">
        <v>41785</v>
      </c>
      <c r="E313" s="160" t="s">
        <v>222</v>
      </c>
      <c r="F313" s="160"/>
      <c r="G313" s="161" t="s">
        <v>247</v>
      </c>
      <c r="H313" s="162"/>
      <c r="I313" s="162">
        <v>25000</v>
      </c>
      <c r="J313" s="163">
        <f t="shared" si="8"/>
        <v>2644642</v>
      </c>
      <c r="K313" s="163"/>
    </row>
    <row r="314" spans="1:11" s="143" customFormat="1" ht="19.5" customHeight="1">
      <c r="A314" s="143">
        <f t="shared" si="6"/>
        <v>5</v>
      </c>
      <c r="B314" s="158">
        <v>41785</v>
      </c>
      <c r="C314" s="159" t="s">
        <v>160</v>
      </c>
      <c r="D314" s="158">
        <v>41785</v>
      </c>
      <c r="E314" s="160" t="s">
        <v>223</v>
      </c>
      <c r="F314" s="160"/>
      <c r="G314" s="161" t="s">
        <v>35</v>
      </c>
      <c r="H314" s="162"/>
      <c r="I314" s="162">
        <v>2500</v>
      </c>
      <c r="J314" s="163">
        <f t="shared" si="8"/>
        <v>2642142</v>
      </c>
      <c r="K314" s="163"/>
    </row>
    <row r="315" spans="1:11" s="143" customFormat="1" ht="19.5" customHeight="1">
      <c r="A315" s="143">
        <f t="shared" si="6"/>
        <v>6</v>
      </c>
      <c r="B315" s="158">
        <v>41802</v>
      </c>
      <c r="C315" s="159" t="s">
        <v>163</v>
      </c>
      <c r="D315" s="158">
        <v>41802</v>
      </c>
      <c r="E315" s="160" t="s">
        <v>594</v>
      </c>
      <c r="F315" s="160"/>
      <c r="G315" s="161" t="s">
        <v>57</v>
      </c>
      <c r="H315" s="162">
        <v>50000000</v>
      </c>
      <c r="I315" s="162"/>
      <c r="J315" s="163">
        <f t="shared" si="8"/>
        <v>52642142</v>
      </c>
      <c r="K315" s="163"/>
    </row>
    <row r="316" spans="1:11" s="143" customFormat="1" ht="19.5" customHeight="1">
      <c r="A316" s="143">
        <f t="shared" si="6"/>
        <v>6</v>
      </c>
      <c r="B316" s="158">
        <v>41802</v>
      </c>
      <c r="C316" s="159" t="s">
        <v>160</v>
      </c>
      <c r="D316" s="158">
        <v>41802</v>
      </c>
      <c r="E316" s="160" t="s">
        <v>165</v>
      </c>
      <c r="F316" s="160"/>
      <c r="G316" s="161" t="s">
        <v>166</v>
      </c>
      <c r="H316" s="162"/>
      <c r="I316" s="162">
        <v>5430434</v>
      </c>
      <c r="J316" s="163">
        <f t="shared" si="8"/>
        <v>47211708</v>
      </c>
      <c r="K316" s="163"/>
    </row>
    <row r="317" spans="1:11" s="143" customFormat="1" ht="19.5" customHeight="1">
      <c r="A317" s="143">
        <f t="shared" si="6"/>
        <v>6</v>
      </c>
      <c r="B317" s="158">
        <v>41802</v>
      </c>
      <c r="C317" s="159" t="s">
        <v>160</v>
      </c>
      <c r="D317" s="158">
        <v>41802</v>
      </c>
      <c r="E317" s="160" t="s">
        <v>167</v>
      </c>
      <c r="F317" s="160"/>
      <c r="G317" s="161" t="s">
        <v>166</v>
      </c>
      <c r="H317" s="162"/>
      <c r="I317" s="162">
        <v>14174664</v>
      </c>
      <c r="J317" s="163">
        <f t="shared" si="8"/>
        <v>33037044</v>
      </c>
      <c r="K317" s="163"/>
    </row>
    <row r="318" spans="1:11" s="143" customFormat="1" ht="19.5" customHeight="1">
      <c r="A318" s="143">
        <f t="shared" si="6"/>
        <v>6</v>
      </c>
      <c r="B318" s="158">
        <v>41802</v>
      </c>
      <c r="C318" s="159" t="s">
        <v>160</v>
      </c>
      <c r="D318" s="158">
        <v>41802</v>
      </c>
      <c r="E318" s="160" t="s">
        <v>168</v>
      </c>
      <c r="F318" s="160"/>
      <c r="G318" s="161" t="s">
        <v>166</v>
      </c>
      <c r="H318" s="162"/>
      <c r="I318" s="162">
        <v>8840257</v>
      </c>
      <c r="J318" s="163">
        <f t="shared" si="8"/>
        <v>24196787</v>
      </c>
      <c r="K318" s="163"/>
    </row>
    <row r="319" spans="1:11" s="143" customFormat="1" ht="19.5" customHeight="1">
      <c r="A319" s="143">
        <f t="shared" si="6"/>
        <v>6</v>
      </c>
      <c r="B319" s="158">
        <v>41802</v>
      </c>
      <c r="C319" s="159" t="s">
        <v>160</v>
      </c>
      <c r="D319" s="158">
        <v>41802</v>
      </c>
      <c r="E319" s="160" t="s">
        <v>169</v>
      </c>
      <c r="F319" s="160"/>
      <c r="G319" s="161" t="s">
        <v>166</v>
      </c>
      <c r="H319" s="162"/>
      <c r="I319" s="162">
        <v>12375637</v>
      </c>
      <c r="J319" s="163">
        <f t="shared" si="8"/>
        <v>11821150</v>
      </c>
      <c r="K319" s="163"/>
    </row>
    <row r="320" spans="1:11" s="143" customFormat="1" ht="19.5" customHeight="1">
      <c r="A320" s="143">
        <f t="shared" si="6"/>
        <v>6</v>
      </c>
      <c r="B320" s="158">
        <v>41803</v>
      </c>
      <c r="C320" s="159" t="s">
        <v>160</v>
      </c>
      <c r="D320" s="158">
        <v>41803</v>
      </c>
      <c r="E320" s="160" t="s">
        <v>164</v>
      </c>
      <c r="F320" s="160"/>
      <c r="G320" s="161" t="s">
        <v>162</v>
      </c>
      <c r="H320" s="162">
        <v>248274000</v>
      </c>
      <c r="I320" s="162"/>
      <c r="J320" s="163">
        <f t="shared" si="8"/>
        <v>260095150</v>
      </c>
      <c r="K320" s="163"/>
    </row>
    <row r="321" spans="1:11" s="143" customFormat="1" ht="19.5" customHeight="1">
      <c r="A321" s="143">
        <f t="shared" si="6"/>
        <v>6</v>
      </c>
      <c r="B321" s="158">
        <v>41803</v>
      </c>
      <c r="C321" s="159" t="s">
        <v>160</v>
      </c>
      <c r="D321" s="158">
        <v>41803</v>
      </c>
      <c r="E321" s="160" t="s">
        <v>576</v>
      </c>
      <c r="F321" s="160"/>
      <c r="G321" s="161" t="s">
        <v>34</v>
      </c>
      <c r="H321" s="162"/>
      <c r="I321" s="162">
        <v>28135250</v>
      </c>
      <c r="J321" s="163">
        <f t="shared" si="8"/>
        <v>231959900</v>
      </c>
      <c r="K321" s="163"/>
    </row>
    <row r="322" spans="1:11" s="143" customFormat="1" ht="19.5" customHeight="1">
      <c r="A322" s="143">
        <f t="shared" si="6"/>
        <v>6</v>
      </c>
      <c r="B322" s="158">
        <v>41803</v>
      </c>
      <c r="C322" s="159" t="s">
        <v>160</v>
      </c>
      <c r="D322" s="158">
        <v>41803</v>
      </c>
      <c r="E322" s="160" t="s">
        <v>222</v>
      </c>
      <c r="F322" s="160"/>
      <c r="G322" s="161" t="s">
        <v>247</v>
      </c>
      <c r="H322" s="162"/>
      <c r="I322" s="162">
        <v>25000</v>
      </c>
      <c r="J322" s="163">
        <f t="shared" si="8"/>
        <v>231934900</v>
      </c>
      <c r="K322" s="163"/>
    </row>
    <row r="323" spans="1:11" s="143" customFormat="1" ht="19.5" customHeight="1">
      <c r="A323" s="143">
        <f t="shared" si="6"/>
        <v>6</v>
      </c>
      <c r="B323" s="158">
        <v>41803</v>
      </c>
      <c r="C323" s="159" t="s">
        <v>160</v>
      </c>
      <c r="D323" s="158">
        <v>41803</v>
      </c>
      <c r="E323" s="160" t="s">
        <v>223</v>
      </c>
      <c r="F323" s="160"/>
      <c r="G323" s="161" t="s">
        <v>35</v>
      </c>
      <c r="H323" s="162"/>
      <c r="I323" s="162">
        <v>2500</v>
      </c>
      <c r="J323" s="163">
        <f t="shared" si="8"/>
        <v>231932400</v>
      </c>
      <c r="K323" s="163"/>
    </row>
    <row r="324" spans="1:11" s="143" customFormat="1" ht="19.5" customHeight="1">
      <c r="A324" s="143">
        <f t="shared" si="6"/>
        <v>6</v>
      </c>
      <c r="B324" s="158">
        <v>41803</v>
      </c>
      <c r="C324" s="159" t="s">
        <v>160</v>
      </c>
      <c r="D324" s="158">
        <v>41803</v>
      </c>
      <c r="E324" s="160" t="s">
        <v>579</v>
      </c>
      <c r="F324" s="160"/>
      <c r="G324" s="161" t="s">
        <v>34</v>
      </c>
      <c r="H324" s="162"/>
      <c r="I324" s="162">
        <v>11107800</v>
      </c>
      <c r="J324" s="163">
        <f t="shared" si="8"/>
        <v>220824600</v>
      </c>
      <c r="K324" s="163"/>
    </row>
    <row r="325" spans="1:11" s="143" customFormat="1" ht="19.5" customHeight="1">
      <c r="A325" s="143">
        <f t="shared" si="6"/>
        <v>6</v>
      </c>
      <c r="B325" s="158">
        <v>41803</v>
      </c>
      <c r="C325" s="159" t="s">
        <v>160</v>
      </c>
      <c r="D325" s="158">
        <v>41803</v>
      </c>
      <c r="E325" s="160" t="s">
        <v>222</v>
      </c>
      <c r="F325" s="160"/>
      <c r="G325" s="161" t="s">
        <v>247</v>
      </c>
      <c r="H325" s="162"/>
      <c r="I325" s="162">
        <v>25000</v>
      </c>
      <c r="J325" s="163">
        <f t="shared" si="8"/>
        <v>220799600</v>
      </c>
      <c r="K325" s="163"/>
    </row>
    <row r="326" spans="1:11" s="143" customFormat="1" ht="19.5" customHeight="1">
      <c r="A326" s="143">
        <f t="shared" si="6"/>
        <v>6</v>
      </c>
      <c r="B326" s="158">
        <v>41803</v>
      </c>
      <c r="C326" s="159" t="s">
        <v>160</v>
      </c>
      <c r="D326" s="158">
        <v>41803</v>
      </c>
      <c r="E326" s="160" t="s">
        <v>223</v>
      </c>
      <c r="F326" s="160"/>
      <c r="G326" s="161" t="s">
        <v>35</v>
      </c>
      <c r="H326" s="162"/>
      <c r="I326" s="162">
        <v>2500</v>
      </c>
      <c r="J326" s="163">
        <f t="shared" si="8"/>
        <v>220797100</v>
      </c>
      <c r="K326" s="163"/>
    </row>
    <row r="327" spans="1:11" s="143" customFormat="1" ht="19.5" customHeight="1">
      <c r="A327" s="143">
        <f t="shared" si="6"/>
        <v>6</v>
      </c>
      <c r="B327" s="158">
        <v>41803</v>
      </c>
      <c r="C327" s="159" t="s">
        <v>160</v>
      </c>
      <c r="D327" s="158">
        <v>41803</v>
      </c>
      <c r="E327" s="160" t="s">
        <v>585</v>
      </c>
      <c r="F327" s="160"/>
      <c r="G327" s="161" t="s">
        <v>34</v>
      </c>
      <c r="H327" s="162"/>
      <c r="I327" s="162">
        <v>2840000</v>
      </c>
      <c r="J327" s="163">
        <f t="shared" si="8"/>
        <v>217957100</v>
      </c>
      <c r="K327" s="163"/>
    </row>
    <row r="328" spans="1:11" s="143" customFormat="1" ht="19.5" customHeight="1">
      <c r="A328" s="143">
        <f t="shared" si="6"/>
        <v>6</v>
      </c>
      <c r="B328" s="158">
        <v>41803</v>
      </c>
      <c r="C328" s="159" t="s">
        <v>160</v>
      </c>
      <c r="D328" s="158">
        <v>41803</v>
      </c>
      <c r="E328" s="160" t="s">
        <v>222</v>
      </c>
      <c r="F328" s="160"/>
      <c r="G328" s="161" t="s">
        <v>247</v>
      </c>
      <c r="H328" s="162"/>
      <c r="I328" s="162">
        <v>20000</v>
      </c>
      <c r="J328" s="163">
        <f t="shared" si="8"/>
        <v>217937100</v>
      </c>
      <c r="K328" s="163"/>
    </row>
    <row r="329" spans="1:11" s="143" customFormat="1" ht="19.5" customHeight="1">
      <c r="A329" s="143">
        <f t="shared" si="6"/>
        <v>6</v>
      </c>
      <c r="B329" s="158">
        <v>41803</v>
      </c>
      <c r="C329" s="159" t="s">
        <v>160</v>
      </c>
      <c r="D329" s="158">
        <v>41803</v>
      </c>
      <c r="E329" s="160" t="s">
        <v>223</v>
      </c>
      <c r="F329" s="160"/>
      <c r="G329" s="161" t="s">
        <v>35</v>
      </c>
      <c r="H329" s="162"/>
      <c r="I329" s="162">
        <v>2000</v>
      </c>
      <c r="J329" s="163">
        <f t="shared" si="8"/>
        <v>217935100</v>
      </c>
      <c r="K329" s="163"/>
    </row>
    <row r="330" spans="1:11" s="143" customFormat="1" ht="19.5" customHeight="1">
      <c r="A330" s="143">
        <f t="shared" si="6"/>
        <v>6</v>
      </c>
      <c r="B330" s="158">
        <v>41803</v>
      </c>
      <c r="C330" s="159" t="s">
        <v>160</v>
      </c>
      <c r="D330" s="158">
        <v>41803</v>
      </c>
      <c r="E330" s="160" t="s">
        <v>585</v>
      </c>
      <c r="F330" s="160"/>
      <c r="G330" s="161" t="s">
        <v>34</v>
      </c>
      <c r="H330" s="162"/>
      <c r="I330" s="162">
        <v>780000</v>
      </c>
      <c r="J330" s="163">
        <f t="shared" si="8"/>
        <v>217155100</v>
      </c>
      <c r="K330" s="163"/>
    </row>
    <row r="331" spans="1:11" s="143" customFormat="1" ht="19.5" customHeight="1">
      <c r="A331" s="143">
        <f t="shared" si="6"/>
        <v>6</v>
      </c>
      <c r="B331" s="158">
        <v>41803</v>
      </c>
      <c r="C331" s="159" t="s">
        <v>160</v>
      </c>
      <c r="D331" s="158">
        <v>41803</v>
      </c>
      <c r="E331" s="160" t="s">
        <v>222</v>
      </c>
      <c r="F331" s="160"/>
      <c r="G331" s="161" t="s">
        <v>247</v>
      </c>
      <c r="H331" s="162"/>
      <c r="I331" s="162">
        <v>20000</v>
      </c>
      <c r="J331" s="163">
        <f t="shared" si="8"/>
        <v>217135100</v>
      </c>
      <c r="K331" s="163"/>
    </row>
    <row r="332" spans="1:11" s="143" customFormat="1" ht="19.5" customHeight="1">
      <c r="A332" s="143">
        <f t="shared" si="6"/>
        <v>6</v>
      </c>
      <c r="B332" s="158">
        <v>41803</v>
      </c>
      <c r="C332" s="159" t="s">
        <v>160</v>
      </c>
      <c r="D332" s="158">
        <v>41803</v>
      </c>
      <c r="E332" s="160" t="s">
        <v>223</v>
      </c>
      <c r="F332" s="160"/>
      <c r="G332" s="161" t="s">
        <v>35</v>
      </c>
      <c r="H332" s="162"/>
      <c r="I332" s="162">
        <v>2000</v>
      </c>
      <c r="J332" s="163">
        <f t="shared" si="8"/>
        <v>217133100</v>
      </c>
      <c r="K332" s="163"/>
    </row>
    <row r="333" spans="1:11" s="143" customFormat="1" ht="19.5" customHeight="1">
      <c r="A333" s="143">
        <f t="shared" si="6"/>
        <v>6</v>
      </c>
      <c r="B333" s="158">
        <v>41804</v>
      </c>
      <c r="C333" s="159" t="s">
        <v>160</v>
      </c>
      <c r="D333" s="158">
        <v>41804</v>
      </c>
      <c r="E333" s="160" t="s">
        <v>172</v>
      </c>
      <c r="F333" s="160"/>
      <c r="G333" s="161" t="s">
        <v>38</v>
      </c>
      <c r="H333" s="162"/>
      <c r="I333" s="162">
        <v>61025539</v>
      </c>
      <c r="J333" s="163">
        <f t="shared" si="8"/>
        <v>156107561</v>
      </c>
      <c r="K333" s="163"/>
    </row>
    <row r="334" spans="1:11" s="143" customFormat="1" ht="19.5" customHeight="1">
      <c r="A334" s="143">
        <f t="shared" si="6"/>
        <v>6</v>
      </c>
      <c r="B334" s="158">
        <v>41804</v>
      </c>
      <c r="C334" s="159" t="s">
        <v>160</v>
      </c>
      <c r="D334" s="158">
        <v>41804</v>
      </c>
      <c r="E334" s="160" t="s">
        <v>626</v>
      </c>
      <c r="F334" s="160"/>
      <c r="G334" s="161" t="s">
        <v>173</v>
      </c>
      <c r="H334" s="162"/>
      <c r="I334" s="162">
        <v>13204214</v>
      </c>
      <c r="J334" s="163">
        <f t="shared" si="8"/>
        <v>142903347</v>
      </c>
      <c r="K334" s="163"/>
    </row>
    <row r="335" spans="1:11" s="143" customFormat="1" ht="19.5" customHeight="1">
      <c r="A335" s="143">
        <f t="shared" si="6"/>
        <v>6</v>
      </c>
      <c r="B335" s="158">
        <v>41804</v>
      </c>
      <c r="C335" s="159" t="s">
        <v>160</v>
      </c>
      <c r="D335" s="158">
        <v>41804</v>
      </c>
      <c r="E335" s="160" t="s">
        <v>174</v>
      </c>
      <c r="F335" s="160"/>
      <c r="G335" s="161" t="s">
        <v>581</v>
      </c>
      <c r="H335" s="162"/>
      <c r="I335" s="162">
        <v>5770247</v>
      </c>
      <c r="J335" s="163">
        <f t="shared" ref="J335:J402" si="9">IF(B335&lt;&gt;"",J334+H335-I335,0)</f>
        <v>137133100</v>
      </c>
      <c r="K335" s="163"/>
    </row>
    <row r="336" spans="1:11" s="143" customFormat="1" ht="19.5" customHeight="1">
      <c r="A336" s="143">
        <f t="shared" si="6"/>
        <v>6</v>
      </c>
      <c r="B336" s="158">
        <v>41804</v>
      </c>
      <c r="C336" s="159" t="s">
        <v>160</v>
      </c>
      <c r="D336" s="158">
        <v>41804</v>
      </c>
      <c r="E336" s="160" t="s">
        <v>222</v>
      </c>
      <c r="F336" s="160"/>
      <c r="G336" s="161" t="s">
        <v>247</v>
      </c>
      <c r="H336" s="162"/>
      <c r="I336" s="162">
        <v>40000</v>
      </c>
      <c r="J336" s="163">
        <f t="shared" si="9"/>
        <v>137093100</v>
      </c>
      <c r="K336" s="163"/>
    </row>
    <row r="337" spans="1:11" s="143" customFormat="1" ht="19.5" customHeight="1">
      <c r="A337" s="143">
        <f t="shared" si="6"/>
        <v>6</v>
      </c>
      <c r="B337" s="158">
        <v>41804</v>
      </c>
      <c r="C337" s="159" t="s">
        <v>160</v>
      </c>
      <c r="D337" s="158">
        <v>41804</v>
      </c>
      <c r="E337" s="160" t="s">
        <v>223</v>
      </c>
      <c r="F337" s="160"/>
      <c r="G337" s="161" t="s">
        <v>35</v>
      </c>
      <c r="H337" s="162"/>
      <c r="I337" s="162">
        <v>4000</v>
      </c>
      <c r="J337" s="163">
        <f t="shared" si="9"/>
        <v>137089100</v>
      </c>
      <c r="K337" s="163"/>
    </row>
    <row r="338" spans="1:11" s="143" customFormat="1" ht="19.5" customHeight="1">
      <c r="A338" s="143">
        <f t="shared" si="6"/>
        <v>6</v>
      </c>
      <c r="B338" s="158">
        <v>41806</v>
      </c>
      <c r="C338" s="159" t="s">
        <v>160</v>
      </c>
      <c r="D338" s="158">
        <v>41806</v>
      </c>
      <c r="E338" s="160" t="s">
        <v>577</v>
      </c>
      <c r="F338" s="160"/>
      <c r="G338" s="161" t="s">
        <v>159</v>
      </c>
      <c r="H338" s="162"/>
      <c r="I338" s="162">
        <v>137000000</v>
      </c>
      <c r="J338" s="163">
        <f t="shared" si="9"/>
        <v>89100</v>
      </c>
      <c r="K338" s="163"/>
    </row>
    <row r="339" spans="1:11" s="143" customFormat="1" ht="19.5" customHeight="1">
      <c r="A339" s="143">
        <f t="shared" si="6"/>
        <v>6</v>
      </c>
      <c r="B339" s="158">
        <v>41810</v>
      </c>
      <c r="C339" s="159" t="s">
        <v>163</v>
      </c>
      <c r="D339" s="158">
        <v>41810</v>
      </c>
      <c r="E339" s="160" t="s">
        <v>51</v>
      </c>
      <c r="F339" s="160"/>
      <c r="G339" s="161" t="s">
        <v>159</v>
      </c>
      <c r="H339" s="162">
        <v>5000000</v>
      </c>
      <c r="I339" s="162"/>
      <c r="J339" s="163">
        <f t="shared" si="9"/>
        <v>5089100</v>
      </c>
      <c r="K339" s="163"/>
    </row>
    <row r="340" spans="1:11" s="143" customFormat="1" ht="19.5" customHeight="1">
      <c r="A340" s="143">
        <f t="shared" si="6"/>
        <v>6</v>
      </c>
      <c r="B340" s="158">
        <v>41810</v>
      </c>
      <c r="C340" s="159" t="s">
        <v>160</v>
      </c>
      <c r="D340" s="158">
        <v>41810</v>
      </c>
      <c r="E340" s="160" t="s">
        <v>164</v>
      </c>
      <c r="F340" s="160"/>
      <c r="G340" s="161" t="s">
        <v>162</v>
      </c>
      <c r="H340" s="162">
        <v>980030000</v>
      </c>
      <c r="I340" s="162"/>
      <c r="J340" s="163">
        <f t="shared" si="9"/>
        <v>985119100</v>
      </c>
      <c r="K340" s="163"/>
    </row>
    <row r="341" spans="1:11" s="143" customFormat="1" ht="19.5" customHeight="1">
      <c r="A341" s="143">
        <f t="shared" si="6"/>
        <v>6</v>
      </c>
      <c r="B341" s="158">
        <v>41810</v>
      </c>
      <c r="C341" s="159" t="s">
        <v>160</v>
      </c>
      <c r="D341" s="158">
        <v>41810</v>
      </c>
      <c r="E341" s="160" t="s">
        <v>602</v>
      </c>
      <c r="F341" s="160"/>
      <c r="G341" s="161" t="s">
        <v>247</v>
      </c>
      <c r="H341" s="162"/>
      <c r="I341" s="162">
        <v>50000</v>
      </c>
      <c r="J341" s="163">
        <f t="shared" si="9"/>
        <v>985069100</v>
      </c>
      <c r="K341" s="163"/>
    </row>
    <row r="342" spans="1:11" s="143" customFormat="1" ht="19.5" customHeight="1">
      <c r="A342" s="143">
        <f t="shared" si="6"/>
        <v>6</v>
      </c>
      <c r="B342" s="158">
        <v>41810</v>
      </c>
      <c r="C342" s="159" t="s">
        <v>160</v>
      </c>
      <c r="D342" s="158">
        <v>41810</v>
      </c>
      <c r="E342" s="160" t="s">
        <v>603</v>
      </c>
      <c r="F342" s="160"/>
      <c r="G342" s="161" t="s">
        <v>35</v>
      </c>
      <c r="H342" s="162"/>
      <c r="I342" s="162">
        <v>5000</v>
      </c>
      <c r="J342" s="163">
        <f t="shared" si="9"/>
        <v>985064100</v>
      </c>
      <c r="K342" s="163"/>
    </row>
    <row r="343" spans="1:11" s="143" customFormat="1" ht="19.5" customHeight="1">
      <c r="A343" s="143">
        <f t="shared" si="6"/>
        <v>6</v>
      </c>
      <c r="B343" s="158">
        <v>41810</v>
      </c>
      <c r="C343" s="159" t="s">
        <v>160</v>
      </c>
      <c r="D343" s="158">
        <v>41810</v>
      </c>
      <c r="E343" s="160" t="s">
        <v>602</v>
      </c>
      <c r="F343" s="160"/>
      <c r="G343" s="161" t="s">
        <v>247</v>
      </c>
      <c r="H343" s="162"/>
      <c r="I343" s="162">
        <v>31000</v>
      </c>
      <c r="J343" s="163">
        <f t="shared" si="9"/>
        <v>985033100</v>
      </c>
      <c r="K343" s="163"/>
    </row>
    <row r="344" spans="1:11" s="143" customFormat="1" ht="19.5" customHeight="1">
      <c r="A344" s="143">
        <f t="shared" si="6"/>
        <v>6</v>
      </c>
      <c r="B344" s="158">
        <v>41810</v>
      </c>
      <c r="C344" s="159" t="s">
        <v>160</v>
      </c>
      <c r="D344" s="158">
        <v>41810</v>
      </c>
      <c r="E344" s="160" t="s">
        <v>603</v>
      </c>
      <c r="F344" s="160"/>
      <c r="G344" s="161" t="s">
        <v>35</v>
      </c>
      <c r="H344" s="162"/>
      <c r="I344" s="162">
        <v>3100</v>
      </c>
      <c r="J344" s="163">
        <f t="shared" si="9"/>
        <v>985030000</v>
      </c>
      <c r="K344" s="163"/>
    </row>
    <row r="345" spans="1:11" s="143" customFormat="1" ht="19.5" customHeight="1">
      <c r="A345" s="143">
        <f t="shared" si="6"/>
        <v>6</v>
      </c>
      <c r="B345" s="158">
        <v>41810</v>
      </c>
      <c r="C345" s="159" t="s">
        <v>160</v>
      </c>
      <c r="D345" s="158">
        <v>41810</v>
      </c>
      <c r="E345" s="160" t="s">
        <v>577</v>
      </c>
      <c r="F345" s="160"/>
      <c r="G345" s="161" t="s">
        <v>159</v>
      </c>
      <c r="H345" s="162"/>
      <c r="I345" s="162">
        <v>980000000</v>
      </c>
      <c r="J345" s="163">
        <f t="shared" si="9"/>
        <v>5030000</v>
      </c>
      <c r="K345" s="163"/>
    </row>
    <row r="346" spans="1:11" s="143" customFormat="1" ht="19.5" customHeight="1">
      <c r="A346" s="143">
        <f t="shared" si="6"/>
        <v>6</v>
      </c>
      <c r="B346" s="158">
        <v>41811</v>
      </c>
      <c r="C346" s="159" t="s">
        <v>160</v>
      </c>
      <c r="D346" s="158">
        <v>41811</v>
      </c>
      <c r="E346" s="160" t="s">
        <v>602</v>
      </c>
      <c r="F346" s="160"/>
      <c r="G346" s="161" t="s">
        <v>247</v>
      </c>
      <c r="H346" s="162"/>
      <c r="I346" s="162">
        <v>19000</v>
      </c>
      <c r="J346" s="163">
        <f t="shared" si="9"/>
        <v>5011000</v>
      </c>
      <c r="K346" s="163"/>
    </row>
    <row r="347" spans="1:11" s="143" customFormat="1" ht="19.5" customHeight="1">
      <c r="A347" s="143">
        <f t="shared" si="6"/>
        <v>6</v>
      </c>
      <c r="B347" s="158">
        <v>41811</v>
      </c>
      <c r="C347" s="159" t="s">
        <v>160</v>
      </c>
      <c r="D347" s="158">
        <v>41811</v>
      </c>
      <c r="E347" s="160" t="s">
        <v>603</v>
      </c>
      <c r="F347" s="160"/>
      <c r="G347" s="161" t="s">
        <v>35</v>
      </c>
      <c r="H347" s="162"/>
      <c r="I347" s="162">
        <v>1900</v>
      </c>
      <c r="J347" s="163">
        <f t="shared" si="9"/>
        <v>5009100</v>
      </c>
      <c r="K347" s="163"/>
    </row>
    <row r="348" spans="1:11" s="143" customFormat="1" ht="19.5" customHeight="1">
      <c r="A348" s="143">
        <f t="shared" si="6"/>
        <v>6</v>
      </c>
      <c r="B348" s="158">
        <v>41811</v>
      </c>
      <c r="C348" s="159" t="s">
        <v>160</v>
      </c>
      <c r="D348" s="158">
        <v>41811</v>
      </c>
      <c r="E348" s="160" t="s">
        <v>602</v>
      </c>
      <c r="F348" s="160"/>
      <c r="G348" s="161" t="s">
        <v>247</v>
      </c>
      <c r="H348" s="162"/>
      <c r="I348" s="162">
        <v>50000</v>
      </c>
      <c r="J348" s="163">
        <f t="shared" si="9"/>
        <v>4959100</v>
      </c>
      <c r="K348" s="163"/>
    </row>
    <row r="349" spans="1:11" s="143" customFormat="1" ht="19.5" customHeight="1">
      <c r="A349" s="143">
        <f t="shared" si="6"/>
        <v>6</v>
      </c>
      <c r="B349" s="158">
        <v>41811</v>
      </c>
      <c r="C349" s="159" t="s">
        <v>160</v>
      </c>
      <c r="D349" s="158">
        <v>41811</v>
      </c>
      <c r="E349" s="160" t="s">
        <v>603</v>
      </c>
      <c r="F349" s="160"/>
      <c r="G349" s="161" t="s">
        <v>35</v>
      </c>
      <c r="H349" s="162"/>
      <c r="I349" s="162">
        <v>5000</v>
      </c>
      <c r="J349" s="163">
        <f t="shared" si="9"/>
        <v>4954100</v>
      </c>
      <c r="K349" s="163"/>
    </row>
    <row r="350" spans="1:11" s="143" customFormat="1" ht="19.5" customHeight="1">
      <c r="A350" s="143">
        <f t="shared" si="6"/>
        <v>6</v>
      </c>
      <c r="B350" s="158">
        <v>41815</v>
      </c>
      <c r="C350" s="159" t="s">
        <v>163</v>
      </c>
      <c r="D350" s="158">
        <v>41815</v>
      </c>
      <c r="E350" s="160" t="s">
        <v>588</v>
      </c>
      <c r="F350" s="160"/>
      <c r="G350" s="161" t="s">
        <v>176</v>
      </c>
      <c r="H350" s="162">
        <v>8030</v>
      </c>
      <c r="I350" s="162"/>
      <c r="J350" s="163">
        <f t="shared" si="9"/>
        <v>4962130</v>
      </c>
      <c r="K350" s="163"/>
    </row>
    <row r="351" spans="1:11" s="143" customFormat="1" ht="19.5" customHeight="1">
      <c r="A351" s="143">
        <f t="shared" si="6"/>
        <v>6</v>
      </c>
      <c r="B351" s="158">
        <v>41816</v>
      </c>
      <c r="C351" s="159" t="s">
        <v>160</v>
      </c>
      <c r="D351" s="158">
        <v>41816</v>
      </c>
      <c r="E351" s="160" t="s">
        <v>627</v>
      </c>
      <c r="F351" s="160"/>
      <c r="G351" s="161" t="s">
        <v>166</v>
      </c>
      <c r="H351" s="162"/>
      <c r="I351" s="162">
        <v>2855246</v>
      </c>
      <c r="J351" s="163">
        <f t="shared" si="9"/>
        <v>2106884</v>
      </c>
      <c r="K351" s="163"/>
    </row>
    <row r="352" spans="1:11" s="143" customFormat="1" ht="19.5" customHeight="1">
      <c r="A352" s="143">
        <f t="shared" si="6"/>
        <v>6</v>
      </c>
      <c r="B352" s="158">
        <v>41817</v>
      </c>
      <c r="C352" s="159" t="s">
        <v>160</v>
      </c>
      <c r="D352" s="158">
        <v>41817</v>
      </c>
      <c r="E352" s="160" t="s">
        <v>164</v>
      </c>
      <c r="F352" s="160"/>
      <c r="G352" s="161" t="s">
        <v>162</v>
      </c>
      <c r="H352" s="162">
        <v>1925196000</v>
      </c>
      <c r="I352" s="162"/>
      <c r="J352" s="163">
        <f t="shared" si="9"/>
        <v>1927302884</v>
      </c>
      <c r="K352" s="163"/>
    </row>
    <row r="353" spans="1:11" s="143" customFormat="1" ht="19.5" customHeight="1">
      <c r="A353" s="143">
        <f t="shared" si="6"/>
        <v>6</v>
      </c>
      <c r="B353" s="158">
        <v>41820</v>
      </c>
      <c r="C353" s="159" t="s">
        <v>160</v>
      </c>
      <c r="D353" s="158">
        <v>41820</v>
      </c>
      <c r="E353" s="160" t="s">
        <v>594</v>
      </c>
      <c r="F353" s="160"/>
      <c r="G353" s="161" t="s">
        <v>57</v>
      </c>
      <c r="H353" s="162"/>
      <c r="I353" s="162">
        <v>927000000</v>
      </c>
      <c r="J353" s="163">
        <f t="shared" si="9"/>
        <v>1000302884</v>
      </c>
      <c r="K353" s="163"/>
    </row>
    <row r="354" spans="1:11" s="143" customFormat="1" ht="19.5" customHeight="1">
      <c r="A354" s="143">
        <f t="shared" si="6"/>
        <v>6</v>
      </c>
      <c r="B354" s="158">
        <v>41820</v>
      </c>
      <c r="C354" s="159" t="s">
        <v>160</v>
      </c>
      <c r="D354" s="158">
        <v>41820</v>
      </c>
      <c r="E354" s="377" t="s">
        <v>577</v>
      </c>
      <c r="F354" s="160"/>
      <c r="G354" s="161" t="s">
        <v>159</v>
      </c>
      <c r="H354" s="162"/>
      <c r="I354" s="162">
        <v>1000000000</v>
      </c>
      <c r="J354" s="163">
        <f t="shared" si="9"/>
        <v>302884</v>
      </c>
      <c r="K354" s="163"/>
    </row>
    <row r="355" spans="1:11" s="143" customFormat="1" ht="19.5" customHeight="1">
      <c r="A355" s="143">
        <f>IF(B355&lt;&gt;"",MONTH(B355),"")</f>
        <v>7</v>
      </c>
      <c r="B355" s="158">
        <v>41821</v>
      </c>
      <c r="C355" s="159" t="s">
        <v>163</v>
      </c>
      <c r="D355" s="158">
        <v>41821</v>
      </c>
      <c r="E355" s="377" t="s">
        <v>51</v>
      </c>
      <c r="F355" s="160"/>
      <c r="G355" s="161" t="s">
        <v>159</v>
      </c>
      <c r="H355" s="162">
        <v>800000000</v>
      </c>
      <c r="I355" s="162"/>
      <c r="J355" s="163">
        <f t="shared" si="9"/>
        <v>800302884</v>
      </c>
      <c r="K355" s="163"/>
    </row>
    <row r="356" spans="1:11" s="143" customFormat="1" ht="19.5" customHeight="1">
      <c r="A356" s="143">
        <f>IF(B356&lt;&gt;"",MONTH(B356),"")</f>
        <v>7</v>
      </c>
      <c r="B356" s="158">
        <v>41821</v>
      </c>
      <c r="C356" s="159" t="s">
        <v>163</v>
      </c>
      <c r="D356" s="158">
        <v>41821</v>
      </c>
      <c r="E356" s="377" t="s">
        <v>161</v>
      </c>
      <c r="F356" s="160"/>
      <c r="G356" s="161" t="s">
        <v>162</v>
      </c>
      <c r="H356" s="162"/>
      <c r="I356" s="162">
        <v>781044000</v>
      </c>
      <c r="J356" s="163">
        <f t="shared" si="9"/>
        <v>19258884</v>
      </c>
      <c r="K356" s="163"/>
    </row>
    <row r="357" spans="1:11" s="143" customFormat="1" ht="19.5" customHeight="1">
      <c r="A357" s="143">
        <f t="shared" si="6"/>
        <v>7</v>
      </c>
      <c r="B357" s="158">
        <v>41821</v>
      </c>
      <c r="C357" s="159" t="s">
        <v>160</v>
      </c>
      <c r="D357" s="158">
        <v>41821</v>
      </c>
      <c r="E357" s="160" t="s">
        <v>628</v>
      </c>
      <c r="F357" s="160"/>
      <c r="G357" s="161" t="s">
        <v>166</v>
      </c>
      <c r="H357" s="162"/>
      <c r="I357" s="162">
        <v>4760837</v>
      </c>
      <c r="J357" s="163">
        <f t="shared" si="9"/>
        <v>14498047</v>
      </c>
      <c r="K357" s="163"/>
    </row>
    <row r="358" spans="1:11" s="143" customFormat="1" ht="19.5" customHeight="1">
      <c r="A358" s="143">
        <f t="shared" si="6"/>
        <v>7</v>
      </c>
      <c r="B358" s="158">
        <v>41822</v>
      </c>
      <c r="C358" s="159" t="s">
        <v>163</v>
      </c>
      <c r="D358" s="158">
        <v>41822</v>
      </c>
      <c r="E358" s="160" t="s">
        <v>51</v>
      </c>
      <c r="F358" s="160"/>
      <c r="G358" s="161" t="s">
        <v>159</v>
      </c>
      <c r="H358" s="162">
        <v>300000000</v>
      </c>
      <c r="I358" s="162"/>
      <c r="J358" s="163">
        <f t="shared" si="9"/>
        <v>314498047</v>
      </c>
      <c r="K358" s="163"/>
    </row>
    <row r="359" spans="1:11" s="143" customFormat="1" ht="19.5" customHeight="1">
      <c r="A359" s="143">
        <f t="shared" si="6"/>
        <v>7</v>
      </c>
      <c r="B359" s="158">
        <v>41822</v>
      </c>
      <c r="C359" s="159" t="s">
        <v>160</v>
      </c>
      <c r="D359" s="158">
        <v>41822</v>
      </c>
      <c r="E359" s="160" t="s">
        <v>164</v>
      </c>
      <c r="F359" s="160"/>
      <c r="G359" s="161" t="s">
        <v>162</v>
      </c>
      <c r="H359" s="162">
        <v>2024925000</v>
      </c>
      <c r="I359" s="162"/>
      <c r="J359" s="163">
        <f t="shared" si="9"/>
        <v>2339423047</v>
      </c>
      <c r="K359" s="163"/>
    </row>
    <row r="360" spans="1:11" s="143" customFormat="1" ht="19.5" customHeight="1">
      <c r="A360" s="143">
        <f t="shared" si="6"/>
        <v>7</v>
      </c>
      <c r="B360" s="158">
        <v>41822</v>
      </c>
      <c r="C360" s="159" t="s">
        <v>160</v>
      </c>
      <c r="D360" s="158">
        <v>41822</v>
      </c>
      <c r="E360" s="160" t="s">
        <v>577</v>
      </c>
      <c r="F360" s="160"/>
      <c r="G360" s="161" t="s">
        <v>159</v>
      </c>
      <c r="H360" s="162"/>
      <c r="I360" s="162">
        <v>2025000000</v>
      </c>
      <c r="J360" s="163">
        <f t="shared" si="9"/>
        <v>314423047</v>
      </c>
      <c r="K360" s="163"/>
    </row>
    <row r="361" spans="1:11" s="143" customFormat="1" ht="19.5" customHeight="1">
      <c r="A361" s="143">
        <f t="shared" si="6"/>
        <v>7</v>
      </c>
      <c r="B361" s="158">
        <v>41823</v>
      </c>
      <c r="C361" s="159" t="s">
        <v>160</v>
      </c>
      <c r="D361" s="158">
        <v>41823</v>
      </c>
      <c r="E361" s="160" t="s">
        <v>595</v>
      </c>
      <c r="F361" s="160"/>
      <c r="G361" s="161" t="s">
        <v>34</v>
      </c>
      <c r="H361" s="162"/>
      <c r="I361" s="162">
        <v>140000000</v>
      </c>
      <c r="J361" s="163">
        <f t="shared" si="9"/>
        <v>174423047</v>
      </c>
      <c r="K361" s="163"/>
    </row>
    <row r="362" spans="1:11" s="143" customFormat="1" ht="19.5" customHeight="1">
      <c r="A362" s="143">
        <f t="shared" si="6"/>
        <v>7</v>
      </c>
      <c r="B362" s="158">
        <v>41823</v>
      </c>
      <c r="C362" s="159" t="s">
        <v>160</v>
      </c>
      <c r="D362" s="158">
        <v>41823</v>
      </c>
      <c r="E362" s="160" t="s">
        <v>629</v>
      </c>
      <c r="F362" s="160"/>
      <c r="G362" s="161" t="s">
        <v>247</v>
      </c>
      <c r="H362" s="162"/>
      <c r="I362" s="162">
        <v>79673</v>
      </c>
      <c r="J362" s="163">
        <f t="shared" si="9"/>
        <v>174343374</v>
      </c>
      <c r="K362" s="163"/>
    </row>
    <row r="363" spans="1:11" s="143" customFormat="1" ht="19.5" customHeight="1">
      <c r="A363" s="143">
        <f t="shared" si="6"/>
        <v>7</v>
      </c>
      <c r="B363" s="158">
        <v>41823</v>
      </c>
      <c r="C363" s="159" t="s">
        <v>160</v>
      </c>
      <c r="D363" s="158">
        <v>41823</v>
      </c>
      <c r="E363" s="160" t="s">
        <v>630</v>
      </c>
      <c r="F363" s="160"/>
      <c r="G363" s="161" t="s">
        <v>35</v>
      </c>
      <c r="H363" s="162"/>
      <c r="I363" s="162">
        <v>7967</v>
      </c>
      <c r="J363" s="163">
        <f t="shared" si="9"/>
        <v>174335407</v>
      </c>
      <c r="K363" s="163"/>
    </row>
    <row r="364" spans="1:11" s="143" customFormat="1" ht="19.5" customHeight="1">
      <c r="A364" s="143">
        <f t="shared" si="6"/>
        <v>7</v>
      </c>
      <c r="B364" s="158">
        <v>41823</v>
      </c>
      <c r="C364" s="159" t="s">
        <v>160</v>
      </c>
      <c r="D364" s="158">
        <v>41823</v>
      </c>
      <c r="E364" s="160" t="s">
        <v>594</v>
      </c>
      <c r="F364" s="160"/>
      <c r="G364" s="161" t="s">
        <v>57</v>
      </c>
      <c r="H364" s="162"/>
      <c r="I364" s="162">
        <v>25000000</v>
      </c>
      <c r="J364" s="163">
        <f t="shared" si="9"/>
        <v>149335407</v>
      </c>
      <c r="K364" s="163"/>
    </row>
    <row r="365" spans="1:11" s="143" customFormat="1" ht="19.5" customHeight="1">
      <c r="A365" s="143">
        <f t="shared" si="6"/>
        <v>7</v>
      </c>
      <c r="B365" s="158">
        <v>41823</v>
      </c>
      <c r="C365" s="159" t="s">
        <v>160</v>
      </c>
      <c r="D365" s="158">
        <v>41823</v>
      </c>
      <c r="E365" s="160" t="s">
        <v>631</v>
      </c>
      <c r="F365" s="160"/>
      <c r="G365" s="161" t="s">
        <v>247</v>
      </c>
      <c r="H365" s="162"/>
      <c r="I365" s="162">
        <v>20000</v>
      </c>
      <c r="J365" s="163">
        <f t="shared" si="9"/>
        <v>149315407</v>
      </c>
      <c r="K365" s="163"/>
    </row>
    <row r="366" spans="1:11" s="143" customFormat="1" ht="19.5" customHeight="1">
      <c r="A366" s="143">
        <f t="shared" si="6"/>
        <v>7</v>
      </c>
      <c r="B366" s="158">
        <v>41823</v>
      </c>
      <c r="C366" s="159" t="s">
        <v>160</v>
      </c>
      <c r="D366" s="158">
        <v>41823</v>
      </c>
      <c r="E366" s="160" t="s">
        <v>632</v>
      </c>
      <c r="F366" s="160"/>
      <c r="G366" s="161" t="s">
        <v>35</v>
      </c>
      <c r="H366" s="162"/>
      <c r="I366" s="162">
        <v>2000</v>
      </c>
      <c r="J366" s="163">
        <f t="shared" si="9"/>
        <v>149313407</v>
      </c>
      <c r="K366" s="163"/>
    </row>
    <row r="367" spans="1:11" s="143" customFormat="1" ht="19.5" customHeight="1">
      <c r="A367" s="143">
        <f>IF(B367&lt;&gt;"",MONTH(B367),"")</f>
        <v>7</v>
      </c>
      <c r="B367" s="158">
        <v>41823</v>
      </c>
      <c r="C367" s="159" t="s">
        <v>160</v>
      </c>
      <c r="D367" s="158">
        <v>41823</v>
      </c>
      <c r="E367" s="160" t="s">
        <v>584</v>
      </c>
      <c r="F367" s="160"/>
      <c r="G367" s="161" t="s">
        <v>34</v>
      </c>
      <c r="H367" s="162"/>
      <c r="I367" s="162">
        <v>4945946</v>
      </c>
      <c r="J367" s="163">
        <f t="shared" si="9"/>
        <v>144367461</v>
      </c>
      <c r="K367" s="163"/>
    </row>
    <row r="368" spans="1:11" s="143" customFormat="1" ht="19.5" customHeight="1">
      <c r="A368" s="143">
        <f>IF(B368&lt;&gt;"",MONTH(B368),"")</f>
        <v>7</v>
      </c>
      <c r="B368" s="158">
        <v>41823</v>
      </c>
      <c r="C368" s="159" t="s">
        <v>160</v>
      </c>
      <c r="D368" s="158">
        <v>41823</v>
      </c>
      <c r="E368" s="160" t="s">
        <v>629</v>
      </c>
      <c r="F368" s="160"/>
      <c r="G368" s="161" t="s">
        <v>247</v>
      </c>
      <c r="H368" s="162"/>
      <c r="I368" s="162">
        <v>45000</v>
      </c>
      <c r="J368" s="163">
        <f t="shared" si="9"/>
        <v>144322461</v>
      </c>
      <c r="K368" s="163"/>
    </row>
    <row r="369" spans="1:11" s="143" customFormat="1" ht="19.5" customHeight="1">
      <c r="A369" s="143">
        <f t="shared" si="6"/>
        <v>7</v>
      </c>
      <c r="B369" s="158">
        <v>41823</v>
      </c>
      <c r="C369" s="159" t="s">
        <v>160</v>
      </c>
      <c r="D369" s="158">
        <v>41823</v>
      </c>
      <c r="E369" s="160" t="s">
        <v>630</v>
      </c>
      <c r="F369" s="160"/>
      <c r="G369" s="161" t="s">
        <v>35</v>
      </c>
      <c r="H369" s="162"/>
      <c r="I369" s="162">
        <v>4500</v>
      </c>
      <c r="J369" s="163">
        <f t="shared" si="9"/>
        <v>144317961</v>
      </c>
      <c r="K369" s="163"/>
    </row>
    <row r="370" spans="1:11" s="143" customFormat="1" ht="19.5" customHeight="1">
      <c r="A370" s="143">
        <f t="shared" si="6"/>
        <v>7</v>
      </c>
      <c r="B370" s="158">
        <v>41823</v>
      </c>
      <c r="C370" s="159" t="s">
        <v>160</v>
      </c>
      <c r="D370" s="158">
        <v>41823</v>
      </c>
      <c r="E370" s="160" t="s">
        <v>172</v>
      </c>
      <c r="F370" s="160"/>
      <c r="G370" s="161" t="s">
        <v>38</v>
      </c>
      <c r="H370" s="162"/>
      <c r="I370" s="162">
        <v>50331390</v>
      </c>
      <c r="J370" s="163">
        <f t="shared" si="9"/>
        <v>93986571</v>
      </c>
      <c r="K370" s="163"/>
    </row>
    <row r="371" spans="1:11" s="143" customFormat="1" ht="19.5" customHeight="1">
      <c r="A371" s="143">
        <f t="shared" si="6"/>
        <v>7</v>
      </c>
      <c r="B371" s="158">
        <v>41823</v>
      </c>
      <c r="C371" s="159" t="s">
        <v>160</v>
      </c>
      <c r="D371" s="158">
        <v>41823</v>
      </c>
      <c r="E371" s="160" t="s">
        <v>633</v>
      </c>
      <c r="F371" s="160"/>
      <c r="G371" s="161" t="s">
        <v>173</v>
      </c>
      <c r="H371" s="162"/>
      <c r="I371" s="162">
        <v>6691270</v>
      </c>
      <c r="J371" s="163">
        <f t="shared" si="9"/>
        <v>87295301</v>
      </c>
      <c r="K371" s="163"/>
    </row>
    <row r="372" spans="1:11" s="143" customFormat="1" ht="19.5" customHeight="1">
      <c r="A372" s="143">
        <f t="shared" si="6"/>
        <v>7</v>
      </c>
      <c r="B372" s="158">
        <v>41823</v>
      </c>
      <c r="C372" s="159" t="s">
        <v>160</v>
      </c>
      <c r="D372" s="158">
        <v>41823</v>
      </c>
      <c r="E372" s="160" t="s">
        <v>174</v>
      </c>
      <c r="F372" s="160"/>
      <c r="G372" s="161" t="s">
        <v>581</v>
      </c>
      <c r="H372" s="368"/>
      <c r="I372" s="162">
        <v>2977340</v>
      </c>
      <c r="J372" s="163">
        <f t="shared" si="9"/>
        <v>84317961</v>
      </c>
      <c r="K372" s="163"/>
    </row>
    <row r="373" spans="1:11" s="143" customFormat="1" ht="19.5" customHeight="1">
      <c r="A373" s="143">
        <f t="shared" si="6"/>
        <v>7</v>
      </c>
      <c r="B373" s="158">
        <v>41823</v>
      </c>
      <c r="C373" s="159" t="s">
        <v>160</v>
      </c>
      <c r="D373" s="158">
        <v>41823</v>
      </c>
      <c r="E373" s="160" t="s">
        <v>629</v>
      </c>
      <c r="F373" s="160"/>
      <c r="G373" s="161" t="s">
        <v>247</v>
      </c>
      <c r="H373" s="162"/>
      <c r="I373" s="162">
        <v>50000</v>
      </c>
      <c r="J373" s="163">
        <f t="shared" si="9"/>
        <v>84267961</v>
      </c>
      <c r="K373" s="163"/>
    </row>
    <row r="374" spans="1:11" s="143" customFormat="1" ht="19.5" customHeight="1">
      <c r="A374" s="143">
        <f t="shared" si="6"/>
        <v>7</v>
      </c>
      <c r="B374" s="158">
        <v>41823</v>
      </c>
      <c r="C374" s="159" t="s">
        <v>160</v>
      </c>
      <c r="D374" s="158">
        <v>41823</v>
      </c>
      <c r="E374" s="160" t="s">
        <v>630</v>
      </c>
      <c r="F374" s="160"/>
      <c r="G374" s="161" t="s">
        <v>35</v>
      </c>
      <c r="H374" s="162"/>
      <c r="I374" s="162">
        <v>5000</v>
      </c>
      <c r="J374" s="163">
        <f t="shared" si="9"/>
        <v>84262961</v>
      </c>
      <c r="K374" s="163"/>
    </row>
    <row r="375" spans="1:11" s="143" customFormat="1" ht="19.5" customHeight="1">
      <c r="A375" s="143">
        <f t="shared" si="6"/>
        <v>7</v>
      </c>
      <c r="B375" s="158">
        <v>41823</v>
      </c>
      <c r="C375" s="159" t="s">
        <v>160</v>
      </c>
      <c r="D375" s="158">
        <v>41823</v>
      </c>
      <c r="E375" s="160" t="s">
        <v>579</v>
      </c>
      <c r="F375" s="160"/>
      <c r="G375" s="161" t="s">
        <v>34</v>
      </c>
      <c r="H375" s="162"/>
      <c r="I375" s="162">
        <v>24740100</v>
      </c>
      <c r="J375" s="163">
        <f t="shared" si="9"/>
        <v>59522861</v>
      </c>
      <c r="K375" s="163"/>
    </row>
    <row r="376" spans="1:11" s="143" customFormat="1" ht="19.5" customHeight="1">
      <c r="A376" s="143">
        <f t="shared" si="6"/>
        <v>7</v>
      </c>
      <c r="B376" s="158">
        <v>41823</v>
      </c>
      <c r="C376" s="159" t="s">
        <v>160</v>
      </c>
      <c r="D376" s="158">
        <v>41823</v>
      </c>
      <c r="E376" s="160" t="s">
        <v>629</v>
      </c>
      <c r="F376" s="160"/>
      <c r="G376" s="161" t="s">
        <v>247</v>
      </c>
      <c r="H376" s="162"/>
      <c r="I376" s="162">
        <v>45000</v>
      </c>
      <c r="J376" s="163">
        <f t="shared" si="9"/>
        <v>59477861</v>
      </c>
      <c r="K376" s="163"/>
    </row>
    <row r="377" spans="1:11" s="143" customFormat="1" ht="19.5" customHeight="1">
      <c r="A377" s="143">
        <f t="shared" ref="A377:A408" si="10">IF(B377&lt;&gt;"",MONTH(B377),"")</f>
        <v>7</v>
      </c>
      <c r="B377" s="158">
        <v>41823</v>
      </c>
      <c r="C377" s="159" t="s">
        <v>160</v>
      </c>
      <c r="D377" s="158">
        <v>41823</v>
      </c>
      <c r="E377" s="160" t="s">
        <v>630</v>
      </c>
      <c r="F377" s="160"/>
      <c r="G377" s="161" t="s">
        <v>35</v>
      </c>
      <c r="H377" s="162"/>
      <c r="I377" s="162">
        <v>4500</v>
      </c>
      <c r="J377" s="163">
        <f t="shared" si="9"/>
        <v>59473361</v>
      </c>
      <c r="K377" s="163"/>
    </row>
    <row r="378" spans="1:11" s="143" customFormat="1" ht="19.5" customHeight="1">
      <c r="A378" s="143">
        <f t="shared" si="10"/>
        <v>7</v>
      </c>
      <c r="B378" s="158">
        <v>41823</v>
      </c>
      <c r="C378" s="159" t="s">
        <v>160</v>
      </c>
      <c r="D378" s="158">
        <v>41823</v>
      </c>
      <c r="E378" s="160" t="s">
        <v>576</v>
      </c>
      <c r="F378" s="160"/>
      <c r="G378" s="161" t="s">
        <v>34</v>
      </c>
      <c r="H378" s="162"/>
      <c r="I378" s="162">
        <v>49108180</v>
      </c>
      <c r="J378" s="163">
        <f t="shared" si="9"/>
        <v>10365181</v>
      </c>
      <c r="K378" s="163"/>
    </row>
    <row r="379" spans="1:11" s="143" customFormat="1" ht="19.5" customHeight="1">
      <c r="A379" s="143">
        <f t="shared" si="10"/>
        <v>7</v>
      </c>
      <c r="B379" s="158">
        <v>41823</v>
      </c>
      <c r="C379" s="159" t="s">
        <v>160</v>
      </c>
      <c r="D379" s="158">
        <v>41823</v>
      </c>
      <c r="E379" s="160" t="s">
        <v>629</v>
      </c>
      <c r="F379" s="160"/>
      <c r="G379" s="161" t="s">
        <v>247</v>
      </c>
      <c r="H379" s="368"/>
      <c r="I379" s="162">
        <v>45000</v>
      </c>
      <c r="J379" s="163">
        <f t="shared" si="9"/>
        <v>10320181</v>
      </c>
      <c r="K379" s="163"/>
    </row>
    <row r="380" spans="1:11" s="143" customFormat="1" ht="19.5" customHeight="1">
      <c r="A380" s="143">
        <f t="shared" si="10"/>
        <v>7</v>
      </c>
      <c r="B380" s="158">
        <v>41823</v>
      </c>
      <c r="C380" s="159" t="s">
        <v>160</v>
      </c>
      <c r="D380" s="158">
        <v>41823</v>
      </c>
      <c r="E380" s="160" t="s">
        <v>630</v>
      </c>
      <c r="F380" s="160"/>
      <c r="G380" s="161" t="s">
        <v>35</v>
      </c>
      <c r="H380" s="162"/>
      <c r="I380" s="162">
        <v>4500</v>
      </c>
      <c r="J380" s="163">
        <f t="shared" si="9"/>
        <v>10315681</v>
      </c>
      <c r="K380" s="163"/>
    </row>
    <row r="381" spans="1:11" s="143" customFormat="1" ht="19.5" customHeight="1">
      <c r="A381" s="143">
        <f t="shared" si="10"/>
        <v>7</v>
      </c>
      <c r="B381" s="158">
        <v>41828</v>
      </c>
      <c r="C381" s="159" t="s">
        <v>160</v>
      </c>
      <c r="D381" s="158">
        <v>41828</v>
      </c>
      <c r="E381" s="160" t="s">
        <v>634</v>
      </c>
      <c r="F381" s="160"/>
      <c r="G381" s="161" t="s">
        <v>162</v>
      </c>
      <c r="H381" s="162">
        <v>933314000</v>
      </c>
      <c r="I381" s="162"/>
      <c r="J381" s="163">
        <f t="shared" si="9"/>
        <v>943629681</v>
      </c>
      <c r="K381" s="163"/>
    </row>
    <row r="382" spans="1:11" s="143" customFormat="1" ht="19.5" customHeight="1">
      <c r="A382" s="143">
        <f t="shared" si="10"/>
        <v>7</v>
      </c>
      <c r="B382" s="158">
        <v>41828</v>
      </c>
      <c r="C382" s="159" t="s">
        <v>160</v>
      </c>
      <c r="D382" s="158">
        <v>41828</v>
      </c>
      <c r="E382" s="160" t="s">
        <v>164</v>
      </c>
      <c r="F382" s="160"/>
      <c r="G382" s="161" t="s">
        <v>162</v>
      </c>
      <c r="H382" s="162">
        <v>1487850000</v>
      </c>
      <c r="I382" s="162"/>
      <c r="J382" s="163">
        <f t="shared" si="9"/>
        <v>2431479681</v>
      </c>
      <c r="K382" s="163"/>
    </row>
    <row r="383" spans="1:11" s="143" customFormat="1" ht="19.5" customHeight="1">
      <c r="A383" s="143">
        <f t="shared" si="10"/>
        <v>7</v>
      </c>
      <c r="B383" s="158">
        <v>41829</v>
      </c>
      <c r="C383" s="159" t="s">
        <v>160</v>
      </c>
      <c r="D383" s="158">
        <v>41829</v>
      </c>
      <c r="E383" s="160" t="s">
        <v>577</v>
      </c>
      <c r="F383" s="160"/>
      <c r="G383" s="161" t="s">
        <v>159</v>
      </c>
      <c r="H383" s="162"/>
      <c r="I383" s="162">
        <v>2430000000</v>
      </c>
      <c r="J383" s="163">
        <f t="shared" si="9"/>
        <v>1479681</v>
      </c>
      <c r="K383" s="163"/>
    </row>
    <row r="384" spans="1:11" s="143" customFormat="1" ht="19.5" customHeight="1">
      <c r="A384" s="143">
        <f t="shared" si="10"/>
        <v>7</v>
      </c>
      <c r="B384" s="158">
        <v>41831</v>
      </c>
      <c r="C384" s="159" t="s">
        <v>163</v>
      </c>
      <c r="D384" s="158">
        <v>41831</v>
      </c>
      <c r="E384" s="160" t="s">
        <v>51</v>
      </c>
      <c r="F384" s="160"/>
      <c r="G384" s="161" t="s">
        <v>159</v>
      </c>
      <c r="H384" s="162">
        <v>120000000</v>
      </c>
      <c r="I384" s="162"/>
      <c r="J384" s="163">
        <f t="shared" si="9"/>
        <v>121479681</v>
      </c>
      <c r="K384" s="163"/>
    </row>
    <row r="385" spans="1:11" s="143" customFormat="1" ht="19.5" customHeight="1">
      <c r="A385" s="143">
        <f t="shared" si="10"/>
        <v>7</v>
      </c>
      <c r="B385" s="158">
        <v>41831</v>
      </c>
      <c r="C385" s="159" t="s">
        <v>160</v>
      </c>
      <c r="D385" s="158">
        <v>41831</v>
      </c>
      <c r="E385" s="160" t="s">
        <v>225</v>
      </c>
      <c r="F385" s="160"/>
      <c r="G385" s="161" t="s">
        <v>34</v>
      </c>
      <c r="H385" s="162"/>
      <c r="I385" s="162">
        <v>118690000</v>
      </c>
      <c r="J385" s="163">
        <f t="shared" si="9"/>
        <v>2789681</v>
      </c>
      <c r="K385" s="163"/>
    </row>
    <row r="386" spans="1:11" s="143" customFormat="1" ht="19.5" customHeight="1">
      <c r="A386" s="143">
        <f t="shared" si="10"/>
        <v>7</v>
      </c>
      <c r="B386" s="158">
        <v>41831</v>
      </c>
      <c r="C386" s="159" t="s">
        <v>160</v>
      </c>
      <c r="D386" s="158">
        <v>41831</v>
      </c>
      <c r="E386" s="160" t="s">
        <v>629</v>
      </c>
      <c r="F386" s="160"/>
      <c r="G386" s="161" t="s">
        <v>247</v>
      </c>
      <c r="H386" s="162"/>
      <c r="I386" s="162">
        <v>70770</v>
      </c>
      <c r="J386" s="163">
        <f t="shared" si="9"/>
        <v>2718911</v>
      </c>
      <c r="K386" s="163"/>
    </row>
    <row r="387" spans="1:11" s="143" customFormat="1" ht="19.5" customHeight="1">
      <c r="A387" s="143">
        <f t="shared" si="10"/>
        <v>7</v>
      </c>
      <c r="B387" s="158">
        <v>41831</v>
      </c>
      <c r="C387" s="159" t="s">
        <v>160</v>
      </c>
      <c r="D387" s="158">
        <v>41831</v>
      </c>
      <c r="E387" s="160" t="s">
        <v>630</v>
      </c>
      <c r="F387" s="160"/>
      <c r="G387" s="161" t="s">
        <v>35</v>
      </c>
      <c r="H387" s="162"/>
      <c r="I387" s="162">
        <v>7077</v>
      </c>
      <c r="J387" s="163">
        <f t="shared" si="9"/>
        <v>2711834</v>
      </c>
      <c r="K387" s="163"/>
    </row>
    <row r="388" spans="1:11" s="143" customFormat="1" ht="19.5" customHeight="1">
      <c r="A388" s="143">
        <f t="shared" si="10"/>
        <v>7</v>
      </c>
      <c r="B388" s="158">
        <v>41836</v>
      </c>
      <c r="C388" s="159" t="s">
        <v>160</v>
      </c>
      <c r="D388" s="158">
        <v>41836</v>
      </c>
      <c r="E388" s="160" t="s">
        <v>164</v>
      </c>
      <c r="F388" s="160"/>
      <c r="G388" s="161" t="s">
        <v>162</v>
      </c>
      <c r="H388" s="162">
        <v>1059500000</v>
      </c>
      <c r="I388" s="162"/>
      <c r="J388" s="163">
        <f t="shared" si="9"/>
        <v>1062211834</v>
      </c>
      <c r="K388" s="163"/>
    </row>
    <row r="389" spans="1:11" s="143" customFormat="1" ht="19.5" customHeight="1">
      <c r="A389" s="143">
        <f t="shared" si="10"/>
        <v>7</v>
      </c>
      <c r="B389" s="158">
        <v>41837</v>
      </c>
      <c r="C389" s="159" t="s">
        <v>163</v>
      </c>
      <c r="D389" s="158">
        <v>41837</v>
      </c>
      <c r="E389" s="160" t="s">
        <v>594</v>
      </c>
      <c r="F389" s="160"/>
      <c r="G389" s="161" t="s">
        <v>57</v>
      </c>
      <c r="H389" s="162">
        <v>100000000</v>
      </c>
      <c r="I389" s="162"/>
      <c r="J389" s="163">
        <f t="shared" si="9"/>
        <v>1162211834</v>
      </c>
      <c r="K389" s="163"/>
    </row>
    <row r="390" spans="1:11" s="143" customFormat="1" ht="19.5" customHeight="1">
      <c r="A390" s="143">
        <f t="shared" si="10"/>
        <v>7</v>
      </c>
      <c r="B390" s="158">
        <v>41837</v>
      </c>
      <c r="C390" s="159" t="s">
        <v>163</v>
      </c>
      <c r="D390" s="158">
        <v>41837</v>
      </c>
      <c r="E390" s="160" t="s">
        <v>594</v>
      </c>
      <c r="F390" s="160"/>
      <c r="G390" s="161" t="s">
        <v>57</v>
      </c>
      <c r="H390" s="162">
        <v>200000000</v>
      </c>
      <c r="I390" s="162"/>
      <c r="J390" s="163">
        <f t="shared" si="9"/>
        <v>1362211834</v>
      </c>
      <c r="K390" s="163"/>
    </row>
    <row r="391" spans="1:11" s="143" customFormat="1" ht="19.5" customHeight="1">
      <c r="A391" s="143">
        <f t="shared" si="10"/>
        <v>7</v>
      </c>
      <c r="B391" s="158">
        <v>41837</v>
      </c>
      <c r="C391" s="159" t="s">
        <v>160</v>
      </c>
      <c r="D391" s="158">
        <v>41837</v>
      </c>
      <c r="E391" s="160" t="s">
        <v>216</v>
      </c>
      <c r="F391" s="160"/>
      <c r="G391" s="161" t="s">
        <v>34</v>
      </c>
      <c r="H391" s="162"/>
      <c r="I391" s="162">
        <v>50000000</v>
      </c>
      <c r="J391" s="163">
        <f t="shared" si="9"/>
        <v>1312211834</v>
      </c>
      <c r="K391" s="163"/>
    </row>
    <row r="392" spans="1:11" s="143" customFormat="1" ht="19.5" customHeight="1">
      <c r="A392" s="143">
        <f t="shared" si="10"/>
        <v>7</v>
      </c>
      <c r="B392" s="158">
        <v>41837</v>
      </c>
      <c r="C392" s="159" t="s">
        <v>160</v>
      </c>
      <c r="D392" s="158">
        <v>41837</v>
      </c>
      <c r="E392" s="160" t="s">
        <v>222</v>
      </c>
      <c r="F392" s="160"/>
      <c r="G392" s="161" t="s">
        <v>247</v>
      </c>
      <c r="H392" s="162"/>
      <c r="I392" s="162">
        <v>25000</v>
      </c>
      <c r="J392" s="163">
        <f t="shared" si="9"/>
        <v>1312186834</v>
      </c>
      <c r="K392" s="163"/>
    </row>
    <row r="393" spans="1:11" s="143" customFormat="1" ht="19.5" customHeight="1">
      <c r="A393" s="143">
        <f t="shared" si="10"/>
        <v>7</v>
      </c>
      <c r="B393" s="158">
        <v>41837</v>
      </c>
      <c r="C393" s="159" t="s">
        <v>160</v>
      </c>
      <c r="D393" s="158">
        <v>41837</v>
      </c>
      <c r="E393" s="160" t="s">
        <v>223</v>
      </c>
      <c r="F393" s="160"/>
      <c r="G393" s="161" t="s">
        <v>35</v>
      </c>
      <c r="H393" s="162"/>
      <c r="I393" s="162">
        <v>2500</v>
      </c>
      <c r="J393" s="163">
        <f t="shared" si="9"/>
        <v>1312184334</v>
      </c>
      <c r="K393" s="163"/>
    </row>
    <row r="394" spans="1:11" s="143" customFormat="1" ht="19.5" customHeight="1">
      <c r="A394" s="143">
        <f t="shared" si="10"/>
        <v>7</v>
      </c>
      <c r="B394" s="158">
        <v>41837</v>
      </c>
      <c r="C394" s="159" t="s">
        <v>160</v>
      </c>
      <c r="D394" s="158">
        <v>41837</v>
      </c>
      <c r="E394" s="160" t="s">
        <v>593</v>
      </c>
      <c r="F394" s="160"/>
      <c r="G394" s="161" t="s">
        <v>34</v>
      </c>
      <c r="H394" s="162"/>
      <c r="I394" s="162">
        <v>12000000</v>
      </c>
      <c r="J394" s="163">
        <f t="shared" si="9"/>
        <v>1300184334</v>
      </c>
      <c r="K394" s="163"/>
    </row>
    <row r="395" spans="1:11" s="143" customFormat="1" ht="19.5" customHeight="1">
      <c r="A395" s="143">
        <f t="shared" si="10"/>
        <v>7</v>
      </c>
      <c r="B395" s="158">
        <v>41837</v>
      </c>
      <c r="C395" s="159" t="s">
        <v>160</v>
      </c>
      <c r="D395" s="158">
        <v>41837</v>
      </c>
      <c r="E395" s="160" t="s">
        <v>222</v>
      </c>
      <c r="F395" s="160"/>
      <c r="G395" s="161" t="s">
        <v>247</v>
      </c>
      <c r="H395" s="162"/>
      <c r="I395" s="162">
        <v>20000</v>
      </c>
      <c r="J395" s="163">
        <f t="shared" si="9"/>
        <v>1300164334</v>
      </c>
      <c r="K395" s="163"/>
    </row>
    <row r="396" spans="1:11" s="143" customFormat="1" ht="19.5" customHeight="1">
      <c r="A396" s="143">
        <f t="shared" si="10"/>
        <v>7</v>
      </c>
      <c r="B396" s="158">
        <v>41837</v>
      </c>
      <c r="C396" s="159" t="s">
        <v>160</v>
      </c>
      <c r="D396" s="158">
        <v>41837</v>
      </c>
      <c r="E396" s="160" t="s">
        <v>223</v>
      </c>
      <c r="F396" s="160"/>
      <c r="G396" s="161" t="s">
        <v>35</v>
      </c>
      <c r="H396" s="162"/>
      <c r="I396" s="162">
        <v>2000</v>
      </c>
      <c r="J396" s="163">
        <f t="shared" si="9"/>
        <v>1300162334</v>
      </c>
      <c r="K396" s="163"/>
    </row>
    <row r="397" spans="1:11" s="143" customFormat="1" ht="19.5" customHeight="1">
      <c r="A397" s="143">
        <f t="shared" si="10"/>
        <v>7</v>
      </c>
      <c r="B397" s="158">
        <v>41837</v>
      </c>
      <c r="C397" s="159" t="s">
        <v>160</v>
      </c>
      <c r="D397" s="158">
        <v>41837</v>
      </c>
      <c r="E397" s="160" t="s">
        <v>579</v>
      </c>
      <c r="F397" s="160"/>
      <c r="G397" s="161" t="s">
        <v>34</v>
      </c>
      <c r="H397" s="162"/>
      <c r="I397" s="162">
        <v>1599840</v>
      </c>
      <c r="J397" s="163">
        <f t="shared" si="9"/>
        <v>1298562494</v>
      </c>
      <c r="K397" s="163"/>
    </row>
    <row r="398" spans="1:11" s="143" customFormat="1" ht="19.5" customHeight="1">
      <c r="A398" s="143">
        <f t="shared" si="10"/>
        <v>7</v>
      </c>
      <c r="B398" s="158">
        <v>41837</v>
      </c>
      <c r="C398" s="159" t="s">
        <v>160</v>
      </c>
      <c r="D398" s="158">
        <v>41837</v>
      </c>
      <c r="E398" s="160" t="s">
        <v>222</v>
      </c>
      <c r="F398" s="160"/>
      <c r="G398" s="161" t="s">
        <v>247</v>
      </c>
      <c r="H398" s="162"/>
      <c r="I398" s="162">
        <v>25000</v>
      </c>
      <c r="J398" s="163">
        <f t="shared" si="9"/>
        <v>1298537494</v>
      </c>
      <c r="K398" s="163"/>
    </row>
    <row r="399" spans="1:11" s="143" customFormat="1" ht="19.5" customHeight="1">
      <c r="A399" s="143">
        <f t="shared" si="10"/>
        <v>7</v>
      </c>
      <c r="B399" s="158">
        <v>41837</v>
      </c>
      <c r="C399" s="159" t="s">
        <v>160</v>
      </c>
      <c r="D399" s="158">
        <v>41837</v>
      </c>
      <c r="E399" s="160" t="s">
        <v>223</v>
      </c>
      <c r="F399" s="160"/>
      <c r="G399" s="161" t="s">
        <v>35</v>
      </c>
      <c r="H399" s="162"/>
      <c r="I399" s="162">
        <v>2500</v>
      </c>
      <c r="J399" s="163">
        <f t="shared" si="9"/>
        <v>1298534994</v>
      </c>
      <c r="K399" s="163"/>
    </row>
    <row r="400" spans="1:11" s="143" customFormat="1" ht="19.5" customHeight="1">
      <c r="A400" s="143">
        <f t="shared" si="10"/>
        <v>7</v>
      </c>
      <c r="B400" s="158">
        <v>41837</v>
      </c>
      <c r="C400" s="159" t="s">
        <v>160</v>
      </c>
      <c r="D400" s="158">
        <v>41837</v>
      </c>
      <c r="E400" s="160" t="s">
        <v>576</v>
      </c>
      <c r="F400" s="160"/>
      <c r="G400" s="161" t="s">
        <v>34</v>
      </c>
      <c r="H400" s="162"/>
      <c r="I400" s="162">
        <v>30917370</v>
      </c>
      <c r="J400" s="163">
        <f t="shared" si="9"/>
        <v>1267617624</v>
      </c>
      <c r="K400" s="163"/>
    </row>
    <row r="401" spans="1:11" s="143" customFormat="1" ht="19.5" customHeight="1">
      <c r="A401" s="143">
        <f t="shared" si="10"/>
        <v>7</v>
      </c>
      <c r="B401" s="158">
        <v>41837</v>
      </c>
      <c r="C401" s="159" t="s">
        <v>160</v>
      </c>
      <c r="D401" s="158">
        <v>41837</v>
      </c>
      <c r="E401" s="160" t="s">
        <v>222</v>
      </c>
      <c r="F401" s="160"/>
      <c r="G401" s="161" t="s">
        <v>247</v>
      </c>
      <c r="H401" s="162"/>
      <c r="I401" s="162">
        <v>25000</v>
      </c>
      <c r="J401" s="163">
        <f t="shared" si="9"/>
        <v>1267592624</v>
      </c>
      <c r="K401" s="163"/>
    </row>
    <row r="402" spans="1:11" s="143" customFormat="1" ht="19.5" customHeight="1">
      <c r="A402" s="143">
        <f t="shared" si="10"/>
        <v>7</v>
      </c>
      <c r="B402" s="158">
        <v>41837</v>
      </c>
      <c r="C402" s="159" t="s">
        <v>160</v>
      </c>
      <c r="D402" s="158">
        <v>41837</v>
      </c>
      <c r="E402" s="160" t="s">
        <v>223</v>
      </c>
      <c r="F402" s="160"/>
      <c r="G402" s="161" t="s">
        <v>35</v>
      </c>
      <c r="H402" s="162"/>
      <c r="I402" s="162">
        <v>2500</v>
      </c>
      <c r="J402" s="163">
        <f t="shared" si="9"/>
        <v>1267590124</v>
      </c>
      <c r="K402" s="163"/>
    </row>
    <row r="403" spans="1:11" s="143" customFormat="1" ht="19.5" customHeight="1">
      <c r="A403" s="143">
        <f t="shared" si="10"/>
        <v>7</v>
      </c>
      <c r="B403" s="158">
        <v>41837</v>
      </c>
      <c r="C403" s="159" t="s">
        <v>160</v>
      </c>
      <c r="D403" s="158">
        <v>41837</v>
      </c>
      <c r="E403" s="160" t="s">
        <v>577</v>
      </c>
      <c r="F403" s="160"/>
      <c r="G403" s="161" t="s">
        <v>159</v>
      </c>
      <c r="H403" s="162"/>
      <c r="I403" s="162">
        <v>1260000000</v>
      </c>
      <c r="J403" s="163">
        <f t="shared" ref="J403:J462" si="11">IF(B403&lt;&gt;"",J402+H403-I403,0)</f>
        <v>7590124</v>
      </c>
      <c r="K403" s="163"/>
    </row>
    <row r="404" spans="1:11" s="143" customFormat="1" ht="19.5" customHeight="1">
      <c r="A404" s="143">
        <f t="shared" si="10"/>
        <v>7</v>
      </c>
      <c r="B404" s="158">
        <v>41842</v>
      </c>
      <c r="C404" s="159" t="s">
        <v>160</v>
      </c>
      <c r="D404" s="158">
        <v>41842</v>
      </c>
      <c r="E404" s="160" t="s">
        <v>164</v>
      </c>
      <c r="F404" s="160"/>
      <c r="G404" s="161" t="s">
        <v>162</v>
      </c>
      <c r="H404" s="162">
        <v>712992000</v>
      </c>
      <c r="I404" s="162"/>
      <c r="J404" s="163">
        <f t="shared" si="11"/>
        <v>720582124</v>
      </c>
      <c r="K404" s="163"/>
    </row>
    <row r="405" spans="1:11" s="143" customFormat="1" ht="19.5" customHeight="1">
      <c r="A405" s="143">
        <f t="shared" si="10"/>
        <v>7</v>
      </c>
      <c r="B405" s="158">
        <v>41842</v>
      </c>
      <c r="C405" s="159" t="s">
        <v>160</v>
      </c>
      <c r="D405" s="158">
        <v>41842</v>
      </c>
      <c r="E405" s="160" t="s">
        <v>585</v>
      </c>
      <c r="F405" s="160"/>
      <c r="G405" s="161" t="s">
        <v>34</v>
      </c>
      <c r="H405" s="162"/>
      <c r="I405" s="162">
        <v>1622000</v>
      </c>
      <c r="J405" s="163">
        <f t="shared" si="11"/>
        <v>718960124</v>
      </c>
      <c r="K405" s="163"/>
    </row>
    <row r="406" spans="1:11" s="143" customFormat="1" ht="19.5" customHeight="1">
      <c r="A406" s="143">
        <f t="shared" si="10"/>
        <v>7</v>
      </c>
      <c r="B406" s="158">
        <v>41842</v>
      </c>
      <c r="C406" s="159" t="s">
        <v>160</v>
      </c>
      <c r="D406" s="158">
        <v>41842</v>
      </c>
      <c r="E406" s="160" t="s">
        <v>222</v>
      </c>
      <c r="F406" s="160"/>
      <c r="G406" s="161" t="s">
        <v>247</v>
      </c>
      <c r="H406" s="162"/>
      <c r="I406" s="162">
        <v>20000</v>
      </c>
      <c r="J406" s="163">
        <f t="shared" si="11"/>
        <v>718940124</v>
      </c>
      <c r="K406" s="163"/>
    </row>
    <row r="407" spans="1:11" s="143" customFormat="1" ht="19.5" customHeight="1">
      <c r="A407" s="143">
        <f t="shared" si="10"/>
        <v>7</v>
      </c>
      <c r="B407" s="158">
        <v>41842</v>
      </c>
      <c r="C407" s="159" t="s">
        <v>160</v>
      </c>
      <c r="D407" s="158">
        <v>41842</v>
      </c>
      <c r="E407" s="160" t="s">
        <v>223</v>
      </c>
      <c r="F407" s="160"/>
      <c r="G407" s="161" t="s">
        <v>35</v>
      </c>
      <c r="H407" s="162"/>
      <c r="I407" s="162">
        <v>2000</v>
      </c>
      <c r="J407" s="163">
        <f t="shared" si="11"/>
        <v>718938124</v>
      </c>
      <c r="K407" s="163"/>
    </row>
    <row r="408" spans="1:11" s="143" customFormat="1" ht="19.5" customHeight="1">
      <c r="A408" s="143">
        <f t="shared" si="10"/>
        <v>7</v>
      </c>
      <c r="B408" s="158">
        <v>41842</v>
      </c>
      <c r="C408" s="159" t="s">
        <v>160</v>
      </c>
      <c r="D408" s="158">
        <v>41842</v>
      </c>
      <c r="E408" s="160" t="s">
        <v>635</v>
      </c>
      <c r="F408" s="160"/>
      <c r="G408" s="161" t="s">
        <v>34</v>
      </c>
      <c r="H408" s="162"/>
      <c r="I408" s="162">
        <v>5004375</v>
      </c>
      <c r="J408" s="163">
        <f t="shared" si="11"/>
        <v>713933749</v>
      </c>
      <c r="K408" s="163"/>
    </row>
    <row r="409" spans="1:11" s="143" customFormat="1" ht="19.5" customHeight="1">
      <c r="A409" s="143">
        <f t="shared" ref="A409:A472" si="12">IF(B409&lt;&gt;"",MONTH(B409),"")</f>
        <v>7</v>
      </c>
      <c r="B409" s="158">
        <v>41842</v>
      </c>
      <c r="C409" s="159" t="s">
        <v>160</v>
      </c>
      <c r="D409" s="158">
        <v>41842</v>
      </c>
      <c r="E409" s="160" t="s">
        <v>222</v>
      </c>
      <c r="F409" s="160"/>
      <c r="G409" s="161" t="s">
        <v>247</v>
      </c>
      <c r="H409" s="162"/>
      <c r="I409" s="162">
        <v>20000</v>
      </c>
      <c r="J409" s="163">
        <f t="shared" si="11"/>
        <v>713913749</v>
      </c>
      <c r="K409" s="163"/>
    </row>
    <row r="410" spans="1:11" s="143" customFormat="1" ht="19.5" customHeight="1">
      <c r="A410" s="143">
        <f t="shared" si="12"/>
        <v>7</v>
      </c>
      <c r="B410" s="158">
        <v>41842</v>
      </c>
      <c r="C410" s="159" t="s">
        <v>160</v>
      </c>
      <c r="D410" s="158">
        <v>41842</v>
      </c>
      <c r="E410" s="160" t="s">
        <v>223</v>
      </c>
      <c r="F410" s="160"/>
      <c r="G410" s="161" t="s">
        <v>35</v>
      </c>
      <c r="H410" s="162"/>
      <c r="I410" s="162">
        <v>2000</v>
      </c>
      <c r="J410" s="163">
        <f t="shared" si="11"/>
        <v>713911749</v>
      </c>
      <c r="K410" s="163"/>
    </row>
    <row r="411" spans="1:11" s="143" customFormat="1" ht="19.5" customHeight="1">
      <c r="A411" s="143">
        <f t="shared" si="12"/>
        <v>7</v>
      </c>
      <c r="B411" s="158">
        <v>41843</v>
      </c>
      <c r="C411" s="159" t="s">
        <v>160</v>
      </c>
      <c r="D411" s="158">
        <v>41843</v>
      </c>
      <c r="E411" s="160" t="s">
        <v>577</v>
      </c>
      <c r="F411" s="160"/>
      <c r="G411" s="161" t="s">
        <v>159</v>
      </c>
      <c r="H411" s="162"/>
      <c r="I411" s="162">
        <v>710000000</v>
      </c>
      <c r="J411" s="163">
        <f t="shared" si="11"/>
        <v>3911749</v>
      </c>
      <c r="K411" s="163"/>
    </row>
    <row r="412" spans="1:11" s="143" customFormat="1" ht="19.5" customHeight="1">
      <c r="A412" s="143">
        <f t="shared" si="12"/>
        <v>7</v>
      </c>
      <c r="B412" s="158">
        <v>41845</v>
      </c>
      <c r="C412" s="159" t="s">
        <v>163</v>
      </c>
      <c r="D412" s="158">
        <v>41845</v>
      </c>
      <c r="E412" s="160" t="s">
        <v>588</v>
      </c>
      <c r="F412" s="160"/>
      <c r="G412" s="161" t="s">
        <v>176</v>
      </c>
      <c r="H412" s="162">
        <v>144996</v>
      </c>
      <c r="I412" s="162"/>
      <c r="J412" s="163">
        <f t="shared" si="11"/>
        <v>4056745</v>
      </c>
      <c r="K412" s="163"/>
    </row>
    <row r="413" spans="1:11" s="143" customFormat="1" ht="19.5" customHeight="1">
      <c r="A413" s="143">
        <f t="shared" si="12"/>
        <v>7</v>
      </c>
      <c r="B413" s="158">
        <v>41849</v>
      </c>
      <c r="C413" s="159" t="s">
        <v>160</v>
      </c>
      <c r="D413" s="158">
        <v>41849</v>
      </c>
      <c r="E413" s="160" t="s">
        <v>164</v>
      </c>
      <c r="F413" s="160"/>
      <c r="G413" s="161" t="s">
        <v>162</v>
      </c>
      <c r="H413" s="162">
        <v>936022500</v>
      </c>
      <c r="I413" s="162"/>
      <c r="J413" s="163">
        <f t="shared" si="11"/>
        <v>940079245</v>
      </c>
      <c r="K413" s="163"/>
    </row>
    <row r="414" spans="1:11" s="143" customFormat="1" ht="19.5" customHeight="1">
      <c r="A414" s="143">
        <f t="shared" si="12"/>
        <v>7</v>
      </c>
      <c r="B414" s="158">
        <v>41849</v>
      </c>
      <c r="C414" s="159" t="s">
        <v>160</v>
      </c>
      <c r="D414" s="158">
        <v>41849</v>
      </c>
      <c r="E414" s="160" t="s">
        <v>636</v>
      </c>
      <c r="F414" s="160"/>
      <c r="G414" s="161" t="s">
        <v>34</v>
      </c>
      <c r="H414" s="162"/>
      <c r="I414" s="162">
        <v>300000</v>
      </c>
      <c r="J414" s="163">
        <f t="shared" si="11"/>
        <v>939779245</v>
      </c>
      <c r="K414" s="163"/>
    </row>
    <row r="415" spans="1:11" s="365" customFormat="1" ht="19.5" customHeight="1">
      <c r="A415" s="365">
        <f t="shared" si="12"/>
        <v>7</v>
      </c>
      <c r="B415" s="366">
        <v>41849</v>
      </c>
      <c r="C415" s="364" t="s">
        <v>160</v>
      </c>
      <c r="D415" s="366">
        <v>41849</v>
      </c>
      <c r="E415" s="354" t="s">
        <v>222</v>
      </c>
      <c r="F415" s="354"/>
      <c r="G415" s="367" t="s">
        <v>247</v>
      </c>
      <c r="H415" s="368"/>
      <c r="I415" s="368">
        <v>20000</v>
      </c>
      <c r="J415" s="163">
        <f t="shared" si="11"/>
        <v>939759245</v>
      </c>
      <c r="K415" s="369"/>
    </row>
    <row r="416" spans="1:11" s="365" customFormat="1" ht="19.5" customHeight="1">
      <c r="A416" s="365">
        <f t="shared" si="12"/>
        <v>7</v>
      </c>
      <c r="B416" s="366">
        <v>41849</v>
      </c>
      <c r="C416" s="364" t="s">
        <v>160</v>
      </c>
      <c r="D416" s="366">
        <v>41849</v>
      </c>
      <c r="E416" s="354" t="s">
        <v>223</v>
      </c>
      <c r="F416" s="354"/>
      <c r="G416" s="367" t="s">
        <v>35</v>
      </c>
      <c r="H416" s="368"/>
      <c r="I416" s="368">
        <v>2000</v>
      </c>
      <c r="J416" s="163">
        <f t="shared" si="11"/>
        <v>939757245</v>
      </c>
      <c r="K416" s="369"/>
    </row>
    <row r="417" spans="1:11" s="143" customFormat="1" ht="19.5" customHeight="1">
      <c r="A417" s="143">
        <f t="shared" si="12"/>
        <v>7</v>
      </c>
      <c r="B417" s="158">
        <v>41850</v>
      </c>
      <c r="C417" s="159" t="s">
        <v>160</v>
      </c>
      <c r="D417" s="158">
        <v>41850</v>
      </c>
      <c r="E417" s="160" t="s">
        <v>577</v>
      </c>
      <c r="F417" s="160"/>
      <c r="G417" s="161" t="s">
        <v>159</v>
      </c>
      <c r="H417" s="162"/>
      <c r="I417" s="162">
        <v>935000000</v>
      </c>
      <c r="J417" s="163">
        <f t="shared" si="11"/>
        <v>4757245</v>
      </c>
      <c r="K417" s="163"/>
    </row>
    <row r="418" spans="1:11" s="143" customFormat="1" ht="19.5" customHeight="1">
      <c r="A418" s="143">
        <f t="shared" si="12"/>
        <v>7</v>
      </c>
      <c r="B418" s="158">
        <v>41851</v>
      </c>
      <c r="C418" s="159" t="s">
        <v>160</v>
      </c>
      <c r="D418" s="158">
        <v>41851</v>
      </c>
      <c r="E418" s="160" t="s">
        <v>164</v>
      </c>
      <c r="F418" s="160"/>
      <c r="G418" s="161" t="s">
        <v>162</v>
      </c>
      <c r="H418" s="162">
        <v>106100000</v>
      </c>
      <c r="I418" s="162"/>
      <c r="J418" s="163">
        <f t="shared" si="11"/>
        <v>110857245</v>
      </c>
      <c r="K418" s="163"/>
    </row>
    <row r="419" spans="1:11" s="143" customFormat="1" ht="19.5" customHeight="1">
      <c r="A419" s="143">
        <f t="shared" si="12"/>
        <v>7</v>
      </c>
      <c r="B419" s="158">
        <v>41851</v>
      </c>
      <c r="C419" s="159" t="s">
        <v>160</v>
      </c>
      <c r="D419" s="158">
        <v>41851</v>
      </c>
      <c r="E419" s="160" t="s">
        <v>575</v>
      </c>
      <c r="F419" s="160"/>
      <c r="G419" s="161" t="s">
        <v>57</v>
      </c>
      <c r="H419" s="162"/>
      <c r="I419" s="162">
        <v>50000000</v>
      </c>
      <c r="J419" s="163">
        <f t="shared" si="11"/>
        <v>60857245</v>
      </c>
      <c r="K419" s="163"/>
    </row>
    <row r="420" spans="1:11" s="143" customFormat="1" ht="19.5" customHeight="1">
      <c r="A420" s="143">
        <f t="shared" si="12"/>
        <v>7</v>
      </c>
      <c r="B420" s="158">
        <v>41851</v>
      </c>
      <c r="C420" s="159" t="s">
        <v>160</v>
      </c>
      <c r="D420" s="158">
        <v>41851</v>
      </c>
      <c r="E420" s="160" t="s">
        <v>576</v>
      </c>
      <c r="F420" s="160"/>
      <c r="G420" s="161" t="s">
        <v>34</v>
      </c>
      <c r="H420" s="162"/>
      <c r="I420" s="162">
        <v>31294120</v>
      </c>
      <c r="J420" s="163">
        <f t="shared" si="11"/>
        <v>29563125</v>
      </c>
      <c r="K420" s="163"/>
    </row>
    <row r="421" spans="1:11" s="143" customFormat="1" ht="19.5" customHeight="1">
      <c r="A421" s="143">
        <f t="shared" si="12"/>
        <v>7</v>
      </c>
      <c r="B421" s="158">
        <v>41851</v>
      </c>
      <c r="C421" s="159" t="s">
        <v>160</v>
      </c>
      <c r="D421" s="158">
        <v>41851</v>
      </c>
      <c r="E421" s="160" t="s">
        <v>222</v>
      </c>
      <c r="F421" s="160"/>
      <c r="G421" s="161" t="s">
        <v>247</v>
      </c>
      <c r="H421" s="162"/>
      <c r="I421" s="162">
        <v>25000</v>
      </c>
      <c r="J421" s="163">
        <f t="shared" si="11"/>
        <v>29538125</v>
      </c>
      <c r="K421" s="163"/>
    </row>
    <row r="422" spans="1:11" s="143" customFormat="1" ht="19.5" customHeight="1">
      <c r="A422" s="143">
        <f t="shared" si="12"/>
        <v>7</v>
      </c>
      <c r="B422" s="158">
        <v>41851</v>
      </c>
      <c r="C422" s="159" t="s">
        <v>160</v>
      </c>
      <c r="D422" s="158">
        <v>41851</v>
      </c>
      <c r="E422" s="160" t="s">
        <v>223</v>
      </c>
      <c r="F422" s="160"/>
      <c r="G422" s="161" t="s">
        <v>35</v>
      </c>
      <c r="H422" s="162"/>
      <c r="I422" s="162">
        <v>2500</v>
      </c>
      <c r="J422" s="163">
        <f t="shared" si="11"/>
        <v>29535625</v>
      </c>
      <c r="K422" s="163"/>
    </row>
    <row r="423" spans="1:11" s="143" customFormat="1" ht="19.5" customHeight="1">
      <c r="A423" s="143">
        <f t="shared" si="12"/>
        <v>8</v>
      </c>
      <c r="B423" s="158">
        <v>41855</v>
      </c>
      <c r="C423" s="159" t="s">
        <v>160</v>
      </c>
      <c r="D423" s="158">
        <v>41855</v>
      </c>
      <c r="E423" s="160" t="s">
        <v>164</v>
      </c>
      <c r="F423" s="160"/>
      <c r="G423" s="161" t="s">
        <v>162</v>
      </c>
      <c r="H423" s="162">
        <v>106125000</v>
      </c>
      <c r="I423" s="162"/>
      <c r="J423" s="163">
        <f t="shared" si="11"/>
        <v>135660625</v>
      </c>
      <c r="K423" s="163"/>
    </row>
    <row r="424" spans="1:11" s="143" customFormat="1" ht="19.5" customHeight="1">
      <c r="A424" s="143">
        <f t="shared" si="12"/>
        <v>8</v>
      </c>
      <c r="B424" s="158">
        <v>41855</v>
      </c>
      <c r="C424" s="159" t="s">
        <v>160</v>
      </c>
      <c r="D424" s="158">
        <v>41855</v>
      </c>
      <c r="E424" s="160" t="s">
        <v>591</v>
      </c>
      <c r="F424" s="160"/>
      <c r="G424" s="161" t="s">
        <v>34</v>
      </c>
      <c r="H424" s="162"/>
      <c r="I424" s="162">
        <v>25344000</v>
      </c>
      <c r="J424" s="163">
        <f t="shared" si="11"/>
        <v>110316625</v>
      </c>
      <c r="K424" s="163"/>
    </row>
    <row r="425" spans="1:11" s="143" customFormat="1" ht="19.5" customHeight="1">
      <c r="A425" s="143">
        <f t="shared" si="12"/>
        <v>8</v>
      </c>
      <c r="B425" s="158">
        <v>41855</v>
      </c>
      <c r="C425" s="159" t="s">
        <v>160</v>
      </c>
      <c r="D425" s="158">
        <v>41855</v>
      </c>
      <c r="E425" s="160" t="s">
        <v>222</v>
      </c>
      <c r="F425" s="160"/>
      <c r="G425" s="161" t="s">
        <v>247</v>
      </c>
      <c r="H425" s="162"/>
      <c r="I425" s="162">
        <v>20000</v>
      </c>
      <c r="J425" s="163">
        <f t="shared" si="11"/>
        <v>110296625</v>
      </c>
      <c r="K425" s="163"/>
    </row>
    <row r="426" spans="1:11" s="143" customFormat="1" ht="19.5" customHeight="1">
      <c r="A426" s="143">
        <f t="shared" si="12"/>
        <v>8</v>
      </c>
      <c r="B426" s="158">
        <v>41855</v>
      </c>
      <c r="C426" s="159" t="s">
        <v>160</v>
      </c>
      <c r="D426" s="158">
        <v>41855</v>
      </c>
      <c r="E426" s="160" t="s">
        <v>223</v>
      </c>
      <c r="F426" s="160"/>
      <c r="G426" s="161" t="s">
        <v>35</v>
      </c>
      <c r="H426" s="162"/>
      <c r="I426" s="162">
        <v>2000</v>
      </c>
      <c r="J426" s="163">
        <f t="shared" si="11"/>
        <v>110294625</v>
      </c>
      <c r="K426" s="163"/>
    </row>
    <row r="427" spans="1:11" s="143" customFormat="1" ht="19.5" customHeight="1">
      <c r="A427" s="143">
        <f t="shared" si="12"/>
        <v>8</v>
      </c>
      <c r="B427" s="158">
        <v>41855</v>
      </c>
      <c r="C427" s="159" t="s">
        <v>160</v>
      </c>
      <c r="D427" s="158">
        <v>41855</v>
      </c>
      <c r="E427" s="160" t="s">
        <v>637</v>
      </c>
      <c r="F427" s="160"/>
      <c r="G427" s="161" t="s">
        <v>215</v>
      </c>
      <c r="H427" s="162"/>
      <c r="I427" s="162">
        <v>19002500</v>
      </c>
      <c r="J427" s="163">
        <f t="shared" si="11"/>
        <v>91292125</v>
      </c>
      <c r="K427" s="163"/>
    </row>
    <row r="428" spans="1:11" s="143" customFormat="1" ht="19.5" customHeight="1">
      <c r="A428" s="143">
        <f t="shared" si="12"/>
        <v>8</v>
      </c>
      <c r="B428" s="158">
        <v>41855</v>
      </c>
      <c r="C428" s="159" t="s">
        <v>160</v>
      </c>
      <c r="D428" s="158">
        <v>41855</v>
      </c>
      <c r="E428" s="160" t="s">
        <v>222</v>
      </c>
      <c r="F428" s="160"/>
      <c r="G428" s="161" t="s">
        <v>247</v>
      </c>
      <c r="H428" s="162"/>
      <c r="I428" s="162">
        <v>25000</v>
      </c>
      <c r="J428" s="163">
        <f t="shared" si="11"/>
        <v>91267125</v>
      </c>
      <c r="K428" s="163"/>
    </row>
    <row r="429" spans="1:11" s="143" customFormat="1" ht="19.5" customHeight="1">
      <c r="A429" s="143">
        <f t="shared" si="12"/>
        <v>8</v>
      </c>
      <c r="B429" s="158">
        <v>41855</v>
      </c>
      <c r="C429" s="159" t="s">
        <v>160</v>
      </c>
      <c r="D429" s="158">
        <v>41855</v>
      </c>
      <c r="E429" s="160" t="s">
        <v>223</v>
      </c>
      <c r="F429" s="160"/>
      <c r="G429" s="161" t="s">
        <v>35</v>
      </c>
      <c r="H429" s="162"/>
      <c r="I429" s="162">
        <v>2500</v>
      </c>
      <c r="J429" s="163">
        <f t="shared" si="11"/>
        <v>91264625</v>
      </c>
      <c r="K429" s="163"/>
    </row>
    <row r="430" spans="1:11" s="143" customFormat="1" ht="19.5" customHeight="1">
      <c r="A430" s="143">
        <f t="shared" si="12"/>
        <v>8</v>
      </c>
      <c r="B430" s="158">
        <v>41855</v>
      </c>
      <c r="C430" s="159" t="s">
        <v>160</v>
      </c>
      <c r="D430" s="158">
        <v>41855</v>
      </c>
      <c r="E430" s="160" t="s">
        <v>638</v>
      </c>
      <c r="F430" s="160"/>
      <c r="G430" s="161" t="s">
        <v>215</v>
      </c>
      <c r="H430" s="162"/>
      <c r="I430" s="162">
        <v>8279672</v>
      </c>
      <c r="J430" s="163">
        <f t="shared" si="11"/>
        <v>82984953</v>
      </c>
      <c r="K430" s="163"/>
    </row>
    <row r="431" spans="1:11" s="143" customFormat="1" ht="19.5" customHeight="1">
      <c r="A431" s="143">
        <f t="shared" si="12"/>
        <v>8</v>
      </c>
      <c r="B431" s="158">
        <v>41855</v>
      </c>
      <c r="C431" s="159" t="s">
        <v>160</v>
      </c>
      <c r="D431" s="158">
        <v>41855</v>
      </c>
      <c r="E431" s="160" t="s">
        <v>222</v>
      </c>
      <c r="F431" s="160"/>
      <c r="G431" s="161" t="s">
        <v>247</v>
      </c>
      <c r="H431" s="162"/>
      <c r="I431" s="162">
        <v>25000</v>
      </c>
      <c r="J431" s="163">
        <f t="shared" si="11"/>
        <v>82959953</v>
      </c>
      <c r="K431" s="163"/>
    </row>
    <row r="432" spans="1:11" s="143" customFormat="1" ht="19.5" customHeight="1">
      <c r="A432" s="143">
        <f t="shared" si="12"/>
        <v>8</v>
      </c>
      <c r="B432" s="158">
        <v>41855</v>
      </c>
      <c r="C432" s="159" t="s">
        <v>160</v>
      </c>
      <c r="D432" s="158">
        <v>41855</v>
      </c>
      <c r="E432" s="160" t="s">
        <v>223</v>
      </c>
      <c r="F432" s="160"/>
      <c r="G432" s="161" t="s">
        <v>35</v>
      </c>
      <c r="H432" s="162"/>
      <c r="I432" s="162">
        <v>2500</v>
      </c>
      <c r="J432" s="163">
        <f t="shared" si="11"/>
        <v>82957453</v>
      </c>
      <c r="K432" s="163"/>
    </row>
    <row r="433" spans="1:11" s="143" customFormat="1" ht="19.5" customHeight="1">
      <c r="A433" s="143">
        <f t="shared" si="12"/>
        <v>8</v>
      </c>
      <c r="B433" s="158">
        <v>41855</v>
      </c>
      <c r="C433" s="159" t="s">
        <v>160</v>
      </c>
      <c r="D433" s="158">
        <v>41855</v>
      </c>
      <c r="E433" s="160" t="s">
        <v>639</v>
      </c>
      <c r="F433" s="160"/>
      <c r="G433" s="161" t="s">
        <v>212</v>
      </c>
      <c r="H433" s="162"/>
      <c r="I433" s="162">
        <v>3876041</v>
      </c>
      <c r="J433" s="163">
        <f t="shared" si="11"/>
        <v>79081412</v>
      </c>
      <c r="K433" s="163"/>
    </row>
    <row r="434" spans="1:11" s="365" customFormat="1" ht="19.5" customHeight="1">
      <c r="A434" s="143">
        <f t="shared" si="12"/>
        <v>8</v>
      </c>
      <c r="B434" s="366">
        <v>41855</v>
      </c>
      <c r="C434" s="364" t="s">
        <v>160</v>
      </c>
      <c r="D434" s="366">
        <v>41855</v>
      </c>
      <c r="E434" s="354" t="s">
        <v>222</v>
      </c>
      <c r="F434" s="354"/>
      <c r="G434" s="367" t="s">
        <v>247</v>
      </c>
      <c r="H434" s="368"/>
      <c r="I434" s="368">
        <v>25000</v>
      </c>
      <c r="J434" s="163">
        <f t="shared" si="11"/>
        <v>79056412</v>
      </c>
      <c r="K434" s="369"/>
    </row>
    <row r="435" spans="1:11" s="143" customFormat="1" ht="19.5" customHeight="1">
      <c r="A435" s="143">
        <f t="shared" si="12"/>
        <v>8</v>
      </c>
      <c r="B435" s="158">
        <v>41855</v>
      </c>
      <c r="C435" s="159" t="s">
        <v>160</v>
      </c>
      <c r="D435" s="158">
        <v>41855</v>
      </c>
      <c r="E435" s="160" t="s">
        <v>223</v>
      </c>
      <c r="F435" s="160"/>
      <c r="G435" s="161" t="s">
        <v>35</v>
      </c>
      <c r="H435" s="162"/>
      <c r="I435" s="162">
        <v>2500</v>
      </c>
      <c r="J435" s="163">
        <f t="shared" si="11"/>
        <v>79053912</v>
      </c>
      <c r="K435" s="163"/>
    </row>
    <row r="436" spans="1:11" s="143" customFormat="1" ht="19.5" customHeight="1">
      <c r="A436" s="143">
        <f t="shared" si="12"/>
        <v>8</v>
      </c>
      <c r="B436" s="158">
        <v>41855</v>
      </c>
      <c r="C436" s="159" t="s">
        <v>160</v>
      </c>
      <c r="D436" s="158">
        <v>41855</v>
      </c>
      <c r="E436" s="160" t="s">
        <v>640</v>
      </c>
      <c r="F436" s="160"/>
      <c r="G436" s="161" t="s">
        <v>215</v>
      </c>
      <c r="H436" s="162"/>
      <c r="I436" s="162">
        <v>4351597</v>
      </c>
      <c r="J436" s="163">
        <f t="shared" si="11"/>
        <v>74702315</v>
      </c>
      <c r="K436" s="163"/>
    </row>
    <row r="437" spans="1:11" s="143" customFormat="1" ht="19.5" customHeight="1">
      <c r="A437" s="143">
        <f t="shared" si="12"/>
        <v>8</v>
      </c>
      <c r="B437" s="158">
        <v>41855</v>
      </c>
      <c r="C437" s="159" t="s">
        <v>160</v>
      </c>
      <c r="D437" s="158">
        <v>41855</v>
      </c>
      <c r="E437" s="160" t="s">
        <v>222</v>
      </c>
      <c r="F437" s="160"/>
      <c r="G437" s="161" t="s">
        <v>247</v>
      </c>
      <c r="H437" s="162"/>
      <c r="I437" s="162">
        <v>25000</v>
      </c>
      <c r="J437" s="163">
        <f t="shared" si="11"/>
        <v>74677315</v>
      </c>
      <c r="K437" s="163"/>
    </row>
    <row r="438" spans="1:11" s="143" customFormat="1" ht="19.5" customHeight="1">
      <c r="A438" s="143">
        <f t="shared" si="12"/>
        <v>8</v>
      </c>
      <c r="B438" s="158">
        <v>41855</v>
      </c>
      <c r="C438" s="159" t="s">
        <v>160</v>
      </c>
      <c r="D438" s="158">
        <v>41855</v>
      </c>
      <c r="E438" s="160" t="s">
        <v>223</v>
      </c>
      <c r="F438" s="160"/>
      <c r="G438" s="161" t="s">
        <v>35</v>
      </c>
      <c r="H438" s="162"/>
      <c r="I438" s="162">
        <v>2500</v>
      </c>
      <c r="J438" s="163">
        <f t="shared" si="11"/>
        <v>74674815</v>
      </c>
      <c r="K438" s="163"/>
    </row>
    <row r="439" spans="1:11" s="143" customFormat="1" ht="19.5" customHeight="1">
      <c r="A439" s="143">
        <f t="shared" si="12"/>
        <v>8</v>
      </c>
      <c r="B439" s="158">
        <v>41857</v>
      </c>
      <c r="C439" s="159" t="s">
        <v>160</v>
      </c>
      <c r="D439" s="158">
        <v>41857</v>
      </c>
      <c r="E439" s="160" t="s">
        <v>164</v>
      </c>
      <c r="F439" s="160"/>
      <c r="G439" s="161" t="s">
        <v>162</v>
      </c>
      <c r="H439" s="162">
        <v>1272300000</v>
      </c>
      <c r="I439" s="162"/>
      <c r="J439" s="163">
        <f t="shared" si="11"/>
        <v>1346974815</v>
      </c>
      <c r="K439" s="163"/>
    </row>
    <row r="440" spans="1:11" s="143" customFormat="1" ht="19.5" customHeight="1">
      <c r="A440" s="143">
        <f t="shared" si="12"/>
        <v>8</v>
      </c>
      <c r="B440" s="158">
        <v>41857</v>
      </c>
      <c r="C440" s="159" t="s">
        <v>160</v>
      </c>
      <c r="D440" s="158">
        <v>41857</v>
      </c>
      <c r="E440" s="160" t="s">
        <v>575</v>
      </c>
      <c r="F440" s="160"/>
      <c r="G440" s="161" t="s">
        <v>57</v>
      </c>
      <c r="H440" s="162"/>
      <c r="I440" s="162">
        <v>50000000</v>
      </c>
      <c r="J440" s="163">
        <f t="shared" si="11"/>
        <v>1296974815</v>
      </c>
      <c r="K440" s="163"/>
    </row>
    <row r="441" spans="1:11" s="143" customFormat="1" ht="19.5" customHeight="1">
      <c r="A441" s="143">
        <f t="shared" si="12"/>
        <v>8</v>
      </c>
      <c r="B441" s="158">
        <v>41858</v>
      </c>
      <c r="C441" s="159" t="s">
        <v>160</v>
      </c>
      <c r="D441" s="158">
        <v>41858</v>
      </c>
      <c r="E441" s="160" t="s">
        <v>577</v>
      </c>
      <c r="F441" s="160"/>
      <c r="G441" s="161" t="s">
        <v>159</v>
      </c>
      <c r="H441" s="162"/>
      <c r="I441" s="162">
        <v>1270000000</v>
      </c>
      <c r="J441" s="163">
        <f t="shared" si="11"/>
        <v>26974815</v>
      </c>
      <c r="K441" s="163"/>
    </row>
    <row r="442" spans="1:11" s="143" customFormat="1" ht="19.5" customHeight="1">
      <c r="A442" s="143">
        <f t="shared" si="12"/>
        <v>8</v>
      </c>
      <c r="B442" s="158">
        <v>41859</v>
      </c>
      <c r="C442" s="159" t="s">
        <v>163</v>
      </c>
      <c r="D442" s="158">
        <v>41859</v>
      </c>
      <c r="E442" s="160" t="s">
        <v>220</v>
      </c>
      <c r="F442" s="160"/>
      <c r="G442" s="161" t="s">
        <v>36</v>
      </c>
      <c r="H442" s="162">
        <v>26000000</v>
      </c>
      <c r="I442" s="162"/>
      <c r="J442" s="163">
        <f t="shared" si="11"/>
        <v>52974815</v>
      </c>
      <c r="K442" s="163"/>
    </row>
    <row r="443" spans="1:11" s="143" customFormat="1" ht="19.5" customHeight="1">
      <c r="A443" s="143">
        <f t="shared" si="12"/>
        <v>8</v>
      </c>
      <c r="B443" s="158">
        <v>41859</v>
      </c>
      <c r="C443" s="159" t="s">
        <v>160</v>
      </c>
      <c r="D443" s="158">
        <v>41859</v>
      </c>
      <c r="E443" s="160" t="s">
        <v>224</v>
      </c>
      <c r="F443" s="160"/>
      <c r="G443" s="161" t="s">
        <v>34</v>
      </c>
      <c r="H443" s="162"/>
      <c r="I443" s="162">
        <v>10500000</v>
      </c>
      <c r="J443" s="163">
        <f t="shared" si="11"/>
        <v>42474815</v>
      </c>
      <c r="K443" s="163"/>
    </row>
    <row r="444" spans="1:11" s="143" customFormat="1" ht="19.5" customHeight="1">
      <c r="A444" s="143">
        <f t="shared" si="12"/>
        <v>8</v>
      </c>
      <c r="B444" s="158">
        <v>41859</v>
      </c>
      <c r="C444" s="159" t="s">
        <v>160</v>
      </c>
      <c r="D444" s="158">
        <v>41859</v>
      </c>
      <c r="E444" s="160" t="s">
        <v>222</v>
      </c>
      <c r="F444" s="160"/>
      <c r="G444" s="161" t="s">
        <v>247</v>
      </c>
      <c r="H444" s="162"/>
      <c r="I444" s="162">
        <v>20000</v>
      </c>
      <c r="J444" s="163">
        <f t="shared" si="11"/>
        <v>42454815</v>
      </c>
      <c r="K444" s="163"/>
    </row>
    <row r="445" spans="1:11" s="143" customFormat="1" ht="19.5" customHeight="1">
      <c r="A445" s="143">
        <f t="shared" si="12"/>
        <v>8</v>
      </c>
      <c r="B445" s="158">
        <v>41859</v>
      </c>
      <c r="C445" s="159" t="s">
        <v>160</v>
      </c>
      <c r="D445" s="158">
        <v>41859</v>
      </c>
      <c r="E445" s="160" t="s">
        <v>223</v>
      </c>
      <c r="F445" s="160"/>
      <c r="G445" s="161" t="s">
        <v>35</v>
      </c>
      <c r="H445" s="162"/>
      <c r="I445" s="162">
        <v>2000</v>
      </c>
      <c r="J445" s="163">
        <f t="shared" si="11"/>
        <v>42452815</v>
      </c>
      <c r="K445" s="163"/>
    </row>
    <row r="446" spans="1:11" s="143" customFormat="1" ht="19.5" customHeight="1">
      <c r="A446" s="143">
        <f t="shared" si="12"/>
        <v>8</v>
      </c>
      <c r="B446" s="158">
        <v>41859</v>
      </c>
      <c r="C446" s="159" t="s">
        <v>160</v>
      </c>
      <c r="D446" s="158">
        <v>41859</v>
      </c>
      <c r="E446" s="160" t="s">
        <v>165</v>
      </c>
      <c r="F446" s="160"/>
      <c r="G446" s="161" t="s">
        <v>166</v>
      </c>
      <c r="H446" s="162"/>
      <c r="I446" s="162">
        <v>4518385</v>
      </c>
      <c r="J446" s="163">
        <f t="shared" si="11"/>
        <v>37934430</v>
      </c>
      <c r="K446" s="163"/>
    </row>
    <row r="447" spans="1:11" s="143" customFormat="1" ht="19.5" customHeight="1">
      <c r="A447" s="143">
        <f t="shared" si="12"/>
        <v>8</v>
      </c>
      <c r="B447" s="158">
        <v>41859</v>
      </c>
      <c r="C447" s="159" t="s">
        <v>160</v>
      </c>
      <c r="D447" s="158">
        <v>41859</v>
      </c>
      <c r="E447" s="160" t="s">
        <v>167</v>
      </c>
      <c r="F447" s="160"/>
      <c r="G447" s="161" t="s">
        <v>166</v>
      </c>
      <c r="H447" s="162"/>
      <c r="I447" s="162">
        <v>11794147</v>
      </c>
      <c r="J447" s="163">
        <f t="shared" si="11"/>
        <v>26140283</v>
      </c>
      <c r="K447" s="163"/>
    </row>
    <row r="448" spans="1:11" s="143" customFormat="1" ht="19.5" customHeight="1">
      <c r="A448" s="143">
        <f t="shared" si="12"/>
        <v>8</v>
      </c>
      <c r="B448" s="158">
        <v>41859</v>
      </c>
      <c r="C448" s="159" t="s">
        <v>160</v>
      </c>
      <c r="D448" s="158">
        <v>41859</v>
      </c>
      <c r="E448" s="160" t="s">
        <v>168</v>
      </c>
      <c r="F448" s="160"/>
      <c r="G448" s="161" t="s">
        <v>166</v>
      </c>
      <c r="H448" s="162"/>
      <c r="I448" s="162">
        <v>7355624</v>
      </c>
      <c r="J448" s="163">
        <f t="shared" si="11"/>
        <v>18784659</v>
      </c>
      <c r="K448" s="163"/>
    </row>
    <row r="449" spans="1:11" s="143" customFormat="1" ht="19.5" customHeight="1">
      <c r="A449" s="143">
        <f t="shared" si="12"/>
        <v>8</v>
      </c>
      <c r="B449" s="158">
        <v>41859</v>
      </c>
      <c r="C449" s="159" t="s">
        <v>160</v>
      </c>
      <c r="D449" s="158">
        <v>41859</v>
      </c>
      <c r="E449" s="160" t="s">
        <v>169</v>
      </c>
      <c r="F449" s="160"/>
      <c r="G449" s="161" t="s">
        <v>166</v>
      </c>
      <c r="H449" s="162"/>
      <c r="I449" s="162">
        <v>10297152</v>
      </c>
      <c r="J449" s="163">
        <f t="shared" si="11"/>
        <v>8487507</v>
      </c>
      <c r="K449" s="163"/>
    </row>
    <row r="450" spans="1:11" s="143" customFormat="1" ht="19.5" customHeight="1">
      <c r="A450" s="143">
        <f t="shared" si="12"/>
        <v>8</v>
      </c>
      <c r="B450" s="158">
        <v>41863</v>
      </c>
      <c r="C450" s="159" t="s">
        <v>163</v>
      </c>
      <c r="D450" s="158">
        <v>41863</v>
      </c>
      <c r="E450" s="160" t="s">
        <v>51</v>
      </c>
      <c r="F450" s="160"/>
      <c r="G450" s="161" t="s">
        <v>159</v>
      </c>
      <c r="H450" s="162">
        <v>30000000</v>
      </c>
      <c r="I450" s="162"/>
      <c r="J450" s="163">
        <f t="shared" si="11"/>
        <v>38487507</v>
      </c>
      <c r="K450" s="163"/>
    </row>
    <row r="451" spans="1:11" s="143" customFormat="1" ht="19.5" customHeight="1">
      <c r="A451" s="143">
        <f t="shared" si="12"/>
        <v>8</v>
      </c>
      <c r="B451" s="158">
        <v>41863</v>
      </c>
      <c r="C451" s="159" t="s">
        <v>160</v>
      </c>
      <c r="D451" s="158">
        <v>41863</v>
      </c>
      <c r="E451" s="160" t="s">
        <v>576</v>
      </c>
      <c r="F451" s="160"/>
      <c r="G451" s="161" t="s">
        <v>34</v>
      </c>
      <c r="H451" s="162"/>
      <c r="I451" s="162">
        <v>31031880</v>
      </c>
      <c r="J451" s="163">
        <f t="shared" si="11"/>
        <v>7455627</v>
      </c>
      <c r="K451" s="163"/>
    </row>
    <row r="452" spans="1:11" s="143" customFormat="1" ht="19.5" customHeight="1">
      <c r="A452" s="143">
        <f t="shared" si="12"/>
        <v>8</v>
      </c>
      <c r="B452" s="158">
        <v>41863</v>
      </c>
      <c r="C452" s="159" t="s">
        <v>160</v>
      </c>
      <c r="D452" s="158">
        <v>41863</v>
      </c>
      <c r="E452" s="160" t="s">
        <v>641</v>
      </c>
      <c r="F452" s="160"/>
      <c r="G452" s="161" t="s">
        <v>247</v>
      </c>
      <c r="H452" s="162"/>
      <c r="I452" s="162">
        <v>40000</v>
      </c>
      <c r="J452" s="163">
        <f t="shared" si="11"/>
        <v>7415627</v>
      </c>
      <c r="K452" s="163"/>
    </row>
    <row r="453" spans="1:11" s="143" customFormat="1" ht="19.5" customHeight="1">
      <c r="A453" s="143">
        <f t="shared" si="12"/>
        <v>8</v>
      </c>
      <c r="B453" s="158">
        <v>41863</v>
      </c>
      <c r="C453" s="159" t="s">
        <v>160</v>
      </c>
      <c r="D453" s="158">
        <v>41863</v>
      </c>
      <c r="E453" s="160" t="s">
        <v>642</v>
      </c>
      <c r="F453" s="160"/>
      <c r="G453" s="161" t="s">
        <v>35</v>
      </c>
      <c r="H453" s="162"/>
      <c r="I453" s="162">
        <v>4000</v>
      </c>
      <c r="J453" s="163">
        <f t="shared" si="11"/>
        <v>7411627</v>
      </c>
      <c r="K453" s="163"/>
    </row>
    <row r="454" spans="1:11" s="143" customFormat="1" ht="19.5" customHeight="1">
      <c r="A454" s="143">
        <f t="shared" si="12"/>
        <v>8</v>
      </c>
      <c r="B454" s="158">
        <v>41871</v>
      </c>
      <c r="C454" s="159" t="s">
        <v>160</v>
      </c>
      <c r="D454" s="158">
        <v>41871</v>
      </c>
      <c r="E454" s="160" t="s">
        <v>164</v>
      </c>
      <c r="F454" s="160"/>
      <c r="G454" s="161" t="s">
        <v>162</v>
      </c>
      <c r="H454" s="162">
        <v>1207830000</v>
      </c>
      <c r="I454" s="162"/>
      <c r="J454" s="163">
        <f t="shared" si="11"/>
        <v>1215241627</v>
      </c>
      <c r="K454" s="163"/>
    </row>
    <row r="455" spans="1:11" s="143" customFormat="1" ht="19.5" customHeight="1">
      <c r="A455" s="143">
        <f t="shared" si="12"/>
        <v>8</v>
      </c>
      <c r="B455" s="158">
        <v>41871</v>
      </c>
      <c r="C455" s="159" t="s">
        <v>160</v>
      </c>
      <c r="D455" s="158">
        <v>41871</v>
      </c>
      <c r="E455" s="160" t="s">
        <v>220</v>
      </c>
      <c r="F455" s="160"/>
      <c r="G455" s="161" t="s">
        <v>36</v>
      </c>
      <c r="H455" s="162"/>
      <c r="I455" s="162">
        <v>30000000</v>
      </c>
      <c r="J455" s="163">
        <f t="shared" si="11"/>
        <v>1185241627</v>
      </c>
      <c r="K455" s="163"/>
    </row>
    <row r="456" spans="1:11" s="143" customFormat="1" ht="19.5" customHeight="1">
      <c r="A456" s="143">
        <f t="shared" si="12"/>
        <v>8</v>
      </c>
      <c r="B456" s="158">
        <v>41871</v>
      </c>
      <c r="C456" s="159" t="s">
        <v>160</v>
      </c>
      <c r="D456" s="158">
        <v>41871</v>
      </c>
      <c r="E456" s="160" t="s">
        <v>615</v>
      </c>
      <c r="F456" s="160"/>
      <c r="G456" s="161" t="s">
        <v>34</v>
      </c>
      <c r="H456" s="162"/>
      <c r="I456" s="162">
        <v>40000000</v>
      </c>
      <c r="J456" s="163">
        <f t="shared" si="11"/>
        <v>1145241627</v>
      </c>
      <c r="K456" s="163"/>
    </row>
    <row r="457" spans="1:11" s="143" customFormat="1" ht="19.5" customHeight="1">
      <c r="A457" s="143">
        <f t="shared" si="12"/>
        <v>8</v>
      </c>
      <c r="B457" s="158">
        <v>41872</v>
      </c>
      <c r="C457" s="159" t="s">
        <v>160</v>
      </c>
      <c r="D457" s="158">
        <v>41872</v>
      </c>
      <c r="E457" s="160" t="s">
        <v>576</v>
      </c>
      <c r="F457" s="160"/>
      <c r="G457" s="161" t="s">
        <v>34</v>
      </c>
      <c r="H457" s="162"/>
      <c r="I457" s="162">
        <v>22188210</v>
      </c>
      <c r="J457" s="163">
        <f t="shared" si="11"/>
        <v>1123053417</v>
      </c>
      <c r="K457" s="163"/>
    </row>
    <row r="458" spans="1:11" s="143" customFormat="1" ht="19.5" customHeight="1">
      <c r="A458" s="143">
        <f t="shared" si="12"/>
        <v>8</v>
      </c>
      <c r="B458" s="158">
        <v>41872</v>
      </c>
      <c r="C458" s="159" t="s">
        <v>160</v>
      </c>
      <c r="D458" s="158">
        <v>41872</v>
      </c>
      <c r="E458" s="160" t="s">
        <v>643</v>
      </c>
      <c r="F458" s="160"/>
      <c r="G458" s="161" t="s">
        <v>247</v>
      </c>
      <c r="H458" s="162"/>
      <c r="I458" s="162">
        <v>25000</v>
      </c>
      <c r="J458" s="163">
        <f t="shared" si="11"/>
        <v>1123028417</v>
      </c>
      <c r="K458" s="163"/>
    </row>
    <row r="459" spans="1:11" s="143" customFormat="1" ht="19.5" customHeight="1">
      <c r="A459" s="143">
        <f t="shared" si="12"/>
        <v>8</v>
      </c>
      <c r="B459" s="158">
        <v>41872</v>
      </c>
      <c r="C459" s="159" t="s">
        <v>160</v>
      </c>
      <c r="D459" s="158">
        <v>41872</v>
      </c>
      <c r="E459" s="160" t="s">
        <v>644</v>
      </c>
      <c r="F459" s="160"/>
      <c r="G459" s="161" t="s">
        <v>35</v>
      </c>
      <c r="H459" s="162"/>
      <c r="I459" s="162">
        <v>2500</v>
      </c>
      <c r="J459" s="163">
        <f t="shared" si="11"/>
        <v>1123025917</v>
      </c>
      <c r="K459" s="163"/>
    </row>
    <row r="460" spans="1:11" s="143" customFormat="1" ht="19.5" customHeight="1">
      <c r="A460" s="143">
        <f t="shared" si="12"/>
        <v>8</v>
      </c>
      <c r="B460" s="158">
        <v>41872</v>
      </c>
      <c r="C460" s="159" t="s">
        <v>160</v>
      </c>
      <c r="D460" s="158">
        <v>41872</v>
      </c>
      <c r="E460" s="160" t="s">
        <v>577</v>
      </c>
      <c r="F460" s="160"/>
      <c r="G460" s="161" t="s">
        <v>159</v>
      </c>
      <c r="H460" s="162"/>
      <c r="I460" s="162">
        <v>1100000000</v>
      </c>
      <c r="J460" s="163">
        <f t="shared" si="11"/>
        <v>23025917</v>
      </c>
      <c r="K460" s="163"/>
    </row>
    <row r="461" spans="1:11" s="143" customFormat="1" ht="19.5" customHeight="1">
      <c r="A461" s="143">
        <f t="shared" si="12"/>
        <v>8</v>
      </c>
      <c r="B461" s="158">
        <v>41876</v>
      </c>
      <c r="C461" s="159" t="s">
        <v>163</v>
      </c>
      <c r="D461" s="158">
        <v>41876</v>
      </c>
      <c r="E461" s="160" t="s">
        <v>588</v>
      </c>
      <c r="F461" s="160"/>
      <c r="G461" s="161" t="s">
        <v>176</v>
      </c>
      <c r="H461" s="162">
        <v>53608</v>
      </c>
      <c r="I461" s="162"/>
      <c r="J461" s="163">
        <f t="shared" si="11"/>
        <v>23079525</v>
      </c>
      <c r="K461" s="163"/>
    </row>
    <row r="462" spans="1:11" s="143" customFormat="1" ht="19.5" customHeight="1">
      <c r="A462" s="143">
        <f t="shared" si="12"/>
        <v>8</v>
      </c>
      <c r="B462" s="158">
        <v>41876</v>
      </c>
      <c r="C462" s="159" t="s">
        <v>160</v>
      </c>
      <c r="D462" s="158">
        <v>41876</v>
      </c>
      <c r="E462" s="160" t="s">
        <v>164</v>
      </c>
      <c r="F462" s="160"/>
      <c r="G462" s="161" t="s">
        <v>162</v>
      </c>
      <c r="H462" s="162">
        <v>1340156000</v>
      </c>
      <c r="I462" s="162"/>
      <c r="J462" s="163">
        <f t="shared" si="11"/>
        <v>1363235525</v>
      </c>
      <c r="K462" s="163"/>
    </row>
    <row r="463" spans="1:11" s="143" customFormat="1" ht="19.5" customHeight="1">
      <c r="A463" s="143">
        <f t="shared" si="12"/>
        <v>8</v>
      </c>
      <c r="B463" s="158">
        <v>41876</v>
      </c>
      <c r="C463" s="159" t="s">
        <v>160</v>
      </c>
      <c r="D463" s="158">
        <v>41876</v>
      </c>
      <c r="E463" s="160" t="s">
        <v>575</v>
      </c>
      <c r="F463" s="160"/>
      <c r="G463" s="161" t="s">
        <v>57</v>
      </c>
      <c r="H463" s="162"/>
      <c r="I463" s="162">
        <v>1200000000</v>
      </c>
      <c r="J463" s="163">
        <f t="shared" ref="J463:J526" si="13">IF(B463&lt;&gt;"",J462+H463-I463,0)</f>
        <v>163235525</v>
      </c>
      <c r="K463" s="163"/>
    </row>
    <row r="464" spans="1:11" s="143" customFormat="1" ht="19.5" customHeight="1">
      <c r="A464" s="143">
        <f t="shared" si="12"/>
        <v>8</v>
      </c>
      <c r="B464" s="158">
        <v>41877</v>
      </c>
      <c r="C464" s="159" t="s">
        <v>163</v>
      </c>
      <c r="D464" s="158">
        <v>41877</v>
      </c>
      <c r="E464" s="160" t="s">
        <v>594</v>
      </c>
      <c r="F464" s="160"/>
      <c r="G464" s="161" t="s">
        <v>57</v>
      </c>
      <c r="H464" s="162">
        <v>25000000</v>
      </c>
      <c r="I464" s="162"/>
      <c r="J464" s="163">
        <f t="shared" si="13"/>
        <v>188235525</v>
      </c>
      <c r="K464" s="163"/>
    </row>
    <row r="465" spans="1:11" s="143" customFormat="1" ht="19.5" customHeight="1">
      <c r="A465" s="143">
        <f t="shared" si="12"/>
        <v>8</v>
      </c>
      <c r="B465" s="158">
        <v>41877</v>
      </c>
      <c r="C465" s="159" t="s">
        <v>160</v>
      </c>
      <c r="D465" s="158">
        <v>41877</v>
      </c>
      <c r="E465" s="160" t="s">
        <v>645</v>
      </c>
      <c r="F465" s="160"/>
      <c r="G465" s="161" t="s">
        <v>34</v>
      </c>
      <c r="H465" s="162"/>
      <c r="I465" s="162">
        <v>42174000</v>
      </c>
      <c r="J465" s="163">
        <f t="shared" si="13"/>
        <v>146061525</v>
      </c>
      <c r="K465" s="163"/>
    </row>
    <row r="466" spans="1:11" s="143" customFormat="1" ht="19.5" customHeight="1">
      <c r="A466" s="143">
        <f t="shared" si="12"/>
        <v>8</v>
      </c>
      <c r="B466" s="158">
        <v>41877</v>
      </c>
      <c r="C466" s="159" t="s">
        <v>160</v>
      </c>
      <c r="D466" s="158">
        <v>41877</v>
      </c>
      <c r="E466" s="160" t="s">
        <v>643</v>
      </c>
      <c r="F466" s="160"/>
      <c r="G466" s="161" t="s">
        <v>247</v>
      </c>
      <c r="H466" s="162"/>
      <c r="I466" s="162">
        <v>20000</v>
      </c>
      <c r="J466" s="163">
        <f t="shared" si="13"/>
        <v>146041525</v>
      </c>
      <c r="K466" s="163"/>
    </row>
    <row r="467" spans="1:11" s="143" customFormat="1" ht="19.5" customHeight="1">
      <c r="A467" s="143">
        <f t="shared" si="12"/>
        <v>8</v>
      </c>
      <c r="B467" s="158">
        <v>41877</v>
      </c>
      <c r="C467" s="159" t="s">
        <v>160</v>
      </c>
      <c r="D467" s="158">
        <v>41877</v>
      </c>
      <c r="E467" s="160" t="s">
        <v>644</v>
      </c>
      <c r="F467" s="160"/>
      <c r="G467" s="161" t="s">
        <v>35</v>
      </c>
      <c r="H467" s="162"/>
      <c r="I467" s="162">
        <v>2000</v>
      </c>
      <c r="J467" s="163">
        <f t="shared" si="13"/>
        <v>146039525</v>
      </c>
      <c r="K467" s="163"/>
    </row>
    <row r="468" spans="1:11" s="143" customFormat="1" ht="19.5" customHeight="1">
      <c r="A468" s="143">
        <f t="shared" si="12"/>
        <v>8</v>
      </c>
      <c r="B468" s="158">
        <v>41877</v>
      </c>
      <c r="C468" s="159" t="s">
        <v>160</v>
      </c>
      <c r="D468" s="158">
        <v>41877</v>
      </c>
      <c r="E468" s="160" t="s">
        <v>595</v>
      </c>
      <c r="F468" s="160"/>
      <c r="G468" s="161" t="s">
        <v>34</v>
      </c>
      <c r="H468" s="162"/>
      <c r="I468" s="162">
        <v>114922363</v>
      </c>
      <c r="J468" s="163">
        <f t="shared" si="13"/>
        <v>31117162</v>
      </c>
      <c r="K468" s="163"/>
    </row>
    <row r="469" spans="1:11" s="143" customFormat="1" ht="19.5" customHeight="1">
      <c r="A469" s="143">
        <f t="shared" si="12"/>
        <v>8</v>
      </c>
      <c r="B469" s="158">
        <v>41877</v>
      </c>
      <c r="C469" s="159" t="s">
        <v>160</v>
      </c>
      <c r="D469" s="158">
        <v>41877</v>
      </c>
      <c r="E469" s="160" t="s">
        <v>222</v>
      </c>
      <c r="F469" s="160"/>
      <c r="G469" s="161" t="s">
        <v>247</v>
      </c>
      <c r="H469" s="162"/>
      <c r="I469" s="162">
        <v>34477</v>
      </c>
      <c r="J469" s="163">
        <f t="shared" si="13"/>
        <v>31082685</v>
      </c>
      <c r="K469" s="163"/>
    </row>
    <row r="470" spans="1:11" s="143" customFormat="1" ht="19.5" customHeight="1">
      <c r="A470" s="143">
        <f t="shared" si="12"/>
        <v>8</v>
      </c>
      <c r="B470" s="158">
        <v>41877</v>
      </c>
      <c r="C470" s="159" t="s">
        <v>160</v>
      </c>
      <c r="D470" s="158">
        <v>41877</v>
      </c>
      <c r="E470" s="160" t="s">
        <v>646</v>
      </c>
      <c r="F470" s="160"/>
      <c r="G470" s="161" t="s">
        <v>35</v>
      </c>
      <c r="H470" s="162"/>
      <c r="I470" s="162">
        <v>3448</v>
      </c>
      <c r="J470" s="163">
        <f t="shared" si="13"/>
        <v>31079237</v>
      </c>
      <c r="K470" s="163"/>
    </row>
    <row r="471" spans="1:11" s="143" customFormat="1" ht="19.5" customHeight="1">
      <c r="A471" s="143">
        <f t="shared" si="12"/>
        <v>8</v>
      </c>
      <c r="B471" s="158">
        <v>41877</v>
      </c>
      <c r="C471" s="159" t="s">
        <v>160</v>
      </c>
      <c r="D471" s="158">
        <v>41877</v>
      </c>
      <c r="E471" s="160" t="s">
        <v>576</v>
      </c>
      <c r="F471" s="160"/>
      <c r="G471" s="161" t="s">
        <v>34</v>
      </c>
      <c r="H471" s="162"/>
      <c r="I471" s="162">
        <v>21334720</v>
      </c>
      <c r="J471" s="163">
        <f t="shared" si="13"/>
        <v>9744517</v>
      </c>
      <c r="K471" s="163"/>
    </row>
    <row r="472" spans="1:11" s="143" customFormat="1" ht="19.5" customHeight="1">
      <c r="A472" s="143">
        <f t="shared" si="12"/>
        <v>8</v>
      </c>
      <c r="B472" s="158">
        <v>41877</v>
      </c>
      <c r="C472" s="159" t="s">
        <v>160</v>
      </c>
      <c r="D472" s="158">
        <v>41877</v>
      </c>
      <c r="E472" s="160" t="s">
        <v>643</v>
      </c>
      <c r="F472" s="160"/>
      <c r="G472" s="161" t="s">
        <v>247</v>
      </c>
      <c r="H472" s="162"/>
      <c r="I472" s="162">
        <v>25000</v>
      </c>
      <c r="J472" s="163">
        <f t="shared" si="13"/>
        <v>9719517</v>
      </c>
      <c r="K472" s="163"/>
    </row>
    <row r="473" spans="1:11" s="143" customFormat="1" ht="19.5" customHeight="1">
      <c r="A473" s="143">
        <f t="shared" ref="A473:A536" si="14">IF(B473&lt;&gt;"",MONTH(B473),"")</f>
        <v>8</v>
      </c>
      <c r="B473" s="158">
        <v>41877</v>
      </c>
      <c r="C473" s="159" t="s">
        <v>160</v>
      </c>
      <c r="D473" s="158">
        <v>41877</v>
      </c>
      <c r="E473" s="160" t="s">
        <v>644</v>
      </c>
      <c r="F473" s="160"/>
      <c r="G473" s="161" t="s">
        <v>35</v>
      </c>
      <c r="H473" s="162"/>
      <c r="I473" s="162">
        <v>2500</v>
      </c>
      <c r="J473" s="163">
        <f t="shared" si="13"/>
        <v>9717017</v>
      </c>
      <c r="K473" s="163"/>
    </row>
    <row r="474" spans="1:11" s="143" customFormat="1" ht="19.5" customHeight="1">
      <c r="A474" s="143">
        <f t="shared" si="14"/>
        <v>8</v>
      </c>
      <c r="B474" s="158">
        <v>41879</v>
      </c>
      <c r="C474" s="159" t="s">
        <v>160</v>
      </c>
      <c r="D474" s="158">
        <v>41879</v>
      </c>
      <c r="E474" s="160" t="s">
        <v>164</v>
      </c>
      <c r="F474" s="160"/>
      <c r="G474" s="161" t="s">
        <v>162</v>
      </c>
      <c r="H474" s="162">
        <v>364468000</v>
      </c>
      <c r="I474" s="162"/>
      <c r="J474" s="163">
        <f t="shared" si="13"/>
        <v>374185017</v>
      </c>
      <c r="K474" s="163"/>
    </row>
    <row r="475" spans="1:11" s="143" customFormat="1" ht="19.5" customHeight="1">
      <c r="A475" s="143">
        <f t="shared" si="14"/>
        <v>8</v>
      </c>
      <c r="B475" s="158">
        <v>41880</v>
      </c>
      <c r="C475" s="159" t="s">
        <v>163</v>
      </c>
      <c r="D475" s="158">
        <v>41880</v>
      </c>
      <c r="E475" s="160" t="s">
        <v>51</v>
      </c>
      <c r="F475" s="160"/>
      <c r="G475" s="161" t="s">
        <v>159</v>
      </c>
      <c r="H475" s="162">
        <v>70000000</v>
      </c>
      <c r="I475" s="162"/>
      <c r="J475" s="163">
        <f t="shared" si="13"/>
        <v>444185017</v>
      </c>
      <c r="K475" s="163"/>
    </row>
    <row r="476" spans="1:11" s="143" customFormat="1" ht="19.5" customHeight="1">
      <c r="A476" s="143">
        <f t="shared" si="14"/>
        <v>8</v>
      </c>
      <c r="B476" s="158">
        <v>41880</v>
      </c>
      <c r="C476" s="159" t="s">
        <v>160</v>
      </c>
      <c r="D476" s="158">
        <v>41880</v>
      </c>
      <c r="E476" s="160" t="s">
        <v>576</v>
      </c>
      <c r="F476" s="160"/>
      <c r="G476" s="161" t="s">
        <v>34</v>
      </c>
      <c r="H476" s="162"/>
      <c r="I476" s="162">
        <v>27796450</v>
      </c>
      <c r="J476" s="163">
        <f t="shared" si="13"/>
        <v>416388567</v>
      </c>
      <c r="K476" s="163"/>
    </row>
    <row r="477" spans="1:11" s="143" customFormat="1" ht="19.5" customHeight="1">
      <c r="A477" s="143">
        <f t="shared" si="14"/>
        <v>8</v>
      </c>
      <c r="B477" s="158">
        <v>41880</v>
      </c>
      <c r="C477" s="159" t="s">
        <v>160</v>
      </c>
      <c r="D477" s="158">
        <v>41880</v>
      </c>
      <c r="E477" s="160" t="s">
        <v>643</v>
      </c>
      <c r="F477" s="160"/>
      <c r="G477" s="161" t="s">
        <v>247</v>
      </c>
      <c r="H477" s="162"/>
      <c r="I477" s="162">
        <v>25000</v>
      </c>
      <c r="J477" s="163">
        <f t="shared" si="13"/>
        <v>416363567</v>
      </c>
      <c r="K477" s="163"/>
    </row>
    <row r="478" spans="1:11" s="143" customFormat="1" ht="19.5" customHeight="1">
      <c r="A478" s="143">
        <f t="shared" si="14"/>
        <v>8</v>
      </c>
      <c r="B478" s="158">
        <v>41880</v>
      </c>
      <c r="C478" s="159" t="s">
        <v>160</v>
      </c>
      <c r="D478" s="158">
        <v>41880</v>
      </c>
      <c r="E478" s="160" t="s">
        <v>644</v>
      </c>
      <c r="F478" s="160"/>
      <c r="G478" s="161" t="s">
        <v>35</v>
      </c>
      <c r="H478" s="162"/>
      <c r="I478" s="162">
        <v>2500</v>
      </c>
      <c r="J478" s="163">
        <f t="shared" si="13"/>
        <v>416361067</v>
      </c>
      <c r="K478" s="163"/>
    </row>
    <row r="479" spans="1:11" s="143" customFormat="1" ht="19.5" customHeight="1">
      <c r="A479" s="143">
        <f t="shared" si="14"/>
        <v>8</v>
      </c>
      <c r="B479" s="158">
        <v>41880</v>
      </c>
      <c r="C479" s="159" t="s">
        <v>160</v>
      </c>
      <c r="D479" s="158">
        <v>41880</v>
      </c>
      <c r="E479" s="160" t="s">
        <v>216</v>
      </c>
      <c r="F479" s="160"/>
      <c r="G479" s="161" t="s">
        <v>34</v>
      </c>
      <c r="H479" s="162"/>
      <c r="I479" s="162">
        <v>70000000</v>
      </c>
      <c r="J479" s="163">
        <f t="shared" si="13"/>
        <v>346361067</v>
      </c>
      <c r="K479" s="163"/>
    </row>
    <row r="480" spans="1:11" s="143" customFormat="1" ht="19.5" customHeight="1">
      <c r="A480" s="143">
        <f t="shared" si="14"/>
        <v>8</v>
      </c>
      <c r="B480" s="158">
        <v>41880</v>
      </c>
      <c r="C480" s="159" t="s">
        <v>160</v>
      </c>
      <c r="D480" s="158">
        <v>41880</v>
      </c>
      <c r="E480" s="160" t="s">
        <v>643</v>
      </c>
      <c r="F480" s="160"/>
      <c r="G480" s="161" t="s">
        <v>247</v>
      </c>
      <c r="H480" s="162"/>
      <c r="I480" s="162">
        <v>35000</v>
      </c>
      <c r="J480" s="163">
        <f t="shared" si="13"/>
        <v>346326067</v>
      </c>
      <c r="K480" s="163"/>
    </row>
    <row r="481" spans="1:11" s="143" customFormat="1" ht="19.5" customHeight="1">
      <c r="A481" s="143">
        <f t="shared" si="14"/>
        <v>8</v>
      </c>
      <c r="B481" s="158">
        <v>41880</v>
      </c>
      <c r="C481" s="159" t="s">
        <v>160</v>
      </c>
      <c r="D481" s="158">
        <v>41880</v>
      </c>
      <c r="E481" s="160" t="s">
        <v>644</v>
      </c>
      <c r="F481" s="160"/>
      <c r="G481" s="161" t="s">
        <v>35</v>
      </c>
      <c r="H481" s="162"/>
      <c r="I481" s="162">
        <v>3500</v>
      </c>
      <c r="J481" s="163">
        <f t="shared" si="13"/>
        <v>346322567</v>
      </c>
      <c r="K481" s="163"/>
    </row>
    <row r="482" spans="1:11" s="143" customFormat="1" ht="19.5" customHeight="1">
      <c r="A482" s="143">
        <f t="shared" si="14"/>
        <v>8</v>
      </c>
      <c r="B482" s="158">
        <v>41880</v>
      </c>
      <c r="C482" s="159" t="s">
        <v>160</v>
      </c>
      <c r="D482" s="158">
        <v>41880</v>
      </c>
      <c r="E482" s="160" t="s">
        <v>577</v>
      </c>
      <c r="F482" s="160"/>
      <c r="G482" s="161" t="s">
        <v>159</v>
      </c>
      <c r="H482" s="162"/>
      <c r="I482" s="162">
        <v>345000000</v>
      </c>
      <c r="J482" s="163">
        <f t="shared" si="13"/>
        <v>1322567</v>
      </c>
      <c r="K482" s="163"/>
    </row>
    <row r="483" spans="1:11" s="143" customFormat="1" ht="19.5" customHeight="1">
      <c r="A483" s="143">
        <f t="shared" si="14"/>
        <v>9</v>
      </c>
      <c r="B483" s="158">
        <v>41892</v>
      </c>
      <c r="C483" s="159" t="s">
        <v>163</v>
      </c>
      <c r="D483" s="158">
        <v>41892</v>
      </c>
      <c r="E483" s="160" t="s">
        <v>51</v>
      </c>
      <c r="F483" s="160"/>
      <c r="G483" s="161" t="s">
        <v>159</v>
      </c>
      <c r="H483" s="162">
        <v>620000000</v>
      </c>
      <c r="I483" s="162"/>
      <c r="J483" s="163">
        <f t="shared" si="13"/>
        <v>621322567</v>
      </c>
      <c r="K483" s="163"/>
    </row>
    <row r="484" spans="1:11" s="143" customFormat="1" ht="19.5" customHeight="1">
      <c r="A484" s="143">
        <f t="shared" si="14"/>
        <v>9</v>
      </c>
      <c r="B484" s="158">
        <v>41906</v>
      </c>
      <c r="C484" s="159" t="s">
        <v>163</v>
      </c>
      <c r="D484" s="158">
        <v>41906</v>
      </c>
      <c r="E484" s="160" t="s">
        <v>51</v>
      </c>
      <c r="F484" s="160"/>
      <c r="G484" s="161" t="s">
        <v>159</v>
      </c>
      <c r="H484" s="162">
        <v>1150000000</v>
      </c>
      <c r="I484" s="162"/>
      <c r="J484" s="163">
        <f t="shared" si="13"/>
        <v>1771322567</v>
      </c>
      <c r="K484" s="163"/>
    </row>
    <row r="485" spans="1:11" s="143" customFormat="1" ht="19.5" customHeight="1">
      <c r="A485" s="143">
        <f t="shared" si="14"/>
        <v>9</v>
      </c>
      <c r="B485" s="158">
        <v>41907</v>
      </c>
      <c r="C485" s="159" t="s">
        <v>163</v>
      </c>
      <c r="D485" s="158">
        <v>41907</v>
      </c>
      <c r="E485" s="160" t="s">
        <v>51</v>
      </c>
      <c r="F485" s="160"/>
      <c r="G485" s="161" t="s">
        <v>159</v>
      </c>
      <c r="H485" s="162">
        <v>100000000</v>
      </c>
      <c r="I485" s="162"/>
      <c r="J485" s="163">
        <f t="shared" si="13"/>
        <v>1871322567</v>
      </c>
      <c r="K485" s="163"/>
    </row>
    <row r="486" spans="1:11" s="143" customFormat="1" ht="19.5" customHeight="1">
      <c r="A486" s="143">
        <f t="shared" si="14"/>
        <v>9</v>
      </c>
      <c r="B486" s="158">
        <v>41890</v>
      </c>
      <c r="C486" s="159" t="s">
        <v>163</v>
      </c>
      <c r="D486" s="158">
        <v>41890</v>
      </c>
      <c r="E486" s="160" t="s">
        <v>164</v>
      </c>
      <c r="F486" s="160"/>
      <c r="G486" s="161" t="s">
        <v>162</v>
      </c>
      <c r="H486" s="162">
        <v>985567500</v>
      </c>
      <c r="I486" s="162"/>
      <c r="J486" s="163">
        <f t="shared" si="13"/>
        <v>2856890067</v>
      </c>
      <c r="K486" s="163"/>
    </row>
    <row r="487" spans="1:11" s="143" customFormat="1" ht="19.5" customHeight="1">
      <c r="A487" s="143">
        <f t="shared" si="14"/>
        <v>9</v>
      </c>
      <c r="B487" s="158">
        <v>41893</v>
      </c>
      <c r="C487" s="159" t="s">
        <v>163</v>
      </c>
      <c r="D487" s="158">
        <v>41893</v>
      </c>
      <c r="E487" s="160" t="s">
        <v>164</v>
      </c>
      <c r="F487" s="160"/>
      <c r="G487" s="161" t="s">
        <v>162</v>
      </c>
      <c r="H487" s="162">
        <v>1078698350</v>
      </c>
      <c r="I487" s="162"/>
      <c r="J487" s="163">
        <f t="shared" si="13"/>
        <v>3935588417</v>
      </c>
      <c r="K487" s="163"/>
    </row>
    <row r="488" spans="1:11" s="143" customFormat="1" ht="19.5" customHeight="1">
      <c r="A488" s="143">
        <f t="shared" si="14"/>
        <v>9</v>
      </c>
      <c r="B488" s="158">
        <v>41899</v>
      </c>
      <c r="C488" s="159" t="s">
        <v>163</v>
      </c>
      <c r="D488" s="158">
        <v>41899</v>
      </c>
      <c r="E488" s="160" t="s">
        <v>164</v>
      </c>
      <c r="F488" s="160"/>
      <c r="G488" s="161" t="s">
        <v>162</v>
      </c>
      <c r="H488" s="162">
        <v>671881500</v>
      </c>
      <c r="I488" s="162"/>
      <c r="J488" s="163">
        <f t="shared" si="13"/>
        <v>4607469917</v>
      </c>
      <c r="K488" s="163"/>
    </row>
    <row r="489" spans="1:11" s="143" customFormat="1" ht="19.5" customHeight="1">
      <c r="A489" s="143">
        <f t="shared" si="14"/>
        <v>9</v>
      </c>
      <c r="B489" s="158">
        <v>41906</v>
      </c>
      <c r="C489" s="159" t="s">
        <v>163</v>
      </c>
      <c r="D489" s="158">
        <v>41906</v>
      </c>
      <c r="E489" s="160" t="s">
        <v>164</v>
      </c>
      <c r="F489" s="160"/>
      <c r="G489" s="161" t="s">
        <v>162</v>
      </c>
      <c r="H489" s="162">
        <v>1910070000</v>
      </c>
      <c r="I489" s="162"/>
      <c r="J489" s="163">
        <f t="shared" si="13"/>
        <v>6517539917</v>
      </c>
      <c r="K489" s="163"/>
    </row>
    <row r="490" spans="1:11" s="143" customFormat="1" ht="19.5" customHeight="1">
      <c r="A490" s="143">
        <f t="shared" si="14"/>
        <v>9</v>
      </c>
      <c r="B490" s="158">
        <v>41907</v>
      </c>
      <c r="C490" s="159" t="s">
        <v>163</v>
      </c>
      <c r="D490" s="158">
        <v>41907</v>
      </c>
      <c r="E490" s="160" t="s">
        <v>588</v>
      </c>
      <c r="F490" s="160"/>
      <c r="G490" s="161" t="s">
        <v>176</v>
      </c>
      <c r="H490" s="162">
        <v>30616</v>
      </c>
      <c r="I490" s="162"/>
      <c r="J490" s="163">
        <f t="shared" si="13"/>
        <v>6517570533</v>
      </c>
      <c r="K490" s="163"/>
    </row>
    <row r="491" spans="1:11" s="143" customFormat="1" ht="19.5" customHeight="1">
      <c r="A491" s="143">
        <f t="shared" si="14"/>
        <v>9</v>
      </c>
      <c r="B491" s="158">
        <v>41892</v>
      </c>
      <c r="C491" s="159" t="s">
        <v>160</v>
      </c>
      <c r="D491" s="158">
        <v>41892</v>
      </c>
      <c r="E491" s="160" t="s">
        <v>161</v>
      </c>
      <c r="F491" s="160"/>
      <c r="G491" s="161" t="s">
        <v>162</v>
      </c>
      <c r="H491" s="162"/>
      <c r="I491" s="162">
        <v>603848700</v>
      </c>
      <c r="J491" s="163">
        <f t="shared" si="13"/>
        <v>5913721833</v>
      </c>
      <c r="K491" s="163"/>
    </row>
    <row r="492" spans="1:11" s="143" customFormat="1" ht="19.5" customHeight="1">
      <c r="A492" s="143">
        <f t="shared" si="14"/>
        <v>9</v>
      </c>
      <c r="B492" s="158">
        <v>41906</v>
      </c>
      <c r="C492" s="159" t="s">
        <v>160</v>
      </c>
      <c r="D492" s="158">
        <v>41906</v>
      </c>
      <c r="E492" s="160" t="s">
        <v>161</v>
      </c>
      <c r="F492" s="160"/>
      <c r="G492" s="161" t="s">
        <v>162</v>
      </c>
      <c r="H492" s="162"/>
      <c r="I492" s="162">
        <v>1061250000</v>
      </c>
      <c r="J492" s="163">
        <f t="shared" si="13"/>
        <v>4852471833</v>
      </c>
      <c r="K492" s="163"/>
    </row>
    <row r="493" spans="1:11" s="143" customFormat="1" ht="19.5" customHeight="1">
      <c r="A493" s="143">
        <f t="shared" si="14"/>
        <v>9</v>
      </c>
      <c r="B493" s="158">
        <v>41892</v>
      </c>
      <c r="C493" s="159" t="s">
        <v>160</v>
      </c>
      <c r="D493" s="158">
        <v>41892</v>
      </c>
      <c r="E493" s="160" t="s">
        <v>647</v>
      </c>
      <c r="F493" s="160"/>
      <c r="G493" s="161" t="s">
        <v>166</v>
      </c>
      <c r="H493" s="162"/>
      <c r="I493" s="162">
        <v>7695238</v>
      </c>
      <c r="J493" s="163">
        <f t="shared" si="13"/>
        <v>4844776595</v>
      </c>
      <c r="K493" s="163"/>
    </row>
    <row r="494" spans="1:11" s="143" customFormat="1" ht="19.5" customHeight="1">
      <c r="A494" s="143">
        <f t="shared" si="14"/>
        <v>9</v>
      </c>
      <c r="B494" s="158">
        <v>41893</v>
      </c>
      <c r="C494" s="159" t="s">
        <v>160</v>
      </c>
      <c r="D494" s="158">
        <v>41893</v>
      </c>
      <c r="E494" s="160" t="s">
        <v>648</v>
      </c>
      <c r="F494" s="160"/>
      <c r="G494" s="161" t="s">
        <v>34</v>
      </c>
      <c r="H494" s="162"/>
      <c r="I494" s="162">
        <v>38500000</v>
      </c>
      <c r="J494" s="163">
        <f t="shared" si="13"/>
        <v>4806276595</v>
      </c>
      <c r="K494" s="163"/>
    </row>
    <row r="495" spans="1:11" s="143" customFormat="1" ht="19.5" customHeight="1">
      <c r="A495" s="143">
        <f t="shared" si="14"/>
        <v>9</v>
      </c>
      <c r="B495" s="158">
        <v>41893</v>
      </c>
      <c r="C495" s="159" t="s">
        <v>160</v>
      </c>
      <c r="D495" s="158">
        <v>41893</v>
      </c>
      <c r="E495" s="160" t="s">
        <v>222</v>
      </c>
      <c r="F495" s="160"/>
      <c r="G495" s="161" t="s">
        <v>247</v>
      </c>
      <c r="H495" s="162"/>
      <c r="I495" s="162">
        <v>20000</v>
      </c>
      <c r="J495" s="163">
        <f t="shared" si="13"/>
        <v>4806256595</v>
      </c>
      <c r="K495" s="163"/>
    </row>
    <row r="496" spans="1:11" s="143" customFormat="1" ht="19.5" customHeight="1">
      <c r="A496" s="143">
        <f t="shared" si="14"/>
        <v>9</v>
      </c>
      <c r="B496" s="158">
        <v>41893</v>
      </c>
      <c r="C496" s="159" t="s">
        <v>160</v>
      </c>
      <c r="D496" s="158">
        <v>41893</v>
      </c>
      <c r="E496" s="160" t="s">
        <v>223</v>
      </c>
      <c r="F496" s="160"/>
      <c r="G496" s="161" t="s">
        <v>35</v>
      </c>
      <c r="H496" s="162"/>
      <c r="I496" s="162">
        <v>2000</v>
      </c>
      <c r="J496" s="163">
        <f t="shared" si="13"/>
        <v>4806254595</v>
      </c>
      <c r="K496" s="163"/>
    </row>
    <row r="497" spans="1:11" s="143" customFormat="1" ht="19.5" customHeight="1">
      <c r="A497" s="143">
        <f t="shared" si="14"/>
        <v>9</v>
      </c>
      <c r="B497" s="158">
        <v>41893</v>
      </c>
      <c r="C497" s="159" t="s">
        <v>160</v>
      </c>
      <c r="D497" s="158">
        <v>41893</v>
      </c>
      <c r="E497" s="160" t="s">
        <v>649</v>
      </c>
      <c r="F497" s="160"/>
      <c r="G497" s="161" t="s">
        <v>34</v>
      </c>
      <c r="H497" s="162"/>
      <c r="I497" s="162">
        <v>10000000</v>
      </c>
      <c r="J497" s="163">
        <f t="shared" si="13"/>
        <v>4796254595</v>
      </c>
      <c r="K497" s="163"/>
    </row>
    <row r="498" spans="1:11" s="143" customFormat="1" ht="19.5" customHeight="1">
      <c r="A498" s="143">
        <f t="shared" si="14"/>
        <v>9</v>
      </c>
      <c r="B498" s="158">
        <v>41893</v>
      </c>
      <c r="C498" s="159" t="s">
        <v>160</v>
      </c>
      <c r="D498" s="158">
        <v>41893</v>
      </c>
      <c r="E498" s="160" t="s">
        <v>222</v>
      </c>
      <c r="F498" s="160"/>
      <c r="G498" s="161" t="s">
        <v>247</v>
      </c>
      <c r="H498" s="162"/>
      <c r="I498" s="162">
        <v>20000</v>
      </c>
      <c r="J498" s="163">
        <f t="shared" si="13"/>
        <v>4796234595</v>
      </c>
      <c r="K498" s="163"/>
    </row>
    <row r="499" spans="1:11" s="143" customFormat="1" ht="19.5" customHeight="1">
      <c r="A499" s="143">
        <f t="shared" si="14"/>
        <v>9</v>
      </c>
      <c r="B499" s="158">
        <v>41893</v>
      </c>
      <c r="C499" s="159" t="s">
        <v>160</v>
      </c>
      <c r="D499" s="158">
        <v>41893</v>
      </c>
      <c r="E499" s="160" t="s">
        <v>223</v>
      </c>
      <c r="F499" s="160"/>
      <c r="G499" s="161" t="s">
        <v>35</v>
      </c>
      <c r="H499" s="162"/>
      <c r="I499" s="162">
        <v>2000</v>
      </c>
      <c r="J499" s="163">
        <f t="shared" si="13"/>
        <v>4796232595</v>
      </c>
      <c r="K499" s="163"/>
    </row>
    <row r="500" spans="1:11" s="143" customFormat="1" ht="19.5" customHeight="1">
      <c r="A500" s="143">
        <f t="shared" si="14"/>
        <v>9</v>
      </c>
      <c r="B500" s="158">
        <v>41893</v>
      </c>
      <c r="C500" s="159" t="s">
        <v>160</v>
      </c>
      <c r="D500" s="158">
        <v>41893</v>
      </c>
      <c r="E500" s="160" t="s">
        <v>576</v>
      </c>
      <c r="F500" s="160"/>
      <c r="G500" s="161" t="s">
        <v>34</v>
      </c>
      <c r="H500" s="162"/>
      <c r="I500" s="162">
        <v>34952940</v>
      </c>
      <c r="J500" s="163">
        <f t="shared" si="13"/>
        <v>4761279655</v>
      </c>
      <c r="K500" s="163"/>
    </row>
    <row r="501" spans="1:11" s="143" customFormat="1" ht="19.5" customHeight="1">
      <c r="A501" s="143">
        <f t="shared" si="14"/>
        <v>9</v>
      </c>
      <c r="B501" s="158">
        <v>41893</v>
      </c>
      <c r="C501" s="159" t="s">
        <v>160</v>
      </c>
      <c r="D501" s="158">
        <v>41893</v>
      </c>
      <c r="E501" s="160" t="s">
        <v>222</v>
      </c>
      <c r="F501" s="160"/>
      <c r="G501" s="161" t="s">
        <v>247</v>
      </c>
      <c r="H501" s="162"/>
      <c r="I501" s="162">
        <v>25000</v>
      </c>
      <c r="J501" s="163">
        <f t="shared" si="13"/>
        <v>4761254655</v>
      </c>
      <c r="K501" s="163"/>
    </row>
    <row r="502" spans="1:11" s="143" customFormat="1" ht="19.5" customHeight="1">
      <c r="A502" s="143">
        <f t="shared" si="14"/>
        <v>9</v>
      </c>
      <c r="B502" s="158">
        <v>41893</v>
      </c>
      <c r="C502" s="159" t="s">
        <v>160</v>
      </c>
      <c r="D502" s="158">
        <v>41893</v>
      </c>
      <c r="E502" s="160" t="s">
        <v>223</v>
      </c>
      <c r="F502" s="160"/>
      <c r="G502" s="161" t="s">
        <v>35</v>
      </c>
      <c r="H502" s="162"/>
      <c r="I502" s="162">
        <v>2500</v>
      </c>
      <c r="J502" s="163">
        <f t="shared" si="13"/>
        <v>4761252155</v>
      </c>
      <c r="K502" s="163"/>
    </row>
    <row r="503" spans="1:11" s="143" customFormat="1" ht="19.5" customHeight="1">
      <c r="A503" s="143">
        <f t="shared" si="14"/>
        <v>9</v>
      </c>
      <c r="B503" s="158">
        <v>41893</v>
      </c>
      <c r="C503" s="159" t="s">
        <v>160</v>
      </c>
      <c r="D503" s="158">
        <v>41893</v>
      </c>
      <c r="E503" s="160" t="s">
        <v>585</v>
      </c>
      <c r="F503" s="160"/>
      <c r="G503" s="161" t="s">
        <v>34</v>
      </c>
      <c r="H503" s="162"/>
      <c r="I503" s="162">
        <v>1665000</v>
      </c>
      <c r="J503" s="163">
        <f t="shared" si="13"/>
        <v>4759587155</v>
      </c>
      <c r="K503" s="163"/>
    </row>
    <row r="504" spans="1:11" s="143" customFormat="1" ht="19.5" customHeight="1">
      <c r="A504" s="143">
        <f t="shared" si="14"/>
        <v>9</v>
      </c>
      <c r="B504" s="158">
        <v>41893</v>
      </c>
      <c r="C504" s="159" t="s">
        <v>160</v>
      </c>
      <c r="D504" s="158">
        <v>41893</v>
      </c>
      <c r="E504" s="160" t="s">
        <v>222</v>
      </c>
      <c r="F504" s="160"/>
      <c r="G504" s="161" t="s">
        <v>247</v>
      </c>
      <c r="H504" s="162"/>
      <c r="I504" s="162">
        <v>20000</v>
      </c>
      <c r="J504" s="163">
        <f t="shared" si="13"/>
        <v>4759567155</v>
      </c>
      <c r="K504" s="163"/>
    </row>
    <row r="505" spans="1:11" s="143" customFormat="1" ht="19.5" customHeight="1">
      <c r="A505" s="143">
        <f t="shared" si="14"/>
        <v>9</v>
      </c>
      <c r="B505" s="158">
        <v>41893</v>
      </c>
      <c r="C505" s="159" t="s">
        <v>160</v>
      </c>
      <c r="D505" s="158">
        <v>41893</v>
      </c>
      <c r="E505" s="160" t="s">
        <v>223</v>
      </c>
      <c r="F505" s="160"/>
      <c r="G505" s="161" t="s">
        <v>35</v>
      </c>
      <c r="H505" s="162"/>
      <c r="I505" s="162">
        <v>2000</v>
      </c>
      <c r="J505" s="163">
        <f t="shared" si="13"/>
        <v>4759565155</v>
      </c>
      <c r="K505" s="163"/>
    </row>
    <row r="506" spans="1:11" s="143" customFormat="1" ht="19.5" customHeight="1">
      <c r="A506" s="143">
        <f t="shared" si="14"/>
        <v>9</v>
      </c>
      <c r="B506" s="158">
        <v>41898</v>
      </c>
      <c r="C506" s="159" t="s">
        <v>160</v>
      </c>
      <c r="D506" s="158">
        <v>41898</v>
      </c>
      <c r="E506" s="160" t="s">
        <v>596</v>
      </c>
      <c r="F506" s="160"/>
      <c r="G506" s="161" t="s">
        <v>247</v>
      </c>
      <c r="H506" s="162"/>
      <c r="I506" s="162">
        <v>317625</v>
      </c>
      <c r="J506" s="163">
        <f t="shared" si="13"/>
        <v>4759247530</v>
      </c>
      <c r="K506" s="163"/>
    </row>
    <row r="507" spans="1:11" s="143" customFormat="1" ht="19.5" customHeight="1">
      <c r="A507" s="143">
        <f t="shared" si="14"/>
        <v>9</v>
      </c>
      <c r="B507" s="158">
        <v>41898</v>
      </c>
      <c r="C507" s="159" t="s">
        <v>160</v>
      </c>
      <c r="D507" s="158">
        <v>41898</v>
      </c>
      <c r="E507" s="160" t="s">
        <v>650</v>
      </c>
      <c r="F507" s="160"/>
      <c r="G507" s="161" t="s">
        <v>35</v>
      </c>
      <c r="H507" s="162"/>
      <c r="I507" s="162">
        <v>31763</v>
      </c>
      <c r="J507" s="163">
        <f t="shared" si="13"/>
        <v>4759215767</v>
      </c>
      <c r="K507" s="163"/>
    </row>
    <row r="508" spans="1:11" s="143" customFormat="1" ht="19.5" customHeight="1">
      <c r="A508" s="143">
        <f t="shared" si="14"/>
        <v>9</v>
      </c>
      <c r="B508" s="158">
        <v>41900</v>
      </c>
      <c r="C508" s="159" t="s">
        <v>160</v>
      </c>
      <c r="D508" s="158">
        <v>41900</v>
      </c>
      <c r="E508" s="160" t="s">
        <v>651</v>
      </c>
      <c r="F508" s="160"/>
      <c r="G508" s="161" t="s">
        <v>166</v>
      </c>
      <c r="H508" s="162"/>
      <c r="I508" s="162">
        <v>10730279</v>
      </c>
      <c r="J508" s="163">
        <f t="shared" si="13"/>
        <v>4748485488</v>
      </c>
      <c r="K508" s="163"/>
    </row>
    <row r="509" spans="1:11" s="143" customFormat="1" ht="19.5" customHeight="1">
      <c r="A509" s="143">
        <f t="shared" si="14"/>
        <v>9</v>
      </c>
      <c r="B509" s="158">
        <v>41900</v>
      </c>
      <c r="C509" s="159" t="s">
        <v>160</v>
      </c>
      <c r="D509" s="158">
        <v>41900</v>
      </c>
      <c r="E509" s="160" t="s">
        <v>652</v>
      </c>
      <c r="F509" s="160"/>
      <c r="G509" s="161" t="s">
        <v>166</v>
      </c>
      <c r="H509" s="162"/>
      <c r="I509" s="162">
        <v>10754057</v>
      </c>
      <c r="J509" s="163">
        <f t="shared" si="13"/>
        <v>4737731431</v>
      </c>
      <c r="K509" s="163"/>
    </row>
    <row r="510" spans="1:11" s="143" customFormat="1" ht="19.5" customHeight="1">
      <c r="A510" s="143">
        <f t="shared" si="14"/>
        <v>9</v>
      </c>
      <c r="B510" s="158">
        <v>41900</v>
      </c>
      <c r="C510" s="159" t="s">
        <v>160</v>
      </c>
      <c r="D510" s="158">
        <v>41900</v>
      </c>
      <c r="E510" s="160" t="s">
        <v>653</v>
      </c>
      <c r="F510" s="160"/>
      <c r="G510" s="161" t="s">
        <v>166</v>
      </c>
      <c r="H510" s="162"/>
      <c r="I510" s="162">
        <v>11288840</v>
      </c>
      <c r="J510" s="163">
        <f t="shared" si="13"/>
        <v>4726442591</v>
      </c>
      <c r="K510" s="163"/>
    </row>
    <row r="511" spans="1:11" s="143" customFormat="1" ht="19.5" customHeight="1">
      <c r="A511" s="143">
        <f t="shared" si="14"/>
        <v>9</v>
      </c>
      <c r="B511" s="158">
        <v>41900</v>
      </c>
      <c r="C511" s="159" t="s">
        <v>160</v>
      </c>
      <c r="D511" s="158">
        <v>41900</v>
      </c>
      <c r="E511" s="160" t="s">
        <v>654</v>
      </c>
      <c r="F511" s="160"/>
      <c r="G511" s="161" t="s">
        <v>166</v>
      </c>
      <c r="H511" s="162"/>
      <c r="I511" s="162">
        <v>9128900</v>
      </c>
      <c r="J511" s="163">
        <f t="shared" si="13"/>
        <v>4717313691</v>
      </c>
      <c r="K511" s="163"/>
    </row>
    <row r="512" spans="1:11" s="143" customFormat="1" ht="19.5" customHeight="1">
      <c r="A512" s="143">
        <f t="shared" si="14"/>
        <v>9</v>
      </c>
      <c r="B512" s="158">
        <v>41904</v>
      </c>
      <c r="C512" s="159" t="s">
        <v>160</v>
      </c>
      <c r="D512" s="158">
        <v>41904</v>
      </c>
      <c r="E512" s="160" t="s">
        <v>602</v>
      </c>
      <c r="F512" s="160"/>
      <c r="G512" s="161" t="s">
        <v>247</v>
      </c>
      <c r="H512" s="162"/>
      <c r="I512" s="162">
        <v>50000</v>
      </c>
      <c r="J512" s="163">
        <f t="shared" si="13"/>
        <v>4717263691</v>
      </c>
      <c r="K512" s="163"/>
    </row>
    <row r="513" spans="1:11" s="143" customFormat="1" ht="19.5" customHeight="1">
      <c r="A513" s="143">
        <f t="shared" si="14"/>
        <v>9</v>
      </c>
      <c r="B513" s="158">
        <v>41904</v>
      </c>
      <c r="C513" s="159" t="s">
        <v>160</v>
      </c>
      <c r="D513" s="158">
        <v>41904</v>
      </c>
      <c r="E513" s="160" t="s">
        <v>603</v>
      </c>
      <c r="F513" s="160"/>
      <c r="G513" s="161" t="s">
        <v>35</v>
      </c>
      <c r="H513" s="162"/>
      <c r="I513" s="162">
        <v>5000</v>
      </c>
      <c r="J513" s="163">
        <f t="shared" si="13"/>
        <v>4717258691</v>
      </c>
      <c r="K513" s="163"/>
    </row>
    <row r="514" spans="1:11" s="143" customFormat="1" ht="19.5" customHeight="1">
      <c r="A514" s="143">
        <f t="shared" si="14"/>
        <v>9</v>
      </c>
      <c r="B514" s="158">
        <v>41904</v>
      </c>
      <c r="C514" s="159" t="s">
        <v>160</v>
      </c>
      <c r="D514" s="158">
        <v>41904</v>
      </c>
      <c r="E514" s="160" t="s">
        <v>602</v>
      </c>
      <c r="F514" s="160"/>
      <c r="G514" s="161" t="s">
        <v>247</v>
      </c>
      <c r="H514" s="162"/>
      <c r="I514" s="162">
        <v>50000</v>
      </c>
      <c r="J514" s="163">
        <f t="shared" si="13"/>
        <v>4717208691</v>
      </c>
      <c r="K514" s="163"/>
    </row>
    <row r="515" spans="1:11" s="143" customFormat="1" ht="19.5" customHeight="1">
      <c r="A515" s="143">
        <f t="shared" si="14"/>
        <v>9</v>
      </c>
      <c r="B515" s="158">
        <v>41904</v>
      </c>
      <c r="C515" s="159" t="s">
        <v>160</v>
      </c>
      <c r="D515" s="158">
        <v>41904</v>
      </c>
      <c r="E515" s="160" t="s">
        <v>603</v>
      </c>
      <c r="F515" s="160"/>
      <c r="G515" s="161" t="s">
        <v>35</v>
      </c>
      <c r="H515" s="162"/>
      <c r="I515" s="162">
        <v>5000</v>
      </c>
      <c r="J515" s="163">
        <f t="shared" si="13"/>
        <v>4717203691</v>
      </c>
      <c r="K515" s="163"/>
    </row>
    <row r="516" spans="1:11" s="143" customFormat="1" ht="19.5" customHeight="1">
      <c r="A516" s="143">
        <f t="shared" si="14"/>
        <v>9</v>
      </c>
      <c r="B516" s="158">
        <v>41904</v>
      </c>
      <c r="C516" s="159" t="s">
        <v>160</v>
      </c>
      <c r="D516" s="158">
        <v>41904</v>
      </c>
      <c r="E516" s="160" t="s">
        <v>602</v>
      </c>
      <c r="F516" s="160"/>
      <c r="G516" s="161" t="s">
        <v>247</v>
      </c>
      <c r="H516" s="162"/>
      <c r="I516" s="162">
        <v>50000</v>
      </c>
      <c r="J516" s="163">
        <f t="shared" si="13"/>
        <v>4717153691</v>
      </c>
      <c r="K516" s="163"/>
    </row>
    <row r="517" spans="1:11" s="143" customFormat="1" ht="19.5" customHeight="1">
      <c r="A517" s="143">
        <f t="shared" si="14"/>
        <v>9</v>
      </c>
      <c r="B517" s="158">
        <v>41904</v>
      </c>
      <c r="C517" s="159" t="s">
        <v>160</v>
      </c>
      <c r="D517" s="158">
        <v>41904</v>
      </c>
      <c r="E517" s="160" t="s">
        <v>603</v>
      </c>
      <c r="F517" s="160"/>
      <c r="G517" s="161" t="s">
        <v>35</v>
      </c>
      <c r="H517" s="162"/>
      <c r="I517" s="162">
        <v>5000</v>
      </c>
      <c r="J517" s="163">
        <f t="shared" si="13"/>
        <v>4717148691</v>
      </c>
      <c r="K517" s="163"/>
    </row>
    <row r="518" spans="1:11" s="143" customFormat="1" ht="19.5" customHeight="1">
      <c r="A518" s="143">
        <f t="shared" si="14"/>
        <v>9</v>
      </c>
      <c r="B518" s="158">
        <v>41904</v>
      </c>
      <c r="C518" s="159" t="s">
        <v>160</v>
      </c>
      <c r="D518" s="158">
        <v>41904</v>
      </c>
      <c r="E518" s="160" t="s">
        <v>604</v>
      </c>
      <c r="F518" s="160"/>
      <c r="G518" s="161" t="s">
        <v>247</v>
      </c>
      <c r="H518" s="162"/>
      <c r="I518" s="162">
        <v>50000</v>
      </c>
      <c r="J518" s="163">
        <f t="shared" si="13"/>
        <v>4717098691</v>
      </c>
      <c r="K518" s="163"/>
    </row>
    <row r="519" spans="1:11" s="143" customFormat="1" ht="19.5" customHeight="1">
      <c r="A519" s="143">
        <f t="shared" si="14"/>
        <v>9</v>
      </c>
      <c r="B519" s="158">
        <v>41904</v>
      </c>
      <c r="C519" s="159" t="s">
        <v>160</v>
      </c>
      <c r="D519" s="158">
        <v>41904</v>
      </c>
      <c r="E519" s="160" t="s">
        <v>605</v>
      </c>
      <c r="F519" s="160"/>
      <c r="G519" s="161" t="s">
        <v>35</v>
      </c>
      <c r="H519" s="162"/>
      <c r="I519" s="162">
        <v>5000</v>
      </c>
      <c r="J519" s="163">
        <f t="shared" si="13"/>
        <v>4717093691</v>
      </c>
      <c r="K519" s="163"/>
    </row>
    <row r="520" spans="1:11" s="143" customFormat="1" ht="19.5" customHeight="1">
      <c r="A520" s="143">
        <f t="shared" si="14"/>
        <v>9</v>
      </c>
      <c r="B520" s="158">
        <v>41904</v>
      </c>
      <c r="C520" s="159" t="s">
        <v>160</v>
      </c>
      <c r="D520" s="158">
        <v>41904</v>
      </c>
      <c r="E520" s="160" t="s">
        <v>604</v>
      </c>
      <c r="F520" s="160"/>
      <c r="G520" s="161" t="s">
        <v>247</v>
      </c>
      <c r="H520" s="162"/>
      <c r="I520" s="162">
        <v>50000</v>
      </c>
      <c r="J520" s="163">
        <f t="shared" si="13"/>
        <v>4717043691</v>
      </c>
      <c r="K520" s="163"/>
    </row>
    <row r="521" spans="1:11" s="143" customFormat="1" ht="19.5" customHeight="1">
      <c r="A521" s="143">
        <f t="shared" si="14"/>
        <v>9</v>
      </c>
      <c r="B521" s="158">
        <v>41904</v>
      </c>
      <c r="C521" s="159" t="s">
        <v>160</v>
      </c>
      <c r="D521" s="158">
        <v>41904</v>
      </c>
      <c r="E521" s="160" t="s">
        <v>605</v>
      </c>
      <c r="F521" s="160"/>
      <c r="G521" s="161" t="s">
        <v>35</v>
      </c>
      <c r="H521" s="162"/>
      <c r="I521" s="162">
        <v>5000</v>
      </c>
      <c r="J521" s="163">
        <f t="shared" si="13"/>
        <v>4717038691</v>
      </c>
      <c r="K521" s="163"/>
    </row>
    <row r="522" spans="1:11" s="143" customFormat="1" ht="19.5" customHeight="1">
      <c r="A522" s="143">
        <f t="shared" si="14"/>
        <v>9</v>
      </c>
      <c r="B522" s="158">
        <v>41904</v>
      </c>
      <c r="C522" s="159" t="s">
        <v>160</v>
      </c>
      <c r="D522" s="158">
        <v>41904</v>
      </c>
      <c r="E522" s="160" t="s">
        <v>604</v>
      </c>
      <c r="F522" s="160"/>
      <c r="G522" s="161" t="s">
        <v>247</v>
      </c>
      <c r="H522" s="162"/>
      <c r="I522" s="162">
        <v>50000</v>
      </c>
      <c r="J522" s="163">
        <f t="shared" si="13"/>
        <v>4716988691</v>
      </c>
      <c r="K522" s="163"/>
    </row>
    <row r="523" spans="1:11" s="143" customFormat="1" ht="19.5" customHeight="1">
      <c r="A523" s="143">
        <f t="shared" si="14"/>
        <v>9</v>
      </c>
      <c r="B523" s="158">
        <v>41904</v>
      </c>
      <c r="C523" s="159" t="s">
        <v>160</v>
      </c>
      <c r="D523" s="158">
        <v>41904</v>
      </c>
      <c r="E523" s="160" t="s">
        <v>605</v>
      </c>
      <c r="F523" s="160"/>
      <c r="G523" s="161" t="s">
        <v>35</v>
      </c>
      <c r="H523" s="162"/>
      <c r="I523" s="162">
        <v>5000</v>
      </c>
      <c r="J523" s="163">
        <f t="shared" si="13"/>
        <v>4716983691</v>
      </c>
      <c r="K523" s="163"/>
    </row>
    <row r="524" spans="1:11" s="143" customFormat="1" ht="19.5" customHeight="1">
      <c r="A524" s="143">
        <f t="shared" si="14"/>
        <v>9</v>
      </c>
      <c r="B524" s="158">
        <v>41905</v>
      </c>
      <c r="C524" s="159" t="s">
        <v>160</v>
      </c>
      <c r="D524" s="158">
        <v>41905</v>
      </c>
      <c r="E524" s="160" t="s">
        <v>575</v>
      </c>
      <c r="F524" s="160"/>
      <c r="G524" s="161" t="s">
        <v>57</v>
      </c>
      <c r="H524" s="162"/>
      <c r="I524" s="162">
        <v>9000000</v>
      </c>
      <c r="J524" s="163">
        <f t="shared" si="13"/>
        <v>4707983691</v>
      </c>
      <c r="K524" s="163"/>
    </row>
    <row r="525" spans="1:11" s="143" customFormat="1" ht="19.5" customHeight="1">
      <c r="A525" s="143">
        <f t="shared" si="14"/>
        <v>9</v>
      </c>
      <c r="B525" s="158">
        <v>41905</v>
      </c>
      <c r="C525" s="159" t="s">
        <v>160</v>
      </c>
      <c r="D525" s="158">
        <v>41905</v>
      </c>
      <c r="E525" s="160" t="s">
        <v>615</v>
      </c>
      <c r="F525" s="160"/>
      <c r="G525" s="161" t="s">
        <v>34</v>
      </c>
      <c r="H525" s="162"/>
      <c r="I525" s="162">
        <v>15500000</v>
      </c>
      <c r="J525" s="163">
        <f t="shared" si="13"/>
        <v>4692483691</v>
      </c>
      <c r="K525" s="163"/>
    </row>
    <row r="526" spans="1:11" s="143" customFormat="1" ht="19.5" customHeight="1">
      <c r="A526" s="143">
        <f t="shared" si="14"/>
        <v>9</v>
      </c>
      <c r="B526" s="158">
        <v>41905</v>
      </c>
      <c r="C526" s="159" t="s">
        <v>160</v>
      </c>
      <c r="D526" s="158">
        <v>41905</v>
      </c>
      <c r="E526" s="160" t="s">
        <v>655</v>
      </c>
      <c r="F526" s="160"/>
      <c r="G526" s="161" t="s">
        <v>36</v>
      </c>
      <c r="H526" s="162"/>
      <c r="I526" s="162">
        <v>26500000</v>
      </c>
      <c r="J526" s="163">
        <f t="shared" si="13"/>
        <v>4665983691</v>
      </c>
      <c r="K526" s="163"/>
    </row>
    <row r="527" spans="1:11" s="143" customFormat="1" ht="19.5" customHeight="1">
      <c r="A527" s="143">
        <f t="shared" si="14"/>
        <v>9</v>
      </c>
      <c r="B527" s="158">
        <v>41907</v>
      </c>
      <c r="C527" s="159" t="s">
        <v>160</v>
      </c>
      <c r="D527" s="158">
        <v>41907</v>
      </c>
      <c r="E527" s="160" t="s">
        <v>579</v>
      </c>
      <c r="F527" s="160"/>
      <c r="G527" s="161" t="s">
        <v>34</v>
      </c>
      <c r="H527" s="162"/>
      <c r="I527" s="162">
        <v>90000000</v>
      </c>
      <c r="J527" s="163">
        <f t="shared" ref="J527:J590" si="15">IF(B527&lt;&gt;"",J526+H527-I527,0)</f>
        <v>4575983691</v>
      </c>
      <c r="K527" s="163"/>
    </row>
    <row r="528" spans="1:11" s="143" customFormat="1" ht="19.5" customHeight="1">
      <c r="A528" s="143">
        <f t="shared" si="14"/>
        <v>9</v>
      </c>
      <c r="B528" s="158">
        <v>41907</v>
      </c>
      <c r="C528" s="159" t="s">
        <v>160</v>
      </c>
      <c r="D528" s="158">
        <v>41907</v>
      </c>
      <c r="E528" s="160" t="s">
        <v>656</v>
      </c>
      <c r="F528" s="160"/>
      <c r="G528" s="161" t="s">
        <v>247</v>
      </c>
      <c r="H528" s="162"/>
      <c r="I528" s="162">
        <v>65000</v>
      </c>
      <c r="J528" s="163">
        <f t="shared" si="15"/>
        <v>4575918691</v>
      </c>
      <c r="K528" s="163"/>
    </row>
    <row r="529" spans="1:11" s="143" customFormat="1" ht="19.5" customHeight="1">
      <c r="A529" s="143">
        <f t="shared" si="14"/>
        <v>9</v>
      </c>
      <c r="B529" s="158">
        <v>41907</v>
      </c>
      <c r="C529" s="159" t="s">
        <v>160</v>
      </c>
      <c r="D529" s="158">
        <v>41907</v>
      </c>
      <c r="E529" s="160" t="s">
        <v>657</v>
      </c>
      <c r="F529" s="160"/>
      <c r="G529" s="161" t="s">
        <v>35</v>
      </c>
      <c r="H529" s="162"/>
      <c r="I529" s="162">
        <v>6500</v>
      </c>
      <c r="J529" s="163">
        <f t="shared" si="15"/>
        <v>4575912191</v>
      </c>
      <c r="K529" s="163"/>
    </row>
    <row r="530" spans="1:11" s="143" customFormat="1" ht="19.5" customHeight="1">
      <c r="A530" s="143">
        <f t="shared" si="14"/>
        <v>9</v>
      </c>
      <c r="B530" s="158">
        <v>41911</v>
      </c>
      <c r="C530" s="159" t="s">
        <v>160</v>
      </c>
      <c r="D530" s="158">
        <v>41911</v>
      </c>
      <c r="E530" s="160" t="s">
        <v>576</v>
      </c>
      <c r="F530" s="160"/>
      <c r="G530" s="161" t="s">
        <v>34</v>
      </c>
      <c r="H530" s="162"/>
      <c r="I530" s="162">
        <v>28988520</v>
      </c>
      <c r="J530" s="163">
        <f t="shared" si="15"/>
        <v>4546923671</v>
      </c>
      <c r="K530" s="163"/>
    </row>
    <row r="531" spans="1:11" s="143" customFormat="1" ht="19.5" customHeight="1">
      <c r="A531" s="143">
        <f t="shared" si="14"/>
        <v>9</v>
      </c>
      <c r="B531" s="158">
        <v>41911</v>
      </c>
      <c r="C531" s="159" t="s">
        <v>160</v>
      </c>
      <c r="D531" s="158">
        <v>41911</v>
      </c>
      <c r="E531" s="160" t="s">
        <v>222</v>
      </c>
      <c r="F531" s="160"/>
      <c r="G531" s="161" t="s">
        <v>247</v>
      </c>
      <c r="H531" s="162"/>
      <c r="I531" s="162">
        <v>25000</v>
      </c>
      <c r="J531" s="163">
        <f t="shared" si="15"/>
        <v>4546898671</v>
      </c>
      <c r="K531" s="163"/>
    </row>
    <row r="532" spans="1:11" s="143" customFormat="1" ht="19.5" customHeight="1">
      <c r="A532" s="143">
        <f t="shared" si="14"/>
        <v>9</v>
      </c>
      <c r="B532" s="158">
        <v>41911</v>
      </c>
      <c r="C532" s="159" t="s">
        <v>160</v>
      </c>
      <c r="D532" s="158">
        <v>41911</v>
      </c>
      <c r="E532" s="160" t="s">
        <v>223</v>
      </c>
      <c r="F532" s="160"/>
      <c r="G532" s="161" t="s">
        <v>35</v>
      </c>
      <c r="H532" s="162"/>
      <c r="I532" s="162">
        <v>2500</v>
      </c>
      <c r="J532" s="163">
        <f t="shared" si="15"/>
        <v>4546896171</v>
      </c>
      <c r="K532" s="163"/>
    </row>
    <row r="533" spans="1:11" s="143" customFormat="1" ht="19.5" customHeight="1">
      <c r="A533" s="143">
        <f t="shared" si="14"/>
        <v>9</v>
      </c>
      <c r="B533" s="158">
        <v>41911</v>
      </c>
      <c r="C533" s="159" t="s">
        <v>160</v>
      </c>
      <c r="D533" s="158">
        <v>41911</v>
      </c>
      <c r="E533" s="160" t="s">
        <v>658</v>
      </c>
      <c r="F533" s="160"/>
      <c r="G533" s="161" t="s">
        <v>247</v>
      </c>
      <c r="H533" s="162"/>
      <c r="I533" s="162">
        <v>105975</v>
      </c>
      <c r="J533" s="163">
        <f t="shared" si="15"/>
        <v>4546790196</v>
      </c>
      <c r="K533" s="163"/>
    </row>
    <row r="534" spans="1:11" s="143" customFormat="1" ht="19.5" customHeight="1">
      <c r="A534" s="143">
        <f t="shared" si="14"/>
        <v>9</v>
      </c>
      <c r="B534" s="158">
        <v>41911</v>
      </c>
      <c r="C534" s="159" t="s">
        <v>160</v>
      </c>
      <c r="D534" s="158">
        <v>41911</v>
      </c>
      <c r="E534" s="160" t="s">
        <v>659</v>
      </c>
      <c r="F534" s="160"/>
      <c r="G534" s="161" t="s">
        <v>35</v>
      </c>
      <c r="H534" s="162"/>
      <c r="I534" s="162">
        <v>10598</v>
      </c>
      <c r="J534" s="163">
        <f t="shared" si="15"/>
        <v>4546779598</v>
      </c>
      <c r="K534" s="163"/>
    </row>
    <row r="535" spans="1:11" s="143" customFormat="1" ht="19.5" customHeight="1">
      <c r="A535" s="143">
        <f t="shared" si="14"/>
        <v>9</v>
      </c>
      <c r="B535" s="158">
        <v>41891</v>
      </c>
      <c r="C535" s="159" t="s">
        <v>160</v>
      </c>
      <c r="D535" s="158">
        <v>41891</v>
      </c>
      <c r="E535" s="160" t="s">
        <v>577</v>
      </c>
      <c r="F535" s="160"/>
      <c r="G535" s="161" t="s">
        <v>159</v>
      </c>
      <c r="H535" s="162"/>
      <c r="I535" s="162">
        <v>986000000</v>
      </c>
      <c r="J535" s="163">
        <f t="shared" si="15"/>
        <v>3560779598</v>
      </c>
      <c r="K535" s="163"/>
    </row>
    <row r="536" spans="1:11" s="143" customFormat="1" ht="19.5" customHeight="1">
      <c r="A536" s="143">
        <f t="shared" si="14"/>
        <v>9</v>
      </c>
      <c r="B536" s="158">
        <v>41893</v>
      </c>
      <c r="C536" s="159" t="s">
        <v>160</v>
      </c>
      <c r="D536" s="158">
        <v>41893</v>
      </c>
      <c r="E536" s="160" t="s">
        <v>577</v>
      </c>
      <c r="F536" s="160"/>
      <c r="G536" s="161" t="s">
        <v>159</v>
      </c>
      <c r="H536" s="162"/>
      <c r="I536" s="162">
        <v>1000000000</v>
      </c>
      <c r="J536" s="163">
        <f t="shared" si="15"/>
        <v>2560779598</v>
      </c>
      <c r="K536" s="163"/>
    </row>
    <row r="537" spans="1:11" s="143" customFormat="1" ht="19.5" customHeight="1">
      <c r="A537" s="143">
        <f t="shared" ref="A537:A600" si="16">IF(B537&lt;&gt;"",MONTH(B537),"")</f>
        <v>9</v>
      </c>
      <c r="B537" s="158">
        <v>41899</v>
      </c>
      <c r="C537" s="159" t="s">
        <v>160</v>
      </c>
      <c r="D537" s="158">
        <v>41899</v>
      </c>
      <c r="E537" s="160" t="s">
        <v>577</v>
      </c>
      <c r="F537" s="160"/>
      <c r="G537" s="161" t="s">
        <v>159</v>
      </c>
      <c r="H537" s="162"/>
      <c r="I537" s="162">
        <v>550000000</v>
      </c>
      <c r="J537" s="163">
        <f t="shared" si="15"/>
        <v>2010779598</v>
      </c>
      <c r="K537" s="163"/>
    </row>
    <row r="538" spans="1:11" s="143" customFormat="1" ht="19.5" customHeight="1">
      <c r="A538" s="143">
        <f t="shared" si="16"/>
        <v>9</v>
      </c>
      <c r="B538" s="158">
        <v>41906</v>
      </c>
      <c r="C538" s="159" t="s">
        <v>160</v>
      </c>
      <c r="D538" s="158">
        <v>41906</v>
      </c>
      <c r="E538" s="160" t="s">
        <v>577</v>
      </c>
      <c r="F538" s="160"/>
      <c r="G538" s="161" t="s">
        <v>159</v>
      </c>
      <c r="H538" s="162"/>
      <c r="I538" s="162">
        <v>2000000000</v>
      </c>
      <c r="J538" s="163">
        <f t="shared" si="15"/>
        <v>10779598</v>
      </c>
      <c r="K538" s="163"/>
    </row>
    <row r="539" spans="1:11" s="143" customFormat="1" ht="19.5" customHeight="1">
      <c r="A539" s="143">
        <f t="shared" si="16"/>
        <v>10</v>
      </c>
      <c r="B539" s="158">
        <v>41915</v>
      </c>
      <c r="C539" s="159" t="s">
        <v>160</v>
      </c>
      <c r="D539" s="158">
        <v>41915</v>
      </c>
      <c r="E539" s="160" t="s">
        <v>658</v>
      </c>
      <c r="F539" s="160"/>
      <c r="G539" s="161" t="s">
        <v>247</v>
      </c>
      <c r="H539" s="162"/>
      <c r="I539" s="162">
        <v>106225</v>
      </c>
      <c r="J539" s="163">
        <f t="shared" si="15"/>
        <v>10673373</v>
      </c>
      <c r="K539" s="163"/>
    </row>
    <row r="540" spans="1:11" s="143" customFormat="1" ht="19.5" customHeight="1">
      <c r="A540" s="143">
        <f t="shared" si="16"/>
        <v>10</v>
      </c>
      <c r="B540" s="158">
        <v>41915</v>
      </c>
      <c r="C540" s="159" t="s">
        <v>160</v>
      </c>
      <c r="D540" s="158">
        <v>41915</v>
      </c>
      <c r="E540" s="160" t="s">
        <v>659</v>
      </c>
      <c r="F540" s="160"/>
      <c r="G540" s="161" t="s">
        <v>35</v>
      </c>
      <c r="H540" s="162"/>
      <c r="I540" s="162">
        <v>10623</v>
      </c>
      <c r="J540" s="163">
        <f t="shared" si="15"/>
        <v>10662750</v>
      </c>
      <c r="K540" s="163"/>
    </row>
    <row r="541" spans="1:11" s="143" customFormat="1" ht="19.5" customHeight="1">
      <c r="A541" s="143">
        <f t="shared" si="16"/>
        <v>10</v>
      </c>
      <c r="B541" s="158">
        <v>41921</v>
      </c>
      <c r="C541" s="159" t="s">
        <v>163</v>
      </c>
      <c r="D541" s="158">
        <v>41921</v>
      </c>
      <c r="E541" s="160" t="s">
        <v>164</v>
      </c>
      <c r="F541" s="160"/>
      <c r="G541" s="161" t="s">
        <v>162</v>
      </c>
      <c r="H541" s="162">
        <v>2255686000</v>
      </c>
      <c r="I541" s="162"/>
      <c r="J541" s="163">
        <f t="shared" si="15"/>
        <v>2266348750</v>
      </c>
      <c r="K541" s="163"/>
    </row>
    <row r="542" spans="1:11" s="143" customFormat="1" ht="19.5" customHeight="1">
      <c r="A542" s="143">
        <f t="shared" si="16"/>
        <v>10</v>
      </c>
      <c r="B542" s="158">
        <v>41921</v>
      </c>
      <c r="C542" s="159" t="s">
        <v>160</v>
      </c>
      <c r="D542" s="158">
        <v>41921</v>
      </c>
      <c r="E542" s="160" t="s">
        <v>660</v>
      </c>
      <c r="F542" s="160"/>
      <c r="G542" s="161" t="s">
        <v>34</v>
      </c>
      <c r="H542" s="162"/>
      <c r="I542" s="162">
        <v>88178500</v>
      </c>
      <c r="J542" s="163">
        <f t="shared" si="15"/>
        <v>2178170250</v>
      </c>
      <c r="K542" s="163"/>
    </row>
    <row r="543" spans="1:11" s="143" customFormat="1" ht="19.5" customHeight="1">
      <c r="A543" s="143">
        <f t="shared" si="16"/>
        <v>10</v>
      </c>
      <c r="B543" s="158">
        <v>41921</v>
      </c>
      <c r="C543" s="159" t="s">
        <v>160</v>
      </c>
      <c r="D543" s="158">
        <v>41921</v>
      </c>
      <c r="E543" s="160" t="s">
        <v>222</v>
      </c>
      <c r="F543" s="160"/>
      <c r="G543" s="161" t="s">
        <v>247</v>
      </c>
      <c r="H543" s="162"/>
      <c r="I543" s="162">
        <v>26454</v>
      </c>
      <c r="J543" s="163">
        <f t="shared" si="15"/>
        <v>2178143796</v>
      </c>
      <c r="K543" s="163"/>
    </row>
    <row r="544" spans="1:11" s="143" customFormat="1" ht="19.5" customHeight="1">
      <c r="A544" s="143">
        <f t="shared" si="16"/>
        <v>10</v>
      </c>
      <c r="B544" s="158">
        <v>41921</v>
      </c>
      <c r="C544" s="159" t="s">
        <v>160</v>
      </c>
      <c r="D544" s="158">
        <v>41921</v>
      </c>
      <c r="E544" s="160" t="s">
        <v>223</v>
      </c>
      <c r="F544" s="160"/>
      <c r="G544" s="161" t="s">
        <v>35</v>
      </c>
      <c r="H544" s="162"/>
      <c r="I544" s="162">
        <v>2645</v>
      </c>
      <c r="J544" s="163">
        <f t="shared" si="15"/>
        <v>2178141151</v>
      </c>
      <c r="K544" s="163"/>
    </row>
    <row r="545" spans="1:11" s="143" customFormat="1" ht="19.5" customHeight="1">
      <c r="A545" s="143">
        <f t="shared" si="16"/>
        <v>10</v>
      </c>
      <c r="B545" s="158">
        <v>41921</v>
      </c>
      <c r="C545" s="159" t="s">
        <v>160</v>
      </c>
      <c r="D545" s="158">
        <v>41921</v>
      </c>
      <c r="E545" s="160" t="s">
        <v>172</v>
      </c>
      <c r="F545" s="160"/>
      <c r="G545" s="161" t="s">
        <v>38</v>
      </c>
      <c r="H545" s="162"/>
      <c r="I545" s="162">
        <v>100000000</v>
      </c>
      <c r="J545" s="163">
        <f t="shared" si="15"/>
        <v>2078141151</v>
      </c>
      <c r="K545" s="163"/>
    </row>
    <row r="546" spans="1:11" s="143" customFormat="1" ht="19.5" customHeight="1">
      <c r="A546" s="143">
        <f t="shared" si="16"/>
        <v>10</v>
      </c>
      <c r="B546" s="158">
        <v>41921</v>
      </c>
      <c r="C546" s="159" t="s">
        <v>160</v>
      </c>
      <c r="D546" s="158">
        <v>41921</v>
      </c>
      <c r="E546" s="160" t="s">
        <v>222</v>
      </c>
      <c r="F546" s="160"/>
      <c r="G546" s="161" t="s">
        <v>247</v>
      </c>
      <c r="H546" s="162"/>
      <c r="I546" s="162">
        <v>50000</v>
      </c>
      <c r="J546" s="163">
        <f t="shared" si="15"/>
        <v>2078091151</v>
      </c>
      <c r="K546" s="163"/>
    </row>
    <row r="547" spans="1:11" s="143" customFormat="1" ht="19.5" customHeight="1">
      <c r="A547" s="143">
        <f t="shared" si="16"/>
        <v>10</v>
      </c>
      <c r="B547" s="158">
        <v>41921</v>
      </c>
      <c r="C547" s="159" t="s">
        <v>160</v>
      </c>
      <c r="D547" s="158">
        <v>41921</v>
      </c>
      <c r="E547" s="160" t="s">
        <v>223</v>
      </c>
      <c r="F547" s="160"/>
      <c r="G547" s="161" t="s">
        <v>35</v>
      </c>
      <c r="H547" s="162"/>
      <c r="I547" s="162">
        <v>5000</v>
      </c>
      <c r="J547" s="163">
        <f t="shared" si="15"/>
        <v>2078086151</v>
      </c>
      <c r="K547" s="163"/>
    </row>
    <row r="548" spans="1:11" s="143" customFormat="1" ht="19.5" customHeight="1">
      <c r="A548" s="143">
        <f t="shared" si="16"/>
        <v>10</v>
      </c>
      <c r="B548" s="158">
        <v>41921</v>
      </c>
      <c r="C548" s="159" t="s">
        <v>160</v>
      </c>
      <c r="D548" s="158">
        <v>41921</v>
      </c>
      <c r="E548" s="160" t="s">
        <v>595</v>
      </c>
      <c r="F548" s="160"/>
      <c r="G548" s="161" t="s">
        <v>34</v>
      </c>
      <c r="H548" s="162"/>
      <c r="I548" s="162">
        <v>100000000</v>
      </c>
      <c r="J548" s="163">
        <f t="shared" si="15"/>
        <v>1978086151</v>
      </c>
      <c r="K548" s="163"/>
    </row>
    <row r="549" spans="1:11" s="143" customFormat="1" ht="19.5" customHeight="1">
      <c r="A549" s="143">
        <f t="shared" si="16"/>
        <v>10</v>
      </c>
      <c r="B549" s="158">
        <v>41921</v>
      </c>
      <c r="C549" s="159" t="s">
        <v>160</v>
      </c>
      <c r="D549" s="158">
        <v>41921</v>
      </c>
      <c r="E549" s="160" t="s">
        <v>222</v>
      </c>
      <c r="F549" s="160"/>
      <c r="G549" s="161" t="s">
        <v>247</v>
      </c>
      <c r="H549" s="162"/>
      <c r="I549" s="162">
        <v>30000</v>
      </c>
      <c r="J549" s="163">
        <f t="shared" si="15"/>
        <v>1978056151</v>
      </c>
      <c r="K549" s="163"/>
    </row>
    <row r="550" spans="1:11" s="143" customFormat="1" ht="19.5" customHeight="1">
      <c r="A550" s="143">
        <f t="shared" si="16"/>
        <v>10</v>
      </c>
      <c r="B550" s="158">
        <v>41921</v>
      </c>
      <c r="C550" s="159" t="s">
        <v>160</v>
      </c>
      <c r="D550" s="158">
        <v>41921</v>
      </c>
      <c r="E550" s="160" t="s">
        <v>223</v>
      </c>
      <c r="F550" s="160"/>
      <c r="G550" s="161" t="s">
        <v>35</v>
      </c>
      <c r="H550" s="162"/>
      <c r="I550" s="162">
        <v>3000</v>
      </c>
      <c r="J550" s="163">
        <f t="shared" si="15"/>
        <v>1978053151</v>
      </c>
      <c r="K550" s="163"/>
    </row>
    <row r="551" spans="1:11" s="143" customFormat="1" ht="19.5" customHeight="1">
      <c r="A551" s="143">
        <f t="shared" si="16"/>
        <v>10</v>
      </c>
      <c r="B551" s="158">
        <v>41921</v>
      </c>
      <c r="C551" s="159" t="s">
        <v>160</v>
      </c>
      <c r="D551" s="158">
        <v>41921</v>
      </c>
      <c r="E551" s="160" t="s">
        <v>576</v>
      </c>
      <c r="F551" s="160"/>
      <c r="G551" s="161" t="s">
        <v>34</v>
      </c>
      <c r="H551" s="162"/>
      <c r="I551" s="162">
        <v>29615740</v>
      </c>
      <c r="J551" s="163">
        <f t="shared" si="15"/>
        <v>1948437411</v>
      </c>
      <c r="K551" s="163"/>
    </row>
    <row r="552" spans="1:11" s="143" customFormat="1" ht="19.5" customHeight="1">
      <c r="A552" s="143">
        <f t="shared" si="16"/>
        <v>10</v>
      </c>
      <c r="B552" s="158">
        <v>41921</v>
      </c>
      <c r="C552" s="159" t="s">
        <v>160</v>
      </c>
      <c r="D552" s="158">
        <v>41921</v>
      </c>
      <c r="E552" s="160" t="s">
        <v>222</v>
      </c>
      <c r="F552" s="160"/>
      <c r="G552" s="161" t="s">
        <v>247</v>
      </c>
      <c r="H552" s="162"/>
      <c r="I552" s="162">
        <v>25000</v>
      </c>
      <c r="J552" s="163">
        <f t="shared" si="15"/>
        <v>1948412411</v>
      </c>
      <c r="K552" s="163"/>
    </row>
    <row r="553" spans="1:11" s="143" customFormat="1" ht="19.5" customHeight="1">
      <c r="A553" s="143">
        <f t="shared" si="16"/>
        <v>10</v>
      </c>
      <c r="B553" s="158">
        <v>41921</v>
      </c>
      <c r="C553" s="159" t="s">
        <v>160</v>
      </c>
      <c r="D553" s="158">
        <v>41921</v>
      </c>
      <c r="E553" s="160" t="s">
        <v>223</v>
      </c>
      <c r="F553" s="160"/>
      <c r="G553" s="161" t="s">
        <v>35</v>
      </c>
      <c r="H553" s="162"/>
      <c r="I553" s="162">
        <v>2500</v>
      </c>
      <c r="J553" s="163">
        <f t="shared" si="15"/>
        <v>1948409911</v>
      </c>
      <c r="K553" s="163"/>
    </row>
    <row r="554" spans="1:11" s="143" customFormat="1" ht="19.5" customHeight="1">
      <c r="A554" s="143">
        <f t="shared" si="16"/>
        <v>10</v>
      </c>
      <c r="B554" s="158">
        <v>41921</v>
      </c>
      <c r="C554" s="159" t="s">
        <v>160</v>
      </c>
      <c r="D554" s="158">
        <v>41921</v>
      </c>
      <c r="E554" s="160" t="s">
        <v>584</v>
      </c>
      <c r="F554" s="160"/>
      <c r="G554" s="161" t="s">
        <v>34</v>
      </c>
      <c r="H554" s="162"/>
      <c r="I554" s="162">
        <v>5935872</v>
      </c>
      <c r="J554" s="163">
        <f t="shared" si="15"/>
        <v>1942474039</v>
      </c>
      <c r="K554" s="163"/>
    </row>
    <row r="555" spans="1:11" s="143" customFormat="1" ht="19.5" customHeight="1">
      <c r="A555" s="143">
        <f t="shared" si="16"/>
        <v>10</v>
      </c>
      <c r="B555" s="158">
        <v>41921</v>
      </c>
      <c r="C555" s="159" t="s">
        <v>160</v>
      </c>
      <c r="D555" s="158">
        <v>41921</v>
      </c>
      <c r="E555" s="160" t="s">
        <v>222</v>
      </c>
      <c r="F555" s="160"/>
      <c r="G555" s="161" t="s">
        <v>247</v>
      </c>
      <c r="H555" s="162"/>
      <c r="I555" s="162">
        <v>25000</v>
      </c>
      <c r="J555" s="163">
        <f t="shared" si="15"/>
        <v>1942449039</v>
      </c>
      <c r="K555" s="163"/>
    </row>
    <row r="556" spans="1:11" s="143" customFormat="1" ht="19.5" customHeight="1">
      <c r="A556" s="143">
        <f t="shared" si="16"/>
        <v>10</v>
      </c>
      <c r="B556" s="158">
        <v>41921</v>
      </c>
      <c r="C556" s="159" t="s">
        <v>160</v>
      </c>
      <c r="D556" s="158">
        <v>41921</v>
      </c>
      <c r="E556" s="160" t="s">
        <v>223</v>
      </c>
      <c r="F556" s="160"/>
      <c r="G556" s="161" t="s">
        <v>35</v>
      </c>
      <c r="H556" s="162"/>
      <c r="I556" s="162">
        <v>2500</v>
      </c>
      <c r="J556" s="163">
        <f t="shared" si="15"/>
        <v>1942446539</v>
      </c>
      <c r="K556" s="163"/>
    </row>
    <row r="557" spans="1:11" s="143" customFormat="1" ht="19.5" customHeight="1">
      <c r="A557" s="143">
        <f t="shared" si="16"/>
        <v>10</v>
      </c>
      <c r="B557" s="158">
        <v>41921</v>
      </c>
      <c r="C557" s="159" t="s">
        <v>160</v>
      </c>
      <c r="D557" s="158">
        <v>41921</v>
      </c>
      <c r="E557" s="160" t="s">
        <v>577</v>
      </c>
      <c r="F557" s="160"/>
      <c r="G557" s="161" t="s">
        <v>159</v>
      </c>
      <c r="H557" s="162"/>
      <c r="I557" s="162">
        <v>1900000000</v>
      </c>
      <c r="J557" s="163">
        <f t="shared" si="15"/>
        <v>42446539</v>
      </c>
      <c r="K557" s="163"/>
    </row>
    <row r="558" spans="1:11" s="143" customFormat="1" ht="19.5" customHeight="1">
      <c r="A558" s="143">
        <f t="shared" si="16"/>
        <v>10</v>
      </c>
      <c r="B558" s="158">
        <v>41928</v>
      </c>
      <c r="C558" s="159" t="s">
        <v>163</v>
      </c>
      <c r="D558" s="158">
        <v>41928</v>
      </c>
      <c r="E558" s="160" t="s">
        <v>164</v>
      </c>
      <c r="F558" s="160"/>
      <c r="G558" s="161" t="s">
        <v>162</v>
      </c>
      <c r="H558" s="162">
        <v>2421588000</v>
      </c>
      <c r="I558" s="162"/>
      <c r="J558" s="163">
        <f t="shared" si="15"/>
        <v>2464034539</v>
      </c>
      <c r="K558" s="163"/>
    </row>
    <row r="559" spans="1:11" s="143" customFormat="1" ht="19.5" customHeight="1">
      <c r="A559" s="143">
        <f t="shared" si="16"/>
        <v>10</v>
      </c>
      <c r="B559" s="158">
        <v>41928</v>
      </c>
      <c r="C559" s="159" t="s">
        <v>160</v>
      </c>
      <c r="D559" s="158">
        <v>41928</v>
      </c>
      <c r="E559" s="160" t="s">
        <v>577</v>
      </c>
      <c r="F559" s="160"/>
      <c r="G559" s="161" t="s">
        <v>159</v>
      </c>
      <c r="H559" s="162"/>
      <c r="I559" s="162">
        <v>2000000000</v>
      </c>
      <c r="J559" s="163">
        <f t="shared" si="15"/>
        <v>464034539</v>
      </c>
      <c r="K559" s="163"/>
    </row>
    <row r="560" spans="1:11" s="143" customFormat="1" ht="19.5" customHeight="1">
      <c r="A560" s="143">
        <f t="shared" si="16"/>
        <v>10</v>
      </c>
      <c r="B560" s="158">
        <v>41929</v>
      </c>
      <c r="C560" s="159" t="s">
        <v>160</v>
      </c>
      <c r="D560" s="158">
        <v>41929</v>
      </c>
      <c r="E560" s="160" t="s">
        <v>661</v>
      </c>
      <c r="F560" s="160"/>
      <c r="G560" s="161" t="s">
        <v>34</v>
      </c>
      <c r="H560" s="162"/>
      <c r="I560" s="162">
        <v>100000000</v>
      </c>
      <c r="J560" s="163">
        <f t="shared" si="15"/>
        <v>364034539</v>
      </c>
      <c r="K560" s="163"/>
    </row>
    <row r="561" spans="1:11" s="143" customFormat="1" ht="19.5" customHeight="1">
      <c r="A561" s="143">
        <f t="shared" si="16"/>
        <v>10</v>
      </c>
      <c r="B561" s="158">
        <v>41929</v>
      </c>
      <c r="C561" s="159" t="s">
        <v>160</v>
      </c>
      <c r="D561" s="158">
        <v>41929</v>
      </c>
      <c r="E561" s="160" t="s">
        <v>222</v>
      </c>
      <c r="F561" s="160"/>
      <c r="G561" s="161" t="s">
        <v>247</v>
      </c>
      <c r="H561" s="162"/>
      <c r="I561" s="162">
        <v>30000</v>
      </c>
      <c r="J561" s="163">
        <f t="shared" si="15"/>
        <v>364004539</v>
      </c>
      <c r="K561" s="163"/>
    </row>
    <row r="562" spans="1:11" s="143" customFormat="1" ht="19.5" customHeight="1">
      <c r="A562" s="143">
        <f t="shared" si="16"/>
        <v>10</v>
      </c>
      <c r="B562" s="158">
        <v>41929</v>
      </c>
      <c r="C562" s="159" t="s">
        <v>160</v>
      </c>
      <c r="D562" s="158">
        <v>41929</v>
      </c>
      <c r="E562" s="160" t="s">
        <v>223</v>
      </c>
      <c r="F562" s="160"/>
      <c r="G562" s="161" t="s">
        <v>35</v>
      </c>
      <c r="H562" s="162"/>
      <c r="I562" s="162">
        <v>3000</v>
      </c>
      <c r="J562" s="163">
        <f t="shared" si="15"/>
        <v>364001539</v>
      </c>
      <c r="K562" s="163"/>
    </row>
    <row r="563" spans="1:11" s="143" customFormat="1" ht="19.5" customHeight="1">
      <c r="A563" s="143">
        <f t="shared" si="16"/>
        <v>10</v>
      </c>
      <c r="B563" s="158">
        <v>41929</v>
      </c>
      <c r="C563" s="159" t="s">
        <v>160</v>
      </c>
      <c r="D563" s="158">
        <v>41929</v>
      </c>
      <c r="E563" s="160" t="s">
        <v>585</v>
      </c>
      <c r="F563" s="160"/>
      <c r="G563" s="161" t="s">
        <v>34</v>
      </c>
      <c r="H563" s="162"/>
      <c r="I563" s="162">
        <v>2670000</v>
      </c>
      <c r="J563" s="163">
        <f t="shared" si="15"/>
        <v>361331539</v>
      </c>
      <c r="K563" s="163"/>
    </row>
    <row r="564" spans="1:11" s="143" customFormat="1" ht="19.5" customHeight="1">
      <c r="A564" s="143">
        <f t="shared" si="16"/>
        <v>10</v>
      </c>
      <c r="B564" s="158">
        <v>41929</v>
      </c>
      <c r="C564" s="159" t="s">
        <v>160</v>
      </c>
      <c r="D564" s="158">
        <v>41929</v>
      </c>
      <c r="E564" s="160" t="s">
        <v>222</v>
      </c>
      <c r="F564" s="160"/>
      <c r="G564" s="161" t="s">
        <v>247</v>
      </c>
      <c r="H564" s="162"/>
      <c r="I564" s="162">
        <v>20000</v>
      </c>
      <c r="J564" s="163">
        <f t="shared" si="15"/>
        <v>361311539</v>
      </c>
      <c r="K564" s="163"/>
    </row>
    <row r="565" spans="1:11" s="143" customFormat="1" ht="19.5" customHeight="1">
      <c r="A565" s="143">
        <f t="shared" si="16"/>
        <v>10</v>
      </c>
      <c r="B565" s="158">
        <v>41929</v>
      </c>
      <c r="C565" s="159" t="s">
        <v>160</v>
      </c>
      <c r="D565" s="158">
        <v>41929</v>
      </c>
      <c r="E565" s="160" t="s">
        <v>223</v>
      </c>
      <c r="F565" s="160"/>
      <c r="G565" s="161" t="s">
        <v>35</v>
      </c>
      <c r="H565" s="162"/>
      <c r="I565" s="162">
        <v>2000</v>
      </c>
      <c r="J565" s="163">
        <f t="shared" si="15"/>
        <v>361309539</v>
      </c>
      <c r="K565" s="163"/>
    </row>
    <row r="566" spans="1:11" s="143" customFormat="1" ht="19.5" customHeight="1">
      <c r="A566" s="143">
        <f t="shared" si="16"/>
        <v>10</v>
      </c>
      <c r="B566" s="158">
        <v>41929</v>
      </c>
      <c r="C566" s="159" t="s">
        <v>160</v>
      </c>
      <c r="D566" s="158">
        <v>41929</v>
      </c>
      <c r="E566" s="160" t="s">
        <v>648</v>
      </c>
      <c r="F566" s="160"/>
      <c r="G566" s="161" t="s">
        <v>34</v>
      </c>
      <c r="H566" s="162"/>
      <c r="I566" s="162">
        <v>38500000</v>
      </c>
      <c r="J566" s="163">
        <f t="shared" si="15"/>
        <v>322809539</v>
      </c>
      <c r="K566" s="163"/>
    </row>
    <row r="567" spans="1:11" s="143" customFormat="1" ht="19.5" customHeight="1">
      <c r="A567" s="143">
        <f t="shared" si="16"/>
        <v>10</v>
      </c>
      <c r="B567" s="158">
        <v>41929</v>
      </c>
      <c r="C567" s="159" t="s">
        <v>160</v>
      </c>
      <c r="D567" s="158">
        <v>41929</v>
      </c>
      <c r="E567" s="160" t="s">
        <v>222</v>
      </c>
      <c r="F567" s="160"/>
      <c r="G567" s="161" t="s">
        <v>247</v>
      </c>
      <c r="H567" s="162"/>
      <c r="I567" s="162">
        <v>20000</v>
      </c>
      <c r="J567" s="163">
        <f t="shared" si="15"/>
        <v>322789539</v>
      </c>
      <c r="K567" s="163"/>
    </row>
    <row r="568" spans="1:11" s="143" customFormat="1" ht="19.5" customHeight="1">
      <c r="A568" s="143">
        <f t="shared" si="16"/>
        <v>10</v>
      </c>
      <c r="B568" s="158">
        <v>41929</v>
      </c>
      <c r="C568" s="159" t="s">
        <v>160</v>
      </c>
      <c r="D568" s="158">
        <v>41929</v>
      </c>
      <c r="E568" s="160" t="s">
        <v>223</v>
      </c>
      <c r="F568" s="160"/>
      <c r="G568" s="161" t="s">
        <v>35</v>
      </c>
      <c r="H568" s="162"/>
      <c r="I568" s="162">
        <v>2000</v>
      </c>
      <c r="J568" s="163">
        <f t="shared" si="15"/>
        <v>322787539</v>
      </c>
      <c r="K568" s="163"/>
    </row>
    <row r="569" spans="1:11" s="143" customFormat="1" ht="19.5" customHeight="1">
      <c r="A569" s="143">
        <f t="shared" si="16"/>
        <v>10</v>
      </c>
      <c r="B569" s="158">
        <v>41929</v>
      </c>
      <c r="C569" s="159" t="s">
        <v>160</v>
      </c>
      <c r="D569" s="158">
        <v>41929</v>
      </c>
      <c r="E569" s="160" t="s">
        <v>172</v>
      </c>
      <c r="F569" s="160"/>
      <c r="G569" s="161" t="s">
        <v>38</v>
      </c>
      <c r="H569" s="162"/>
      <c r="I569" s="162">
        <v>95000000</v>
      </c>
      <c r="J569" s="163">
        <f t="shared" si="15"/>
        <v>227787539</v>
      </c>
      <c r="K569" s="163"/>
    </row>
    <row r="570" spans="1:11" s="143" customFormat="1" ht="19.5" customHeight="1">
      <c r="A570" s="143">
        <f t="shared" si="16"/>
        <v>10</v>
      </c>
      <c r="B570" s="158">
        <v>41929</v>
      </c>
      <c r="C570" s="159" t="s">
        <v>160</v>
      </c>
      <c r="D570" s="158">
        <v>41929</v>
      </c>
      <c r="E570" s="160" t="s">
        <v>222</v>
      </c>
      <c r="F570" s="160"/>
      <c r="G570" s="161" t="s">
        <v>247</v>
      </c>
      <c r="H570" s="162"/>
      <c r="I570" s="162">
        <v>47500</v>
      </c>
      <c r="J570" s="163">
        <f t="shared" si="15"/>
        <v>227740039</v>
      </c>
      <c r="K570" s="163"/>
    </row>
    <row r="571" spans="1:11" s="143" customFormat="1" ht="19.5" customHeight="1">
      <c r="A571" s="143">
        <f t="shared" si="16"/>
        <v>10</v>
      </c>
      <c r="B571" s="158">
        <v>41929</v>
      </c>
      <c r="C571" s="159" t="s">
        <v>160</v>
      </c>
      <c r="D571" s="158">
        <v>41929</v>
      </c>
      <c r="E571" s="160" t="s">
        <v>223</v>
      </c>
      <c r="F571" s="160"/>
      <c r="G571" s="161" t="s">
        <v>35</v>
      </c>
      <c r="H571" s="162"/>
      <c r="I571" s="162">
        <v>4750</v>
      </c>
      <c r="J571" s="163">
        <f t="shared" si="15"/>
        <v>227735289</v>
      </c>
      <c r="K571" s="163"/>
    </row>
    <row r="572" spans="1:11" s="143" customFormat="1" ht="19.5" customHeight="1">
      <c r="A572" s="143">
        <f t="shared" si="16"/>
        <v>10</v>
      </c>
      <c r="B572" s="158">
        <v>41929</v>
      </c>
      <c r="C572" s="159" t="s">
        <v>160</v>
      </c>
      <c r="D572" s="158">
        <v>41929</v>
      </c>
      <c r="E572" s="160" t="s">
        <v>576</v>
      </c>
      <c r="F572" s="160"/>
      <c r="G572" s="161" t="s">
        <v>34</v>
      </c>
      <c r="H572" s="162"/>
      <c r="I572" s="162">
        <v>34746140</v>
      </c>
      <c r="J572" s="163">
        <f t="shared" si="15"/>
        <v>192989149</v>
      </c>
      <c r="K572" s="163"/>
    </row>
    <row r="573" spans="1:11" s="143" customFormat="1" ht="19.5" customHeight="1">
      <c r="A573" s="143">
        <f t="shared" si="16"/>
        <v>10</v>
      </c>
      <c r="B573" s="158">
        <v>41929</v>
      </c>
      <c r="C573" s="159" t="s">
        <v>160</v>
      </c>
      <c r="D573" s="158">
        <v>41929</v>
      </c>
      <c r="E573" s="160" t="s">
        <v>222</v>
      </c>
      <c r="F573" s="160"/>
      <c r="G573" s="161" t="s">
        <v>247</v>
      </c>
      <c r="H573" s="162"/>
      <c r="I573" s="162">
        <v>25000</v>
      </c>
      <c r="J573" s="163">
        <f t="shared" si="15"/>
        <v>192964149</v>
      </c>
      <c r="K573" s="163"/>
    </row>
    <row r="574" spans="1:11" s="143" customFormat="1" ht="19.5" customHeight="1">
      <c r="A574" s="143">
        <f t="shared" si="16"/>
        <v>10</v>
      </c>
      <c r="B574" s="158">
        <v>41929</v>
      </c>
      <c r="C574" s="159" t="s">
        <v>160</v>
      </c>
      <c r="D574" s="158">
        <v>41929</v>
      </c>
      <c r="E574" s="160" t="s">
        <v>223</v>
      </c>
      <c r="F574" s="160"/>
      <c r="G574" s="161" t="s">
        <v>35</v>
      </c>
      <c r="H574" s="162"/>
      <c r="I574" s="162">
        <v>2500</v>
      </c>
      <c r="J574" s="163">
        <f t="shared" si="15"/>
        <v>192961649</v>
      </c>
      <c r="K574" s="163"/>
    </row>
    <row r="575" spans="1:11" s="143" customFormat="1" ht="19.5" customHeight="1">
      <c r="A575" s="143">
        <f t="shared" si="16"/>
        <v>10</v>
      </c>
      <c r="B575" s="158">
        <v>41929</v>
      </c>
      <c r="C575" s="159" t="s">
        <v>160</v>
      </c>
      <c r="D575" s="158">
        <v>41929</v>
      </c>
      <c r="E575" s="160" t="s">
        <v>579</v>
      </c>
      <c r="F575" s="160"/>
      <c r="G575" s="161" t="s">
        <v>34</v>
      </c>
      <c r="H575" s="162"/>
      <c r="I575" s="162">
        <v>26803697</v>
      </c>
      <c r="J575" s="163">
        <f t="shared" si="15"/>
        <v>166157952</v>
      </c>
      <c r="K575" s="163"/>
    </row>
    <row r="576" spans="1:11" s="143" customFormat="1" ht="19.5" customHeight="1">
      <c r="A576" s="143">
        <f t="shared" si="16"/>
        <v>10</v>
      </c>
      <c r="B576" s="158">
        <v>41929</v>
      </c>
      <c r="C576" s="159" t="s">
        <v>160</v>
      </c>
      <c r="D576" s="158">
        <v>41929</v>
      </c>
      <c r="E576" s="160" t="s">
        <v>222</v>
      </c>
      <c r="F576" s="160"/>
      <c r="G576" s="161" t="s">
        <v>247</v>
      </c>
      <c r="H576" s="162"/>
      <c r="I576" s="162">
        <v>25000</v>
      </c>
      <c r="J576" s="163">
        <f t="shared" si="15"/>
        <v>166132952</v>
      </c>
      <c r="K576" s="163"/>
    </row>
    <row r="577" spans="1:11" s="143" customFormat="1" ht="19.5" customHeight="1">
      <c r="A577" s="143">
        <f t="shared" si="16"/>
        <v>10</v>
      </c>
      <c r="B577" s="158">
        <v>41929</v>
      </c>
      <c r="C577" s="159" t="s">
        <v>160</v>
      </c>
      <c r="D577" s="158">
        <v>41929</v>
      </c>
      <c r="E577" s="160" t="s">
        <v>223</v>
      </c>
      <c r="F577" s="160"/>
      <c r="G577" s="161" t="s">
        <v>35</v>
      </c>
      <c r="H577" s="162"/>
      <c r="I577" s="162">
        <v>2500</v>
      </c>
      <c r="J577" s="163">
        <f t="shared" si="15"/>
        <v>166130452</v>
      </c>
      <c r="K577" s="163"/>
    </row>
    <row r="578" spans="1:11" s="143" customFormat="1" ht="19.5" customHeight="1">
      <c r="A578" s="143">
        <f t="shared" si="16"/>
        <v>10</v>
      </c>
      <c r="B578" s="158">
        <v>41929</v>
      </c>
      <c r="C578" s="159" t="s">
        <v>160</v>
      </c>
      <c r="D578" s="158">
        <v>41929</v>
      </c>
      <c r="E578" s="160" t="s">
        <v>220</v>
      </c>
      <c r="F578" s="160"/>
      <c r="G578" s="161" t="s">
        <v>36</v>
      </c>
      <c r="H578" s="162"/>
      <c r="I578" s="162">
        <v>30000000</v>
      </c>
      <c r="J578" s="163">
        <f t="shared" si="15"/>
        <v>136130452</v>
      </c>
      <c r="K578" s="163"/>
    </row>
    <row r="579" spans="1:11" s="143" customFormat="1" ht="19.5" customHeight="1">
      <c r="A579" s="143">
        <f t="shared" si="16"/>
        <v>10</v>
      </c>
      <c r="B579" s="158">
        <v>41929</v>
      </c>
      <c r="C579" s="159" t="s">
        <v>160</v>
      </c>
      <c r="D579" s="158">
        <v>41929</v>
      </c>
      <c r="E579" s="160" t="s">
        <v>575</v>
      </c>
      <c r="F579" s="160"/>
      <c r="G579" s="161" t="s">
        <v>57</v>
      </c>
      <c r="H579" s="162"/>
      <c r="I579" s="162">
        <v>25000000</v>
      </c>
      <c r="J579" s="163">
        <f t="shared" si="15"/>
        <v>111130452</v>
      </c>
      <c r="K579" s="163"/>
    </row>
    <row r="580" spans="1:11" s="143" customFormat="1" ht="19.5" customHeight="1">
      <c r="A580" s="143">
        <f t="shared" si="16"/>
        <v>10</v>
      </c>
      <c r="B580" s="158">
        <v>41929</v>
      </c>
      <c r="C580" s="159" t="s">
        <v>160</v>
      </c>
      <c r="D580" s="158">
        <v>41929</v>
      </c>
      <c r="E580" s="160" t="s">
        <v>615</v>
      </c>
      <c r="F580" s="160"/>
      <c r="G580" s="161" t="s">
        <v>34</v>
      </c>
      <c r="H580" s="162"/>
      <c r="I580" s="162">
        <v>75000000</v>
      </c>
      <c r="J580" s="163">
        <f t="shared" si="15"/>
        <v>36130452</v>
      </c>
      <c r="K580" s="163"/>
    </row>
    <row r="581" spans="1:11" s="143" customFormat="1" ht="19.5" customHeight="1">
      <c r="A581" s="143">
        <f t="shared" si="16"/>
        <v>10</v>
      </c>
      <c r="B581" s="158">
        <v>41932</v>
      </c>
      <c r="C581" s="159" t="s">
        <v>160</v>
      </c>
      <c r="D581" s="158">
        <v>41932</v>
      </c>
      <c r="E581" s="160" t="s">
        <v>615</v>
      </c>
      <c r="F581" s="160"/>
      <c r="G581" s="161" t="s">
        <v>34</v>
      </c>
      <c r="H581" s="162"/>
      <c r="I581" s="162">
        <v>15000000</v>
      </c>
      <c r="J581" s="163">
        <f t="shared" si="15"/>
        <v>21130452</v>
      </c>
      <c r="K581" s="163"/>
    </row>
    <row r="582" spans="1:11" s="143" customFormat="1" ht="19.5" customHeight="1">
      <c r="A582" s="143">
        <f t="shared" si="16"/>
        <v>10</v>
      </c>
      <c r="B582" s="158">
        <v>41934</v>
      </c>
      <c r="C582" s="159" t="s">
        <v>163</v>
      </c>
      <c r="D582" s="158">
        <v>41934</v>
      </c>
      <c r="E582" s="160" t="s">
        <v>662</v>
      </c>
      <c r="F582" s="160"/>
      <c r="G582" s="161" t="s">
        <v>663</v>
      </c>
      <c r="H582" s="162">
        <v>147617405</v>
      </c>
      <c r="I582" s="162"/>
      <c r="J582" s="163">
        <f t="shared" si="15"/>
        <v>168747857</v>
      </c>
      <c r="K582" s="163"/>
    </row>
    <row r="583" spans="1:11" s="143" customFormat="1" ht="19.5" customHeight="1">
      <c r="A583" s="143">
        <f t="shared" si="16"/>
        <v>10</v>
      </c>
      <c r="B583" s="158">
        <v>41936</v>
      </c>
      <c r="C583" s="159" t="s">
        <v>163</v>
      </c>
      <c r="D583" s="158">
        <v>41936</v>
      </c>
      <c r="E583" s="160" t="s">
        <v>220</v>
      </c>
      <c r="F583" s="160"/>
      <c r="G583" s="161" t="s">
        <v>36</v>
      </c>
      <c r="H583" s="162">
        <v>19000000</v>
      </c>
      <c r="I583" s="162"/>
      <c r="J583" s="163">
        <f t="shared" si="15"/>
        <v>187747857</v>
      </c>
      <c r="K583" s="163"/>
    </row>
    <row r="584" spans="1:11" s="143" customFormat="1" ht="19.5" customHeight="1">
      <c r="A584" s="143">
        <f t="shared" si="16"/>
        <v>10</v>
      </c>
      <c r="B584" s="158">
        <v>41936</v>
      </c>
      <c r="C584" s="159" t="s">
        <v>160</v>
      </c>
      <c r="D584" s="158">
        <v>41936</v>
      </c>
      <c r="E584" s="160" t="s">
        <v>218</v>
      </c>
      <c r="F584" s="160"/>
      <c r="G584" s="161" t="s">
        <v>34</v>
      </c>
      <c r="H584" s="162"/>
      <c r="I584" s="162">
        <v>47654200</v>
      </c>
      <c r="J584" s="163">
        <f t="shared" si="15"/>
        <v>140093657</v>
      </c>
      <c r="K584" s="163"/>
    </row>
    <row r="585" spans="1:11" s="143" customFormat="1" ht="19.5" customHeight="1">
      <c r="A585" s="143">
        <f t="shared" si="16"/>
        <v>10</v>
      </c>
      <c r="B585" s="158">
        <v>41936</v>
      </c>
      <c r="C585" s="159" t="s">
        <v>160</v>
      </c>
      <c r="D585" s="158">
        <v>41936</v>
      </c>
      <c r="E585" s="160" t="s">
        <v>222</v>
      </c>
      <c r="F585" s="160"/>
      <c r="G585" s="161" t="s">
        <v>247</v>
      </c>
      <c r="H585" s="162"/>
      <c r="I585" s="162">
        <v>20000</v>
      </c>
      <c r="J585" s="163">
        <f t="shared" si="15"/>
        <v>140073657</v>
      </c>
      <c r="K585" s="163"/>
    </row>
    <row r="586" spans="1:11" s="143" customFormat="1" ht="19.5" customHeight="1">
      <c r="A586" s="143">
        <f t="shared" si="16"/>
        <v>10</v>
      </c>
      <c r="B586" s="158">
        <v>41936</v>
      </c>
      <c r="C586" s="159" t="s">
        <v>160</v>
      </c>
      <c r="D586" s="158">
        <v>41936</v>
      </c>
      <c r="E586" s="160" t="s">
        <v>223</v>
      </c>
      <c r="F586" s="160"/>
      <c r="G586" s="161" t="s">
        <v>35</v>
      </c>
      <c r="H586" s="162"/>
      <c r="I586" s="162">
        <v>2000</v>
      </c>
      <c r="J586" s="163">
        <f t="shared" si="15"/>
        <v>140071657</v>
      </c>
      <c r="K586" s="163"/>
    </row>
    <row r="587" spans="1:11" s="143" customFormat="1" ht="19.5" customHeight="1">
      <c r="A587" s="143">
        <f t="shared" si="16"/>
        <v>10</v>
      </c>
      <c r="B587" s="158">
        <v>41936</v>
      </c>
      <c r="C587" s="159" t="s">
        <v>160</v>
      </c>
      <c r="D587" s="158">
        <v>41936</v>
      </c>
      <c r="E587" s="160" t="s">
        <v>576</v>
      </c>
      <c r="F587" s="160"/>
      <c r="G587" s="161" t="s">
        <v>34</v>
      </c>
      <c r="H587" s="162"/>
      <c r="I587" s="162">
        <v>33287870</v>
      </c>
      <c r="J587" s="163">
        <f t="shared" si="15"/>
        <v>106783787</v>
      </c>
      <c r="K587" s="163"/>
    </row>
    <row r="588" spans="1:11" s="143" customFormat="1" ht="19.5" customHeight="1">
      <c r="A588" s="143">
        <f t="shared" si="16"/>
        <v>10</v>
      </c>
      <c r="B588" s="158">
        <v>41936</v>
      </c>
      <c r="C588" s="159" t="s">
        <v>160</v>
      </c>
      <c r="D588" s="158">
        <v>41936</v>
      </c>
      <c r="E588" s="160" t="s">
        <v>222</v>
      </c>
      <c r="F588" s="160"/>
      <c r="G588" s="161" t="s">
        <v>247</v>
      </c>
      <c r="H588" s="162"/>
      <c r="I588" s="162">
        <v>25000</v>
      </c>
      <c r="J588" s="163">
        <f t="shared" si="15"/>
        <v>106758787</v>
      </c>
      <c r="K588" s="163"/>
    </row>
    <row r="589" spans="1:11" s="143" customFormat="1" ht="19.5" customHeight="1">
      <c r="A589" s="143">
        <f t="shared" si="16"/>
        <v>10</v>
      </c>
      <c r="B589" s="158">
        <v>41936</v>
      </c>
      <c r="C589" s="159" t="s">
        <v>160</v>
      </c>
      <c r="D589" s="158">
        <v>41936</v>
      </c>
      <c r="E589" s="160" t="s">
        <v>223</v>
      </c>
      <c r="F589" s="160"/>
      <c r="G589" s="161" t="s">
        <v>35</v>
      </c>
      <c r="H589" s="162"/>
      <c r="I589" s="162">
        <v>2500</v>
      </c>
      <c r="J589" s="163">
        <f t="shared" si="15"/>
        <v>106756287</v>
      </c>
      <c r="K589" s="163"/>
    </row>
    <row r="590" spans="1:11" s="143" customFormat="1" ht="19.5" customHeight="1">
      <c r="A590" s="143">
        <f t="shared" si="16"/>
        <v>10</v>
      </c>
      <c r="B590" s="158">
        <v>41936</v>
      </c>
      <c r="C590" s="159" t="s">
        <v>160</v>
      </c>
      <c r="D590" s="158">
        <v>41936</v>
      </c>
      <c r="E590" s="160" t="s">
        <v>664</v>
      </c>
      <c r="F590" s="160"/>
      <c r="G590" s="161" t="s">
        <v>34</v>
      </c>
      <c r="H590" s="162"/>
      <c r="I590" s="162">
        <v>42174000</v>
      </c>
      <c r="J590" s="163">
        <f t="shared" si="15"/>
        <v>64582287</v>
      </c>
      <c r="K590" s="163"/>
    </row>
    <row r="591" spans="1:11" s="143" customFormat="1" ht="19.5" customHeight="1">
      <c r="A591" s="143">
        <f t="shared" si="16"/>
        <v>10</v>
      </c>
      <c r="B591" s="158">
        <v>41936</v>
      </c>
      <c r="C591" s="159" t="s">
        <v>160</v>
      </c>
      <c r="D591" s="158">
        <v>41936</v>
      </c>
      <c r="E591" s="160" t="s">
        <v>222</v>
      </c>
      <c r="F591" s="160"/>
      <c r="G591" s="161" t="s">
        <v>247</v>
      </c>
      <c r="H591" s="162"/>
      <c r="I591" s="162">
        <v>20000</v>
      </c>
      <c r="J591" s="163">
        <f t="shared" ref="J591:J654" si="17">IF(B591&lt;&gt;"",J590+H591-I591,0)</f>
        <v>64562287</v>
      </c>
      <c r="K591" s="163"/>
    </row>
    <row r="592" spans="1:11" s="143" customFormat="1" ht="19.5" customHeight="1">
      <c r="A592" s="143">
        <f t="shared" si="16"/>
        <v>10</v>
      </c>
      <c r="B592" s="158">
        <v>41936</v>
      </c>
      <c r="C592" s="159" t="s">
        <v>160</v>
      </c>
      <c r="D592" s="158">
        <v>41936</v>
      </c>
      <c r="E592" s="160" t="s">
        <v>223</v>
      </c>
      <c r="F592" s="160"/>
      <c r="G592" s="161" t="s">
        <v>35</v>
      </c>
      <c r="H592" s="162"/>
      <c r="I592" s="162">
        <v>2000</v>
      </c>
      <c r="J592" s="163">
        <f t="shared" si="17"/>
        <v>64560287</v>
      </c>
      <c r="K592" s="163"/>
    </row>
    <row r="593" spans="1:11" s="143" customFormat="1" ht="19.5" customHeight="1">
      <c r="A593" s="143">
        <f t="shared" si="16"/>
        <v>10</v>
      </c>
      <c r="B593" s="158">
        <v>41936</v>
      </c>
      <c r="C593" s="159" t="s">
        <v>160</v>
      </c>
      <c r="D593" s="158">
        <v>41936</v>
      </c>
      <c r="E593" s="160" t="s">
        <v>665</v>
      </c>
      <c r="F593" s="160"/>
      <c r="G593" s="161" t="s">
        <v>57</v>
      </c>
      <c r="H593" s="162"/>
      <c r="I593" s="162">
        <v>56155000</v>
      </c>
      <c r="J593" s="163">
        <f t="shared" si="17"/>
        <v>8405287</v>
      </c>
      <c r="K593" s="163"/>
    </row>
    <row r="594" spans="1:11" s="143" customFormat="1" ht="19.5" customHeight="1">
      <c r="A594" s="143">
        <f t="shared" si="16"/>
        <v>10</v>
      </c>
      <c r="B594" s="158">
        <v>41936</v>
      </c>
      <c r="C594" s="159" t="s">
        <v>160</v>
      </c>
      <c r="D594" s="158">
        <v>41936</v>
      </c>
      <c r="E594" s="160" t="s">
        <v>222</v>
      </c>
      <c r="F594" s="160"/>
      <c r="G594" s="161" t="s">
        <v>247</v>
      </c>
      <c r="H594" s="162"/>
      <c r="I594" s="162">
        <v>28078</v>
      </c>
      <c r="J594" s="163">
        <f t="shared" si="17"/>
        <v>8377209</v>
      </c>
      <c r="K594" s="163"/>
    </row>
    <row r="595" spans="1:11" s="143" customFormat="1" ht="19.5" customHeight="1">
      <c r="A595" s="143">
        <f t="shared" si="16"/>
        <v>10</v>
      </c>
      <c r="B595" s="158">
        <v>41936</v>
      </c>
      <c r="C595" s="159" t="s">
        <v>160</v>
      </c>
      <c r="D595" s="158">
        <v>41936</v>
      </c>
      <c r="E595" s="160" t="s">
        <v>223</v>
      </c>
      <c r="F595" s="160"/>
      <c r="G595" s="161" t="s">
        <v>35</v>
      </c>
      <c r="H595" s="162"/>
      <c r="I595" s="162">
        <v>2808</v>
      </c>
      <c r="J595" s="163">
        <f t="shared" si="17"/>
        <v>8374401</v>
      </c>
      <c r="K595" s="163"/>
    </row>
    <row r="596" spans="1:11" s="143" customFormat="1" ht="19.5" customHeight="1">
      <c r="A596" s="143">
        <f t="shared" si="16"/>
        <v>10</v>
      </c>
      <c r="B596" s="158">
        <v>41937</v>
      </c>
      <c r="C596" s="159" t="s">
        <v>163</v>
      </c>
      <c r="D596" s="158">
        <v>41937</v>
      </c>
      <c r="E596" s="160" t="s">
        <v>588</v>
      </c>
      <c r="F596" s="160"/>
      <c r="G596" s="161" t="s">
        <v>176</v>
      </c>
      <c r="H596" s="162">
        <v>21173</v>
      </c>
      <c r="I596" s="162"/>
      <c r="J596" s="163">
        <f t="shared" si="17"/>
        <v>8395574</v>
      </c>
      <c r="K596" s="163"/>
    </row>
    <row r="597" spans="1:11" s="143" customFormat="1" ht="19.5" customHeight="1">
      <c r="A597" s="143">
        <f t="shared" si="16"/>
        <v>10</v>
      </c>
      <c r="B597" s="158">
        <v>41939</v>
      </c>
      <c r="C597" s="159" t="s">
        <v>163</v>
      </c>
      <c r="D597" s="158">
        <v>41939</v>
      </c>
      <c r="E597" s="160" t="s">
        <v>51</v>
      </c>
      <c r="F597" s="160"/>
      <c r="G597" s="161" t="s">
        <v>159</v>
      </c>
      <c r="H597" s="162">
        <v>50000000</v>
      </c>
      <c r="I597" s="162"/>
      <c r="J597" s="163">
        <f t="shared" si="17"/>
        <v>58395574</v>
      </c>
      <c r="K597" s="163"/>
    </row>
    <row r="598" spans="1:11" s="143" customFormat="1" ht="19.5" customHeight="1">
      <c r="A598" s="143">
        <f t="shared" si="16"/>
        <v>10</v>
      </c>
      <c r="B598" s="158">
        <v>41939</v>
      </c>
      <c r="C598" s="159" t="s">
        <v>160</v>
      </c>
      <c r="D598" s="158">
        <v>41939</v>
      </c>
      <c r="E598" s="160" t="s">
        <v>666</v>
      </c>
      <c r="F598" s="160"/>
      <c r="G598" s="161" t="s">
        <v>247</v>
      </c>
      <c r="H598" s="162"/>
      <c r="I598" s="162">
        <v>20000</v>
      </c>
      <c r="J598" s="163">
        <f t="shared" si="17"/>
        <v>58375574</v>
      </c>
      <c r="K598" s="163"/>
    </row>
    <row r="599" spans="1:11" s="143" customFormat="1" ht="19.5" customHeight="1">
      <c r="A599" s="143">
        <f t="shared" si="16"/>
        <v>10</v>
      </c>
      <c r="B599" s="158">
        <v>41939</v>
      </c>
      <c r="C599" s="159" t="s">
        <v>160</v>
      </c>
      <c r="D599" s="158">
        <v>41939</v>
      </c>
      <c r="E599" s="160" t="s">
        <v>667</v>
      </c>
      <c r="F599" s="160"/>
      <c r="G599" s="161" t="s">
        <v>35</v>
      </c>
      <c r="H599" s="162"/>
      <c r="I599" s="162">
        <v>2000</v>
      </c>
      <c r="J599" s="163">
        <f t="shared" si="17"/>
        <v>58373574</v>
      </c>
      <c r="K599" s="163"/>
    </row>
    <row r="600" spans="1:11" s="143" customFormat="1" ht="19.5" customHeight="1">
      <c r="A600" s="143">
        <f t="shared" si="16"/>
        <v>10</v>
      </c>
      <c r="B600" s="158">
        <v>41939</v>
      </c>
      <c r="C600" s="159" t="s">
        <v>160</v>
      </c>
      <c r="D600" s="158">
        <v>41939</v>
      </c>
      <c r="E600" s="160" t="s">
        <v>225</v>
      </c>
      <c r="F600" s="160"/>
      <c r="G600" s="161" t="s">
        <v>34</v>
      </c>
      <c r="H600" s="162"/>
      <c r="I600" s="162">
        <v>41000000</v>
      </c>
      <c r="J600" s="163">
        <f t="shared" si="17"/>
        <v>17373574</v>
      </c>
      <c r="K600" s="163"/>
    </row>
    <row r="601" spans="1:11" s="143" customFormat="1" ht="19.5" customHeight="1">
      <c r="A601" s="143">
        <f t="shared" ref="A601:A664" si="18">IF(B601&lt;&gt;"",MONTH(B601),"")</f>
        <v>10</v>
      </c>
      <c r="B601" s="158">
        <v>41939</v>
      </c>
      <c r="C601" s="159" t="s">
        <v>160</v>
      </c>
      <c r="D601" s="158">
        <v>41939</v>
      </c>
      <c r="E601" s="160" t="s">
        <v>656</v>
      </c>
      <c r="F601" s="160"/>
      <c r="G601" s="161" t="s">
        <v>247</v>
      </c>
      <c r="H601" s="162"/>
      <c r="I601" s="162">
        <v>40000</v>
      </c>
      <c r="J601" s="163">
        <f t="shared" si="17"/>
        <v>17333574</v>
      </c>
      <c r="K601" s="163"/>
    </row>
    <row r="602" spans="1:11" s="143" customFormat="1" ht="19.5" customHeight="1">
      <c r="A602" s="143">
        <f t="shared" si="18"/>
        <v>10</v>
      </c>
      <c r="B602" s="158">
        <v>41939</v>
      </c>
      <c r="C602" s="159" t="s">
        <v>160</v>
      </c>
      <c r="D602" s="158">
        <v>41939</v>
      </c>
      <c r="E602" s="160" t="s">
        <v>657</v>
      </c>
      <c r="F602" s="160"/>
      <c r="G602" s="161" t="s">
        <v>35</v>
      </c>
      <c r="H602" s="162"/>
      <c r="I602" s="162">
        <v>4000</v>
      </c>
      <c r="J602" s="163">
        <f t="shared" si="17"/>
        <v>17329574</v>
      </c>
      <c r="K602" s="163"/>
    </row>
    <row r="603" spans="1:11" s="143" customFormat="1" ht="19.5" customHeight="1">
      <c r="A603" s="143">
        <f t="shared" si="18"/>
        <v>11</v>
      </c>
      <c r="B603" s="158">
        <v>41946</v>
      </c>
      <c r="C603" s="159" t="s">
        <v>163</v>
      </c>
      <c r="D603" s="158">
        <v>41946</v>
      </c>
      <c r="E603" s="160" t="s">
        <v>164</v>
      </c>
      <c r="F603" s="160"/>
      <c r="G603" s="161" t="s">
        <v>162</v>
      </c>
      <c r="H603" s="162">
        <v>1392366000</v>
      </c>
      <c r="I603" s="162"/>
      <c r="J603" s="163">
        <f t="shared" si="17"/>
        <v>1409695574</v>
      </c>
      <c r="K603" s="163"/>
    </row>
    <row r="604" spans="1:11" s="143" customFormat="1" ht="19.5" customHeight="1">
      <c r="A604" s="143">
        <f t="shared" si="18"/>
        <v>11</v>
      </c>
      <c r="B604" s="158">
        <v>41946</v>
      </c>
      <c r="C604" s="159" t="s">
        <v>160</v>
      </c>
      <c r="D604" s="158">
        <v>41946</v>
      </c>
      <c r="E604" s="160" t="s">
        <v>606</v>
      </c>
      <c r="F604" s="160"/>
      <c r="G604" s="161" t="s">
        <v>34</v>
      </c>
      <c r="H604" s="162"/>
      <c r="I604" s="162">
        <v>125000000</v>
      </c>
      <c r="J604" s="163">
        <f t="shared" si="17"/>
        <v>1284695574</v>
      </c>
      <c r="K604" s="163"/>
    </row>
    <row r="605" spans="1:11" s="143" customFormat="1" ht="19.5" customHeight="1">
      <c r="A605" s="143">
        <f t="shared" si="18"/>
        <v>11</v>
      </c>
      <c r="B605" s="158">
        <v>41946</v>
      </c>
      <c r="C605" s="159" t="s">
        <v>160</v>
      </c>
      <c r="D605" s="158">
        <v>41946</v>
      </c>
      <c r="E605" s="160" t="s">
        <v>577</v>
      </c>
      <c r="F605" s="160"/>
      <c r="G605" s="161" t="s">
        <v>159</v>
      </c>
      <c r="H605" s="162"/>
      <c r="I605" s="162">
        <v>1200000000</v>
      </c>
      <c r="J605" s="163">
        <f t="shared" si="17"/>
        <v>84695574</v>
      </c>
      <c r="K605" s="163"/>
    </row>
    <row r="606" spans="1:11" s="143" customFormat="1" ht="19.5" customHeight="1">
      <c r="A606" s="143">
        <f t="shared" si="18"/>
        <v>11</v>
      </c>
      <c r="B606" s="158">
        <v>41949</v>
      </c>
      <c r="C606" s="159" t="s">
        <v>160</v>
      </c>
      <c r="D606" s="158">
        <v>41949</v>
      </c>
      <c r="E606" s="160" t="s">
        <v>576</v>
      </c>
      <c r="F606" s="160"/>
      <c r="G606" s="161" t="s">
        <v>34</v>
      </c>
      <c r="H606" s="162"/>
      <c r="I606" s="162">
        <v>31670870</v>
      </c>
      <c r="J606" s="163">
        <f t="shared" si="17"/>
        <v>53024704</v>
      </c>
      <c r="K606" s="163"/>
    </row>
    <row r="607" spans="1:11" s="143" customFormat="1" ht="19.5" customHeight="1">
      <c r="A607" s="143">
        <f t="shared" si="18"/>
        <v>11</v>
      </c>
      <c r="B607" s="158">
        <v>41949</v>
      </c>
      <c r="C607" s="159" t="s">
        <v>160</v>
      </c>
      <c r="D607" s="158">
        <v>41949</v>
      </c>
      <c r="E607" s="160" t="s">
        <v>177</v>
      </c>
      <c r="F607" s="160"/>
      <c r="G607" s="161" t="s">
        <v>247</v>
      </c>
      <c r="H607" s="162"/>
      <c r="I607" s="162">
        <v>25000</v>
      </c>
      <c r="J607" s="163">
        <f t="shared" si="17"/>
        <v>52999704</v>
      </c>
      <c r="K607" s="163"/>
    </row>
    <row r="608" spans="1:11" s="143" customFormat="1" ht="19.5" customHeight="1">
      <c r="A608" s="143">
        <f t="shared" si="18"/>
        <v>11</v>
      </c>
      <c r="B608" s="158">
        <v>41949</v>
      </c>
      <c r="C608" s="159" t="s">
        <v>160</v>
      </c>
      <c r="D608" s="158">
        <v>41949</v>
      </c>
      <c r="E608" s="160" t="s">
        <v>178</v>
      </c>
      <c r="F608" s="160"/>
      <c r="G608" s="161" t="s">
        <v>35</v>
      </c>
      <c r="H608" s="162"/>
      <c r="I608" s="162">
        <v>2500</v>
      </c>
      <c r="J608" s="163">
        <f t="shared" si="17"/>
        <v>52997204</v>
      </c>
      <c r="K608" s="163"/>
    </row>
    <row r="609" spans="1:11" s="143" customFormat="1" ht="19.5" customHeight="1">
      <c r="A609" s="143">
        <f t="shared" si="18"/>
        <v>11</v>
      </c>
      <c r="B609" s="158">
        <v>41949</v>
      </c>
      <c r="C609" s="159" t="s">
        <v>160</v>
      </c>
      <c r="D609" s="158">
        <v>41949</v>
      </c>
      <c r="E609" s="160" t="s">
        <v>668</v>
      </c>
      <c r="F609" s="160"/>
      <c r="G609" s="161" t="s">
        <v>247</v>
      </c>
      <c r="H609" s="162"/>
      <c r="I609" s="162">
        <v>20000</v>
      </c>
      <c r="J609" s="163">
        <f t="shared" si="17"/>
        <v>52977204</v>
      </c>
      <c r="K609" s="163"/>
    </row>
    <row r="610" spans="1:11" s="143" customFormat="1" ht="19.5" customHeight="1">
      <c r="A610" s="143">
        <f t="shared" si="18"/>
        <v>11</v>
      </c>
      <c r="B610" s="158">
        <v>41949</v>
      </c>
      <c r="C610" s="159" t="s">
        <v>160</v>
      </c>
      <c r="D610" s="158">
        <v>41949</v>
      </c>
      <c r="E610" s="160" t="s">
        <v>170</v>
      </c>
      <c r="F610" s="160"/>
      <c r="G610" s="161" t="s">
        <v>247</v>
      </c>
      <c r="H610" s="162"/>
      <c r="I610" s="162">
        <v>25000</v>
      </c>
      <c r="J610" s="163">
        <f t="shared" si="17"/>
        <v>52952204</v>
      </c>
      <c r="K610" s="163"/>
    </row>
    <row r="611" spans="1:11" s="143" customFormat="1" ht="19.5" customHeight="1">
      <c r="A611" s="143">
        <f t="shared" si="18"/>
        <v>11</v>
      </c>
      <c r="B611" s="158">
        <v>41949</v>
      </c>
      <c r="C611" s="159" t="s">
        <v>160</v>
      </c>
      <c r="D611" s="158">
        <v>41949</v>
      </c>
      <c r="E611" s="160" t="s">
        <v>171</v>
      </c>
      <c r="F611" s="160"/>
      <c r="G611" s="161" t="s">
        <v>35</v>
      </c>
      <c r="H611" s="162"/>
      <c r="I611" s="162">
        <v>2500</v>
      </c>
      <c r="J611" s="163">
        <f t="shared" si="17"/>
        <v>52949704</v>
      </c>
      <c r="K611" s="163"/>
    </row>
    <row r="612" spans="1:11" s="143" customFormat="1" ht="19.5" customHeight="1">
      <c r="A612" s="143">
        <f t="shared" si="18"/>
        <v>11</v>
      </c>
      <c r="B612" s="158">
        <v>41949</v>
      </c>
      <c r="C612" s="159" t="s">
        <v>160</v>
      </c>
      <c r="D612" s="158">
        <v>41949</v>
      </c>
      <c r="E612" s="160" t="s">
        <v>668</v>
      </c>
      <c r="F612" s="160"/>
      <c r="G612" s="161" t="s">
        <v>247</v>
      </c>
      <c r="H612" s="162"/>
      <c r="I612" s="162">
        <v>313838</v>
      </c>
      <c r="J612" s="163">
        <f t="shared" si="17"/>
        <v>52635866</v>
      </c>
      <c r="K612" s="163"/>
    </row>
    <row r="613" spans="1:11" s="143" customFormat="1" ht="19.5" customHeight="1">
      <c r="A613" s="143">
        <f t="shared" si="18"/>
        <v>11</v>
      </c>
      <c r="B613" s="158">
        <v>41949</v>
      </c>
      <c r="C613" s="159" t="s">
        <v>160</v>
      </c>
      <c r="D613" s="158">
        <v>41949</v>
      </c>
      <c r="E613" s="160" t="s">
        <v>170</v>
      </c>
      <c r="F613" s="160"/>
      <c r="G613" s="161" t="s">
        <v>247</v>
      </c>
      <c r="H613" s="162"/>
      <c r="I613" s="162">
        <v>25000</v>
      </c>
      <c r="J613" s="163">
        <f t="shared" si="17"/>
        <v>52610866</v>
      </c>
      <c r="K613" s="163"/>
    </row>
    <row r="614" spans="1:11" s="143" customFormat="1" ht="19.5" customHeight="1">
      <c r="A614" s="143">
        <f t="shared" si="18"/>
        <v>11</v>
      </c>
      <c r="B614" s="158">
        <v>41949</v>
      </c>
      <c r="C614" s="159" t="s">
        <v>160</v>
      </c>
      <c r="D614" s="158">
        <v>41949</v>
      </c>
      <c r="E614" s="160" t="s">
        <v>171</v>
      </c>
      <c r="F614" s="160"/>
      <c r="G614" s="161" t="s">
        <v>35</v>
      </c>
      <c r="H614" s="162"/>
      <c r="I614" s="162">
        <v>2500</v>
      </c>
      <c r="J614" s="163">
        <f t="shared" si="17"/>
        <v>52608366</v>
      </c>
      <c r="K614" s="163"/>
    </row>
    <row r="615" spans="1:11" s="143" customFormat="1" ht="19.5" customHeight="1">
      <c r="A615" s="143">
        <f t="shared" si="18"/>
        <v>11</v>
      </c>
      <c r="B615" s="158">
        <v>41950</v>
      </c>
      <c r="C615" s="159" t="s">
        <v>160</v>
      </c>
      <c r="D615" s="158">
        <v>41950</v>
      </c>
      <c r="E615" s="160" t="s">
        <v>165</v>
      </c>
      <c r="F615" s="160"/>
      <c r="G615" s="161" t="s">
        <v>166</v>
      </c>
      <c r="H615" s="162"/>
      <c r="I615" s="162">
        <v>3428566</v>
      </c>
      <c r="J615" s="163">
        <f t="shared" si="17"/>
        <v>49179800</v>
      </c>
      <c r="K615" s="163"/>
    </row>
    <row r="616" spans="1:11" s="143" customFormat="1" ht="19.5" customHeight="1">
      <c r="A616" s="143">
        <f t="shared" si="18"/>
        <v>11</v>
      </c>
      <c r="B616" s="158">
        <v>41950</v>
      </c>
      <c r="C616" s="159" t="s">
        <v>160</v>
      </c>
      <c r="D616" s="158">
        <v>41950</v>
      </c>
      <c r="E616" s="160" t="s">
        <v>167</v>
      </c>
      <c r="F616" s="160"/>
      <c r="G616" s="161" t="s">
        <v>166</v>
      </c>
      <c r="H616" s="162"/>
      <c r="I616" s="162">
        <v>8218415</v>
      </c>
      <c r="J616" s="163">
        <f t="shared" si="17"/>
        <v>40961385</v>
      </c>
      <c r="K616" s="163"/>
    </row>
    <row r="617" spans="1:11" s="143" customFormat="1" ht="19.5" customHeight="1">
      <c r="A617" s="143">
        <f t="shared" si="18"/>
        <v>11</v>
      </c>
      <c r="B617" s="158">
        <v>41950</v>
      </c>
      <c r="C617" s="159" t="s">
        <v>160</v>
      </c>
      <c r="D617" s="158">
        <v>41950</v>
      </c>
      <c r="E617" s="160" t="s">
        <v>168</v>
      </c>
      <c r="F617" s="160"/>
      <c r="G617" s="161" t="s">
        <v>166</v>
      </c>
      <c r="H617" s="162"/>
      <c r="I617" s="162">
        <v>5111204</v>
      </c>
      <c r="J617" s="163">
        <f t="shared" si="17"/>
        <v>35850181</v>
      </c>
      <c r="K617" s="163"/>
    </row>
    <row r="618" spans="1:11" s="143" customFormat="1" ht="19.5" customHeight="1">
      <c r="A618" s="143">
        <f t="shared" si="18"/>
        <v>11</v>
      </c>
      <c r="B618" s="158">
        <v>41950</v>
      </c>
      <c r="C618" s="159" t="s">
        <v>160</v>
      </c>
      <c r="D618" s="158">
        <v>41950</v>
      </c>
      <c r="E618" s="160" t="s">
        <v>606</v>
      </c>
      <c r="F618" s="160"/>
      <c r="G618" s="161" t="s">
        <v>34</v>
      </c>
      <c r="H618" s="162"/>
      <c r="I618" s="162">
        <v>35000000</v>
      </c>
      <c r="J618" s="163">
        <f t="shared" si="17"/>
        <v>850181</v>
      </c>
      <c r="K618" s="163"/>
    </row>
    <row r="619" spans="1:11" s="143" customFormat="1" ht="19.5" customHeight="1">
      <c r="A619" s="143">
        <f t="shared" si="18"/>
        <v>11</v>
      </c>
      <c r="B619" s="158">
        <v>41956</v>
      </c>
      <c r="C619" s="159" t="s">
        <v>163</v>
      </c>
      <c r="D619" s="158">
        <v>41956</v>
      </c>
      <c r="E619" s="160" t="s">
        <v>51</v>
      </c>
      <c r="F619" s="160"/>
      <c r="G619" s="161" t="s">
        <v>159</v>
      </c>
      <c r="H619" s="162">
        <v>10000000</v>
      </c>
      <c r="I619" s="162"/>
      <c r="J619" s="163">
        <f t="shared" si="17"/>
        <v>10850181</v>
      </c>
      <c r="K619" s="163"/>
    </row>
    <row r="620" spans="1:11" s="143" customFormat="1" ht="19.5" customHeight="1">
      <c r="A620" s="143">
        <f t="shared" si="18"/>
        <v>11</v>
      </c>
      <c r="B620" s="158">
        <v>41956</v>
      </c>
      <c r="C620" s="159" t="s">
        <v>163</v>
      </c>
      <c r="D620" s="158">
        <v>41956</v>
      </c>
      <c r="E620" s="160" t="s">
        <v>669</v>
      </c>
      <c r="F620" s="160"/>
      <c r="G620" s="161" t="s">
        <v>213</v>
      </c>
      <c r="H620" s="162">
        <v>1000000000</v>
      </c>
      <c r="I620" s="162"/>
      <c r="J620" s="163">
        <f t="shared" si="17"/>
        <v>1010850181</v>
      </c>
      <c r="K620" s="163"/>
    </row>
    <row r="621" spans="1:11" s="143" customFormat="1" ht="19.5" customHeight="1">
      <c r="A621" s="143">
        <f t="shared" si="18"/>
        <v>11</v>
      </c>
      <c r="B621" s="158">
        <v>41956</v>
      </c>
      <c r="C621" s="159" t="s">
        <v>160</v>
      </c>
      <c r="D621" s="158">
        <v>41956</v>
      </c>
      <c r="E621" s="160" t="s">
        <v>169</v>
      </c>
      <c r="F621" s="160"/>
      <c r="G621" s="161" t="s">
        <v>166</v>
      </c>
      <c r="H621" s="162"/>
      <c r="I621" s="162">
        <v>7175174</v>
      </c>
      <c r="J621" s="163">
        <f t="shared" si="17"/>
        <v>1003675007</v>
      </c>
      <c r="K621" s="163"/>
    </row>
    <row r="622" spans="1:11" s="143" customFormat="1" ht="19.5" customHeight="1">
      <c r="A622" s="143">
        <f t="shared" si="18"/>
        <v>11</v>
      </c>
      <c r="B622" s="158">
        <v>41956</v>
      </c>
      <c r="C622" s="159" t="s">
        <v>160</v>
      </c>
      <c r="D622" s="158">
        <v>41956</v>
      </c>
      <c r="E622" s="160" t="s">
        <v>577</v>
      </c>
      <c r="F622" s="160"/>
      <c r="G622" s="161" t="s">
        <v>159</v>
      </c>
      <c r="H622" s="162"/>
      <c r="I622" s="162">
        <v>1000000000</v>
      </c>
      <c r="J622" s="163">
        <f t="shared" si="17"/>
        <v>3675007</v>
      </c>
      <c r="K622" s="163"/>
    </row>
    <row r="623" spans="1:11" s="143" customFormat="1" ht="19.5" customHeight="1">
      <c r="A623" s="143">
        <f t="shared" si="18"/>
        <v>11</v>
      </c>
      <c r="B623" s="158">
        <v>41957</v>
      </c>
      <c r="C623" s="159" t="s">
        <v>163</v>
      </c>
      <c r="D623" s="158">
        <v>41957</v>
      </c>
      <c r="E623" s="160" t="s">
        <v>51</v>
      </c>
      <c r="F623" s="160"/>
      <c r="G623" s="161" t="s">
        <v>159</v>
      </c>
      <c r="H623" s="162">
        <v>95000000</v>
      </c>
      <c r="I623" s="162"/>
      <c r="J623" s="163">
        <f t="shared" si="17"/>
        <v>98675007</v>
      </c>
      <c r="K623" s="163"/>
    </row>
    <row r="624" spans="1:11" s="143" customFormat="1" ht="19.5" customHeight="1">
      <c r="A624" s="143">
        <f t="shared" si="18"/>
        <v>11</v>
      </c>
      <c r="B624" s="158">
        <v>41957</v>
      </c>
      <c r="C624" s="159" t="s">
        <v>163</v>
      </c>
      <c r="D624" s="158">
        <v>41957</v>
      </c>
      <c r="E624" s="160" t="s">
        <v>161</v>
      </c>
      <c r="F624" s="160"/>
      <c r="G624" s="161" t="s">
        <v>162</v>
      </c>
      <c r="H624" s="162"/>
      <c r="I624" s="162">
        <v>93896000</v>
      </c>
      <c r="J624" s="163">
        <f t="shared" si="17"/>
        <v>4779007</v>
      </c>
      <c r="K624" s="163"/>
    </row>
    <row r="625" spans="1:11" s="143" customFormat="1" ht="19.5" customHeight="1">
      <c r="A625" s="143">
        <f t="shared" si="18"/>
        <v>11</v>
      </c>
      <c r="B625" s="158">
        <v>41958</v>
      </c>
      <c r="C625" s="159" t="s">
        <v>160</v>
      </c>
      <c r="D625" s="158">
        <v>41958</v>
      </c>
      <c r="E625" s="160" t="s">
        <v>164</v>
      </c>
      <c r="F625" s="160"/>
      <c r="G625" s="161" t="s">
        <v>162</v>
      </c>
      <c r="H625" s="162">
        <v>1471770000</v>
      </c>
      <c r="I625" s="162"/>
      <c r="J625" s="163">
        <f t="shared" si="17"/>
        <v>1476549007</v>
      </c>
      <c r="K625" s="163"/>
    </row>
    <row r="626" spans="1:11" s="143" customFormat="1" ht="19.5" customHeight="1">
      <c r="A626" s="143">
        <f t="shared" si="18"/>
        <v>11</v>
      </c>
      <c r="B626" s="158">
        <v>41958</v>
      </c>
      <c r="C626" s="159" t="s">
        <v>160</v>
      </c>
      <c r="D626" s="158">
        <v>41958</v>
      </c>
      <c r="E626" s="160" t="s">
        <v>577</v>
      </c>
      <c r="F626" s="160"/>
      <c r="G626" s="161" t="s">
        <v>159</v>
      </c>
      <c r="H626" s="162"/>
      <c r="I626" s="162">
        <v>1462000000</v>
      </c>
      <c r="J626" s="163">
        <f t="shared" si="17"/>
        <v>14549007</v>
      </c>
      <c r="K626" s="163"/>
    </row>
    <row r="627" spans="1:11" s="143" customFormat="1" ht="19.5" customHeight="1">
      <c r="A627" s="143">
        <f t="shared" si="18"/>
        <v>11</v>
      </c>
      <c r="B627" s="158">
        <v>41960</v>
      </c>
      <c r="C627" s="159" t="s">
        <v>160</v>
      </c>
      <c r="D627" s="158">
        <v>41960</v>
      </c>
      <c r="E627" s="160" t="s">
        <v>670</v>
      </c>
      <c r="F627" s="160"/>
      <c r="G627" s="161" t="s">
        <v>247</v>
      </c>
      <c r="H627" s="162"/>
      <c r="I627" s="162">
        <v>213600</v>
      </c>
      <c r="J627" s="163">
        <f t="shared" si="17"/>
        <v>14335407</v>
      </c>
      <c r="K627" s="163"/>
    </row>
    <row r="628" spans="1:11" s="143" customFormat="1" ht="19.5" customHeight="1">
      <c r="A628" s="143">
        <f t="shared" si="18"/>
        <v>11</v>
      </c>
      <c r="B628" s="158">
        <v>41960</v>
      </c>
      <c r="C628" s="159" t="s">
        <v>160</v>
      </c>
      <c r="D628" s="158">
        <v>41960</v>
      </c>
      <c r="E628" s="160" t="s">
        <v>671</v>
      </c>
      <c r="F628" s="160"/>
      <c r="G628" s="161" t="s">
        <v>35</v>
      </c>
      <c r="H628" s="162"/>
      <c r="I628" s="162">
        <v>21360</v>
      </c>
      <c r="J628" s="163">
        <f t="shared" si="17"/>
        <v>14314047</v>
      </c>
      <c r="K628" s="163"/>
    </row>
    <row r="629" spans="1:11" s="143" customFormat="1" ht="19.5" customHeight="1">
      <c r="A629" s="143">
        <f t="shared" si="18"/>
        <v>11</v>
      </c>
      <c r="B629" s="158">
        <v>41960</v>
      </c>
      <c r="C629" s="159" t="s">
        <v>160</v>
      </c>
      <c r="D629" s="158">
        <v>41960</v>
      </c>
      <c r="E629" s="160" t="s">
        <v>672</v>
      </c>
      <c r="F629" s="160"/>
      <c r="G629" s="161" t="s">
        <v>247</v>
      </c>
      <c r="H629" s="162"/>
      <c r="I629" s="162">
        <v>213600</v>
      </c>
      <c r="J629" s="163">
        <f t="shared" si="17"/>
        <v>14100447</v>
      </c>
      <c r="K629" s="163"/>
    </row>
    <row r="630" spans="1:11" s="143" customFormat="1" ht="19.5" customHeight="1">
      <c r="A630" s="143">
        <f t="shared" si="18"/>
        <v>11</v>
      </c>
      <c r="B630" s="158">
        <v>41960</v>
      </c>
      <c r="C630" s="159" t="s">
        <v>160</v>
      </c>
      <c r="D630" s="158">
        <v>41960</v>
      </c>
      <c r="E630" s="160" t="s">
        <v>673</v>
      </c>
      <c r="F630" s="160"/>
      <c r="G630" s="161" t="s">
        <v>35</v>
      </c>
      <c r="H630" s="162"/>
      <c r="I630" s="162">
        <v>21360</v>
      </c>
      <c r="J630" s="163">
        <f t="shared" si="17"/>
        <v>14079087</v>
      </c>
      <c r="K630" s="163"/>
    </row>
    <row r="631" spans="1:11" s="143" customFormat="1" ht="19.5" customHeight="1">
      <c r="A631" s="143">
        <f t="shared" si="18"/>
        <v>11</v>
      </c>
      <c r="B631" s="158">
        <v>41962</v>
      </c>
      <c r="C631" s="159" t="s">
        <v>163</v>
      </c>
      <c r="D631" s="158">
        <v>41962</v>
      </c>
      <c r="E631" s="160" t="s">
        <v>51</v>
      </c>
      <c r="F631" s="160"/>
      <c r="G631" s="161" t="s">
        <v>159</v>
      </c>
      <c r="H631" s="162">
        <v>480000000</v>
      </c>
      <c r="I631" s="162"/>
      <c r="J631" s="163">
        <f t="shared" si="17"/>
        <v>494079087</v>
      </c>
      <c r="K631" s="163"/>
    </row>
    <row r="632" spans="1:11" s="143" customFormat="1" ht="19.5" customHeight="1">
      <c r="A632" s="143">
        <f t="shared" si="18"/>
        <v>11</v>
      </c>
      <c r="B632" s="158">
        <v>41962</v>
      </c>
      <c r="C632" s="159" t="s">
        <v>163</v>
      </c>
      <c r="D632" s="158">
        <v>41962</v>
      </c>
      <c r="E632" s="160" t="s">
        <v>51</v>
      </c>
      <c r="F632" s="160"/>
      <c r="G632" s="161" t="s">
        <v>159</v>
      </c>
      <c r="H632" s="162">
        <v>200000000</v>
      </c>
      <c r="I632" s="162"/>
      <c r="J632" s="163">
        <f t="shared" si="17"/>
        <v>694079087</v>
      </c>
      <c r="K632" s="163"/>
    </row>
    <row r="633" spans="1:11" s="143" customFormat="1" ht="19.5" customHeight="1">
      <c r="A633" s="143">
        <f t="shared" si="18"/>
        <v>11</v>
      </c>
      <c r="B633" s="158">
        <v>41962</v>
      </c>
      <c r="C633" s="159" t="s">
        <v>160</v>
      </c>
      <c r="D633" s="158">
        <v>41962</v>
      </c>
      <c r="E633" s="160" t="s">
        <v>161</v>
      </c>
      <c r="F633" s="160"/>
      <c r="G633" s="161" t="s">
        <v>162</v>
      </c>
      <c r="H633" s="162"/>
      <c r="I633" s="162">
        <v>491740000</v>
      </c>
      <c r="J633" s="163">
        <f t="shared" si="17"/>
        <v>202339087</v>
      </c>
      <c r="K633" s="163"/>
    </row>
    <row r="634" spans="1:11" s="143" customFormat="1" ht="19.5" customHeight="1">
      <c r="A634" s="143">
        <f t="shared" si="18"/>
        <v>11</v>
      </c>
      <c r="B634" s="158">
        <v>41963</v>
      </c>
      <c r="C634" s="159" t="s">
        <v>163</v>
      </c>
      <c r="D634" s="158">
        <v>41963</v>
      </c>
      <c r="E634" s="160" t="s">
        <v>164</v>
      </c>
      <c r="F634" s="160"/>
      <c r="G634" s="161" t="s">
        <v>162</v>
      </c>
      <c r="H634" s="162">
        <v>1089870000</v>
      </c>
      <c r="I634" s="162"/>
      <c r="J634" s="163">
        <f t="shared" si="17"/>
        <v>1292209087</v>
      </c>
      <c r="K634" s="163"/>
    </row>
    <row r="635" spans="1:11" s="143" customFormat="1" ht="19.5" customHeight="1">
      <c r="A635" s="143">
        <f t="shared" si="18"/>
        <v>11</v>
      </c>
      <c r="B635" s="158">
        <v>41963</v>
      </c>
      <c r="C635" s="159" t="s">
        <v>160</v>
      </c>
      <c r="D635" s="158">
        <v>41963</v>
      </c>
      <c r="E635" s="160" t="s">
        <v>220</v>
      </c>
      <c r="F635" s="160"/>
      <c r="G635" s="161" t="s">
        <v>36</v>
      </c>
      <c r="H635" s="162"/>
      <c r="I635" s="162">
        <v>26000000</v>
      </c>
      <c r="J635" s="163">
        <f t="shared" si="17"/>
        <v>1266209087</v>
      </c>
      <c r="K635" s="163"/>
    </row>
    <row r="636" spans="1:11" s="143" customFormat="1" ht="19.5" customHeight="1">
      <c r="A636" s="143">
        <f t="shared" si="18"/>
        <v>11</v>
      </c>
      <c r="B636" s="158">
        <v>41963</v>
      </c>
      <c r="C636" s="159" t="s">
        <v>160</v>
      </c>
      <c r="D636" s="158">
        <v>41963</v>
      </c>
      <c r="E636" s="160" t="s">
        <v>575</v>
      </c>
      <c r="F636" s="160"/>
      <c r="G636" s="161" t="s">
        <v>57</v>
      </c>
      <c r="H636" s="162"/>
      <c r="I636" s="162">
        <v>40500000</v>
      </c>
      <c r="J636" s="163">
        <f t="shared" si="17"/>
        <v>1225709087</v>
      </c>
      <c r="K636" s="163"/>
    </row>
    <row r="637" spans="1:11" s="143" customFormat="1" ht="19.5" customHeight="1">
      <c r="A637" s="143">
        <f t="shared" si="18"/>
        <v>11</v>
      </c>
      <c r="B637" s="158">
        <v>41963</v>
      </c>
      <c r="C637" s="159" t="s">
        <v>160</v>
      </c>
      <c r="D637" s="158">
        <v>41963</v>
      </c>
      <c r="E637" s="160" t="s">
        <v>576</v>
      </c>
      <c r="F637" s="160"/>
      <c r="G637" s="161" t="s">
        <v>34</v>
      </c>
      <c r="H637" s="162"/>
      <c r="I637" s="162">
        <v>28392210</v>
      </c>
      <c r="J637" s="163">
        <f t="shared" si="17"/>
        <v>1197316877</v>
      </c>
      <c r="K637" s="163"/>
    </row>
    <row r="638" spans="1:11" s="143" customFormat="1" ht="19.5" customHeight="1">
      <c r="A638" s="143">
        <f t="shared" si="18"/>
        <v>11</v>
      </c>
      <c r="B638" s="158">
        <v>41963</v>
      </c>
      <c r="C638" s="159" t="s">
        <v>160</v>
      </c>
      <c r="D638" s="158">
        <v>41963</v>
      </c>
      <c r="E638" s="160" t="s">
        <v>177</v>
      </c>
      <c r="F638" s="160"/>
      <c r="G638" s="161" t="s">
        <v>247</v>
      </c>
      <c r="H638" s="162"/>
      <c r="I638" s="162">
        <v>25000</v>
      </c>
      <c r="J638" s="163">
        <f t="shared" si="17"/>
        <v>1197291877</v>
      </c>
      <c r="K638" s="163"/>
    </row>
    <row r="639" spans="1:11" s="143" customFormat="1" ht="19.5" customHeight="1">
      <c r="A639" s="143">
        <f t="shared" si="18"/>
        <v>11</v>
      </c>
      <c r="B639" s="158">
        <v>41963</v>
      </c>
      <c r="C639" s="159" t="s">
        <v>160</v>
      </c>
      <c r="D639" s="158">
        <v>41963</v>
      </c>
      <c r="E639" s="160" t="s">
        <v>178</v>
      </c>
      <c r="F639" s="160"/>
      <c r="G639" s="161" t="s">
        <v>35</v>
      </c>
      <c r="H639" s="162"/>
      <c r="I639" s="162">
        <v>2500</v>
      </c>
      <c r="J639" s="163">
        <f t="shared" si="17"/>
        <v>1197289377</v>
      </c>
      <c r="K639" s="163"/>
    </row>
    <row r="640" spans="1:11" s="143" customFormat="1" ht="19.5" customHeight="1">
      <c r="A640" s="143">
        <f t="shared" si="18"/>
        <v>11</v>
      </c>
      <c r="B640" s="158">
        <v>41963</v>
      </c>
      <c r="C640" s="159" t="s">
        <v>160</v>
      </c>
      <c r="D640" s="158">
        <v>41963</v>
      </c>
      <c r="E640" s="160" t="s">
        <v>674</v>
      </c>
      <c r="F640" s="160"/>
      <c r="G640" s="161" t="s">
        <v>34</v>
      </c>
      <c r="H640" s="162"/>
      <c r="I640" s="162">
        <v>41283000</v>
      </c>
      <c r="J640" s="163">
        <f t="shared" si="17"/>
        <v>1156006377</v>
      </c>
      <c r="K640" s="163"/>
    </row>
    <row r="641" spans="1:11" s="143" customFormat="1" ht="19.5" customHeight="1">
      <c r="A641" s="143">
        <f t="shared" si="18"/>
        <v>11</v>
      </c>
      <c r="B641" s="158">
        <v>41963</v>
      </c>
      <c r="C641" s="159" t="s">
        <v>160</v>
      </c>
      <c r="D641" s="158">
        <v>41963</v>
      </c>
      <c r="E641" s="160" t="s">
        <v>177</v>
      </c>
      <c r="F641" s="160"/>
      <c r="G641" s="161" t="s">
        <v>247</v>
      </c>
      <c r="H641" s="162"/>
      <c r="I641" s="162">
        <v>20000</v>
      </c>
      <c r="J641" s="163">
        <f t="shared" si="17"/>
        <v>1155986377</v>
      </c>
      <c r="K641" s="163"/>
    </row>
    <row r="642" spans="1:11" s="143" customFormat="1" ht="19.5" customHeight="1">
      <c r="A642" s="143">
        <f t="shared" si="18"/>
        <v>11</v>
      </c>
      <c r="B642" s="158">
        <v>41963</v>
      </c>
      <c r="C642" s="159" t="s">
        <v>160</v>
      </c>
      <c r="D642" s="158">
        <v>41963</v>
      </c>
      <c r="E642" s="160" t="s">
        <v>178</v>
      </c>
      <c r="F642" s="160"/>
      <c r="G642" s="161" t="s">
        <v>35</v>
      </c>
      <c r="H642" s="162"/>
      <c r="I642" s="162">
        <v>2000</v>
      </c>
      <c r="J642" s="163">
        <f t="shared" si="17"/>
        <v>1155984377</v>
      </c>
      <c r="K642" s="163"/>
    </row>
    <row r="643" spans="1:11" s="143" customFormat="1" ht="19.5" customHeight="1">
      <c r="A643" s="143">
        <f t="shared" si="18"/>
        <v>11</v>
      </c>
      <c r="B643" s="158">
        <v>41963</v>
      </c>
      <c r="C643" s="159" t="s">
        <v>160</v>
      </c>
      <c r="D643" s="158">
        <v>41963</v>
      </c>
      <c r="E643" s="160" t="s">
        <v>579</v>
      </c>
      <c r="F643" s="160"/>
      <c r="G643" s="161" t="s">
        <v>34</v>
      </c>
      <c r="H643" s="162"/>
      <c r="I643" s="162">
        <v>4400000</v>
      </c>
      <c r="J643" s="163">
        <f t="shared" si="17"/>
        <v>1151584377</v>
      </c>
      <c r="K643" s="163"/>
    </row>
    <row r="644" spans="1:11" s="143" customFormat="1" ht="19.5" customHeight="1">
      <c r="A644" s="143">
        <f t="shared" si="18"/>
        <v>11</v>
      </c>
      <c r="B644" s="158">
        <v>41963</v>
      </c>
      <c r="C644" s="159" t="s">
        <v>160</v>
      </c>
      <c r="D644" s="158">
        <v>41963</v>
      </c>
      <c r="E644" s="160" t="s">
        <v>177</v>
      </c>
      <c r="F644" s="160"/>
      <c r="G644" s="161" t="s">
        <v>247</v>
      </c>
      <c r="H644" s="162"/>
      <c r="I644" s="162">
        <v>25000</v>
      </c>
      <c r="J644" s="163">
        <f t="shared" si="17"/>
        <v>1151559377</v>
      </c>
      <c r="K644" s="163"/>
    </row>
    <row r="645" spans="1:11" s="143" customFormat="1" ht="19.5" customHeight="1">
      <c r="A645" s="143">
        <f t="shared" si="18"/>
        <v>11</v>
      </c>
      <c r="B645" s="158">
        <v>41963</v>
      </c>
      <c r="C645" s="159" t="s">
        <v>160</v>
      </c>
      <c r="D645" s="158">
        <v>41963</v>
      </c>
      <c r="E645" s="160" t="s">
        <v>178</v>
      </c>
      <c r="F645" s="160"/>
      <c r="G645" s="161" t="s">
        <v>35</v>
      </c>
      <c r="H645" s="162"/>
      <c r="I645" s="162">
        <v>2500</v>
      </c>
      <c r="J645" s="163">
        <f t="shared" si="17"/>
        <v>1151556877</v>
      </c>
      <c r="K645" s="163"/>
    </row>
    <row r="646" spans="1:11" s="143" customFormat="1" ht="19.5" customHeight="1">
      <c r="A646" s="143">
        <f t="shared" si="18"/>
        <v>11</v>
      </c>
      <c r="B646" s="158">
        <v>41963</v>
      </c>
      <c r="C646" s="159" t="s">
        <v>160</v>
      </c>
      <c r="D646" s="158">
        <v>41963</v>
      </c>
      <c r="E646" s="160" t="s">
        <v>591</v>
      </c>
      <c r="F646" s="160"/>
      <c r="G646" s="161" t="s">
        <v>34</v>
      </c>
      <c r="H646" s="162"/>
      <c r="I646" s="162">
        <v>49315200</v>
      </c>
      <c r="J646" s="163">
        <f t="shared" si="17"/>
        <v>1102241677</v>
      </c>
      <c r="K646" s="163"/>
    </row>
    <row r="647" spans="1:11" s="143" customFormat="1" ht="19.5" customHeight="1">
      <c r="A647" s="143">
        <f t="shared" si="18"/>
        <v>11</v>
      </c>
      <c r="B647" s="158">
        <v>41963</v>
      </c>
      <c r="C647" s="159" t="s">
        <v>160</v>
      </c>
      <c r="D647" s="158">
        <v>41963</v>
      </c>
      <c r="E647" s="160" t="s">
        <v>177</v>
      </c>
      <c r="F647" s="160"/>
      <c r="G647" s="161" t="s">
        <v>247</v>
      </c>
      <c r="H647" s="162"/>
      <c r="I647" s="162">
        <v>20000</v>
      </c>
      <c r="J647" s="163">
        <f t="shared" si="17"/>
        <v>1102221677</v>
      </c>
      <c r="K647" s="163"/>
    </row>
    <row r="648" spans="1:11" s="143" customFormat="1" ht="19.5" customHeight="1">
      <c r="A648" s="143">
        <f t="shared" si="18"/>
        <v>11</v>
      </c>
      <c r="B648" s="158">
        <v>41963</v>
      </c>
      <c r="C648" s="159" t="s">
        <v>160</v>
      </c>
      <c r="D648" s="158">
        <v>41963</v>
      </c>
      <c r="E648" s="160" t="s">
        <v>178</v>
      </c>
      <c r="F648" s="160"/>
      <c r="G648" s="161" t="s">
        <v>35</v>
      </c>
      <c r="H648" s="162"/>
      <c r="I648" s="162">
        <v>2000</v>
      </c>
      <c r="J648" s="163">
        <f t="shared" si="17"/>
        <v>1102219677</v>
      </c>
      <c r="K648" s="163"/>
    </row>
    <row r="649" spans="1:11" s="143" customFormat="1" ht="19.5" customHeight="1">
      <c r="A649" s="143">
        <f t="shared" si="18"/>
        <v>11</v>
      </c>
      <c r="B649" s="158">
        <v>41963</v>
      </c>
      <c r="C649" s="159" t="s">
        <v>160</v>
      </c>
      <c r="D649" s="158">
        <v>41963</v>
      </c>
      <c r="E649" s="160" t="s">
        <v>661</v>
      </c>
      <c r="F649" s="160"/>
      <c r="G649" s="161" t="s">
        <v>34</v>
      </c>
      <c r="H649" s="162"/>
      <c r="I649" s="162">
        <v>100000000</v>
      </c>
      <c r="J649" s="163">
        <f t="shared" si="17"/>
        <v>1002219677</v>
      </c>
      <c r="K649" s="163"/>
    </row>
    <row r="650" spans="1:11" s="143" customFormat="1" ht="19.5" customHeight="1">
      <c r="A650" s="143">
        <f t="shared" si="18"/>
        <v>11</v>
      </c>
      <c r="B650" s="158">
        <v>41963</v>
      </c>
      <c r="C650" s="159" t="s">
        <v>160</v>
      </c>
      <c r="D650" s="158">
        <v>41963</v>
      </c>
      <c r="E650" s="160" t="s">
        <v>177</v>
      </c>
      <c r="F650" s="160"/>
      <c r="G650" s="161" t="s">
        <v>247</v>
      </c>
      <c r="H650" s="162"/>
      <c r="I650" s="162">
        <v>30000</v>
      </c>
      <c r="J650" s="163">
        <f t="shared" si="17"/>
        <v>1002189677</v>
      </c>
      <c r="K650" s="163"/>
    </row>
    <row r="651" spans="1:11" s="143" customFormat="1" ht="19.5" customHeight="1">
      <c r="A651" s="143">
        <f t="shared" si="18"/>
        <v>11</v>
      </c>
      <c r="B651" s="158">
        <v>41963</v>
      </c>
      <c r="C651" s="159" t="s">
        <v>160</v>
      </c>
      <c r="D651" s="158">
        <v>41963</v>
      </c>
      <c r="E651" s="160" t="s">
        <v>178</v>
      </c>
      <c r="F651" s="160"/>
      <c r="G651" s="161" t="s">
        <v>35</v>
      </c>
      <c r="H651" s="162"/>
      <c r="I651" s="162">
        <v>3000</v>
      </c>
      <c r="J651" s="163">
        <f t="shared" si="17"/>
        <v>1002186677</v>
      </c>
      <c r="K651" s="163"/>
    </row>
    <row r="652" spans="1:11" s="143" customFormat="1" ht="19.5" customHeight="1">
      <c r="A652" s="143">
        <f t="shared" si="18"/>
        <v>11</v>
      </c>
      <c r="B652" s="158">
        <v>41963</v>
      </c>
      <c r="C652" s="159" t="s">
        <v>160</v>
      </c>
      <c r="D652" s="158">
        <v>41963</v>
      </c>
      <c r="E652" s="160" t="s">
        <v>577</v>
      </c>
      <c r="F652" s="160"/>
      <c r="G652" s="161" t="s">
        <v>159</v>
      </c>
      <c r="H652" s="162"/>
      <c r="I652" s="162">
        <v>50000000</v>
      </c>
      <c r="J652" s="163">
        <f t="shared" si="17"/>
        <v>952186677</v>
      </c>
      <c r="K652" s="163"/>
    </row>
    <row r="653" spans="1:11" s="143" customFormat="1" ht="19.5" customHeight="1">
      <c r="A653" s="143">
        <f t="shared" si="18"/>
        <v>11</v>
      </c>
      <c r="B653" s="158">
        <v>41964</v>
      </c>
      <c r="C653" s="159" t="s">
        <v>160</v>
      </c>
      <c r="D653" s="158">
        <v>41964</v>
      </c>
      <c r="E653" s="160" t="s">
        <v>577</v>
      </c>
      <c r="F653" s="160"/>
      <c r="G653" s="161" t="s">
        <v>159</v>
      </c>
      <c r="H653" s="162"/>
      <c r="I653" s="162">
        <v>950000000</v>
      </c>
      <c r="J653" s="163">
        <f t="shared" si="17"/>
        <v>2186677</v>
      </c>
      <c r="K653" s="163"/>
    </row>
    <row r="654" spans="1:11" s="143" customFormat="1" ht="19.5" customHeight="1">
      <c r="A654" s="143">
        <f t="shared" si="18"/>
        <v>11</v>
      </c>
      <c r="B654" s="158">
        <v>41968</v>
      </c>
      <c r="C654" s="159" t="s">
        <v>163</v>
      </c>
      <c r="D654" s="158">
        <v>41968</v>
      </c>
      <c r="E654" s="160" t="s">
        <v>588</v>
      </c>
      <c r="F654" s="160"/>
      <c r="G654" s="161" t="s">
        <v>176</v>
      </c>
      <c r="H654" s="162">
        <v>14469</v>
      </c>
      <c r="I654" s="162"/>
      <c r="J654" s="163">
        <f t="shared" si="17"/>
        <v>2201146</v>
      </c>
      <c r="K654" s="163"/>
    </row>
    <row r="655" spans="1:11" s="143" customFormat="1" ht="19.5" customHeight="1">
      <c r="A655" s="143">
        <f t="shared" si="18"/>
        <v>11</v>
      </c>
      <c r="B655" s="158">
        <v>41971</v>
      </c>
      <c r="C655" s="159" t="s">
        <v>163</v>
      </c>
      <c r="D655" s="158">
        <v>41971</v>
      </c>
      <c r="E655" s="160" t="s">
        <v>51</v>
      </c>
      <c r="F655" s="160"/>
      <c r="G655" s="161" t="s">
        <v>159</v>
      </c>
      <c r="H655" s="162">
        <v>157000000</v>
      </c>
      <c r="I655" s="162"/>
      <c r="J655" s="163">
        <f t="shared" ref="J655:J718" si="19">IF(B655&lt;&gt;"",J654+H655-I655,0)</f>
        <v>159201146</v>
      </c>
      <c r="K655" s="163"/>
    </row>
    <row r="656" spans="1:11" s="143" customFormat="1" ht="19.5" customHeight="1">
      <c r="A656" s="143">
        <f t="shared" si="18"/>
        <v>11</v>
      </c>
      <c r="B656" s="158">
        <v>41971</v>
      </c>
      <c r="C656" s="159" t="s">
        <v>160</v>
      </c>
      <c r="D656" s="158">
        <v>41971</v>
      </c>
      <c r="E656" s="160" t="s">
        <v>164</v>
      </c>
      <c r="F656" s="160"/>
      <c r="G656" s="161" t="s">
        <v>162</v>
      </c>
      <c r="H656" s="162">
        <v>855800000</v>
      </c>
      <c r="I656" s="162"/>
      <c r="J656" s="163">
        <f t="shared" si="19"/>
        <v>1015001146</v>
      </c>
      <c r="K656" s="163"/>
    </row>
    <row r="657" spans="1:11" s="143" customFormat="1" ht="19.5" customHeight="1">
      <c r="A657" s="143">
        <f t="shared" si="18"/>
        <v>11</v>
      </c>
      <c r="B657" s="158">
        <v>41971</v>
      </c>
      <c r="C657" s="159" t="s">
        <v>160</v>
      </c>
      <c r="D657" s="158">
        <v>41971</v>
      </c>
      <c r="E657" s="160" t="s">
        <v>675</v>
      </c>
      <c r="F657" s="160"/>
      <c r="G657" s="161" t="s">
        <v>213</v>
      </c>
      <c r="H657" s="162"/>
      <c r="I657" s="162">
        <v>1000000000</v>
      </c>
      <c r="J657" s="163">
        <f t="shared" si="19"/>
        <v>15001146</v>
      </c>
      <c r="K657" s="163"/>
    </row>
    <row r="658" spans="1:11" s="143" customFormat="1" ht="19.5" customHeight="1">
      <c r="A658" s="143">
        <f t="shared" si="18"/>
        <v>11</v>
      </c>
      <c r="B658" s="158">
        <v>41972</v>
      </c>
      <c r="C658" s="159" t="s">
        <v>160</v>
      </c>
      <c r="D658" s="158">
        <v>41972</v>
      </c>
      <c r="E658" s="160" t="s">
        <v>577</v>
      </c>
      <c r="F658" s="160"/>
      <c r="G658" s="161" t="s">
        <v>159</v>
      </c>
      <c r="H658" s="162"/>
      <c r="I658" s="162">
        <v>15000000</v>
      </c>
      <c r="J658" s="163">
        <f t="shared" si="19"/>
        <v>1146</v>
      </c>
      <c r="K658" s="163"/>
    </row>
    <row r="659" spans="1:11" s="143" customFormat="1" ht="19.5" customHeight="1">
      <c r="A659" s="143">
        <f t="shared" si="18"/>
        <v>12</v>
      </c>
      <c r="B659" s="158">
        <v>41981</v>
      </c>
      <c r="C659" s="159" t="s">
        <v>163</v>
      </c>
      <c r="D659" s="158">
        <v>41981</v>
      </c>
      <c r="E659" s="160" t="s">
        <v>51</v>
      </c>
      <c r="F659" s="160"/>
      <c r="G659" s="161" t="s">
        <v>159</v>
      </c>
      <c r="H659" s="162">
        <v>10000000</v>
      </c>
      <c r="I659" s="162"/>
      <c r="J659" s="163">
        <f t="shared" si="19"/>
        <v>10001146</v>
      </c>
      <c r="K659" s="163"/>
    </row>
    <row r="660" spans="1:11" s="143" customFormat="1" ht="19.5" customHeight="1">
      <c r="A660" s="143">
        <f t="shared" si="18"/>
        <v>12</v>
      </c>
      <c r="B660" s="158">
        <v>41989</v>
      </c>
      <c r="C660" s="159" t="s">
        <v>163</v>
      </c>
      <c r="D660" s="158">
        <v>41989</v>
      </c>
      <c r="E660" s="160" t="s">
        <v>51</v>
      </c>
      <c r="F660" s="160"/>
      <c r="G660" s="161" t="s">
        <v>159</v>
      </c>
      <c r="H660" s="162">
        <v>100000000</v>
      </c>
      <c r="I660" s="162"/>
      <c r="J660" s="163">
        <f t="shared" si="19"/>
        <v>110001146</v>
      </c>
      <c r="K660" s="163"/>
    </row>
    <row r="661" spans="1:11" s="143" customFormat="1" ht="19.5" customHeight="1">
      <c r="A661" s="143">
        <f t="shared" si="18"/>
        <v>12</v>
      </c>
      <c r="B661" s="158">
        <v>41990</v>
      </c>
      <c r="C661" s="159" t="s">
        <v>163</v>
      </c>
      <c r="D661" s="158">
        <v>41990</v>
      </c>
      <c r="E661" s="160" t="s">
        <v>51</v>
      </c>
      <c r="F661" s="160"/>
      <c r="G661" s="161" t="s">
        <v>159</v>
      </c>
      <c r="H661" s="162">
        <v>40000000</v>
      </c>
      <c r="I661" s="162"/>
      <c r="J661" s="163">
        <f t="shared" si="19"/>
        <v>150001146</v>
      </c>
      <c r="K661" s="163"/>
    </row>
    <row r="662" spans="1:11" s="143" customFormat="1" ht="19.5" customHeight="1">
      <c r="A662" s="143">
        <f t="shared" si="18"/>
        <v>12</v>
      </c>
      <c r="B662" s="158">
        <v>41992</v>
      </c>
      <c r="C662" s="159" t="s">
        <v>163</v>
      </c>
      <c r="D662" s="158">
        <v>41992</v>
      </c>
      <c r="E662" s="160" t="s">
        <v>51</v>
      </c>
      <c r="F662" s="160"/>
      <c r="G662" s="161" t="s">
        <v>159</v>
      </c>
      <c r="H662" s="162">
        <v>200000000</v>
      </c>
      <c r="I662" s="162"/>
      <c r="J662" s="163">
        <f t="shared" si="19"/>
        <v>350001146</v>
      </c>
      <c r="K662" s="163"/>
    </row>
    <row r="663" spans="1:11" s="143" customFormat="1" ht="19.5" customHeight="1">
      <c r="A663" s="143">
        <f t="shared" si="18"/>
        <v>12</v>
      </c>
      <c r="B663" s="158">
        <v>41995</v>
      </c>
      <c r="C663" s="159" t="s">
        <v>163</v>
      </c>
      <c r="D663" s="158">
        <v>41995</v>
      </c>
      <c r="E663" s="160" t="s">
        <v>51</v>
      </c>
      <c r="F663" s="160"/>
      <c r="G663" s="161" t="s">
        <v>159</v>
      </c>
      <c r="H663" s="162">
        <v>750000000</v>
      </c>
      <c r="I663" s="162"/>
      <c r="J663" s="163">
        <f t="shared" si="19"/>
        <v>1100001146</v>
      </c>
      <c r="K663" s="163"/>
    </row>
    <row r="664" spans="1:11" s="143" customFormat="1" ht="19.5" customHeight="1">
      <c r="A664" s="143">
        <f t="shared" si="18"/>
        <v>12</v>
      </c>
      <c r="B664" s="158">
        <v>41996</v>
      </c>
      <c r="C664" s="159" t="s">
        <v>163</v>
      </c>
      <c r="D664" s="158">
        <v>41996</v>
      </c>
      <c r="E664" s="160" t="s">
        <v>51</v>
      </c>
      <c r="F664" s="160"/>
      <c r="G664" s="161" t="s">
        <v>159</v>
      </c>
      <c r="H664" s="162">
        <v>820000000</v>
      </c>
      <c r="I664" s="162"/>
      <c r="J664" s="163">
        <f t="shared" si="19"/>
        <v>1920001146</v>
      </c>
      <c r="K664" s="163"/>
    </row>
    <row r="665" spans="1:11" s="143" customFormat="1" ht="19.5" customHeight="1">
      <c r="A665" s="143">
        <f t="shared" ref="A665:A728" si="20">IF(B665&lt;&gt;"",MONTH(B665),"")</f>
        <v>12</v>
      </c>
      <c r="B665" s="158">
        <v>41978</v>
      </c>
      <c r="C665" s="159" t="s">
        <v>160</v>
      </c>
      <c r="D665" s="158">
        <v>41978</v>
      </c>
      <c r="E665" s="160" t="s">
        <v>164</v>
      </c>
      <c r="F665" s="160"/>
      <c r="G665" s="161" t="s">
        <v>162</v>
      </c>
      <c r="H665" s="162">
        <v>524841000</v>
      </c>
      <c r="I665" s="162"/>
      <c r="J665" s="163">
        <f t="shared" si="19"/>
        <v>2444842146</v>
      </c>
      <c r="K665" s="163"/>
    </row>
    <row r="666" spans="1:11" s="143" customFormat="1" ht="19.5" customHeight="1">
      <c r="A666" s="143">
        <f t="shared" si="20"/>
        <v>12</v>
      </c>
      <c r="B666" s="158">
        <v>41984</v>
      </c>
      <c r="C666" s="159" t="s">
        <v>160</v>
      </c>
      <c r="D666" s="158">
        <v>41984</v>
      </c>
      <c r="E666" s="160" t="s">
        <v>164</v>
      </c>
      <c r="F666" s="160"/>
      <c r="G666" s="161" t="s">
        <v>162</v>
      </c>
      <c r="H666" s="162">
        <v>331080000</v>
      </c>
      <c r="I666" s="162"/>
      <c r="J666" s="163">
        <f t="shared" si="19"/>
        <v>2775922146</v>
      </c>
      <c r="K666" s="163"/>
    </row>
    <row r="667" spans="1:11" s="143" customFormat="1" ht="19.5" customHeight="1">
      <c r="A667" s="143">
        <f t="shared" si="20"/>
        <v>12</v>
      </c>
      <c r="B667" s="158">
        <v>41988</v>
      </c>
      <c r="C667" s="159" t="s">
        <v>160</v>
      </c>
      <c r="D667" s="158">
        <v>41988</v>
      </c>
      <c r="E667" s="160" t="s">
        <v>164</v>
      </c>
      <c r="F667" s="160"/>
      <c r="G667" s="161" t="s">
        <v>162</v>
      </c>
      <c r="H667" s="162">
        <v>749350000</v>
      </c>
      <c r="I667" s="162"/>
      <c r="J667" s="163">
        <f t="shared" si="19"/>
        <v>3525272146</v>
      </c>
      <c r="K667" s="163"/>
    </row>
    <row r="668" spans="1:11" s="143" customFormat="1" ht="19.5" customHeight="1">
      <c r="A668" s="143">
        <f t="shared" si="20"/>
        <v>12</v>
      </c>
      <c r="B668" s="158">
        <v>41997</v>
      </c>
      <c r="C668" s="159" t="s">
        <v>160</v>
      </c>
      <c r="D668" s="158">
        <v>41997</v>
      </c>
      <c r="E668" s="160" t="s">
        <v>164</v>
      </c>
      <c r="F668" s="160"/>
      <c r="G668" s="161" t="s">
        <v>162</v>
      </c>
      <c r="H668" s="162">
        <v>1498000000</v>
      </c>
      <c r="I668" s="162"/>
      <c r="J668" s="163">
        <f t="shared" si="19"/>
        <v>5023272146</v>
      </c>
      <c r="K668" s="163"/>
    </row>
    <row r="669" spans="1:11" s="143" customFormat="1" ht="19.5" customHeight="1">
      <c r="A669" s="143">
        <f t="shared" si="20"/>
        <v>12</v>
      </c>
      <c r="B669" s="158">
        <v>41998</v>
      </c>
      <c r="C669" s="159" t="s">
        <v>163</v>
      </c>
      <c r="D669" s="158">
        <v>41998</v>
      </c>
      <c r="E669" s="160" t="s">
        <v>588</v>
      </c>
      <c r="F669" s="160"/>
      <c r="G669" s="161" t="s">
        <v>176</v>
      </c>
      <c r="H669" s="162">
        <v>22104</v>
      </c>
      <c r="I669" s="162"/>
      <c r="J669" s="163">
        <f t="shared" si="19"/>
        <v>5023294250</v>
      </c>
      <c r="K669" s="163"/>
    </row>
    <row r="670" spans="1:11" s="143" customFormat="1" ht="19.5" customHeight="1">
      <c r="A670" s="143">
        <f t="shared" si="20"/>
        <v>12</v>
      </c>
      <c r="B670" s="158">
        <v>41998</v>
      </c>
      <c r="C670" s="159" t="s">
        <v>160</v>
      </c>
      <c r="D670" s="158">
        <v>41998</v>
      </c>
      <c r="E670" s="160" t="s">
        <v>164</v>
      </c>
      <c r="F670" s="160"/>
      <c r="G670" s="161" t="s">
        <v>162</v>
      </c>
      <c r="H670" s="162">
        <v>203300000</v>
      </c>
      <c r="I670" s="162"/>
      <c r="J670" s="163">
        <f t="shared" si="19"/>
        <v>5226594250</v>
      </c>
      <c r="K670" s="163"/>
    </row>
    <row r="671" spans="1:11" s="143" customFormat="1" ht="19.5" customHeight="1">
      <c r="A671" s="143">
        <f t="shared" si="20"/>
        <v>12</v>
      </c>
      <c r="B671" s="158">
        <v>42000</v>
      </c>
      <c r="C671" s="159" t="s">
        <v>160</v>
      </c>
      <c r="D671" s="158">
        <v>42000</v>
      </c>
      <c r="E671" s="160" t="s">
        <v>164</v>
      </c>
      <c r="F671" s="160"/>
      <c r="G671" s="161" t="s">
        <v>162</v>
      </c>
      <c r="H671" s="162">
        <v>449400000</v>
      </c>
      <c r="I671" s="162"/>
      <c r="J671" s="163">
        <f t="shared" si="19"/>
        <v>5675994250</v>
      </c>
      <c r="K671" s="163"/>
    </row>
    <row r="672" spans="1:11" s="143" customFormat="1" ht="19.5" customHeight="1">
      <c r="A672" s="143">
        <f t="shared" si="20"/>
        <v>12</v>
      </c>
      <c r="B672" s="158">
        <v>42003</v>
      </c>
      <c r="C672" s="159" t="s">
        <v>160</v>
      </c>
      <c r="D672" s="158">
        <v>42003</v>
      </c>
      <c r="E672" s="160" t="s">
        <v>220</v>
      </c>
      <c r="F672" s="160"/>
      <c r="G672" s="161" t="s">
        <v>36</v>
      </c>
      <c r="H672" s="162">
        <v>933000000</v>
      </c>
      <c r="I672" s="162"/>
      <c r="J672" s="163">
        <f t="shared" si="19"/>
        <v>6608994250</v>
      </c>
      <c r="K672" s="163"/>
    </row>
    <row r="673" spans="1:11" s="143" customFormat="1" ht="19.5" customHeight="1">
      <c r="A673" s="143">
        <f t="shared" si="20"/>
        <v>12</v>
      </c>
      <c r="B673" s="158">
        <v>42004</v>
      </c>
      <c r="C673" s="159" t="s">
        <v>160</v>
      </c>
      <c r="D673" s="158">
        <v>42004</v>
      </c>
      <c r="E673" s="160" t="s">
        <v>164</v>
      </c>
      <c r="F673" s="160"/>
      <c r="G673" s="161" t="s">
        <v>162</v>
      </c>
      <c r="H673" s="162">
        <v>930900000</v>
      </c>
      <c r="I673" s="162"/>
      <c r="J673" s="163">
        <f t="shared" si="19"/>
        <v>7539894250</v>
      </c>
      <c r="K673" s="163"/>
    </row>
    <row r="674" spans="1:11" s="143" customFormat="1" ht="19.5" customHeight="1">
      <c r="A674" s="143">
        <f t="shared" si="20"/>
        <v>12</v>
      </c>
      <c r="B674" s="158">
        <v>41979</v>
      </c>
      <c r="C674" s="159" t="s">
        <v>160</v>
      </c>
      <c r="D674" s="158">
        <v>41979</v>
      </c>
      <c r="E674" s="160" t="s">
        <v>577</v>
      </c>
      <c r="F674" s="160"/>
      <c r="G674" s="161" t="s">
        <v>159</v>
      </c>
      <c r="H674" s="162"/>
      <c r="I674" s="162">
        <v>490000000</v>
      </c>
      <c r="J674" s="163">
        <f t="shared" si="19"/>
        <v>7049894250</v>
      </c>
      <c r="K674" s="163"/>
    </row>
    <row r="675" spans="1:11" s="143" customFormat="1" ht="19.5" customHeight="1">
      <c r="A675" s="143">
        <f t="shared" si="20"/>
        <v>12</v>
      </c>
      <c r="B675" s="158">
        <v>41984</v>
      </c>
      <c r="C675" s="159" t="s">
        <v>160</v>
      </c>
      <c r="D675" s="158">
        <v>41984</v>
      </c>
      <c r="E675" s="160" t="s">
        <v>577</v>
      </c>
      <c r="F675" s="160"/>
      <c r="G675" s="161" t="s">
        <v>159</v>
      </c>
      <c r="H675" s="162"/>
      <c r="I675" s="162">
        <v>280000000</v>
      </c>
      <c r="J675" s="163">
        <f t="shared" si="19"/>
        <v>6769894250</v>
      </c>
      <c r="K675" s="163"/>
    </row>
    <row r="676" spans="1:11" s="143" customFormat="1" ht="19.5" customHeight="1">
      <c r="A676" s="143">
        <f t="shared" si="20"/>
        <v>12</v>
      </c>
      <c r="B676" s="158">
        <v>41989</v>
      </c>
      <c r="C676" s="159" t="s">
        <v>160</v>
      </c>
      <c r="D676" s="158">
        <v>41989</v>
      </c>
      <c r="E676" s="160" t="s">
        <v>577</v>
      </c>
      <c r="F676" s="160"/>
      <c r="G676" s="161" t="s">
        <v>159</v>
      </c>
      <c r="H676" s="162"/>
      <c r="I676" s="162">
        <v>740000000</v>
      </c>
      <c r="J676" s="163">
        <f t="shared" si="19"/>
        <v>6029894250</v>
      </c>
      <c r="K676" s="163"/>
    </row>
    <row r="677" spans="1:11" s="143" customFormat="1" ht="19.5" customHeight="1">
      <c r="A677" s="143">
        <f t="shared" si="20"/>
        <v>12</v>
      </c>
      <c r="B677" s="158">
        <v>41997</v>
      </c>
      <c r="C677" s="159" t="s">
        <v>160</v>
      </c>
      <c r="D677" s="158">
        <v>41997</v>
      </c>
      <c r="E677" s="160" t="s">
        <v>577</v>
      </c>
      <c r="F677" s="160"/>
      <c r="G677" s="161" t="s">
        <v>159</v>
      </c>
      <c r="H677" s="162"/>
      <c r="I677" s="162">
        <v>1500000000</v>
      </c>
      <c r="J677" s="163">
        <f t="shared" si="19"/>
        <v>4529894250</v>
      </c>
      <c r="K677" s="163"/>
    </row>
    <row r="678" spans="1:11" s="143" customFormat="1" ht="19.5" customHeight="1">
      <c r="A678" s="143">
        <f t="shared" si="20"/>
        <v>12</v>
      </c>
      <c r="B678" s="158">
        <v>42003</v>
      </c>
      <c r="C678" s="159" t="s">
        <v>160</v>
      </c>
      <c r="D678" s="158">
        <v>42003</v>
      </c>
      <c r="E678" s="160" t="s">
        <v>577</v>
      </c>
      <c r="F678" s="160"/>
      <c r="G678" s="161" t="s">
        <v>159</v>
      </c>
      <c r="H678" s="162"/>
      <c r="I678" s="162">
        <v>390000000</v>
      </c>
      <c r="J678" s="163">
        <f t="shared" si="19"/>
        <v>4139894250</v>
      </c>
      <c r="K678" s="163"/>
    </row>
    <row r="679" spans="1:11" s="143" customFormat="1" ht="19.5" customHeight="1">
      <c r="A679" s="143">
        <f t="shared" si="20"/>
        <v>12</v>
      </c>
      <c r="B679" s="158">
        <v>42004</v>
      </c>
      <c r="C679" s="159" t="s">
        <v>160</v>
      </c>
      <c r="D679" s="158">
        <v>42004</v>
      </c>
      <c r="E679" s="160" t="s">
        <v>577</v>
      </c>
      <c r="F679" s="160"/>
      <c r="G679" s="161" t="s">
        <v>159</v>
      </c>
      <c r="H679" s="162"/>
      <c r="I679" s="162">
        <v>930000000</v>
      </c>
      <c r="J679" s="163">
        <f t="shared" si="19"/>
        <v>3209894250</v>
      </c>
      <c r="K679" s="163"/>
    </row>
    <row r="680" spans="1:11" s="143" customFormat="1" ht="19.5" customHeight="1">
      <c r="A680" s="143">
        <f t="shared" si="20"/>
        <v>12</v>
      </c>
      <c r="B680" s="158">
        <v>41979</v>
      </c>
      <c r="C680" s="159" t="s">
        <v>160</v>
      </c>
      <c r="D680" s="158">
        <v>41979</v>
      </c>
      <c r="E680" s="160" t="s">
        <v>165</v>
      </c>
      <c r="F680" s="160"/>
      <c r="G680" s="161" t="s">
        <v>166</v>
      </c>
      <c r="H680" s="162"/>
      <c r="I680" s="162">
        <v>2287659</v>
      </c>
      <c r="J680" s="163">
        <f t="shared" si="19"/>
        <v>3207606591</v>
      </c>
      <c r="K680" s="163"/>
    </row>
    <row r="681" spans="1:11" s="143" customFormat="1" ht="19.5" customHeight="1">
      <c r="A681" s="143">
        <f t="shared" si="20"/>
        <v>12</v>
      </c>
      <c r="B681" s="158">
        <v>41979</v>
      </c>
      <c r="C681" s="159" t="s">
        <v>160</v>
      </c>
      <c r="D681" s="158">
        <v>41979</v>
      </c>
      <c r="E681" s="160" t="s">
        <v>167</v>
      </c>
      <c r="F681" s="160"/>
      <c r="G681" s="161" t="s">
        <v>166</v>
      </c>
      <c r="H681" s="162"/>
      <c r="I681" s="162">
        <v>5425416</v>
      </c>
      <c r="J681" s="163">
        <f t="shared" si="19"/>
        <v>3202181175</v>
      </c>
      <c r="K681" s="163"/>
    </row>
    <row r="682" spans="1:11" s="143" customFormat="1" ht="19.5" customHeight="1">
      <c r="A682" s="143">
        <f t="shared" si="20"/>
        <v>12</v>
      </c>
      <c r="B682" s="158">
        <v>41979</v>
      </c>
      <c r="C682" s="159" t="s">
        <v>160</v>
      </c>
      <c r="D682" s="158">
        <v>41979</v>
      </c>
      <c r="E682" s="160" t="s">
        <v>168</v>
      </c>
      <c r="F682" s="160"/>
      <c r="G682" s="161" t="s">
        <v>166</v>
      </c>
      <c r="H682" s="162"/>
      <c r="I682" s="162">
        <v>3372827</v>
      </c>
      <c r="J682" s="163">
        <f t="shared" si="19"/>
        <v>3198808348</v>
      </c>
      <c r="K682" s="163"/>
    </row>
    <row r="683" spans="1:11" s="143" customFormat="1" ht="19.5" customHeight="1">
      <c r="A683" s="143">
        <f t="shared" si="20"/>
        <v>12</v>
      </c>
      <c r="B683" s="158">
        <v>41979</v>
      </c>
      <c r="C683" s="159" t="s">
        <v>160</v>
      </c>
      <c r="D683" s="158">
        <v>41979</v>
      </c>
      <c r="E683" s="160" t="s">
        <v>169</v>
      </c>
      <c r="F683" s="160"/>
      <c r="G683" s="161" t="s">
        <v>166</v>
      </c>
      <c r="H683" s="162"/>
      <c r="I683" s="162">
        <v>4721702</v>
      </c>
      <c r="J683" s="163">
        <f t="shared" si="19"/>
        <v>3194086646</v>
      </c>
      <c r="K683" s="163"/>
    </row>
    <row r="684" spans="1:11" s="143" customFormat="1" ht="19.5" customHeight="1">
      <c r="A684" s="143">
        <f t="shared" si="20"/>
        <v>12</v>
      </c>
      <c r="B684" s="158">
        <v>41981</v>
      </c>
      <c r="C684" s="159" t="s">
        <v>160</v>
      </c>
      <c r="D684" s="158">
        <v>41981</v>
      </c>
      <c r="E684" s="160" t="s">
        <v>576</v>
      </c>
      <c r="F684" s="160"/>
      <c r="G684" s="161" t="s">
        <v>34</v>
      </c>
      <c r="H684" s="162"/>
      <c r="I684" s="162">
        <v>27545430</v>
      </c>
      <c r="J684" s="163">
        <f t="shared" si="19"/>
        <v>3166541216</v>
      </c>
      <c r="K684" s="163"/>
    </row>
    <row r="685" spans="1:11" s="143" customFormat="1" ht="19.5" customHeight="1">
      <c r="A685" s="143">
        <f t="shared" si="20"/>
        <v>12</v>
      </c>
      <c r="B685" s="158">
        <v>41981</v>
      </c>
      <c r="C685" s="159" t="s">
        <v>160</v>
      </c>
      <c r="D685" s="158">
        <v>41981</v>
      </c>
      <c r="E685" s="160" t="s">
        <v>177</v>
      </c>
      <c r="F685" s="160"/>
      <c r="G685" s="161" t="s">
        <v>247</v>
      </c>
      <c r="H685" s="162"/>
      <c r="I685" s="162">
        <v>45000</v>
      </c>
      <c r="J685" s="163">
        <f t="shared" si="19"/>
        <v>3166496216</v>
      </c>
      <c r="K685" s="163"/>
    </row>
    <row r="686" spans="1:11" s="143" customFormat="1" ht="19.5" customHeight="1">
      <c r="A686" s="143">
        <f t="shared" si="20"/>
        <v>12</v>
      </c>
      <c r="B686" s="158">
        <v>41981</v>
      </c>
      <c r="C686" s="159" t="s">
        <v>160</v>
      </c>
      <c r="D686" s="158">
        <v>41981</v>
      </c>
      <c r="E686" s="160" t="s">
        <v>178</v>
      </c>
      <c r="F686" s="160"/>
      <c r="G686" s="161" t="s">
        <v>35</v>
      </c>
      <c r="H686" s="162"/>
      <c r="I686" s="162">
        <v>4500</v>
      </c>
      <c r="J686" s="163">
        <f t="shared" si="19"/>
        <v>3166491716</v>
      </c>
      <c r="K686" s="163"/>
    </row>
    <row r="687" spans="1:11" s="143" customFormat="1" ht="19.5" customHeight="1">
      <c r="A687" s="143">
        <f t="shared" si="20"/>
        <v>12</v>
      </c>
      <c r="B687" s="158">
        <v>41985</v>
      </c>
      <c r="C687" s="159" t="s">
        <v>160</v>
      </c>
      <c r="D687" s="158">
        <v>41985</v>
      </c>
      <c r="E687" s="160" t="s">
        <v>576</v>
      </c>
      <c r="F687" s="160"/>
      <c r="G687" s="161" t="s">
        <v>34</v>
      </c>
      <c r="H687" s="162"/>
      <c r="I687" s="162">
        <v>49628810</v>
      </c>
      <c r="J687" s="163">
        <f t="shared" si="19"/>
        <v>3116862906</v>
      </c>
      <c r="K687" s="163"/>
    </row>
    <row r="688" spans="1:11" s="143" customFormat="1" ht="19.5" customHeight="1">
      <c r="A688" s="143">
        <f t="shared" si="20"/>
        <v>12</v>
      </c>
      <c r="B688" s="158">
        <v>41985</v>
      </c>
      <c r="C688" s="159" t="s">
        <v>160</v>
      </c>
      <c r="D688" s="158">
        <v>41985</v>
      </c>
      <c r="E688" s="160" t="s">
        <v>177</v>
      </c>
      <c r="F688" s="160"/>
      <c r="G688" s="161" t="s">
        <v>247</v>
      </c>
      <c r="H688" s="162"/>
      <c r="I688" s="162">
        <v>25000</v>
      </c>
      <c r="J688" s="163">
        <f t="shared" si="19"/>
        <v>3116837906</v>
      </c>
      <c r="K688" s="163"/>
    </row>
    <row r="689" spans="1:11" s="143" customFormat="1" ht="19.5" customHeight="1">
      <c r="A689" s="143">
        <f t="shared" si="20"/>
        <v>12</v>
      </c>
      <c r="B689" s="158">
        <v>41985</v>
      </c>
      <c r="C689" s="159" t="s">
        <v>160</v>
      </c>
      <c r="D689" s="158">
        <v>41985</v>
      </c>
      <c r="E689" s="160" t="s">
        <v>178</v>
      </c>
      <c r="F689" s="160"/>
      <c r="G689" s="161" t="s">
        <v>35</v>
      </c>
      <c r="H689" s="162"/>
      <c r="I689" s="162">
        <v>2500</v>
      </c>
      <c r="J689" s="163">
        <f t="shared" si="19"/>
        <v>3116835406</v>
      </c>
      <c r="K689" s="163"/>
    </row>
    <row r="690" spans="1:11" s="143" customFormat="1" ht="19.5" customHeight="1">
      <c r="A690" s="143">
        <f t="shared" si="20"/>
        <v>12</v>
      </c>
      <c r="B690" s="158">
        <v>41990</v>
      </c>
      <c r="C690" s="159" t="s">
        <v>160</v>
      </c>
      <c r="D690" s="158">
        <v>41990</v>
      </c>
      <c r="E690" s="160" t="s">
        <v>161</v>
      </c>
      <c r="F690" s="160"/>
      <c r="G690" s="161" t="s">
        <v>162</v>
      </c>
      <c r="H690" s="162"/>
      <c r="I690" s="162">
        <v>132804000</v>
      </c>
      <c r="J690" s="163">
        <f t="shared" si="19"/>
        <v>2984031406</v>
      </c>
      <c r="K690" s="163"/>
    </row>
    <row r="691" spans="1:11" s="143" customFormat="1" ht="19.5" customHeight="1">
      <c r="A691" s="143">
        <f t="shared" si="20"/>
        <v>12</v>
      </c>
      <c r="B691" s="158">
        <v>41990</v>
      </c>
      <c r="C691" s="159" t="s">
        <v>160</v>
      </c>
      <c r="D691" s="158">
        <v>41990</v>
      </c>
      <c r="E691" s="160" t="s">
        <v>220</v>
      </c>
      <c r="F691" s="160"/>
      <c r="G691" s="161" t="s">
        <v>36</v>
      </c>
      <c r="H691" s="162"/>
      <c r="I691" s="162">
        <v>15000000</v>
      </c>
      <c r="J691" s="163">
        <f t="shared" si="19"/>
        <v>2969031406</v>
      </c>
      <c r="K691" s="163"/>
    </row>
    <row r="692" spans="1:11" s="143" customFormat="1" ht="19.5" customHeight="1">
      <c r="A692" s="143">
        <f t="shared" si="20"/>
        <v>12</v>
      </c>
      <c r="B692" s="158">
        <v>41992</v>
      </c>
      <c r="C692" s="159" t="s">
        <v>160</v>
      </c>
      <c r="D692" s="158">
        <v>41992</v>
      </c>
      <c r="E692" s="160" t="s">
        <v>225</v>
      </c>
      <c r="F692" s="160"/>
      <c r="G692" s="161" t="s">
        <v>34</v>
      </c>
      <c r="H692" s="162"/>
      <c r="I692" s="162">
        <v>87472000</v>
      </c>
      <c r="J692" s="163">
        <f t="shared" si="19"/>
        <v>2881559406</v>
      </c>
      <c r="K692" s="163"/>
    </row>
    <row r="693" spans="1:11" s="143" customFormat="1" ht="19.5" customHeight="1">
      <c r="A693" s="143">
        <f t="shared" si="20"/>
        <v>12</v>
      </c>
      <c r="B693" s="158">
        <v>41992</v>
      </c>
      <c r="C693" s="159" t="s">
        <v>160</v>
      </c>
      <c r="D693" s="158">
        <v>41992</v>
      </c>
      <c r="E693" s="160" t="s">
        <v>177</v>
      </c>
      <c r="F693" s="160"/>
      <c r="G693" s="161" t="s">
        <v>247</v>
      </c>
      <c r="H693" s="162"/>
      <c r="I693" s="162">
        <v>51161</v>
      </c>
      <c r="J693" s="163">
        <f t="shared" si="19"/>
        <v>2881508245</v>
      </c>
      <c r="K693" s="163"/>
    </row>
    <row r="694" spans="1:11" s="143" customFormat="1" ht="19.5" customHeight="1">
      <c r="A694" s="143">
        <f t="shared" si="20"/>
        <v>12</v>
      </c>
      <c r="B694" s="158">
        <v>41992</v>
      </c>
      <c r="C694" s="159" t="s">
        <v>160</v>
      </c>
      <c r="D694" s="158">
        <v>41992</v>
      </c>
      <c r="E694" s="160" t="s">
        <v>178</v>
      </c>
      <c r="F694" s="160"/>
      <c r="G694" s="161" t="s">
        <v>35</v>
      </c>
      <c r="H694" s="162"/>
      <c r="I694" s="162">
        <v>5116</v>
      </c>
      <c r="J694" s="163">
        <f t="shared" si="19"/>
        <v>2881503129</v>
      </c>
      <c r="K694" s="163"/>
    </row>
    <row r="695" spans="1:11" s="143" customFormat="1" ht="19.5" customHeight="1">
      <c r="A695" s="143">
        <f t="shared" si="20"/>
        <v>12</v>
      </c>
      <c r="B695" s="158">
        <v>41992</v>
      </c>
      <c r="C695" s="159" t="s">
        <v>160</v>
      </c>
      <c r="D695" s="158">
        <v>41992</v>
      </c>
      <c r="E695" s="160" t="s">
        <v>651</v>
      </c>
      <c r="F695" s="160"/>
      <c r="G695" s="161" t="s">
        <v>166</v>
      </c>
      <c r="H695" s="162"/>
      <c r="I695" s="162">
        <v>7736597</v>
      </c>
      <c r="J695" s="163">
        <f t="shared" si="19"/>
        <v>2873766532</v>
      </c>
      <c r="K695" s="163"/>
    </row>
    <row r="696" spans="1:11" s="143" customFormat="1" ht="19.5" customHeight="1">
      <c r="A696" s="143">
        <f t="shared" si="20"/>
        <v>12</v>
      </c>
      <c r="B696" s="158">
        <v>41992</v>
      </c>
      <c r="C696" s="159" t="s">
        <v>160</v>
      </c>
      <c r="D696" s="158">
        <v>41992</v>
      </c>
      <c r="E696" s="160" t="s">
        <v>653</v>
      </c>
      <c r="F696" s="160"/>
      <c r="G696" s="161" t="s">
        <v>166</v>
      </c>
      <c r="H696" s="162"/>
      <c r="I696" s="162">
        <v>8139413</v>
      </c>
      <c r="J696" s="163">
        <f t="shared" si="19"/>
        <v>2865627119</v>
      </c>
      <c r="K696" s="163"/>
    </row>
    <row r="697" spans="1:11" s="143" customFormat="1" ht="19.5" customHeight="1">
      <c r="A697" s="143">
        <f t="shared" si="20"/>
        <v>12</v>
      </c>
      <c r="B697" s="158">
        <v>41992</v>
      </c>
      <c r="C697" s="159" t="s">
        <v>160</v>
      </c>
      <c r="D697" s="158">
        <v>41992</v>
      </c>
      <c r="E697" s="160" t="s">
        <v>676</v>
      </c>
      <c r="F697" s="160"/>
      <c r="G697" s="161" t="s">
        <v>34</v>
      </c>
      <c r="H697" s="162"/>
      <c r="I697" s="162">
        <v>46750000</v>
      </c>
      <c r="J697" s="163">
        <f t="shared" si="19"/>
        <v>2818877119</v>
      </c>
      <c r="K697" s="163"/>
    </row>
    <row r="698" spans="1:11" s="143" customFormat="1" ht="19.5" customHeight="1">
      <c r="A698" s="143">
        <f t="shared" si="20"/>
        <v>12</v>
      </c>
      <c r="B698" s="158">
        <v>41992</v>
      </c>
      <c r="C698" s="159" t="s">
        <v>160</v>
      </c>
      <c r="D698" s="158">
        <v>41992</v>
      </c>
      <c r="E698" s="160" t="s">
        <v>177</v>
      </c>
      <c r="F698" s="160"/>
      <c r="G698" s="161" t="s">
        <v>247</v>
      </c>
      <c r="H698" s="162"/>
      <c r="I698" s="162">
        <v>32623</v>
      </c>
      <c r="J698" s="163">
        <f t="shared" si="19"/>
        <v>2818844496</v>
      </c>
      <c r="K698" s="163"/>
    </row>
    <row r="699" spans="1:11" s="143" customFormat="1" ht="19.5" customHeight="1">
      <c r="A699" s="143">
        <f t="shared" si="20"/>
        <v>12</v>
      </c>
      <c r="B699" s="158">
        <v>41992</v>
      </c>
      <c r="C699" s="159" t="s">
        <v>160</v>
      </c>
      <c r="D699" s="158">
        <v>41992</v>
      </c>
      <c r="E699" s="160" t="s">
        <v>178</v>
      </c>
      <c r="F699" s="160"/>
      <c r="G699" s="161" t="s">
        <v>35</v>
      </c>
      <c r="H699" s="162"/>
      <c r="I699" s="162">
        <v>3262</v>
      </c>
      <c r="J699" s="163">
        <f t="shared" si="19"/>
        <v>2818841234</v>
      </c>
      <c r="K699" s="163"/>
    </row>
    <row r="700" spans="1:11" s="143" customFormat="1" ht="19.5" customHeight="1">
      <c r="A700" s="143">
        <f t="shared" si="20"/>
        <v>12</v>
      </c>
      <c r="B700" s="158">
        <v>41992</v>
      </c>
      <c r="C700" s="159" t="s">
        <v>160</v>
      </c>
      <c r="D700" s="158">
        <v>41992</v>
      </c>
      <c r="E700" s="160" t="s">
        <v>654</v>
      </c>
      <c r="F700" s="160"/>
      <c r="G700" s="161" t="s">
        <v>166</v>
      </c>
      <c r="H700" s="162"/>
      <c r="I700" s="162">
        <v>5140671</v>
      </c>
      <c r="J700" s="163">
        <f t="shared" si="19"/>
        <v>2813700563</v>
      </c>
      <c r="K700" s="163"/>
    </row>
    <row r="701" spans="1:11" s="143" customFormat="1" ht="19.5" customHeight="1">
      <c r="A701" s="143">
        <f t="shared" si="20"/>
        <v>12</v>
      </c>
      <c r="B701" s="158">
        <v>41992</v>
      </c>
      <c r="C701" s="159" t="s">
        <v>160</v>
      </c>
      <c r="D701" s="158">
        <v>41992</v>
      </c>
      <c r="E701" s="160" t="s">
        <v>677</v>
      </c>
      <c r="F701" s="160"/>
      <c r="G701" s="161" t="s">
        <v>166</v>
      </c>
      <c r="H701" s="162"/>
      <c r="I701" s="162">
        <v>3255722</v>
      </c>
      <c r="J701" s="163">
        <f t="shared" si="19"/>
        <v>2810444841</v>
      </c>
      <c r="K701" s="163"/>
    </row>
    <row r="702" spans="1:11" s="143" customFormat="1" ht="19.5" customHeight="1">
      <c r="A702" s="143">
        <f t="shared" si="20"/>
        <v>12</v>
      </c>
      <c r="B702" s="158">
        <v>41992</v>
      </c>
      <c r="C702" s="159" t="s">
        <v>160</v>
      </c>
      <c r="D702" s="158">
        <v>41992</v>
      </c>
      <c r="E702" s="160" t="s">
        <v>191</v>
      </c>
      <c r="F702" s="160"/>
      <c r="G702" s="161" t="s">
        <v>166</v>
      </c>
      <c r="H702" s="162"/>
      <c r="I702" s="162">
        <v>3984047</v>
      </c>
      <c r="J702" s="163">
        <f t="shared" si="19"/>
        <v>2806460794</v>
      </c>
      <c r="K702" s="163"/>
    </row>
    <row r="703" spans="1:11" s="143" customFormat="1" ht="19.5" customHeight="1">
      <c r="A703" s="143">
        <f t="shared" si="20"/>
        <v>12</v>
      </c>
      <c r="B703" s="158">
        <v>41992</v>
      </c>
      <c r="C703" s="159" t="s">
        <v>160</v>
      </c>
      <c r="D703" s="158">
        <v>41992</v>
      </c>
      <c r="E703" s="160" t="s">
        <v>192</v>
      </c>
      <c r="F703" s="160"/>
      <c r="G703" s="161" t="s">
        <v>166</v>
      </c>
      <c r="H703" s="162"/>
      <c r="I703" s="162">
        <v>4358381</v>
      </c>
      <c r="J703" s="163">
        <f t="shared" si="19"/>
        <v>2802102413</v>
      </c>
      <c r="K703" s="163"/>
    </row>
    <row r="704" spans="1:11" s="143" customFormat="1" ht="19.5" customHeight="1">
      <c r="A704" s="143">
        <f t="shared" si="20"/>
        <v>12</v>
      </c>
      <c r="B704" s="158">
        <v>41992</v>
      </c>
      <c r="C704" s="159" t="s">
        <v>160</v>
      </c>
      <c r="D704" s="158">
        <v>41992</v>
      </c>
      <c r="E704" s="160" t="s">
        <v>193</v>
      </c>
      <c r="F704" s="160"/>
      <c r="G704" s="161" t="s">
        <v>166</v>
      </c>
      <c r="H704" s="162"/>
      <c r="I704" s="162">
        <v>7710899</v>
      </c>
      <c r="J704" s="163">
        <f t="shared" si="19"/>
        <v>2794391514</v>
      </c>
      <c r="K704" s="163"/>
    </row>
    <row r="705" spans="1:11" s="143" customFormat="1" ht="19.5" customHeight="1">
      <c r="A705" s="143">
        <f t="shared" si="20"/>
        <v>12</v>
      </c>
      <c r="B705" s="158">
        <v>41992</v>
      </c>
      <c r="C705" s="159" t="s">
        <v>160</v>
      </c>
      <c r="D705" s="158">
        <v>41992</v>
      </c>
      <c r="E705" s="160" t="s">
        <v>181</v>
      </c>
      <c r="F705" s="160"/>
      <c r="G705" s="161" t="s">
        <v>166</v>
      </c>
      <c r="H705" s="162"/>
      <c r="I705" s="162">
        <v>7925049</v>
      </c>
      <c r="J705" s="163">
        <f t="shared" si="19"/>
        <v>2786466465</v>
      </c>
      <c r="K705" s="163"/>
    </row>
    <row r="706" spans="1:11" s="143" customFormat="1" ht="19.5" customHeight="1">
      <c r="A706" s="143">
        <f t="shared" si="20"/>
        <v>12</v>
      </c>
      <c r="B706" s="158">
        <v>41992</v>
      </c>
      <c r="C706" s="159" t="s">
        <v>160</v>
      </c>
      <c r="D706" s="158">
        <v>41992</v>
      </c>
      <c r="E706" s="160" t="s">
        <v>182</v>
      </c>
      <c r="F706" s="160"/>
      <c r="G706" s="161" t="s">
        <v>166</v>
      </c>
      <c r="H706" s="162"/>
      <c r="I706" s="162">
        <v>6502879</v>
      </c>
      <c r="J706" s="163">
        <f t="shared" si="19"/>
        <v>2779963586</v>
      </c>
      <c r="K706" s="163"/>
    </row>
    <row r="707" spans="1:11" s="143" customFormat="1" ht="19.5" customHeight="1">
      <c r="A707" s="143">
        <f t="shared" si="20"/>
        <v>12</v>
      </c>
      <c r="B707" s="158">
        <v>41995</v>
      </c>
      <c r="C707" s="159" t="s">
        <v>160</v>
      </c>
      <c r="D707" s="158">
        <v>41995</v>
      </c>
      <c r="E707" s="160" t="s">
        <v>576</v>
      </c>
      <c r="F707" s="160"/>
      <c r="G707" s="161" t="s">
        <v>34</v>
      </c>
      <c r="H707" s="162"/>
      <c r="I707" s="162">
        <v>40632790</v>
      </c>
      <c r="J707" s="163">
        <f t="shared" si="19"/>
        <v>2739330796</v>
      </c>
      <c r="K707" s="163"/>
    </row>
    <row r="708" spans="1:11" s="143" customFormat="1" ht="19.5" customHeight="1">
      <c r="A708" s="143">
        <f t="shared" si="20"/>
        <v>12</v>
      </c>
      <c r="B708" s="158">
        <v>41995</v>
      </c>
      <c r="C708" s="159" t="s">
        <v>160</v>
      </c>
      <c r="D708" s="158">
        <v>41995</v>
      </c>
      <c r="E708" s="160" t="s">
        <v>177</v>
      </c>
      <c r="F708" s="160"/>
      <c r="G708" s="161" t="s">
        <v>247</v>
      </c>
      <c r="H708" s="162"/>
      <c r="I708" s="162">
        <v>45000</v>
      </c>
      <c r="J708" s="163">
        <f t="shared" si="19"/>
        <v>2739285796</v>
      </c>
      <c r="K708" s="163"/>
    </row>
    <row r="709" spans="1:11" s="143" customFormat="1" ht="19.5" customHeight="1">
      <c r="A709" s="143">
        <f t="shared" si="20"/>
        <v>12</v>
      </c>
      <c r="B709" s="158">
        <v>41995</v>
      </c>
      <c r="C709" s="159" t="s">
        <v>160</v>
      </c>
      <c r="D709" s="158">
        <v>41995</v>
      </c>
      <c r="E709" s="160" t="s">
        <v>178</v>
      </c>
      <c r="F709" s="160"/>
      <c r="G709" s="161" t="s">
        <v>35</v>
      </c>
      <c r="H709" s="162"/>
      <c r="I709" s="162">
        <v>4500</v>
      </c>
      <c r="J709" s="163">
        <f t="shared" si="19"/>
        <v>2739281296</v>
      </c>
      <c r="K709" s="163"/>
    </row>
    <row r="710" spans="1:11" s="143" customFormat="1" ht="19.5" customHeight="1">
      <c r="A710" s="143">
        <f t="shared" si="20"/>
        <v>12</v>
      </c>
      <c r="B710" s="158">
        <v>41996</v>
      </c>
      <c r="C710" s="159" t="s">
        <v>160</v>
      </c>
      <c r="D710" s="158">
        <v>41996</v>
      </c>
      <c r="E710" s="160" t="s">
        <v>678</v>
      </c>
      <c r="F710" s="160"/>
      <c r="G710" s="161" t="s">
        <v>247</v>
      </c>
      <c r="H710" s="162"/>
      <c r="I710" s="162">
        <v>50000</v>
      </c>
      <c r="J710" s="163">
        <f t="shared" si="19"/>
        <v>2739231296</v>
      </c>
      <c r="K710" s="163"/>
    </row>
    <row r="711" spans="1:11" s="143" customFormat="1" ht="19.5" customHeight="1">
      <c r="A711" s="143">
        <f t="shared" si="20"/>
        <v>12</v>
      </c>
      <c r="B711" s="158">
        <v>41996</v>
      </c>
      <c r="C711" s="159" t="s">
        <v>160</v>
      </c>
      <c r="D711" s="158">
        <v>41996</v>
      </c>
      <c r="E711" s="160" t="s">
        <v>679</v>
      </c>
      <c r="F711" s="160"/>
      <c r="G711" s="161" t="s">
        <v>35</v>
      </c>
      <c r="H711" s="162"/>
      <c r="I711" s="162">
        <v>5000</v>
      </c>
      <c r="J711" s="163">
        <f t="shared" si="19"/>
        <v>2739226296</v>
      </c>
      <c r="K711" s="163"/>
    </row>
    <row r="712" spans="1:11" s="143" customFormat="1" ht="19.5" customHeight="1">
      <c r="A712" s="143">
        <f t="shared" si="20"/>
        <v>12</v>
      </c>
      <c r="B712" s="158">
        <v>41996</v>
      </c>
      <c r="C712" s="159" t="s">
        <v>160</v>
      </c>
      <c r="D712" s="158">
        <v>41996</v>
      </c>
      <c r="E712" s="160" t="s">
        <v>678</v>
      </c>
      <c r="F712" s="160"/>
      <c r="G712" s="161" t="s">
        <v>247</v>
      </c>
      <c r="H712" s="162"/>
      <c r="I712" s="162">
        <v>50000</v>
      </c>
      <c r="J712" s="163">
        <f t="shared" si="19"/>
        <v>2739176296</v>
      </c>
      <c r="K712" s="163"/>
    </row>
    <row r="713" spans="1:11" s="143" customFormat="1" ht="19.5" customHeight="1">
      <c r="A713" s="143">
        <f t="shared" si="20"/>
        <v>12</v>
      </c>
      <c r="B713" s="158">
        <v>41996</v>
      </c>
      <c r="C713" s="159" t="s">
        <v>160</v>
      </c>
      <c r="D713" s="158">
        <v>41996</v>
      </c>
      <c r="E713" s="160" t="s">
        <v>679</v>
      </c>
      <c r="F713" s="160"/>
      <c r="G713" s="161" t="s">
        <v>35</v>
      </c>
      <c r="H713" s="162"/>
      <c r="I713" s="162">
        <v>5000</v>
      </c>
      <c r="J713" s="163">
        <f t="shared" si="19"/>
        <v>2739171296</v>
      </c>
      <c r="K713" s="163"/>
    </row>
    <row r="714" spans="1:11" s="143" customFormat="1" ht="19.5" customHeight="1">
      <c r="A714" s="143">
        <f t="shared" si="20"/>
        <v>12</v>
      </c>
      <c r="B714" s="158">
        <v>41996</v>
      </c>
      <c r="C714" s="159" t="s">
        <v>160</v>
      </c>
      <c r="D714" s="158">
        <v>41996</v>
      </c>
      <c r="E714" s="160" t="s">
        <v>678</v>
      </c>
      <c r="F714" s="160"/>
      <c r="G714" s="161" t="s">
        <v>247</v>
      </c>
      <c r="H714" s="162"/>
      <c r="I714" s="162">
        <v>50000</v>
      </c>
      <c r="J714" s="163">
        <f t="shared" si="19"/>
        <v>2739121296</v>
      </c>
      <c r="K714" s="163"/>
    </row>
    <row r="715" spans="1:11" s="143" customFormat="1" ht="19.5" customHeight="1">
      <c r="A715" s="143">
        <f t="shared" si="20"/>
        <v>12</v>
      </c>
      <c r="B715" s="158">
        <v>41996</v>
      </c>
      <c r="C715" s="159" t="s">
        <v>160</v>
      </c>
      <c r="D715" s="158">
        <v>41996</v>
      </c>
      <c r="E715" s="160" t="s">
        <v>679</v>
      </c>
      <c r="F715" s="160"/>
      <c r="G715" s="161" t="s">
        <v>35</v>
      </c>
      <c r="H715" s="162"/>
      <c r="I715" s="162">
        <v>5000</v>
      </c>
      <c r="J715" s="163">
        <f t="shared" si="19"/>
        <v>2739116296</v>
      </c>
      <c r="K715" s="163"/>
    </row>
    <row r="716" spans="1:11" s="143" customFormat="1" ht="19.5" customHeight="1">
      <c r="A716" s="143">
        <f t="shared" si="20"/>
        <v>12</v>
      </c>
      <c r="B716" s="158">
        <v>41996</v>
      </c>
      <c r="C716" s="159" t="s">
        <v>160</v>
      </c>
      <c r="D716" s="158">
        <v>41996</v>
      </c>
      <c r="E716" s="160" t="s">
        <v>680</v>
      </c>
      <c r="F716" s="160"/>
      <c r="G716" s="161" t="s">
        <v>247</v>
      </c>
      <c r="H716" s="162"/>
      <c r="I716" s="162">
        <v>50000</v>
      </c>
      <c r="J716" s="163">
        <f t="shared" si="19"/>
        <v>2739066296</v>
      </c>
      <c r="K716" s="163"/>
    </row>
    <row r="717" spans="1:11" s="143" customFormat="1" ht="19.5" customHeight="1">
      <c r="A717" s="143">
        <f t="shared" si="20"/>
        <v>12</v>
      </c>
      <c r="B717" s="158">
        <v>41996</v>
      </c>
      <c r="C717" s="159" t="s">
        <v>160</v>
      </c>
      <c r="D717" s="158">
        <v>41996</v>
      </c>
      <c r="E717" s="160" t="s">
        <v>679</v>
      </c>
      <c r="F717" s="160"/>
      <c r="G717" s="161" t="s">
        <v>35</v>
      </c>
      <c r="H717" s="162"/>
      <c r="I717" s="162">
        <v>5000</v>
      </c>
      <c r="J717" s="163">
        <f t="shared" si="19"/>
        <v>2739061296</v>
      </c>
      <c r="K717" s="163"/>
    </row>
    <row r="718" spans="1:11" s="143" customFormat="1" ht="19.5" customHeight="1">
      <c r="A718" s="143">
        <f t="shared" si="20"/>
        <v>12</v>
      </c>
      <c r="B718" s="158">
        <v>41996</v>
      </c>
      <c r="C718" s="159" t="s">
        <v>160</v>
      </c>
      <c r="D718" s="158">
        <v>41996</v>
      </c>
      <c r="E718" s="160" t="s">
        <v>680</v>
      </c>
      <c r="F718" s="160"/>
      <c r="G718" s="161" t="s">
        <v>247</v>
      </c>
      <c r="H718" s="162"/>
      <c r="I718" s="162">
        <v>50000</v>
      </c>
      <c r="J718" s="163">
        <f t="shared" si="19"/>
        <v>2739011296</v>
      </c>
      <c r="K718" s="163"/>
    </row>
    <row r="719" spans="1:11" s="143" customFormat="1" ht="19.5" customHeight="1">
      <c r="A719" s="143">
        <f t="shared" si="20"/>
        <v>12</v>
      </c>
      <c r="B719" s="158">
        <v>41996</v>
      </c>
      <c r="C719" s="159" t="s">
        <v>160</v>
      </c>
      <c r="D719" s="158">
        <v>41996</v>
      </c>
      <c r="E719" s="160" t="s">
        <v>679</v>
      </c>
      <c r="F719" s="160"/>
      <c r="G719" s="161" t="s">
        <v>35</v>
      </c>
      <c r="H719" s="162"/>
      <c r="I719" s="162">
        <v>5000</v>
      </c>
      <c r="J719" s="163">
        <f t="shared" ref="J719:J740" si="21">IF(B719&lt;&gt;"",J718+H719-I719,0)</f>
        <v>2739006296</v>
      </c>
      <c r="K719" s="163"/>
    </row>
    <row r="720" spans="1:11" s="143" customFormat="1" ht="19.5" customHeight="1">
      <c r="A720" s="143">
        <f t="shared" si="20"/>
        <v>12</v>
      </c>
      <c r="B720" s="158">
        <v>41996</v>
      </c>
      <c r="C720" s="159" t="s">
        <v>160</v>
      </c>
      <c r="D720" s="158">
        <v>41996</v>
      </c>
      <c r="E720" s="160" t="s">
        <v>680</v>
      </c>
      <c r="F720" s="160"/>
      <c r="G720" s="161" t="s">
        <v>247</v>
      </c>
      <c r="H720" s="162"/>
      <c r="I720" s="162">
        <v>50000</v>
      </c>
      <c r="J720" s="163">
        <f t="shared" si="21"/>
        <v>2738956296</v>
      </c>
      <c r="K720" s="163"/>
    </row>
    <row r="721" spans="1:11" s="143" customFormat="1" ht="19.5" customHeight="1">
      <c r="A721" s="143">
        <f t="shared" si="20"/>
        <v>12</v>
      </c>
      <c r="B721" s="158">
        <v>41996</v>
      </c>
      <c r="C721" s="159" t="s">
        <v>160</v>
      </c>
      <c r="D721" s="158">
        <v>41996</v>
      </c>
      <c r="E721" s="160" t="s">
        <v>679</v>
      </c>
      <c r="F721" s="160"/>
      <c r="G721" s="161" t="s">
        <v>35</v>
      </c>
      <c r="H721" s="162"/>
      <c r="I721" s="162">
        <v>5000</v>
      </c>
      <c r="J721" s="163">
        <f t="shared" si="21"/>
        <v>2738951296</v>
      </c>
      <c r="K721" s="163"/>
    </row>
    <row r="722" spans="1:11" s="143" customFormat="1" ht="19.5" customHeight="1">
      <c r="A722" s="143">
        <f t="shared" si="20"/>
        <v>12</v>
      </c>
      <c r="B722" s="158">
        <v>41996</v>
      </c>
      <c r="C722" s="159" t="s">
        <v>160</v>
      </c>
      <c r="D722" s="158">
        <v>41996</v>
      </c>
      <c r="E722" s="160" t="s">
        <v>161</v>
      </c>
      <c r="F722" s="160"/>
      <c r="G722" s="161" t="s">
        <v>162</v>
      </c>
      <c r="H722" s="162"/>
      <c r="I722" s="162">
        <v>1498000000</v>
      </c>
      <c r="J722" s="163">
        <f t="shared" si="21"/>
        <v>1240951296</v>
      </c>
      <c r="K722" s="163"/>
    </row>
    <row r="723" spans="1:11" s="143" customFormat="1" ht="19.5" customHeight="1">
      <c r="A723" s="143">
        <f t="shared" si="20"/>
        <v>12</v>
      </c>
      <c r="B723" s="158">
        <v>41997</v>
      </c>
      <c r="C723" s="159" t="s">
        <v>160</v>
      </c>
      <c r="D723" s="158">
        <v>41997</v>
      </c>
      <c r="E723" s="160" t="s">
        <v>593</v>
      </c>
      <c r="F723" s="160"/>
      <c r="G723" s="161" t="s">
        <v>34</v>
      </c>
      <c r="H723" s="162"/>
      <c r="I723" s="162">
        <v>12000000</v>
      </c>
      <c r="J723" s="163">
        <f t="shared" si="21"/>
        <v>1228951296</v>
      </c>
      <c r="K723" s="163"/>
    </row>
    <row r="724" spans="1:11" s="143" customFormat="1" ht="19.5" customHeight="1">
      <c r="A724" s="143">
        <f t="shared" si="20"/>
        <v>12</v>
      </c>
      <c r="B724" s="158">
        <v>41997</v>
      </c>
      <c r="C724" s="159" t="s">
        <v>160</v>
      </c>
      <c r="D724" s="158">
        <v>41997</v>
      </c>
      <c r="E724" s="160" t="s">
        <v>177</v>
      </c>
      <c r="F724" s="160"/>
      <c r="G724" s="161" t="s">
        <v>247</v>
      </c>
      <c r="H724" s="162"/>
      <c r="I724" s="162">
        <v>20000</v>
      </c>
      <c r="J724" s="163">
        <f t="shared" si="21"/>
        <v>1228931296</v>
      </c>
      <c r="K724" s="163"/>
    </row>
    <row r="725" spans="1:11" s="143" customFormat="1" ht="19.5" customHeight="1">
      <c r="A725" s="143">
        <f t="shared" si="20"/>
        <v>12</v>
      </c>
      <c r="B725" s="158">
        <v>41997</v>
      </c>
      <c r="C725" s="159" t="s">
        <v>160</v>
      </c>
      <c r="D725" s="158">
        <v>41997</v>
      </c>
      <c r="E725" s="160" t="s">
        <v>178</v>
      </c>
      <c r="F725" s="160"/>
      <c r="G725" s="161" t="s">
        <v>35</v>
      </c>
      <c r="H725" s="162"/>
      <c r="I725" s="162">
        <v>2000</v>
      </c>
      <c r="J725" s="163">
        <f t="shared" si="21"/>
        <v>1228929296</v>
      </c>
      <c r="K725" s="163"/>
    </row>
    <row r="726" spans="1:11" s="143" customFormat="1" ht="19.5" customHeight="1">
      <c r="A726" s="143">
        <f t="shared" si="20"/>
        <v>12</v>
      </c>
      <c r="B726" s="158">
        <v>41998</v>
      </c>
      <c r="C726" s="159" t="s">
        <v>160</v>
      </c>
      <c r="D726" s="158">
        <v>41998</v>
      </c>
      <c r="E726" s="160" t="s">
        <v>648</v>
      </c>
      <c r="F726" s="160"/>
      <c r="G726" s="161" t="s">
        <v>34</v>
      </c>
      <c r="H726" s="162"/>
      <c r="I726" s="162">
        <v>38500000</v>
      </c>
      <c r="J726" s="163">
        <f t="shared" si="21"/>
        <v>1190429296</v>
      </c>
      <c r="K726" s="163"/>
    </row>
    <row r="727" spans="1:11" s="143" customFormat="1" ht="19.5" customHeight="1">
      <c r="A727" s="143">
        <f t="shared" si="20"/>
        <v>12</v>
      </c>
      <c r="B727" s="158">
        <v>41998</v>
      </c>
      <c r="C727" s="159" t="s">
        <v>160</v>
      </c>
      <c r="D727" s="158">
        <v>41998</v>
      </c>
      <c r="E727" s="160" t="s">
        <v>177</v>
      </c>
      <c r="F727" s="160"/>
      <c r="G727" s="161" t="s">
        <v>247</v>
      </c>
      <c r="H727" s="162"/>
      <c r="I727" s="162">
        <v>20000</v>
      </c>
      <c r="J727" s="163">
        <f t="shared" si="21"/>
        <v>1190409296</v>
      </c>
      <c r="K727" s="163"/>
    </row>
    <row r="728" spans="1:11" s="143" customFormat="1" ht="19.5" customHeight="1">
      <c r="A728" s="143">
        <f t="shared" si="20"/>
        <v>12</v>
      </c>
      <c r="B728" s="158">
        <v>41998</v>
      </c>
      <c r="C728" s="159" t="s">
        <v>160</v>
      </c>
      <c r="D728" s="158">
        <v>41998</v>
      </c>
      <c r="E728" s="160" t="s">
        <v>178</v>
      </c>
      <c r="F728" s="160"/>
      <c r="G728" s="161" t="s">
        <v>35</v>
      </c>
      <c r="H728" s="162"/>
      <c r="I728" s="162">
        <v>2000</v>
      </c>
      <c r="J728" s="163">
        <f t="shared" si="21"/>
        <v>1190407296</v>
      </c>
      <c r="K728" s="163"/>
    </row>
    <row r="729" spans="1:11" s="143" customFormat="1" ht="19.5" customHeight="1">
      <c r="A729" s="143">
        <f t="shared" ref="A729:A741" si="22">IF(B729&lt;&gt;"",MONTH(B729),"")</f>
        <v>12</v>
      </c>
      <c r="B729" s="158">
        <v>41998</v>
      </c>
      <c r="C729" s="159" t="s">
        <v>160</v>
      </c>
      <c r="D729" s="158">
        <v>41998</v>
      </c>
      <c r="E729" s="160" t="s">
        <v>216</v>
      </c>
      <c r="F729" s="160"/>
      <c r="G729" s="161" t="s">
        <v>34</v>
      </c>
      <c r="H729" s="162"/>
      <c r="I729" s="162">
        <v>100000000</v>
      </c>
      <c r="J729" s="163">
        <f t="shared" si="21"/>
        <v>1090407296</v>
      </c>
      <c r="K729" s="163"/>
    </row>
    <row r="730" spans="1:11" s="143" customFormat="1" ht="19.5" customHeight="1">
      <c r="A730" s="143">
        <f t="shared" si="22"/>
        <v>12</v>
      </c>
      <c r="B730" s="158">
        <v>41998</v>
      </c>
      <c r="C730" s="159" t="s">
        <v>160</v>
      </c>
      <c r="D730" s="158">
        <v>41998</v>
      </c>
      <c r="E730" s="160" t="s">
        <v>177</v>
      </c>
      <c r="F730" s="160"/>
      <c r="G730" s="161" t="s">
        <v>247</v>
      </c>
      <c r="H730" s="162"/>
      <c r="I730" s="162">
        <v>50000</v>
      </c>
      <c r="J730" s="163">
        <f t="shared" si="21"/>
        <v>1090357296</v>
      </c>
      <c r="K730" s="163"/>
    </row>
    <row r="731" spans="1:11" s="143" customFormat="1" ht="19.5" customHeight="1">
      <c r="A731" s="143">
        <f t="shared" si="22"/>
        <v>12</v>
      </c>
      <c r="B731" s="158">
        <v>41998</v>
      </c>
      <c r="C731" s="159" t="s">
        <v>160</v>
      </c>
      <c r="D731" s="158">
        <v>41998</v>
      </c>
      <c r="E731" s="160" t="s">
        <v>178</v>
      </c>
      <c r="F731" s="160"/>
      <c r="G731" s="161" t="s">
        <v>35</v>
      </c>
      <c r="H731" s="162"/>
      <c r="I731" s="162">
        <v>5000</v>
      </c>
      <c r="J731" s="163">
        <f t="shared" si="21"/>
        <v>1090352296</v>
      </c>
      <c r="K731" s="163"/>
    </row>
    <row r="732" spans="1:11" s="143" customFormat="1" ht="19.5" customHeight="1">
      <c r="A732" s="143">
        <f t="shared" si="22"/>
        <v>12</v>
      </c>
      <c r="B732" s="158">
        <v>41998</v>
      </c>
      <c r="C732" s="159" t="s">
        <v>160</v>
      </c>
      <c r="D732" s="158">
        <v>41998</v>
      </c>
      <c r="E732" s="160" t="s">
        <v>218</v>
      </c>
      <c r="F732" s="160"/>
      <c r="G732" s="161" t="s">
        <v>34</v>
      </c>
      <c r="H732" s="162"/>
      <c r="I732" s="162">
        <v>50000000</v>
      </c>
      <c r="J732" s="163">
        <f t="shared" si="21"/>
        <v>1040352296</v>
      </c>
      <c r="K732" s="163"/>
    </row>
    <row r="733" spans="1:11" s="143" customFormat="1" ht="19.5" customHeight="1">
      <c r="A733" s="143">
        <f t="shared" si="22"/>
        <v>12</v>
      </c>
      <c r="B733" s="158">
        <v>41998</v>
      </c>
      <c r="C733" s="159" t="s">
        <v>160</v>
      </c>
      <c r="D733" s="158">
        <v>41998</v>
      </c>
      <c r="E733" s="160" t="s">
        <v>177</v>
      </c>
      <c r="F733" s="160"/>
      <c r="G733" s="161" t="s">
        <v>247</v>
      </c>
      <c r="H733" s="162"/>
      <c r="I733" s="162">
        <v>20000</v>
      </c>
      <c r="J733" s="163">
        <f t="shared" si="21"/>
        <v>1040332296</v>
      </c>
      <c r="K733" s="163"/>
    </row>
    <row r="734" spans="1:11" s="143" customFormat="1" ht="19.5" customHeight="1">
      <c r="A734" s="143">
        <f t="shared" si="22"/>
        <v>12</v>
      </c>
      <c r="B734" s="158">
        <v>41998</v>
      </c>
      <c r="C734" s="159" t="s">
        <v>160</v>
      </c>
      <c r="D734" s="158">
        <v>41998</v>
      </c>
      <c r="E734" s="160" t="s">
        <v>178</v>
      </c>
      <c r="F734" s="160"/>
      <c r="G734" s="161" t="s">
        <v>35</v>
      </c>
      <c r="H734" s="162"/>
      <c r="I734" s="162">
        <v>2000</v>
      </c>
      <c r="J734" s="163">
        <f t="shared" si="21"/>
        <v>1040330296</v>
      </c>
      <c r="K734" s="163"/>
    </row>
    <row r="735" spans="1:11" s="143" customFormat="1" ht="19.5" customHeight="1">
      <c r="A735" s="143">
        <f t="shared" si="22"/>
        <v>12</v>
      </c>
      <c r="B735" s="158">
        <v>41999</v>
      </c>
      <c r="C735" s="159" t="s">
        <v>160</v>
      </c>
      <c r="D735" s="158">
        <v>41999</v>
      </c>
      <c r="E735" s="160" t="s">
        <v>681</v>
      </c>
      <c r="F735" s="160"/>
      <c r="G735" s="161" t="s">
        <v>166</v>
      </c>
      <c r="H735" s="162"/>
      <c r="I735" s="162">
        <v>1463756</v>
      </c>
      <c r="J735" s="163">
        <f t="shared" si="21"/>
        <v>1038866540</v>
      </c>
      <c r="K735" s="163"/>
    </row>
    <row r="736" spans="1:11" s="143" customFormat="1" ht="19.5" customHeight="1">
      <c r="A736" s="143">
        <f t="shared" si="22"/>
        <v>12</v>
      </c>
      <c r="B736" s="158">
        <v>42002</v>
      </c>
      <c r="C736" s="159" t="s">
        <v>160</v>
      </c>
      <c r="D736" s="158">
        <v>42002</v>
      </c>
      <c r="E736" s="160" t="s">
        <v>591</v>
      </c>
      <c r="F736" s="160"/>
      <c r="G736" s="161" t="s">
        <v>34</v>
      </c>
      <c r="H736" s="162"/>
      <c r="I736" s="162">
        <v>24268200</v>
      </c>
      <c r="J736" s="163">
        <f t="shared" si="21"/>
        <v>1014598340</v>
      </c>
      <c r="K736" s="163"/>
    </row>
    <row r="737" spans="1:12" s="143" customFormat="1" ht="19.5" customHeight="1">
      <c r="A737" s="143">
        <f t="shared" si="22"/>
        <v>12</v>
      </c>
      <c r="B737" s="158">
        <v>42002</v>
      </c>
      <c r="C737" s="159" t="s">
        <v>160</v>
      </c>
      <c r="D737" s="158">
        <v>42002</v>
      </c>
      <c r="E737" s="160" t="s">
        <v>177</v>
      </c>
      <c r="F737" s="160"/>
      <c r="G737" s="161" t="s">
        <v>247</v>
      </c>
      <c r="H737" s="162"/>
      <c r="I737" s="162">
        <v>20000</v>
      </c>
      <c r="J737" s="163">
        <f t="shared" si="21"/>
        <v>1014578340</v>
      </c>
      <c r="K737" s="163"/>
    </row>
    <row r="738" spans="1:12" s="143" customFormat="1" ht="19.5" customHeight="1">
      <c r="A738" s="143">
        <f t="shared" si="22"/>
        <v>12</v>
      </c>
      <c r="B738" s="158">
        <v>42002</v>
      </c>
      <c r="C738" s="159" t="s">
        <v>160</v>
      </c>
      <c r="D738" s="158">
        <v>42002</v>
      </c>
      <c r="E738" s="160" t="s">
        <v>178</v>
      </c>
      <c r="F738" s="160"/>
      <c r="G738" s="161" t="s">
        <v>35</v>
      </c>
      <c r="H738" s="162"/>
      <c r="I738" s="162">
        <v>2000</v>
      </c>
      <c r="J738" s="163">
        <f t="shared" si="21"/>
        <v>1014576340</v>
      </c>
      <c r="K738" s="163"/>
    </row>
    <row r="739" spans="1:12" s="143" customFormat="1" ht="19.5" customHeight="1">
      <c r="A739" s="143">
        <f t="shared" si="22"/>
        <v>12</v>
      </c>
      <c r="B739" s="158">
        <v>42002</v>
      </c>
      <c r="C739" s="159" t="s">
        <v>160</v>
      </c>
      <c r="D739" s="158">
        <v>42002</v>
      </c>
      <c r="E739" s="160" t="s">
        <v>161</v>
      </c>
      <c r="F739" s="160"/>
      <c r="G739" s="161" t="s">
        <v>162</v>
      </c>
      <c r="H739" s="162"/>
      <c r="I739" s="162">
        <v>79235500</v>
      </c>
      <c r="J739" s="163">
        <f t="shared" si="21"/>
        <v>935340840</v>
      </c>
      <c r="K739" s="163"/>
    </row>
    <row r="740" spans="1:12" s="143" customFormat="1" ht="19.5" customHeight="1">
      <c r="A740" s="143">
        <f t="shared" si="22"/>
        <v>12</v>
      </c>
      <c r="B740" s="158">
        <v>42003</v>
      </c>
      <c r="C740" s="159" t="s">
        <v>160</v>
      </c>
      <c r="D740" s="158">
        <v>42003</v>
      </c>
      <c r="E740" s="160" t="s">
        <v>161</v>
      </c>
      <c r="F740" s="160"/>
      <c r="G740" s="161" t="s">
        <v>162</v>
      </c>
      <c r="H740" s="162"/>
      <c r="I740" s="162">
        <v>930900000</v>
      </c>
      <c r="J740" s="163">
        <f t="shared" si="21"/>
        <v>4440840</v>
      </c>
      <c r="K740" s="163"/>
    </row>
    <row r="741" spans="1:12" s="126" customFormat="1" ht="19.5" customHeight="1">
      <c r="A741" s="143" t="str">
        <f t="shared" si="22"/>
        <v/>
      </c>
      <c r="B741" s="164"/>
      <c r="C741" s="165"/>
      <c r="D741" s="164"/>
      <c r="E741" s="166"/>
      <c r="F741" s="166"/>
      <c r="G741" s="165"/>
      <c r="H741" s="167"/>
      <c r="I741" s="167"/>
      <c r="J741" s="168"/>
      <c r="K741" s="163"/>
    </row>
    <row r="742" spans="1:12" s="143" customFormat="1" ht="19.5" customHeight="1">
      <c r="A742" s="143" t="str">
        <f>IF(B742&lt;&gt;"",MONTH(B742),"")</f>
        <v/>
      </c>
      <c r="B742" s="169"/>
      <c r="C742" s="170"/>
      <c r="D742" s="169"/>
      <c r="E742" s="154" t="s">
        <v>29</v>
      </c>
      <c r="F742" s="154"/>
      <c r="G742" s="171"/>
      <c r="H742" s="172">
        <f>SUM(H12:H741)</f>
        <v>73523008034</v>
      </c>
      <c r="I742" s="172">
        <f>SUM(I12:I741)</f>
        <v>73619013919</v>
      </c>
      <c r="J742" s="172">
        <f>J11+H742-I742</f>
        <v>4440840</v>
      </c>
      <c r="K742" s="171"/>
    </row>
    <row r="743" spans="1:12" s="143" customFormat="1" ht="19.5" customHeight="1">
      <c r="A743" s="143" t="str">
        <f>IF(B743&lt;&gt;"",MONTH(B743),"")</f>
        <v/>
      </c>
      <c r="B743" s="169"/>
      <c r="C743" s="170"/>
      <c r="D743" s="169"/>
      <c r="E743" s="154" t="s">
        <v>183</v>
      </c>
      <c r="F743" s="154"/>
      <c r="G743" s="171"/>
      <c r="H743" s="154"/>
      <c r="I743" s="154"/>
      <c r="J743" s="172">
        <f>J742</f>
        <v>4440840</v>
      </c>
      <c r="K743" s="171"/>
      <c r="L743" s="156"/>
    </row>
    <row r="744" spans="1:12" s="126" customFormat="1" ht="22.5" customHeight="1">
      <c r="B744" s="173" t="s">
        <v>184</v>
      </c>
      <c r="C744" s="174"/>
      <c r="D744" s="129"/>
      <c r="E744" s="130"/>
      <c r="F744" s="130"/>
      <c r="H744" s="175"/>
      <c r="I744" s="175"/>
    </row>
    <row r="745" spans="1:12" s="126" customFormat="1" ht="15">
      <c r="B745" s="176" t="s">
        <v>185</v>
      </c>
      <c r="C745" s="133"/>
      <c r="D745" s="129"/>
      <c r="E745" s="130"/>
      <c r="F745" s="130"/>
    </row>
    <row r="746" spans="1:12" s="126" customFormat="1" ht="15">
      <c r="B746" s="177"/>
      <c r="C746" s="128"/>
      <c r="D746" s="178"/>
      <c r="E746" s="130"/>
      <c r="F746" s="130"/>
      <c r="I746" s="411" t="s">
        <v>186</v>
      </c>
      <c r="J746" s="411"/>
      <c r="K746" s="411"/>
    </row>
    <row r="747" spans="1:12" s="126" customFormat="1" ht="17.25" customHeight="1">
      <c r="B747" s="412" t="s">
        <v>33</v>
      </c>
      <c r="C747" s="412"/>
      <c r="D747" s="179"/>
      <c r="E747" s="130"/>
      <c r="F747" s="130"/>
      <c r="G747" s="139" t="s">
        <v>13</v>
      </c>
      <c r="H747" s="131"/>
      <c r="I747" s="128"/>
      <c r="J747" s="180" t="s">
        <v>14</v>
      </c>
      <c r="K747" s="180"/>
      <c r="L747" s="181"/>
    </row>
    <row r="748" spans="1:12" s="126" customFormat="1" ht="15">
      <c r="B748" s="405" t="s">
        <v>15</v>
      </c>
      <c r="C748" s="405"/>
      <c r="D748" s="182"/>
      <c r="E748" s="130"/>
      <c r="F748" s="130"/>
      <c r="G748" s="137" t="s">
        <v>15</v>
      </c>
      <c r="H748" s="133"/>
      <c r="I748" s="405" t="s">
        <v>16</v>
      </c>
      <c r="J748" s="405"/>
      <c r="K748" s="405"/>
      <c r="L748" s="130"/>
    </row>
  </sheetData>
  <autoFilter ref="A10:N748">
    <filterColumn colId="0"/>
    <filterColumn colId="6"/>
  </autoFilter>
  <mergeCells count="18">
    <mergeCell ref="I746:K746"/>
    <mergeCell ref="B747:C747"/>
    <mergeCell ref="B748:C748"/>
    <mergeCell ref="I748:K748"/>
    <mergeCell ref="E8:E9"/>
    <mergeCell ref="H8:J8"/>
    <mergeCell ref="K8:K9"/>
    <mergeCell ref="G8:G9"/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343"/>
  <sheetViews>
    <sheetView topLeftCell="A8" workbookViewId="0">
      <pane ySplit="4" topLeftCell="A316" activePane="bottomLeft" state="frozen"/>
      <selection activeCell="A8" sqref="A8"/>
      <selection pane="bottomLeft" activeCell="F320" sqref="F320"/>
    </sheetView>
  </sheetViews>
  <sheetFormatPr defaultRowHeight="15.75"/>
  <cols>
    <col min="1" max="1" width="4.140625" style="236" customWidth="1"/>
    <col min="2" max="2" width="10.5703125" style="236" customWidth="1"/>
    <col min="3" max="3" width="6.140625" style="237" customWidth="1"/>
    <col min="4" max="4" width="9.85546875" style="236" customWidth="1"/>
    <col min="5" max="5" width="30.7109375" style="236" customWidth="1"/>
    <col min="6" max="6" width="14.28515625" style="236" customWidth="1"/>
    <col min="7" max="7" width="6.42578125" style="236" customWidth="1"/>
    <col min="8" max="8" width="7.7109375" style="238" customWidth="1"/>
    <col min="9" max="9" width="12.140625" style="239" customWidth="1"/>
    <col min="10" max="10" width="13.28515625" style="239" customWidth="1"/>
    <col min="11" max="11" width="13.5703125" style="239" customWidth="1"/>
    <col min="12" max="12" width="7" style="236" customWidth="1"/>
    <col min="13" max="13" width="11.7109375" style="236" customWidth="1"/>
    <col min="14" max="14" width="12" style="236" bestFit="1" customWidth="1"/>
    <col min="15" max="16384" width="9.140625" style="236"/>
  </cols>
  <sheetData>
    <row r="1" spans="1:14" s="187" customFormat="1" ht="16.5" customHeight="1">
      <c r="B1" s="188" t="s">
        <v>142</v>
      </c>
      <c r="C1" s="136"/>
      <c r="H1" s="189"/>
      <c r="I1" s="190"/>
      <c r="J1" s="429" t="s">
        <v>143</v>
      </c>
      <c r="K1" s="429"/>
      <c r="L1" s="429"/>
      <c r="M1" s="139"/>
      <c r="N1" s="139"/>
    </row>
    <row r="2" spans="1:14" s="187" customFormat="1" ht="16.5" customHeight="1">
      <c r="B2" s="430" t="s">
        <v>144</v>
      </c>
      <c r="C2" s="427"/>
      <c r="D2" s="430"/>
      <c r="E2" s="430"/>
      <c r="F2" s="140"/>
      <c r="H2" s="189"/>
      <c r="I2" s="190"/>
      <c r="J2" s="428" t="s">
        <v>145</v>
      </c>
      <c r="K2" s="428"/>
      <c r="L2" s="428"/>
      <c r="M2" s="137"/>
      <c r="N2" s="137"/>
    </row>
    <row r="3" spans="1:14" s="187" customFormat="1" ht="16.5" customHeight="1">
      <c r="B3" s="430"/>
      <c r="C3" s="427"/>
      <c r="D3" s="430"/>
      <c r="E3" s="430"/>
      <c r="F3" s="140"/>
      <c r="H3" s="189"/>
      <c r="I3" s="190"/>
      <c r="J3" s="428" t="s">
        <v>146</v>
      </c>
      <c r="K3" s="428"/>
      <c r="L3" s="428"/>
    </row>
    <row r="4" spans="1:14" s="187" customFormat="1" ht="19.5" customHeight="1">
      <c r="B4" s="431" t="s">
        <v>147</v>
      </c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4" s="187" customFormat="1" ht="15">
      <c r="B5" s="416" t="s">
        <v>148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</row>
    <row r="6" spans="1:14" s="187" customFormat="1" ht="15">
      <c r="B6" s="416" t="s">
        <v>187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</row>
    <row r="7" spans="1:14" s="187" customFormat="1" ht="4.5" customHeight="1">
      <c r="B7" s="138"/>
      <c r="C7" s="138"/>
      <c r="D7" s="138"/>
      <c r="E7" s="138"/>
      <c r="F7" s="138"/>
      <c r="G7" s="138"/>
      <c r="H7" s="191"/>
      <c r="I7" s="192"/>
      <c r="J7" s="192"/>
      <c r="K7" s="192"/>
      <c r="L7" s="138"/>
    </row>
    <row r="8" spans="1:14" s="195" customFormat="1" ht="20.25" customHeight="1">
      <c r="A8" s="401" t="s">
        <v>126</v>
      </c>
      <c r="B8" s="417" t="s">
        <v>150</v>
      </c>
      <c r="C8" s="419" t="s">
        <v>151</v>
      </c>
      <c r="D8" s="420"/>
      <c r="E8" s="421" t="s">
        <v>3</v>
      </c>
      <c r="F8" s="194"/>
      <c r="G8" s="421" t="s">
        <v>22</v>
      </c>
      <c r="H8" s="425" t="s">
        <v>188</v>
      </c>
      <c r="I8" s="423" t="s">
        <v>78</v>
      </c>
      <c r="J8" s="424"/>
      <c r="K8" s="420"/>
      <c r="L8" s="421" t="s">
        <v>4</v>
      </c>
    </row>
    <row r="9" spans="1:14" s="195" customFormat="1" ht="30.75" customHeight="1">
      <c r="A9" s="402"/>
      <c r="B9" s="418"/>
      <c r="C9" s="193" t="s">
        <v>152</v>
      </c>
      <c r="D9" s="194" t="s">
        <v>153</v>
      </c>
      <c r="E9" s="422"/>
      <c r="F9" s="196"/>
      <c r="G9" s="422"/>
      <c r="H9" s="426"/>
      <c r="I9" s="197" t="s">
        <v>154</v>
      </c>
      <c r="J9" s="197" t="s">
        <v>155</v>
      </c>
      <c r="K9" s="197" t="s">
        <v>156</v>
      </c>
      <c r="L9" s="422"/>
    </row>
    <row r="10" spans="1:14" s="200" customFormat="1" ht="12">
      <c r="A10" s="146"/>
      <c r="B10" s="198" t="s">
        <v>7</v>
      </c>
      <c r="C10" s="198" t="s">
        <v>8</v>
      </c>
      <c r="D10" s="198" t="s">
        <v>9</v>
      </c>
      <c r="E10" s="198" t="s">
        <v>10</v>
      </c>
      <c r="F10" s="198"/>
      <c r="G10" s="198" t="s">
        <v>11</v>
      </c>
      <c r="H10" s="199"/>
      <c r="I10" s="198">
        <v>1</v>
      </c>
      <c r="J10" s="198">
        <v>2</v>
      </c>
      <c r="K10" s="198">
        <v>3</v>
      </c>
      <c r="L10" s="198" t="s">
        <v>27</v>
      </c>
    </row>
    <row r="11" spans="1:14" s="195" customFormat="1" ht="17.25" customHeight="1">
      <c r="A11" s="150"/>
      <c r="B11" s="201"/>
      <c r="C11" s="202"/>
      <c r="D11" s="201"/>
      <c r="E11" s="201" t="s">
        <v>157</v>
      </c>
      <c r="F11" s="201"/>
      <c r="G11" s="201"/>
      <c r="H11" s="203"/>
      <c r="I11" s="204"/>
      <c r="J11" s="204"/>
      <c r="K11" s="204">
        <v>4846.41</v>
      </c>
      <c r="L11" s="201"/>
      <c r="M11" s="205">
        <f>K11+'Q4-USD'!K11</f>
        <v>4863.5999999999995</v>
      </c>
    </row>
    <row r="12" spans="1:14" s="143" customFormat="1" ht="17.25" customHeight="1">
      <c r="A12" s="143">
        <f t="shared" ref="A12:A43" si="0">IF(B12&lt;&gt;"",MONTH(B12),"")</f>
        <v>1</v>
      </c>
      <c r="B12" s="158">
        <v>41641</v>
      </c>
      <c r="C12" s="159" t="s">
        <v>160</v>
      </c>
      <c r="D12" s="158">
        <v>41641</v>
      </c>
      <c r="E12" s="160" t="s">
        <v>682</v>
      </c>
      <c r="F12" s="163">
        <f t="shared" ref="F12:F75" si="1">(I12+J12)*H12</f>
        <v>101208000</v>
      </c>
      <c r="G12" s="159" t="s">
        <v>36</v>
      </c>
      <c r="H12" s="206">
        <v>21085</v>
      </c>
      <c r="I12" s="207"/>
      <c r="J12" s="208">
        <v>4800</v>
      </c>
      <c r="K12" s="209">
        <f>IF(B12&lt;&gt;"",K11+I12-J12,0)</f>
        <v>46.409999999999854</v>
      </c>
      <c r="L12" s="163"/>
    </row>
    <row r="13" spans="1:14" s="143" customFormat="1" ht="17.25" customHeight="1">
      <c r="A13" s="143">
        <f t="shared" si="0"/>
        <v>1</v>
      </c>
      <c r="B13" s="158">
        <v>41642</v>
      </c>
      <c r="C13" s="159" t="s">
        <v>163</v>
      </c>
      <c r="D13" s="158">
        <v>41642</v>
      </c>
      <c r="E13" s="160" t="s">
        <v>683</v>
      </c>
      <c r="F13" s="163">
        <f t="shared" si="1"/>
        <v>24159536.999999996</v>
      </c>
      <c r="G13" s="159" t="s">
        <v>190</v>
      </c>
      <c r="H13" s="206">
        <v>21075</v>
      </c>
      <c r="I13" s="207">
        <v>1146.3599999999999</v>
      </c>
      <c r="J13" s="208"/>
      <c r="K13" s="209">
        <f t="shared" ref="K13:K76" si="2">IF(B13&lt;&gt;"",K12+I13-J13,0)</f>
        <v>1192.7699999999998</v>
      </c>
      <c r="L13" s="163"/>
    </row>
    <row r="14" spans="1:14" s="143" customFormat="1" ht="17.25" customHeight="1">
      <c r="A14" s="143">
        <f t="shared" si="0"/>
        <v>1</v>
      </c>
      <c r="B14" s="158">
        <v>41642</v>
      </c>
      <c r="C14" s="159" t="s">
        <v>163</v>
      </c>
      <c r="D14" s="158">
        <v>41642</v>
      </c>
      <c r="E14" s="160" t="s">
        <v>683</v>
      </c>
      <c r="F14" s="163">
        <f t="shared" si="1"/>
        <v>24813494.250000004</v>
      </c>
      <c r="G14" s="161" t="s">
        <v>190</v>
      </c>
      <c r="H14" s="206">
        <v>21075</v>
      </c>
      <c r="I14" s="207">
        <v>1177.3900000000001</v>
      </c>
      <c r="J14" s="208"/>
      <c r="K14" s="209">
        <f t="shared" si="2"/>
        <v>2370.16</v>
      </c>
      <c r="L14" s="163"/>
    </row>
    <row r="15" spans="1:14" s="143" customFormat="1" ht="17.25" customHeight="1">
      <c r="A15" s="143">
        <f t="shared" si="0"/>
        <v>1</v>
      </c>
      <c r="B15" s="158">
        <v>41645</v>
      </c>
      <c r="C15" s="159" t="s">
        <v>160</v>
      </c>
      <c r="D15" s="158">
        <v>41645</v>
      </c>
      <c r="E15" s="160" t="s">
        <v>165</v>
      </c>
      <c r="F15" s="163">
        <f t="shared" si="1"/>
        <v>5376443.25</v>
      </c>
      <c r="G15" s="161" t="s">
        <v>166</v>
      </c>
      <c r="H15" s="206">
        <v>21075</v>
      </c>
      <c r="I15" s="207"/>
      <c r="J15" s="208">
        <v>255.11</v>
      </c>
      <c r="K15" s="209">
        <f t="shared" si="2"/>
        <v>2115.0499999999997</v>
      </c>
      <c r="L15" s="163"/>
    </row>
    <row r="16" spans="1:14" s="143" customFormat="1" ht="17.25" customHeight="1">
      <c r="A16" s="143">
        <f t="shared" si="0"/>
        <v>1</v>
      </c>
      <c r="B16" s="158">
        <v>41645</v>
      </c>
      <c r="C16" s="159" t="s">
        <v>160</v>
      </c>
      <c r="D16" s="158">
        <v>41645</v>
      </c>
      <c r="E16" s="160" t="s">
        <v>167</v>
      </c>
      <c r="F16" s="163">
        <f t="shared" si="1"/>
        <v>14033842.5</v>
      </c>
      <c r="G16" s="161" t="s">
        <v>166</v>
      </c>
      <c r="H16" s="206">
        <v>21075</v>
      </c>
      <c r="I16" s="207"/>
      <c r="J16" s="208">
        <v>665.9</v>
      </c>
      <c r="K16" s="209">
        <f t="shared" si="2"/>
        <v>1449.1499999999996</v>
      </c>
      <c r="L16" s="163"/>
    </row>
    <row r="17" spans="1:12" s="143" customFormat="1" ht="17.25" customHeight="1">
      <c r="A17" s="143">
        <f t="shared" si="0"/>
        <v>1</v>
      </c>
      <c r="B17" s="158">
        <v>41645</v>
      </c>
      <c r="C17" s="159" t="s">
        <v>160</v>
      </c>
      <c r="D17" s="158">
        <v>41645</v>
      </c>
      <c r="E17" s="160" t="s">
        <v>168</v>
      </c>
      <c r="F17" s="163">
        <f t="shared" si="1"/>
        <v>8752447.5</v>
      </c>
      <c r="G17" s="161" t="s">
        <v>166</v>
      </c>
      <c r="H17" s="206">
        <v>21075</v>
      </c>
      <c r="I17" s="207"/>
      <c r="J17" s="208">
        <v>415.3</v>
      </c>
      <c r="K17" s="209">
        <f t="shared" si="2"/>
        <v>1033.8499999999997</v>
      </c>
      <c r="L17" s="163"/>
    </row>
    <row r="18" spans="1:12" s="143" customFormat="1" ht="17.25" customHeight="1">
      <c r="A18" s="143">
        <f t="shared" si="0"/>
        <v>1</v>
      </c>
      <c r="B18" s="158">
        <v>41645</v>
      </c>
      <c r="C18" s="159" t="s">
        <v>160</v>
      </c>
      <c r="D18" s="158">
        <v>41645</v>
      </c>
      <c r="E18" s="160" t="s">
        <v>169</v>
      </c>
      <c r="F18" s="163">
        <f t="shared" si="1"/>
        <v>12252794.25</v>
      </c>
      <c r="G18" s="159" t="s">
        <v>166</v>
      </c>
      <c r="H18" s="206">
        <v>21075</v>
      </c>
      <c r="I18" s="207"/>
      <c r="J18" s="208">
        <v>581.39</v>
      </c>
      <c r="K18" s="209">
        <f t="shared" si="2"/>
        <v>452.4599999999997</v>
      </c>
      <c r="L18" s="163"/>
    </row>
    <row r="19" spans="1:12" s="143" customFormat="1" ht="17.25" customHeight="1">
      <c r="A19" s="143">
        <f t="shared" si="0"/>
        <v>1</v>
      </c>
      <c r="B19" s="158">
        <v>41649</v>
      </c>
      <c r="C19" s="159" t="s">
        <v>163</v>
      </c>
      <c r="D19" s="158">
        <v>41649</v>
      </c>
      <c r="E19" s="160" t="s">
        <v>683</v>
      </c>
      <c r="F19" s="163">
        <f t="shared" si="1"/>
        <v>430644000</v>
      </c>
      <c r="G19" s="161" t="s">
        <v>190</v>
      </c>
      <c r="H19" s="206">
        <v>21110</v>
      </c>
      <c r="I19" s="207">
        <v>20400</v>
      </c>
      <c r="J19" s="208"/>
      <c r="K19" s="209">
        <f t="shared" si="2"/>
        <v>20852.46</v>
      </c>
      <c r="L19" s="163"/>
    </row>
    <row r="20" spans="1:12" s="143" customFormat="1" ht="17.25" customHeight="1">
      <c r="A20" s="143">
        <f t="shared" si="0"/>
        <v>1</v>
      </c>
      <c r="B20" s="158">
        <v>41649</v>
      </c>
      <c r="C20" s="159" t="s">
        <v>160</v>
      </c>
      <c r="D20" s="158">
        <v>41649</v>
      </c>
      <c r="E20" s="160" t="s">
        <v>684</v>
      </c>
      <c r="F20" s="163">
        <f t="shared" si="1"/>
        <v>611451.4</v>
      </c>
      <c r="G20" s="161" t="s">
        <v>247</v>
      </c>
      <c r="H20" s="206">
        <v>21070</v>
      </c>
      <c r="I20" s="207"/>
      <c r="J20" s="208">
        <v>29.02</v>
      </c>
      <c r="K20" s="209">
        <f t="shared" si="2"/>
        <v>20823.439999999999</v>
      </c>
      <c r="L20" s="163"/>
    </row>
    <row r="21" spans="1:12" s="143" customFormat="1" ht="17.25" customHeight="1">
      <c r="A21" s="143">
        <f t="shared" si="0"/>
        <v>1</v>
      </c>
      <c r="B21" s="158">
        <v>41649</v>
      </c>
      <c r="C21" s="159" t="s">
        <v>160</v>
      </c>
      <c r="D21" s="158">
        <v>41649</v>
      </c>
      <c r="E21" s="160" t="s">
        <v>685</v>
      </c>
      <c r="F21" s="163">
        <f t="shared" si="1"/>
        <v>61103</v>
      </c>
      <c r="G21" s="161" t="s">
        <v>35</v>
      </c>
      <c r="H21" s="206">
        <v>21070</v>
      </c>
      <c r="I21" s="207"/>
      <c r="J21" s="208">
        <v>2.9</v>
      </c>
      <c r="K21" s="209">
        <f t="shared" si="2"/>
        <v>20820.539999999997</v>
      </c>
      <c r="L21" s="163"/>
    </row>
    <row r="22" spans="1:12" s="143" customFormat="1" ht="17.25" customHeight="1">
      <c r="A22" s="143">
        <f t="shared" si="0"/>
        <v>1</v>
      </c>
      <c r="B22" s="158">
        <v>41649</v>
      </c>
      <c r="C22" s="159" t="s">
        <v>160</v>
      </c>
      <c r="D22" s="158">
        <v>41649</v>
      </c>
      <c r="E22" s="160" t="s">
        <v>612</v>
      </c>
      <c r="F22" s="163">
        <f t="shared" si="1"/>
        <v>581953.4</v>
      </c>
      <c r="G22" s="161" t="s">
        <v>247</v>
      </c>
      <c r="H22" s="206">
        <v>21070</v>
      </c>
      <c r="I22" s="207"/>
      <c r="J22" s="208">
        <v>27.62</v>
      </c>
      <c r="K22" s="209">
        <f t="shared" si="2"/>
        <v>20792.919999999998</v>
      </c>
      <c r="L22" s="163"/>
    </row>
    <row r="23" spans="1:12" s="143" customFormat="1" ht="17.25" customHeight="1">
      <c r="A23" s="143">
        <f t="shared" si="0"/>
        <v>1</v>
      </c>
      <c r="B23" s="158">
        <v>41649</v>
      </c>
      <c r="C23" s="159" t="s">
        <v>160</v>
      </c>
      <c r="D23" s="158">
        <v>41649</v>
      </c>
      <c r="E23" s="160" t="s">
        <v>613</v>
      </c>
      <c r="F23" s="163">
        <f t="shared" si="1"/>
        <v>58153.2</v>
      </c>
      <c r="G23" s="161" t="s">
        <v>35</v>
      </c>
      <c r="H23" s="206">
        <v>21070</v>
      </c>
      <c r="I23" s="207"/>
      <c r="J23" s="208">
        <v>2.76</v>
      </c>
      <c r="K23" s="209">
        <f t="shared" si="2"/>
        <v>20790.16</v>
      </c>
      <c r="L23" s="163"/>
    </row>
    <row r="24" spans="1:12" s="143" customFormat="1" ht="17.25" customHeight="1">
      <c r="A24" s="143">
        <f t="shared" si="0"/>
        <v>1</v>
      </c>
      <c r="B24" s="158">
        <v>41649</v>
      </c>
      <c r="C24" s="159" t="s">
        <v>160</v>
      </c>
      <c r="D24" s="158">
        <v>41649</v>
      </c>
      <c r="E24" s="160" t="s">
        <v>612</v>
      </c>
      <c r="F24" s="163">
        <f t="shared" si="1"/>
        <v>753041.8</v>
      </c>
      <c r="G24" s="161" t="s">
        <v>247</v>
      </c>
      <c r="H24" s="206">
        <v>21070</v>
      </c>
      <c r="I24" s="207"/>
      <c r="J24" s="208">
        <v>35.74</v>
      </c>
      <c r="K24" s="209">
        <f t="shared" si="2"/>
        <v>20754.419999999998</v>
      </c>
      <c r="L24" s="163"/>
    </row>
    <row r="25" spans="1:12" s="143" customFormat="1" ht="17.25" customHeight="1">
      <c r="A25" s="143">
        <f t="shared" si="0"/>
        <v>1</v>
      </c>
      <c r="B25" s="158">
        <v>41649</v>
      </c>
      <c r="C25" s="159" t="s">
        <v>160</v>
      </c>
      <c r="D25" s="158">
        <v>41649</v>
      </c>
      <c r="E25" s="160" t="s">
        <v>613</v>
      </c>
      <c r="F25" s="163">
        <f t="shared" si="1"/>
        <v>75219.899999999994</v>
      </c>
      <c r="G25" s="159" t="s">
        <v>35</v>
      </c>
      <c r="H25" s="206">
        <v>21070</v>
      </c>
      <c r="I25" s="207"/>
      <c r="J25" s="208">
        <v>3.57</v>
      </c>
      <c r="K25" s="209">
        <f t="shared" si="2"/>
        <v>20750.849999999999</v>
      </c>
      <c r="L25" s="163"/>
    </row>
    <row r="26" spans="1:12" s="143" customFormat="1" ht="17.25" customHeight="1">
      <c r="A26" s="143">
        <f t="shared" si="0"/>
        <v>1</v>
      </c>
      <c r="B26" s="158">
        <v>41649</v>
      </c>
      <c r="C26" s="159" t="s">
        <v>160</v>
      </c>
      <c r="D26" s="158">
        <v>41649</v>
      </c>
      <c r="E26" s="160" t="s">
        <v>682</v>
      </c>
      <c r="F26" s="163">
        <f t="shared" si="1"/>
        <v>432181000</v>
      </c>
      <c r="G26" s="159" t="s">
        <v>36</v>
      </c>
      <c r="H26" s="206">
        <v>21082</v>
      </c>
      <c r="I26" s="207"/>
      <c r="J26" s="208">
        <v>20500</v>
      </c>
      <c r="K26" s="209">
        <f t="shared" si="2"/>
        <v>250.84999999999854</v>
      </c>
      <c r="L26" s="163"/>
    </row>
    <row r="27" spans="1:12" s="143" customFormat="1" ht="17.25" customHeight="1">
      <c r="A27" s="143">
        <f t="shared" si="0"/>
        <v>1</v>
      </c>
      <c r="B27" s="158">
        <v>41652</v>
      </c>
      <c r="C27" s="159" t="s">
        <v>163</v>
      </c>
      <c r="D27" s="158">
        <v>41652</v>
      </c>
      <c r="E27" s="160" t="s">
        <v>686</v>
      </c>
      <c r="F27" s="163">
        <f t="shared" si="1"/>
        <v>4528575100</v>
      </c>
      <c r="G27" s="159" t="s">
        <v>190</v>
      </c>
      <c r="H27" s="206">
        <v>21070</v>
      </c>
      <c r="I27" s="207">
        <v>214930</v>
      </c>
      <c r="J27" s="207"/>
      <c r="K27" s="209">
        <f t="shared" si="2"/>
        <v>215180.85</v>
      </c>
      <c r="L27" s="163"/>
    </row>
    <row r="28" spans="1:12" s="143" customFormat="1" ht="17.25" customHeight="1">
      <c r="A28" s="143">
        <f t="shared" si="0"/>
        <v>1</v>
      </c>
      <c r="B28" s="158">
        <v>41652</v>
      </c>
      <c r="C28" s="159" t="s">
        <v>160</v>
      </c>
      <c r="D28" s="158">
        <v>41652</v>
      </c>
      <c r="E28" s="160" t="s">
        <v>687</v>
      </c>
      <c r="F28" s="163">
        <f t="shared" si="1"/>
        <v>1948975000</v>
      </c>
      <c r="G28" s="161" t="s">
        <v>355</v>
      </c>
      <c r="H28" s="206">
        <v>21070</v>
      </c>
      <c r="I28" s="207"/>
      <c r="J28" s="208">
        <v>92500</v>
      </c>
      <c r="K28" s="209">
        <f t="shared" si="2"/>
        <v>122680.85</v>
      </c>
      <c r="L28" s="163"/>
    </row>
    <row r="29" spans="1:12" s="143" customFormat="1" ht="17.25" customHeight="1">
      <c r="A29" s="143">
        <f t="shared" si="0"/>
        <v>1</v>
      </c>
      <c r="B29" s="158">
        <v>41652</v>
      </c>
      <c r="C29" s="159" t="s">
        <v>160</v>
      </c>
      <c r="D29" s="158">
        <v>41652</v>
      </c>
      <c r="E29" s="160" t="s">
        <v>688</v>
      </c>
      <c r="F29" s="163">
        <f t="shared" si="1"/>
        <v>9677240.2999998648</v>
      </c>
      <c r="G29" s="159" t="s">
        <v>166</v>
      </c>
      <c r="H29" s="206">
        <v>21070</v>
      </c>
      <c r="I29" s="207"/>
      <c r="J29" s="208">
        <v>459.2899999999936</v>
      </c>
      <c r="K29" s="209">
        <f t="shared" si="2"/>
        <v>122221.56000000001</v>
      </c>
      <c r="L29" s="163"/>
    </row>
    <row r="30" spans="1:12" s="143" customFormat="1" ht="17.25" customHeight="1">
      <c r="A30" s="143">
        <f t="shared" si="0"/>
        <v>1</v>
      </c>
      <c r="B30" s="158">
        <v>41653</v>
      </c>
      <c r="C30" s="159" t="s">
        <v>163</v>
      </c>
      <c r="D30" s="158">
        <v>41653</v>
      </c>
      <c r="E30" s="160" t="s">
        <v>689</v>
      </c>
      <c r="F30" s="163">
        <f t="shared" si="1"/>
        <v>1950362500</v>
      </c>
      <c r="G30" s="159" t="s">
        <v>355</v>
      </c>
      <c r="H30" s="206">
        <v>21085</v>
      </c>
      <c r="I30" s="207">
        <v>92500</v>
      </c>
      <c r="J30" s="208"/>
      <c r="K30" s="209">
        <f t="shared" si="2"/>
        <v>214721.56</v>
      </c>
      <c r="L30" s="163"/>
    </row>
    <row r="31" spans="1:12" s="143" customFormat="1" ht="17.25" customHeight="1">
      <c r="A31" s="143">
        <f t="shared" si="0"/>
        <v>1</v>
      </c>
      <c r="B31" s="158">
        <v>41653</v>
      </c>
      <c r="C31" s="159" t="s">
        <v>160</v>
      </c>
      <c r="D31" s="158">
        <v>41653</v>
      </c>
      <c r="E31" s="160" t="s">
        <v>682</v>
      </c>
      <c r="F31" s="163">
        <f t="shared" si="1"/>
        <v>2530200000</v>
      </c>
      <c r="G31" s="159" t="s">
        <v>36</v>
      </c>
      <c r="H31" s="206">
        <v>21085</v>
      </c>
      <c r="I31" s="207"/>
      <c r="J31" s="208">
        <v>120000</v>
      </c>
      <c r="K31" s="209">
        <f t="shared" si="2"/>
        <v>94721.56</v>
      </c>
      <c r="L31" s="163"/>
    </row>
    <row r="32" spans="1:12" s="143" customFormat="1" ht="17.25" customHeight="1">
      <c r="A32" s="143">
        <f t="shared" si="0"/>
        <v>1</v>
      </c>
      <c r="B32" s="158">
        <v>41653</v>
      </c>
      <c r="C32" s="159" t="s">
        <v>160</v>
      </c>
      <c r="D32" s="158">
        <v>41653</v>
      </c>
      <c r="E32" s="160" t="s">
        <v>682</v>
      </c>
      <c r="F32" s="163">
        <f t="shared" si="1"/>
        <v>1996938900</v>
      </c>
      <c r="G32" s="159" t="s">
        <v>36</v>
      </c>
      <c r="H32" s="206">
        <v>21087</v>
      </c>
      <c r="I32" s="207"/>
      <c r="J32" s="208">
        <v>94700</v>
      </c>
      <c r="K32" s="209">
        <f t="shared" si="2"/>
        <v>21.559999999997672</v>
      </c>
      <c r="L32" s="163"/>
    </row>
    <row r="33" spans="1:14" s="143" customFormat="1" ht="17.25" customHeight="1">
      <c r="A33" s="143">
        <f t="shared" si="0"/>
        <v>1</v>
      </c>
      <c r="B33" s="158">
        <v>41654</v>
      </c>
      <c r="C33" s="159" t="s">
        <v>163</v>
      </c>
      <c r="D33" s="158">
        <v>41654</v>
      </c>
      <c r="E33" s="160" t="s">
        <v>690</v>
      </c>
      <c r="F33" s="163">
        <f t="shared" si="1"/>
        <v>56804922.75</v>
      </c>
      <c r="G33" s="161" t="s">
        <v>190</v>
      </c>
      <c r="H33" s="206">
        <v>21075</v>
      </c>
      <c r="I33" s="207">
        <v>2695.37</v>
      </c>
      <c r="J33" s="208"/>
      <c r="K33" s="209">
        <f t="shared" si="2"/>
        <v>2716.9299999999976</v>
      </c>
      <c r="L33" s="163"/>
      <c r="N33" s="157">
        <f>ROUND(M33*H33,0)</f>
        <v>0</v>
      </c>
    </row>
    <row r="34" spans="1:14" s="143" customFormat="1" ht="17.25" customHeight="1">
      <c r="A34" s="143">
        <f t="shared" si="0"/>
        <v>1</v>
      </c>
      <c r="B34" s="158">
        <v>41654</v>
      </c>
      <c r="C34" s="159" t="s">
        <v>163</v>
      </c>
      <c r="D34" s="158">
        <v>41654</v>
      </c>
      <c r="E34" s="160" t="s">
        <v>686</v>
      </c>
      <c r="F34" s="163">
        <f t="shared" si="1"/>
        <v>1981013540.25</v>
      </c>
      <c r="G34" s="159" t="s">
        <v>190</v>
      </c>
      <c r="H34" s="206">
        <v>21075</v>
      </c>
      <c r="I34" s="207">
        <v>93998.27</v>
      </c>
      <c r="J34" s="208"/>
      <c r="K34" s="209">
        <f t="shared" si="2"/>
        <v>96715.199999999997</v>
      </c>
      <c r="L34" s="163"/>
    </row>
    <row r="35" spans="1:14" s="143" customFormat="1" ht="17.25" customHeight="1">
      <c r="A35" s="143">
        <f t="shared" si="0"/>
        <v>1</v>
      </c>
      <c r="B35" s="158">
        <v>41654</v>
      </c>
      <c r="C35" s="159" t="s">
        <v>160</v>
      </c>
      <c r="D35" s="158">
        <v>41654</v>
      </c>
      <c r="E35" s="160" t="s">
        <v>691</v>
      </c>
      <c r="F35" s="163">
        <f t="shared" si="1"/>
        <v>2002125000</v>
      </c>
      <c r="G35" s="159" t="s">
        <v>355</v>
      </c>
      <c r="H35" s="206">
        <v>21075</v>
      </c>
      <c r="I35" s="207"/>
      <c r="J35" s="207">
        <v>95000</v>
      </c>
      <c r="K35" s="209">
        <f t="shared" si="2"/>
        <v>1715.1999999999971</v>
      </c>
      <c r="L35" s="163"/>
    </row>
    <row r="36" spans="1:14" s="143" customFormat="1" ht="17.25" customHeight="1">
      <c r="A36" s="143">
        <f t="shared" si="0"/>
        <v>1</v>
      </c>
      <c r="B36" s="158">
        <v>41654</v>
      </c>
      <c r="C36" s="159" t="s">
        <v>160</v>
      </c>
      <c r="D36" s="158">
        <v>41654</v>
      </c>
      <c r="E36" s="160" t="s">
        <v>692</v>
      </c>
      <c r="F36" s="163">
        <f t="shared" si="1"/>
        <v>10121900.999999976</v>
      </c>
      <c r="G36" s="159" t="s">
        <v>166</v>
      </c>
      <c r="H36" s="206">
        <v>21075</v>
      </c>
      <c r="I36" s="207"/>
      <c r="J36" s="208">
        <v>480.27999999999884</v>
      </c>
      <c r="K36" s="209">
        <f t="shared" si="2"/>
        <v>1234.9199999999983</v>
      </c>
      <c r="L36" s="163"/>
    </row>
    <row r="37" spans="1:14" s="143" customFormat="1" ht="17.25" customHeight="1">
      <c r="A37" s="143">
        <f t="shared" si="0"/>
        <v>1</v>
      </c>
      <c r="B37" s="158">
        <v>41655</v>
      </c>
      <c r="C37" s="159" t="s">
        <v>163</v>
      </c>
      <c r="D37" s="158">
        <v>41655</v>
      </c>
      <c r="E37" s="160" t="s">
        <v>693</v>
      </c>
      <c r="F37" s="163">
        <f t="shared" si="1"/>
        <v>2003075000</v>
      </c>
      <c r="G37" s="161" t="s">
        <v>355</v>
      </c>
      <c r="H37" s="206">
        <v>21085</v>
      </c>
      <c r="I37" s="207">
        <v>95000</v>
      </c>
      <c r="J37" s="208"/>
      <c r="K37" s="209">
        <f t="shared" si="2"/>
        <v>96234.92</v>
      </c>
      <c r="L37" s="163"/>
    </row>
    <row r="38" spans="1:14" s="143" customFormat="1" ht="17.25" customHeight="1">
      <c r="A38" s="143">
        <f t="shared" si="0"/>
        <v>1</v>
      </c>
      <c r="B38" s="158">
        <v>41655</v>
      </c>
      <c r="C38" s="159" t="s">
        <v>160</v>
      </c>
      <c r="D38" s="158">
        <v>41655</v>
      </c>
      <c r="E38" s="160" t="s">
        <v>682</v>
      </c>
      <c r="F38" s="163">
        <f t="shared" si="1"/>
        <v>2024160000</v>
      </c>
      <c r="G38" s="159" t="s">
        <v>36</v>
      </c>
      <c r="H38" s="206">
        <v>21085</v>
      </c>
      <c r="I38" s="207"/>
      <c r="J38" s="208">
        <v>96000</v>
      </c>
      <c r="K38" s="209">
        <f t="shared" si="2"/>
        <v>234.91999999999825</v>
      </c>
      <c r="L38" s="163"/>
    </row>
    <row r="39" spans="1:14" s="143" customFormat="1" ht="17.25" customHeight="1">
      <c r="A39" s="143">
        <f t="shared" si="0"/>
        <v>1</v>
      </c>
      <c r="B39" s="158">
        <v>41657</v>
      </c>
      <c r="C39" s="159" t="s">
        <v>163</v>
      </c>
      <c r="D39" s="158">
        <v>41657</v>
      </c>
      <c r="E39" s="160" t="s">
        <v>683</v>
      </c>
      <c r="F39" s="163">
        <f t="shared" si="1"/>
        <v>20888798</v>
      </c>
      <c r="G39" s="159" t="s">
        <v>190</v>
      </c>
      <c r="H39" s="206">
        <v>21070</v>
      </c>
      <c r="I39" s="207">
        <v>991.4</v>
      </c>
      <c r="J39" s="208"/>
      <c r="K39" s="209">
        <f t="shared" si="2"/>
        <v>1226.3199999999983</v>
      </c>
      <c r="L39" s="163"/>
    </row>
    <row r="40" spans="1:14" s="143" customFormat="1" ht="17.25" customHeight="1">
      <c r="A40" s="143">
        <f t="shared" si="0"/>
        <v>1</v>
      </c>
      <c r="B40" s="158">
        <v>41657</v>
      </c>
      <c r="C40" s="159" t="s">
        <v>160</v>
      </c>
      <c r="D40" s="158">
        <v>41657</v>
      </c>
      <c r="E40" s="160" t="s">
        <v>694</v>
      </c>
      <c r="F40" s="163">
        <f t="shared" si="1"/>
        <v>11557527.1</v>
      </c>
      <c r="G40" s="159" t="s">
        <v>166</v>
      </c>
      <c r="H40" s="206">
        <v>21070</v>
      </c>
      <c r="I40" s="207"/>
      <c r="J40" s="208">
        <v>548.53</v>
      </c>
      <c r="K40" s="209">
        <f t="shared" si="2"/>
        <v>677.78999999999837</v>
      </c>
      <c r="L40" s="163"/>
    </row>
    <row r="41" spans="1:14" s="143" customFormat="1" ht="17.25" customHeight="1">
      <c r="A41" s="143">
        <f t="shared" si="0"/>
        <v>1</v>
      </c>
      <c r="B41" s="158">
        <v>41657</v>
      </c>
      <c r="C41" s="159" t="s">
        <v>160</v>
      </c>
      <c r="D41" s="158">
        <v>41657</v>
      </c>
      <c r="E41" s="160" t="s">
        <v>600</v>
      </c>
      <c r="F41" s="163">
        <f t="shared" si="1"/>
        <v>11247376.699999999</v>
      </c>
      <c r="G41" s="159" t="s">
        <v>166</v>
      </c>
      <c r="H41" s="206">
        <v>21070</v>
      </c>
      <c r="I41" s="207"/>
      <c r="J41" s="208">
        <v>533.80999999999995</v>
      </c>
      <c r="K41" s="209">
        <f t="shared" si="2"/>
        <v>143.97999999999843</v>
      </c>
      <c r="L41" s="163"/>
    </row>
    <row r="42" spans="1:14" s="143" customFormat="1" ht="17.25" customHeight="1">
      <c r="A42" s="143">
        <f t="shared" si="0"/>
        <v>1</v>
      </c>
      <c r="B42" s="158">
        <v>41664</v>
      </c>
      <c r="C42" s="159" t="s">
        <v>163</v>
      </c>
      <c r="D42" s="158">
        <v>41664</v>
      </c>
      <c r="E42" s="160" t="s">
        <v>175</v>
      </c>
      <c r="F42" s="163">
        <f t="shared" si="1"/>
        <v>9270.7999999999993</v>
      </c>
      <c r="G42" s="159" t="s">
        <v>176</v>
      </c>
      <c r="H42" s="206">
        <v>21070</v>
      </c>
      <c r="I42" s="207">
        <v>0.44</v>
      </c>
      <c r="J42" s="208"/>
      <c r="K42" s="209">
        <f t="shared" si="2"/>
        <v>144.41999999999842</v>
      </c>
      <c r="L42" s="163"/>
    </row>
    <row r="43" spans="1:14" s="143" customFormat="1" ht="17.25" customHeight="1">
      <c r="A43" s="143">
        <f t="shared" si="0"/>
        <v>2</v>
      </c>
      <c r="B43" s="158">
        <v>41676</v>
      </c>
      <c r="C43" s="159" t="s">
        <v>163</v>
      </c>
      <c r="D43" s="158">
        <v>41676</v>
      </c>
      <c r="E43" s="160" t="s">
        <v>695</v>
      </c>
      <c r="F43" s="163">
        <f t="shared" si="1"/>
        <v>391724791.60000002</v>
      </c>
      <c r="G43" s="159" t="s">
        <v>190</v>
      </c>
      <c r="H43" s="206">
        <v>21080</v>
      </c>
      <c r="I43" s="207">
        <v>18582.77</v>
      </c>
      <c r="J43" s="208"/>
      <c r="K43" s="209">
        <f t="shared" si="2"/>
        <v>18727.189999999999</v>
      </c>
      <c r="L43" s="163"/>
    </row>
    <row r="44" spans="1:14" s="143" customFormat="1" ht="17.25" customHeight="1">
      <c r="A44" s="143">
        <f t="shared" ref="A44:A75" si="3">IF(B44&lt;&gt;"",MONTH(B44),"")</f>
        <v>2</v>
      </c>
      <c r="B44" s="158">
        <v>41676</v>
      </c>
      <c r="C44" s="159" t="s">
        <v>163</v>
      </c>
      <c r="D44" s="158">
        <v>41676</v>
      </c>
      <c r="E44" s="160" t="s">
        <v>686</v>
      </c>
      <c r="F44" s="163">
        <f t="shared" si="1"/>
        <v>2350444031.1999998</v>
      </c>
      <c r="G44" s="159" t="s">
        <v>190</v>
      </c>
      <c r="H44" s="206">
        <v>21080</v>
      </c>
      <c r="I44" s="207">
        <v>111501.14</v>
      </c>
      <c r="J44" s="208"/>
      <c r="K44" s="209">
        <f t="shared" si="2"/>
        <v>130228.33</v>
      </c>
      <c r="L44" s="163"/>
    </row>
    <row r="45" spans="1:14" s="143" customFormat="1" ht="17.25" customHeight="1">
      <c r="A45" s="143">
        <f t="shared" si="3"/>
        <v>2</v>
      </c>
      <c r="B45" s="158">
        <v>41676</v>
      </c>
      <c r="C45" s="159" t="s">
        <v>160</v>
      </c>
      <c r="D45" s="158">
        <v>41676</v>
      </c>
      <c r="E45" s="160" t="s">
        <v>165</v>
      </c>
      <c r="F45" s="163">
        <f t="shared" si="1"/>
        <v>5377718.8000000007</v>
      </c>
      <c r="G45" s="159" t="s">
        <v>166</v>
      </c>
      <c r="H45" s="206">
        <v>21080</v>
      </c>
      <c r="I45" s="207"/>
      <c r="J45" s="208">
        <v>255.11</v>
      </c>
      <c r="K45" s="209">
        <f t="shared" si="2"/>
        <v>129973.22</v>
      </c>
      <c r="L45" s="163"/>
    </row>
    <row r="46" spans="1:14" s="143" customFormat="1" ht="17.25" customHeight="1">
      <c r="A46" s="143">
        <f t="shared" si="3"/>
        <v>2</v>
      </c>
      <c r="B46" s="158">
        <v>41676</v>
      </c>
      <c r="C46" s="159" t="s">
        <v>160</v>
      </c>
      <c r="D46" s="158">
        <v>41676</v>
      </c>
      <c r="E46" s="160" t="s">
        <v>167</v>
      </c>
      <c r="F46" s="163">
        <f t="shared" si="1"/>
        <v>14037172</v>
      </c>
      <c r="G46" s="159" t="s">
        <v>166</v>
      </c>
      <c r="H46" s="206">
        <v>21080</v>
      </c>
      <c r="I46" s="207"/>
      <c r="J46" s="208">
        <v>665.9</v>
      </c>
      <c r="K46" s="209">
        <f t="shared" si="2"/>
        <v>129307.32</v>
      </c>
      <c r="L46" s="163"/>
    </row>
    <row r="47" spans="1:14" s="143" customFormat="1" ht="17.25" customHeight="1">
      <c r="A47" s="143">
        <f t="shared" si="3"/>
        <v>2</v>
      </c>
      <c r="B47" s="158">
        <v>41676</v>
      </c>
      <c r="C47" s="159" t="s">
        <v>160</v>
      </c>
      <c r="D47" s="158">
        <v>41676</v>
      </c>
      <c r="E47" s="160" t="s">
        <v>168</v>
      </c>
      <c r="F47" s="163">
        <f t="shared" si="1"/>
        <v>8754524</v>
      </c>
      <c r="G47" s="159" t="s">
        <v>166</v>
      </c>
      <c r="H47" s="206">
        <v>21080</v>
      </c>
      <c r="I47" s="207"/>
      <c r="J47" s="208">
        <v>415.3</v>
      </c>
      <c r="K47" s="209">
        <f t="shared" si="2"/>
        <v>128892.02</v>
      </c>
      <c r="L47" s="163"/>
    </row>
    <row r="48" spans="1:14" s="143" customFormat="1" ht="17.25" customHeight="1">
      <c r="A48" s="143">
        <f t="shared" si="3"/>
        <v>2</v>
      </c>
      <c r="B48" s="158">
        <v>41676</v>
      </c>
      <c r="C48" s="159" t="s">
        <v>160</v>
      </c>
      <c r="D48" s="158">
        <v>41676</v>
      </c>
      <c r="E48" s="160" t="s">
        <v>169</v>
      </c>
      <c r="F48" s="163">
        <f t="shared" si="1"/>
        <v>12255701.199999999</v>
      </c>
      <c r="G48" s="159" t="s">
        <v>166</v>
      </c>
      <c r="H48" s="206">
        <v>21080</v>
      </c>
      <c r="I48" s="207"/>
      <c r="J48" s="208">
        <v>581.39</v>
      </c>
      <c r="K48" s="209">
        <f t="shared" si="2"/>
        <v>128310.63</v>
      </c>
      <c r="L48" s="163"/>
    </row>
    <row r="49" spans="1:13" s="143" customFormat="1" ht="17.25" customHeight="1">
      <c r="A49" s="143">
        <f t="shared" si="3"/>
        <v>2</v>
      </c>
      <c r="B49" s="158">
        <v>41680</v>
      </c>
      <c r="C49" s="159" t="s">
        <v>160</v>
      </c>
      <c r="D49" s="158">
        <v>41680</v>
      </c>
      <c r="E49" s="160" t="s">
        <v>682</v>
      </c>
      <c r="F49" s="163">
        <f t="shared" si="1"/>
        <v>633150000</v>
      </c>
      <c r="G49" s="159" t="s">
        <v>36</v>
      </c>
      <c r="H49" s="206">
        <v>21105</v>
      </c>
      <c r="I49" s="207"/>
      <c r="J49" s="208">
        <v>30000</v>
      </c>
      <c r="K49" s="209">
        <f t="shared" si="2"/>
        <v>98310.63</v>
      </c>
      <c r="L49" s="163"/>
    </row>
    <row r="50" spans="1:13" s="143" customFormat="1" ht="17.25" customHeight="1">
      <c r="A50" s="143">
        <f t="shared" si="3"/>
        <v>2</v>
      </c>
      <c r="B50" s="158">
        <v>41680</v>
      </c>
      <c r="C50" s="159" t="s">
        <v>160</v>
      </c>
      <c r="D50" s="158">
        <v>41680</v>
      </c>
      <c r="E50" s="160" t="s">
        <v>696</v>
      </c>
      <c r="F50" s="163">
        <f t="shared" si="1"/>
        <v>2068290000</v>
      </c>
      <c r="G50" s="159" t="s">
        <v>355</v>
      </c>
      <c r="H50" s="206">
        <v>21105</v>
      </c>
      <c r="I50" s="207"/>
      <c r="J50" s="208">
        <v>98000</v>
      </c>
      <c r="K50" s="209">
        <f t="shared" si="2"/>
        <v>310.63000000000466</v>
      </c>
      <c r="L50" s="163"/>
    </row>
    <row r="51" spans="1:13" s="143" customFormat="1" ht="17.25" customHeight="1">
      <c r="A51" s="143">
        <f t="shared" si="3"/>
        <v>2</v>
      </c>
      <c r="B51" s="158">
        <v>41681</v>
      </c>
      <c r="C51" s="159" t="s">
        <v>163</v>
      </c>
      <c r="D51" s="158">
        <v>41681</v>
      </c>
      <c r="E51" s="160" t="s">
        <v>697</v>
      </c>
      <c r="F51" s="163">
        <f t="shared" si="1"/>
        <v>2068094000</v>
      </c>
      <c r="G51" s="159" t="s">
        <v>355</v>
      </c>
      <c r="H51" s="206">
        <v>21103</v>
      </c>
      <c r="I51" s="207">
        <v>98000</v>
      </c>
      <c r="J51" s="208"/>
      <c r="K51" s="209">
        <f t="shared" si="2"/>
        <v>98310.63</v>
      </c>
      <c r="L51" s="163"/>
    </row>
    <row r="52" spans="1:13" s="143" customFormat="1" ht="17.25" customHeight="1">
      <c r="A52" s="143">
        <f t="shared" si="3"/>
        <v>2</v>
      </c>
      <c r="B52" s="158">
        <v>41681</v>
      </c>
      <c r="C52" s="159" t="s">
        <v>160</v>
      </c>
      <c r="D52" s="158">
        <v>41681</v>
      </c>
      <c r="E52" s="160" t="s">
        <v>682</v>
      </c>
      <c r="F52" s="163">
        <f t="shared" si="1"/>
        <v>2068094000</v>
      </c>
      <c r="G52" s="159" t="s">
        <v>36</v>
      </c>
      <c r="H52" s="206">
        <v>21103</v>
      </c>
      <c r="I52" s="207"/>
      <c r="J52" s="208">
        <v>98000</v>
      </c>
      <c r="K52" s="209">
        <f t="shared" si="2"/>
        <v>310.63000000000466</v>
      </c>
      <c r="L52" s="163"/>
    </row>
    <row r="53" spans="1:13" s="143" customFormat="1" ht="17.25" customHeight="1">
      <c r="A53" s="143">
        <f t="shared" si="3"/>
        <v>2</v>
      </c>
      <c r="B53" s="158">
        <v>41684</v>
      </c>
      <c r="C53" s="159" t="s">
        <v>163</v>
      </c>
      <c r="D53" s="158">
        <v>41684</v>
      </c>
      <c r="E53" s="160" t="s">
        <v>695</v>
      </c>
      <c r="F53" s="163">
        <f t="shared" si="1"/>
        <v>362229023.20000005</v>
      </c>
      <c r="G53" s="159" t="s">
        <v>190</v>
      </c>
      <c r="H53" s="206">
        <v>21080</v>
      </c>
      <c r="I53" s="207">
        <v>17183.54</v>
      </c>
      <c r="J53" s="208"/>
      <c r="K53" s="209">
        <f t="shared" si="2"/>
        <v>17494.170000000006</v>
      </c>
      <c r="L53" s="163"/>
    </row>
    <row r="54" spans="1:13" s="143" customFormat="1" ht="17.25" customHeight="1">
      <c r="A54" s="143">
        <f t="shared" si="3"/>
        <v>2</v>
      </c>
      <c r="B54" s="158">
        <v>41688</v>
      </c>
      <c r="C54" s="159" t="s">
        <v>160</v>
      </c>
      <c r="D54" s="158">
        <v>41688</v>
      </c>
      <c r="E54" s="160" t="s">
        <v>600</v>
      </c>
      <c r="F54" s="163">
        <f t="shared" si="1"/>
        <v>11252714.799999999</v>
      </c>
      <c r="G54" s="159" t="s">
        <v>166</v>
      </c>
      <c r="H54" s="206">
        <v>21080</v>
      </c>
      <c r="I54" s="207"/>
      <c r="J54" s="208">
        <v>533.80999999999995</v>
      </c>
      <c r="K54" s="209">
        <f t="shared" si="2"/>
        <v>16960.360000000004</v>
      </c>
      <c r="L54" s="163"/>
    </row>
    <row r="55" spans="1:13" s="143" customFormat="1" ht="17.25" customHeight="1">
      <c r="A55" s="143">
        <f t="shared" si="3"/>
        <v>2</v>
      </c>
      <c r="B55" s="158">
        <v>41688</v>
      </c>
      <c r="C55" s="159" t="s">
        <v>160</v>
      </c>
      <c r="D55" s="158">
        <v>41688</v>
      </c>
      <c r="E55" s="160" t="s">
        <v>586</v>
      </c>
      <c r="F55" s="163">
        <f t="shared" si="1"/>
        <v>10678074</v>
      </c>
      <c r="G55" s="159" t="s">
        <v>166</v>
      </c>
      <c r="H55" s="206">
        <v>21080</v>
      </c>
      <c r="I55" s="207"/>
      <c r="J55" s="208">
        <v>506.55</v>
      </c>
      <c r="K55" s="209">
        <f t="shared" si="2"/>
        <v>16453.810000000005</v>
      </c>
      <c r="L55" s="163"/>
    </row>
    <row r="56" spans="1:13" s="143" customFormat="1" ht="17.25" customHeight="1">
      <c r="A56" s="143">
        <f t="shared" si="3"/>
        <v>2</v>
      </c>
      <c r="B56" s="158">
        <v>41688</v>
      </c>
      <c r="C56" s="159" t="s">
        <v>160</v>
      </c>
      <c r="D56" s="158">
        <v>41688</v>
      </c>
      <c r="E56" s="160" t="s">
        <v>698</v>
      </c>
      <c r="F56" s="163">
        <f t="shared" si="1"/>
        <v>12322313.999999998</v>
      </c>
      <c r="G56" s="159" t="s">
        <v>166</v>
      </c>
      <c r="H56" s="206">
        <v>21080</v>
      </c>
      <c r="I56" s="207"/>
      <c r="J56" s="208">
        <v>584.54999999999995</v>
      </c>
      <c r="K56" s="209">
        <f t="shared" si="2"/>
        <v>15869.260000000006</v>
      </c>
      <c r="L56" s="163"/>
    </row>
    <row r="57" spans="1:13" s="143" customFormat="1" ht="17.25" customHeight="1">
      <c r="A57" s="143">
        <f t="shared" si="3"/>
        <v>2</v>
      </c>
      <c r="B57" s="158">
        <v>41688</v>
      </c>
      <c r="C57" s="159" t="s">
        <v>160</v>
      </c>
      <c r="D57" s="158">
        <v>41688</v>
      </c>
      <c r="E57" s="160" t="s">
        <v>699</v>
      </c>
      <c r="F57" s="163">
        <f t="shared" si="1"/>
        <v>11932123.199999999</v>
      </c>
      <c r="G57" s="161" t="s">
        <v>166</v>
      </c>
      <c r="H57" s="206">
        <v>21080</v>
      </c>
      <c r="I57" s="207"/>
      <c r="J57" s="208">
        <v>566.04</v>
      </c>
      <c r="K57" s="209">
        <f t="shared" si="2"/>
        <v>15303.220000000005</v>
      </c>
      <c r="L57" s="163"/>
    </row>
    <row r="58" spans="1:13" s="143" customFormat="1" ht="17.25" customHeight="1">
      <c r="A58" s="143">
        <f t="shared" si="3"/>
        <v>2</v>
      </c>
      <c r="B58" s="158">
        <v>41690</v>
      </c>
      <c r="C58" s="159" t="s">
        <v>163</v>
      </c>
      <c r="D58" s="158">
        <v>41690</v>
      </c>
      <c r="E58" s="160" t="s">
        <v>695</v>
      </c>
      <c r="F58" s="163">
        <f t="shared" si="1"/>
        <v>16697468</v>
      </c>
      <c r="G58" s="159" t="s">
        <v>190</v>
      </c>
      <c r="H58" s="206">
        <v>21080</v>
      </c>
      <c r="I58" s="207">
        <v>792.1</v>
      </c>
      <c r="J58" s="208"/>
      <c r="K58" s="209">
        <f t="shared" si="2"/>
        <v>16095.320000000005</v>
      </c>
      <c r="L58" s="163"/>
    </row>
    <row r="59" spans="1:13" s="143" customFormat="1" ht="17.25" customHeight="1">
      <c r="A59" s="143">
        <f t="shared" si="3"/>
        <v>2</v>
      </c>
      <c r="B59" s="158">
        <v>41690</v>
      </c>
      <c r="C59" s="159" t="s">
        <v>163</v>
      </c>
      <c r="D59" s="158">
        <v>41690</v>
      </c>
      <c r="E59" s="160" t="s">
        <v>695</v>
      </c>
      <c r="F59" s="163">
        <f t="shared" si="1"/>
        <v>394930427.19999999</v>
      </c>
      <c r="G59" s="161" t="s">
        <v>190</v>
      </c>
      <c r="H59" s="206">
        <v>21080</v>
      </c>
      <c r="I59" s="207">
        <v>18734.84</v>
      </c>
      <c r="J59" s="208"/>
      <c r="K59" s="209">
        <f t="shared" si="2"/>
        <v>34830.160000000003</v>
      </c>
      <c r="L59" s="163"/>
    </row>
    <row r="60" spans="1:13" s="143" customFormat="1" ht="17.25" customHeight="1">
      <c r="A60" s="143">
        <f t="shared" si="3"/>
        <v>2</v>
      </c>
      <c r="B60" s="158">
        <v>41690</v>
      </c>
      <c r="C60" s="159" t="s">
        <v>163</v>
      </c>
      <c r="D60" s="158">
        <v>41690</v>
      </c>
      <c r="E60" s="160" t="s">
        <v>700</v>
      </c>
      <c r="F60" s="163">
        <f t="shared" si="1"/>
        <v>632578000</v>
      </c>
      <c r="G60" s="159" t="s">
        <v>162</v>
      </c>
      <c r="H60" s="206">
        <v>21100</v>
      </c>
      <c r="I60" s="207">
        <v>29980</v>
      </c>
      <c r="J60" s="208"/>
      <c r="K60" s="209">
        <f t="shared" si="2"/>
        <v>64810.16</v>
      </c>
      <c r="L60" s="163"/>
      <c r="M60" s="157"/>
    </row>
    <row r="61" spans="1:13" s="143" customFormat="1" ht="17.25" customHeight="1">
      <c r="A61" s="143">
        <f t="shared" si="3"/>
        <v>2</v>
      </c>
      <c r="B61" s="158">
        <v>41690</v>
      </c>
      <c r="C61" s="159" t="s">
        <v>160</v>
      </c>
      <c r="D61" s="158">
        <v>41690</v>
      </c>
      <c r="E61" s="160" t="s">
        <v>682</v>
      </c>
      <c r="F61" s="163">
        <f t="shared" si="1"/>
        <v>1350400000</v>
      </c>
      <c r="G61" s="161" t="s">
        <v>36</v>
      </c>
      <c r="H61" s="206">
        <v>21100</v>
      </c>
      <c r="I61" s="207"/>
      <c r="J61" s="208">
        <v>64000</v>
      </c>
      <c r="K61" s="209">
        <f t="shared" si="2"/>
        <v>810.16000000000349</v>
      </c>
      <c r="L61" s="163"/>
    </row>
    <row r="62" spans="1:13" s="143" customFormat="1" ht="17.25" customHeight="1">
      <c r="A62" s="143">
        <f t="shared" si="3"/>
        <v>2</v>
      </c>
      <c r="B62" s="158">
        <v>41695</v>
      </c>
      <c r="C62" s="159" t="s">
        <v>163</v>
      </c>
      <c r="D62" s="158">
        <v>41695</v>
      </c>
      <c r="E62" s="160" t="s">
        <v>175</v>
      </c>
      <c r="F62" s="163">
        <f t="shared" si="1"/>
        <v>36503</v>
      </c>
      <c r="G62" s="161" t="s">
        <v>176</v>
      </c>
      <c r="H62" s="206">
        <v>21100</v>
      </c>
      <c r="I62" s="207">
        <v>1.73</v>
      </c>
      <c r="J62" s="208"/>
      <c r="K62" s="209">
        <f t="shared" si="2"/>
        <v>811.89000000000351</v>
      </c>
      <c r="L62" s="163"/>
    </row>
    <row r="63" spans="1:13" s="143" customFormat="1" ht="17.25" customHeight="1">
      <c r="A63" s="143">
        <f t="shared" si="3"/>
        <v>2</v>
      </c>
      <c r="B63" s="158">
        <v>41696</v>
      </c>
      <c r="C63" s="159" t="s">
        <v>163</v>
      </c>
      <c r="D63" s="158">
        <v>41696</v>
      </c>
      <c r="E63" s="160" t="s">
        <v>700</v>
      </c>
      <c r="F63" s="163">
        <f t="shared" si="1"/>
        <v>653430160</v>
      </c>
      <c r="G63" s="161" t="s">
        <v>162</v>
      </c>
      <c r="H63" s="206">
        <v>21092</v>
      </c>
      <c r="I63" s="207">
        <v>30980</v>
      </c>
      <c r="J63" s="208"/>
      <c r="K63" s="209">
        <f t="shared" si="2"/>
        <v>31791.890000000003</v>
      </c>
      <c r="L63" s="163"/>
    </row>
    <row r="64" spans="1:13" s="143" customFormat="1" ht="17.25" customHeight="1">
      <c r="A64" s="143">
        <f t="shared" si="3"/>
        <v>2</v>
      </c>
      <c r="B64" s="158">
        <v>41696</v>
      </c>
      <c r="C64" s="159" t="s">
        <v>160</v>
      </c>
      <c r="D64" s="158">
        <v>41696</v>
      </c>
      <c r="E64" s="160" t="s">
        <v>682</v>
      </c>
      <c r="F64" s="163">
        <f t="shared" si="1"/>
        <v>670514680</v>
      </c>
      <c r="G64" s="161" t="s">
        <v>36</v>
      </c>
      <c r="H64" s="206">
        <v>21092</v>
      </c>
      <c r="I64" s="207"/>
      <c r="J64" s="208">
        <v>31790</v>
      </c>
      <c r="K64" s="209">
        <f t="shared" si="2"/>
        <v>1.8900000000030559</v>
      </c>
      <c r="L64" s="163"/>
    </row>
    <row r="65" spans="1:12" s="143" customFormat="1" ht="17.25" customHeight="1">
      <c r="A65" s="143">
        <f t="shared" si="3"/>
        <v>3</v>
      </c>
      <c r="B65" s="158">
        <v>41709</v>
      </c>
      <c r="C65" s="159" t="s">
        <v>163</v>
      </c>
      <c r="D65" s="158">
        <v>41709</v>
      </c>
      <c r="E65" s="160" t="s">
        <v>161</v>
      </c>
      <c r="F65" s="163">
        <f t="shared" si="1"/>
        <v>2012307000</v>
      </c>
      <c r="G65" s="161" t="s">
        <v>36</v>
      </c>
      <c r="H65" s="206">
        <v>21100</v>
      </c>
      <c r="I65" s="207">
        <v>95370</v>
      </c>
      <c r="J65" s="208"/>
      <c r="K65" s="209">
        <f t="shared" si="2"/>
        <v>95371.89</v>
      </c>
      <c r="L65" s="163"/>
    </row>
    <row r="66" spans="1:12" s="143" customFormat="1" ht="18" customHeight="1">
      <c r="A66" s="143">
        <f t="shared" si="3"/>
        <v>3</v>
      </c>
      <c r="B66" s="158">
        <v>41709</v>
      </c>
      <c r="C66" s="159" t="s">
        <v>163</v>
      </c>
      <c r="D66" s="158">
        <v>41709</v>
      </c>
      <c r="E66" s="160" t="s">
        <v>701</v>
      </c>
      <c r="F66" s="163">
        <f t="shared" si="1"/>
        <v>2011353300</v>
      </c>
      <c r="G66" s="161" t="s">
        <v>355</v>
      </c>
      <c r="H66" s="206">
        <v>21090</v>
      </c>
      <c r="I66" s="207">
        <v>95370</v>
      </c>
      <c r="J66" s="208"/>
      <c r="K66" s="209">
        <f t="shared" si="2"/>
        <v>190741.89</v>
      </c>
      <c r="L66" s="163"/>
    </row>
    <row r="67" spans="1:12" s="143" customFormat="1" ht="18" customHeight="1">
      <c r="A67" s="143">
        <f t="shared" si="3"/>
        <v>3</v>
      </c>
      <c r="B67" s="158">
        <v>41709</v>
      </c>
      <c r="C67" s="159" t="s">
        <v>160</v>
      </c>
      <c r="D67" s="158">
        <v>41709</v>
      </c>
      <c r="E67" s="160" t="s">
        <v>702</v>
      </c>
      <c r="F67" s="163">
        <f t="shared" si="1"/>
        <v>2012307000</v>
      </c>
      <c r="G67" s="161" t="s">
        <v>355</v>
      </c>
      <c r="H67" s="206">
        <v>21100</v>
      </c>
      <c r="I67" s="207"/>
      <c r="J67" s="208">
        <v>95370</v>
      </c>
      <c r="K67" s="209">
        <f t="shared" si="2"/>
        <v>95371.890000000014</v>
      </c>
      <c r="L67" s="163"/>
    </row>
    <row r="68" spans="1:12" s="143" customFormat="1" ht="18" customHeight="1">
      <c r="A68" s="143">
        <f t="shared" si="3"/>
        <v>3</v>
      </c>
      <c r="B68" s="158">
        <v>41709</v>
      </c>
      <c r="C68" s="159" t="s">
        <v>160</v>
      </c>
      <c r="D68" s="158">
        <v>41709</v>
      </c>
      <c r="E68" s="160" t="s">
        <v>682</v>
      </c>
      <c r="F68" s="163">
        <f t="shared" si="1"/>
        <v>2011353300</v>
      </c>
      <c r="G68" s="161" t="s">
        <v>36</v>
      </c>
      <c r="H68" s="206">
        <v>21090</v>
      </c>
      <c r="I68" s="207"/>
      <c r="J68" s="208">
        <v>95370</v>
      </c>
      <c r="K68" s="209">
        <f t="shared" si="2"/>
        <v>1.8900000000139698</v>
      </c>
      <c r="L68" s="163"/>
    </row>
    <row r="69" spans="1:12" s="143" customFormat="1" ht="18" customHeight="1">
      <c r="A69" s="143">
        <f t="shared" si="3"/>
        <v>3</v>
      </c>
      <c r="B69" s="158">
        <v>41712</v>
      </c>
      <c r="C69" s="159" t="s">
        <v>163</v>
      </c>
      <c r="D69" s="158">
        <v>41712</v>
      </c>
      <c r="E69" s="160" t="s">
        <v>686</v>
      </c>
      <c r="F69" s="163">
        <f t="shared" si="1"/>
        <v>2272478682.75</v>
      </c>
      <c r="G69" s="161" t="s">
        <v>190</v>
      </c>
      <c r="H69" s="206">
        <v>21075</v>
      </c>
      <c r="I69" s="207">
        <v>107828.17</v>
      </c>
      <c r="J69" s="208"/>
      <c r="K69" s="209">
        <f t="shared" si="2"/>
        <v>107830.06000000001</v>
      </c>
      <c r="L69" s="163"/>
    </row>
    <row r="70" spans="1:12" s="143" customFormat="1" ht="18" customHeight="1">
      <c r="A70" s="143">
        <f t="shared" si="3"/>
        <v>3</v>
      </c>
      <c r="B70" s="158">
        <v>41712</v>
      </c>
      <c r="C70" s="159" t="s">
        <v>160</v>
      </c>
      <c r="D70" s="158">
        <v>41712</v>
      </c>
      <c r="E70" s="160" t="s">
        <v>682</v>
      </c>
      <c r="F70" s="163">
        <f t="shared" si="1"/>
        <v>2256630000</v>
      </c>
      <c r="G70" s="161" t="s">
        <v>36</v>
      </c>
      <c r="H70" s="206">
        <v>21090</v>
      </c>
      <c r="I70" s="207"/>
      <c r="J70" s="208">
        <v>107000</v>
      </c>
      <c r="K70" s="209">
        <f t="shared" si="2"/>
        <v>830.06000000001222</v>
      </c>
      <c r="L70" s="163"/>
    </row>
    <row r="71" spans="1:12" s="143" customFormat="1" ht="18" customHeight="1">
      <c r="A71" s="143">
        <f t="shared" si="3"/>
        <v>3</v>
      </c>
      <c r="B71" s="158">
        <v>41713</v>
      </c>
      <c r="C71" s="159" t="s">
        <v>163</v>
      </c>
      <c r="D71" s="158">
        <v>41713</v>
      </c>
      <c r="E71" s="160" t="s">
        <v>686</v>
      </c>
      <c r="F71" s="163">
        <f t="shared" si="1"/>
        <v>977805605.25</v>
      </c>
      <c r="G71" s="161" t="s">
        <v>190</v>
      </c>
      <c r="H71" s="206">
        <v>21075</v>
      </c>
      <c r="I71" s="207">
        <v>46396.47</v>
      </c>
      <c r="J71" s="208"/>
      <c r="K71" s="209">
        <f t="shared" si="2"/>
        <v>47226.530000000013</v>
      </c>
      <c r="L71" s="163"/>
    </row>
    <row r="72" spans="1:12" s="143" customFormat="1" ht="18" customHeight="1">
      <c r="A72" s="143">
        <f t="shared" si="3"/>
        <v>3</v>
      </c>
      <c r="B72" s="158">
        <v>41715</v>
      </c>
      <c r="C72" s="159" t="s">
        <v>160</v>
      </c>
      <c r="D72" s="158">
        <v>41715</v>
      </c>
      <c r="E72" s="160" t="s">
        <v>682</v>
      </c>
      <c r="F72" s="163">
        <f t="shared" si="1"/>
        <v>995448000</v>
      </c>
      <c r="G72" s="161" t="s">
        <v>36</v>
      </c>
      <c r="H72" s="206">
        <v>21090</v>
      </c>
      <c r="I72" s="207"/>
      <c r="J72" s="208">
        <v>47200</v>
      </c>
      <c r="K72" s="209">
        <f t="shared" si="2"/>
        <v>26.530000000013388</v>
      </c>
      <c r="L72" s="163"/>
    </row>
    <row r="73" spans="1:12" s="143" customFormat="1" ht="18" customHeight="1">
      <c r="A73" s="143">
        <f t="shared" si="3"/>
        <v>3</v>
      </c>
      <c r="B73" s="158">
        <v>41723</v>
      </c>
      <c r="C73" s="159" t="s">
        <v>163</v>
      </c>
      <c r="D73" s="158">
        <v>41723</v>
      </c>
      <c r="E73" s="160" t="s">
        <v>175</v>
      </c>
      <c r="F73" s="163">
        <f t="shared" si="1"/>
        <v>5694.3</v>
      </c>
      <c r="G73" s="161" t="s">
        <v>176</v>
      </c>
      <c r="H73" s="206">
        <v>21090</v>
      </c>
      <c r="I73" s="207">
        <v>0.27</v>
      </c>
      <c r="J73" s="208"/>
      <c r="K73" s="209">
        <f t="shared" si="2"/>
        <v>26.800000000013387</v>
      </c>
      <c r="L73" s="163"/>
    </row>
    <row r="74" spans="1:12" s="143" customFormat="1" ht="18" customHeight="1">
      <c r="A74" s="143">
        <f t="shared" si="3"/>
        <v>3</v>
      </c>
      <c r="B74" s="158">
        <v>41723</v>
      </c>
      <c r="C74" s="159" t="s">
        <v>163</v>
      </c>
      <c r="D74" s="158">
        <v>41723</v>
      </c>
      <c r="E74" s="160" t="s">
        <v>703</v>
      </c>
      <c r="F74" s="163">
        <f t="shared" si="1"/>
        <v>1546905000</v>
      </c>
      <c r="G74" s="161" t="s">
        <v>190</v>
      </c>
      <c r="H74" s="206">
        <v>21075</v>
      </c>
      <c r="I74" s="207">
        <v>73400</v>
      </c>
      <c r="J74" s="208"/>
      <c r="K74" s="209">
        <f t="shared" si="2"/>
        <v>73426.800000000017</v>
      </c>
      <c r="L74" s="163"/>
    </row>
    <row r="75" spans="1:12" s="143" customFormat="1" ht="18" customHeight="1">
      <c r="A75" s="143">
        <f t="shared" si="3"/>
        <v>3</v>
      </c>
      <c r="B75" s="158">
        <v>41723</v>
      </c>
      <c r="C75" s="159" t="s">
        <v>160</v>
      </c>
      <c r="D75" s="158">
        <v>41723</v>
      </c>
      <c r="E75" s="160" t="s">
        <v>684</v>
      </c>
      <c r="F75" s="163">
        <f t="shared" si="1"/>
        <v>2199387</v>
      </c>
      <c r="G75" s="161" t="s">
        <v>247</v>
      </c>
      <c r="H75" s="206">
        <v>21075</v>
      </c>
      <c r="I75" s="207"/>
      <c r="J75" s="208">
        <v>104.36</v>
      </c>
      <c r="K75" s="209">
        <f t="shared" si="2"/>
        <v>73322.440000000017</v>
      </c>
      <c r="L75" s="163"/>
    </row>
    <row r="76" spans="1:12" s="143" customFormat="1" ht="18" customHeight="1">
      <c r="A76" s="143">
        <f t="shared" ref="A76:A109" si="4">IF(B76&lt;&gt;"",MONTH(B76),"")</f>
        <v>3</v>
      </c>
      <c r="B76" s="158">
        <v>41723</v>
      </c>
      <c r="C76" s="159" t="s">
        <v>160</v>
      </c>
      <c r="D76" s="158">
        <v>41723</v>
      </c>
      <c r="E76" s="160" t="s">
        <v>685</v>
      </c>
      <c r="F76" s="163">
        <f t="shared" ref="F76:F139" si="5">(I76+J76)*H76</f>
        <v>220023</v>
      </c>
      <c r="G76" s="161" t="s">
        <v>35</v>
      </c>
      <c r="H76" s="206">
        <v>21075</v>
      </c>
      <c r="I76" s="207"/>
      <c r="J76" s="208">
        <v>10.44</v>
      </c>
      <c r="K76" s="209">
        <f t="shared" si="2"/>
        <v>73312.000000000015</v>
      </c>
      <c r="L76" s="163"/>
    </row>
    <row r="77" spans="1:12" s="143" customFormat="1" ht="17.25" customHeight="1">
      <c r="A77" s="143">
        <f t="shared" si="4"/>
        <v>3</v>
      </c>
      <c r="B77" s="158">
        <v>41723</v>
      </c>
      <c r="C77" s="159" t="s">
        <v>160</v>
      </c>
      <c r="D77" s="158">
        <v>41723</v>
      </c>
      <c r="E77" s="160" t="s">
        <v>612</v>
      </c>
      <c r="F77" s="163">
        <f t="shared" si="5"/>
        <v>582091.5</v>
      </c>
      <c r="G77" s="161" t="s">
        <v>247</v>
      </c>
      <c r="H77" s="206">
        <v>21075</v>
      </c>
      <c r="I77" s="207"/>
      <c r="J77" s="208">
        <v>27.62</v>
      </c>
      <c r="K77" s="209">
        <f t="shared" ref="K77:K140" si="6">IF(B77&lt;&gt;"",K76+I77-J77,0)</f>
        <v>73284.380000000019</v>
      </c>
      <c r="L77" s="163"/>
    </row>
    <row r="78" spans="1:12" s="143" customFormat="1" ht="17.25" customHeight="1">
      <c r="A78" s="143">
        <f t="shared" si="4"/>
        <v>3</v>
      </c>
      <c r="B78" s="158">
        <v>41723</v>
      </c>
      <c r="C78" s="159" t="s">
        <v>160</v>
      </c>
      <c r="D78" s="158">
        <v>41723</v>
      </c>
      <c r="E78" s="160" t="s">
        <v>613</v>
      </c>
      <c r="F78" s="163">
        <f t="shared" si="5"/>
        <v>58166.999999999993</v>
      </c>
      <c r="G78" s="161" t="s">
        <v>35</v>
      </c>
      <c r="H78" s="206">
        <v>21075</v>
      </c>
      <c r="I78" s="207"/>
      <c r="J78" s="208">
        <v>2.76</v>
      </c>
      <c r="K78" s="209">
        <f t="shared" si="6"/>
        <v>73281.620000000024</v>
      </c>
      <c r="L78" s="163"/>
    </row>
    <row r="79" spans="1:12" s="143" customFormat="1" ht="17.25" customHeight="1">
      <c r="A79" s="143">
        <f t="shared" si="4"/>
        <v>3</v>
      </c>
      <c r="B79" s="158">
        <v>41723</v>
      </c>
      <c r="C79" s="159" t="s">
        <v>160</v>
      </c>
      <c r="D79" s="158">
        <v>41723</v>
      </c>
      <c r="E79" s="160" t="s">
        <v>586</v>
      </c>
      <c r="F79" s="163">
        <f t="shared" si="5"/>
        <v>9660780</v>
      </c>
      <c r="G79" s="161" t="s">
        <v>166</v>
      </c>
      <c r="H79" s="206">
        <v>21075</v>
      </c>
      <c r="I79" s="207"/>
      <c r="J79" s="208">
        <v>458.4</v>
      </c>
      <c r="K79" s="209">
        <f t="shared" si="6"/>
        <v>72823.22000000003</v>
      </c>
      <c r="L79" s="163"/>
    </row>
    <row r="80" spans="1:12" s="143" customFormat="1" ht="17.25" customHeight="1">
      <c r="A80" s="143">
        <f t="shared" si="4"/>
        <v>3</v>
      </c>
      <c r="B80" s="158">
        <v>41723</v>
      </c>
      <c r="C80" s="159" t="s">
        <v>160</v>
      </c>
      <c r="D80" s="158">
        <v>41723</v>
      </c>
      <c r="E80" s="160" t="s">
        <v>698</v>
      </c>
      <c r="F80" s="163">
        <f t="shared" si="5"/>
        <v>9874269.75</v>
      </c>
      <c r="G80" s="161" t="s">
        <v>166</v>
      </c>
      <c r="H80" s="206">
        <v>21075</v>
      </c>
      <c r="I80" s="207"/>
      <c r="J80" s="208">
        <v>468.53</v>
      </c>
      <c r="K80" s="209">
        <f t="shared" si="6"/>
        <v>72354.690000000031</v>
      </c>
      <c r="L80" s="163"/>
    </row>
    <row r="81" spans="1:12" s="143" customFormat="1" ht="17.25" customHeight="1">
      <c r="A81" s="143">
        <f t="shared" si="4"/>
        <v>3</v>
      </c>
      <c r="B81" s="158">
        <v>41723</v>
      </c>
      <c r="C81" s="159" t="s">
        <v>160</v>
      </c>
      <c r="D81" s="158">
        <v>41723</v>
      </c>
      <c r="E81" s="160" t="s">
        <v>699</v>
      </c>
      <c r="F81" s="163">
        <f t="shared" si="5"/>
        <v>10141079.25</v>
      </c>
      <c r="G81" s="161" t="s">
        <v>166</v>
      </c>
      <c r="H81" s="206">
        <v>21075</v>
      </c>
      <c r="I81" s="207"/>
      <c r="J81" s="208">
        <v>481.19</v>
      </c>
      <c r="K81" s="209">
        <f t="shared" si="6"/>
        <v>71873.500000000029</v>
      </c>
      <c r="L81" s="163"/>
    </row>
    <row r="82" spans="1:12" s="143" customFormat="1" ht="17.25" customHeight="1">
      <c r="A82" s="143">
        <f t="shared" si="4"/>
        <v>3</v>
      </c>
      <c r="B82" s="158">
        <v>41723</v>
      </c>
      <c r="C82" s="159" t="s">
        <v>160</v>
      </c>
      <c r="D82" s="158">
        <v>41723</v>
      </c>
      <c r="E82" s="160" t="s">
        <v>704</v>
      </c>
      <c r="F82" s="163">
        <f t="shared" si="5"/>
        <v>13076616</v>
      </c>
      <c r="G82" s="161" t="s">
        <v>166</v>
      </c>
      <c r="H82" s="206">
        <v>21075</v>
      </c>
      <c r="I82" s="207"/>
      <c r="J82" s="208">
        <v>620.48</v>
      </c>
      <c r="K82" s="209">
        <f t="shared" si="6"/>
        <v>71253.020000000033</v>
      </c>
      <c r="L82" s="163"/>
    </row>
    <row r="83" spans="1:12" s="143" customFormat="1" ht="17.25" customHeight="1">
      <c r="A83" s="143">
        <f t="shared" si="4"/>
        <v>3</v>
      </c>
      <c r="B83" s="158">
        <v>41723</v>
      </c>
      <c r="C83" s="159" t="s">
        <v>160</v>
      </c>
      <c r="D83" s="158">
        <v>41723</v>
      </c>
      <c r="E83" s="160" t="s">
        <v>682</v>
      </c>
      <c r="F83" s="163">
        <f t="shared" si="5"/>
        <v>1501608000</v>
      </c>
      <c r="G83" s="161" t="s">
        <v>36</v>
      </c>
      <c r="H83" s="206">
        <v>21090</v>
      </c>
      <c r="I83" s="207"/>
      <c r="J83" s="208">
        <v>71200</v>
      </c>
      <c r="K83" s="209">
        <f t="shared" si="6"/>
        <v>53.020000000033178</v>
      </c>
      <c r="L83" s="163"/>
    </row>
    <row r="84" spans="1:12" s="355" customFormat="1" ht="17.25" customHeight="1">
      <c r="A84" s="355">
        <f t="shared" si="4"/>
        <v>4</v>
      </c>
      <c r="B84" s="356">
        <v>41730</v>
      </c>
      <c r="C84" s="357" t="s">
        <v>160</v>
      </c>
      <c r="D84" s="356">
        <v>41730</v>
      </c>
      <c r="E84" s="358" t="s">
        <v>658</v>
      </c>
      <c r="F84" s="163">
        <f t="shared" si="5"/>
        <v>105400</v>
      </c>
      <c r="G84" s="360" t="s">
        <v>247</v>
      </c>
      <c r="H84" s="361">
        <v>21080</v>
      </c>
      <c r="I84" s="362"/>
      <c r="J84" s="363">
        <v>5</v>
      </c>
      <c r="K84" s="209">
        <f t="shared" si="6"/>
        <v>48.020000000033178</v>
      </c>
      <c r="L84" s="359"/>
    </row>
    <row r="85" spans="1:12" s="143" customFormat="1" ht="17.25" customHeight="1">
      <c r="A85" s="143">
        <f t="shared" si="4"/>
        <v>4</v>
      </c>
      <c r="B85" s="158">
        <v>41730</v>
      </c>
      <c r="C85" s="159" t="s">
        <v>160</v>
      </c>
      <c r="D85" s="158">
        <v>41730</v>
      </c>
      <c r="E85" s="160" t="s">
        <v>705</v>
      </c>
      <c r="F85" s="163">
        <f t="shared" si="5"/>
        <v>10540</v>
      </c>
      <c r="G85" s="161" t="s">
        <v>35</v>
      </c>
      <c r="H85" s="206">
        <v>21080</v>
      </c>
      <c r="I85" s="207"/>
      <c r="J85" s="208">
        <v>0.5</v>
      </c>
      <c r="K85" s="209">
        <f t="shared" si="6"/>
        <v>47.520000000033178</v>
      </c>
      <c r="L85" s="163"/>
    </row>
    <row r="86" spans="1:12" s="143" customFormat="1" ht="17.25" customHeight="1">
      <c r="A86" s="143">
        <f t="shared" si="4"/>
        <v>4</v>
      </c>
      <c r="B86" s="158">
        <v>41732</v>
      </c>
      <c r="C86" s="159" t="s">
        <v>163</v>
      </c>
      <c r="D86" s="158">
        <v>41732</v>
      </c>
      <c r="E86" s="160" t="s">
        <v>703</v>
      </c>
      <c r="F86" s="163">
        <f t="shared" si="5"/>
        <v>79521243.75</v>
      </c>
      <c r="G86" s="161" t="s">
        <v>190</v>
      </c>
      <c r="H86" s="206">
        <v>21075</v>
      </c>
      <c r="I86" s="207">
        <v>3773.25</v>
      </c>
      <c r="J86" s="208"/>
      <c r="K86" s="209">
        <f t="shared" si="6"/>
        <v>3820.7700000000332</v>
      </c>
      <c r="L86" s="163"/>
    </row>
    <row r="87" spans="1:12" s="143" customFormat="1" ht="17.25" customHeight="1">
      <c r="A87" s="143">
        <f t="shared" si="4"/>
        <v>4</v>
      </c>
      <c r="B87" s="158">
        <v>41732</v>
      </c>
      <c r="C87" s="159" t="s">
        <v>163</v>
      </c>
      <c r="D87" s="158">
        <v>41732</v>
      </c>
      <c r="E87" s="160" t="s">
        <v>686</v>
      </c>
      <c r="F87" s="163">
        <f t="shared" si="5"/>
        <v>1009463838</v>
      </c>
      <c r="G87" s="161" t="s">
        <v>190</v>
      </c>
      <c r="H87" s="206">
        <v>21075</v>
      </c>
      <c r="I87" s="207">
        <v>47898.64</v>
      </c>
      <c r="J87" s="208"/>
      <c r="K87" s="209">
        <f t="shared" si="6"/>
        <v>51719.410000000033</v>
      </c>
      <c r="L87" s="163"/>
    </row>
    <row r="88" spans="1:12" s="143" customFormat="1" ht="17.25" customHeight="1">
      <c r="A88" s="143">
        <f t="shared" si="4"/>
        <v>4</v>
      </c>
      <c r="B88" s="158">
        <v>41733</v>
      </c>
      <c r="C88" s="159" t="s">
        <v>163</v>
      </c>
      <c r="D88" s="158">
        <v>41733</v>
      </c>
      <c r="E88" s="160" t="s">
        <v>161</v>
      </c>
      <c r="F88" s="163">
        <f t="shared" si="5"/>
        <v>818602400</v>
      </c>
      <c r="G88" s="161" t="s">
        <v>36</v>
      </c>
      <c r="H88" s="206">
        <v>21098</v>
      </c>
      <c r="I88" s="207">
        <v>38800</v>
      </c>
      <c r="J88" s="208"/>
      <c r="K88" s="209">
        <f t="shared" si="6"/>
        <v>90519.410000000033</v>
      </c>
      <c r="L88" s="163"/>
    </row>
    <row r="89" spans="1:12" s="143" customFormat="1" ht="17.25" customHeight="1">
      <c r="A89" s="143">
        <f t="shared" si="4"/>
        <v>4</v>
      </c>
      <c r="B89" s="158">
        <v>41733</v>
      </c>
      <c r="C89" s="159" t="s">
        <v>163</v>
      </c>
      <c r="D89" s="158">
        <v>41733</v>
      </c>
      <c r="E89" s="160" t="s">
        <v>706</v>
      </c>
      <c r="F89" s="163">
        <f t="shared" si="5"/>
        <v>1908826000</v>
      </c>
      <c r="G89" s="161" t="s">
        <v>355</v>
      </c>
      <c r="H89" s="206">
        <v>21092</v>
      </c>
      <c r="I89" s="207">
        <v>90500</v>
      </c>
      <c r="J89" s="208"/>
      <c r="K89" s="209">
        <f t="shared" si="6"/>
        <v>181019.41000000003</v>
      </c>
      <c r="L89" s="163"/>
    </row>
    <row r="90" spans="1:12" s="143" customFormat="1" ht="17.25" customHeight="1">
      <c r="A90" s="143">
        <f t="shared" si="4"/>
        <v>4</v>
      </c>
      <c r="B90" s="158">
        <v>41733</v>
      </c>
      <c r="C90" s="159" t="s">
        <v>160</v>
      </c>
      <c r="D90" s="158">
        <v>41733</v>
      </c>
      <c r="E90" s="160" t="s">
        <v>707</v>
      </c>
      <c r="F90" s="163">
        <f t="shared" si="5"/>
        <v>1908826000</v>
      </c>
      <c r="G90" s="161" t="s">
        <v>355</v>
      </c>
      <c r="H90" s="206">
        <v>21092</v>
      </c>
      <c r="I90" s="207"/>
      <c r="J90" s="208">
        <v>90500</v>
      </c>
      <c r="K90" s="209">
        <f t="shared" si="6"/>
        <v>90519.410000000033</v>
      </c>
      <c r="L90" s="163"/>
    </row>
    <row r="91" spans="1:12" s="143" customFormat="1" ht="17.25" customHeight="1">
      <c r="A91" s="143">
        <f t="shared" si="4"/>
        <v>4</v>
      </c>
      <c r="B91" s="158">
        <v>41733</v>
      </c>
      <c r="C91" s="159" t="s">
        <v>160</v>
      </c>
      <c r="D91" s="158">
        <v>41733</v>
      </c>
      <c r="E91" s="160" t="s">
        <v>682</v>
      </c>
      <c r="F91" s="163">
        <f t="shared" si="5"/>
        <v>1908826000</v>
      </c>
      <c r="G91" s="161" t="s">
        <v>36</v>
      </c>
      <c r="H91" s="206">
        <v>21092</v>
      </c>
      <c r="I91" s="207"/>
      <c r="J91" s="208">
        <v>90500</v>
      </c>
      <c r="K91" s="209">
        <f t="shared" si="6"/>
        <v>19.410000000032596</v>
      </c>
      <c r="L91" s="163"/>
    </row>
    <row r="92" spans="1:12" s="143" customFormat="1" ht="17.25" customHeight="1">
      <c r="A92" s="143">
        <f t="shared" si="4"/>
        <v>4</v>
      </c>
      <c r="B92" s="158">
        <v>41746</v>
      </c>
      <c r="C92" s="159" t="s">
        <v>163</v>
      </c>
      <c r="D92" s="158">
        <v>41746</v>
      </c>
      <c r="E92" s="160" t="s">
        <v>683</v>
      </c>
      <c r="F92" s="163">
        <f t="shared" si="5"/>
        <v>163475400</v>
      </c>
      <c r="G92" s="161" t="s">
        <v>190</v>
      </c>
      <c r="H92" s="206">
        <v>21080</v>
      </c>
      <c r="I92" s="207">
        <v>7755</v>
      </c>
      <c r="J92" s="208"/>
      <c r="K92" s="209">
        <f t="shared" si="6"/>
        <v>7774.4100000000326</v>
      </c>
      <c r="L92" s="163"/>
    </row>
    <row r="93" spans="1:12" s="143" customFormat="1" ht="17.25" customHeight="1">
      <c r="A93" s="143">
        <f t="shared" si="4"/>
        <v>4</v>
      </c>
      <c r="B93" s="158">
        <v>41746</v>
      </c>
      <c r="C93" s="159" t="s">
        <v>163</v>
      </c>
      <c r="D93" s="158">
        <v>41746</v>
      </c>
      <c r="E93" s="160" t="s">
        <v>686</v>
      </c>
      <c r="F93" s="163">
        <f t="shared" si="5"/>
        <v>2323171148.8000002</v>
      </c>
      <c r="G93" s="161" t="s">
        <v>190</v>
      </c>
      <c r="H93" s="206">
        <v>21080</v>
      </c>
      <c r="I93" s="207">
        <v>110207.36</v>
      </c>
      <c r="J93" s="208"/>
      <c r="K93" s="209">
        <f t="shared" si="6"/>
        <v>117981.77000000003</v>
      </c>
      <c r="L93" s="163"/>
    </row>
    <row r="94" spans="1:12" s="143" customFormat="1" ht="17.25" customHeight="1">
      <c r="A94" s="143">
        <f t="shared" si="4"/>
        <v>4</v>
      </c>
      <c r="B94" s="158">
        <v>41746</v>
      </c>
      <c r="C94" s="159" t="s">
        <v>160</v>
      </c>
      <c r="D94" s="158">
        <v>41746</v>
      </c>
      <c r="E94" s="160" t="s">
        <v>682</v>
      </c>
      <c r="F94" s="163">
        <f t="shared" si="5"/>
        <v>2320120000</v>
      </c>
      <c r="G94" s="161" t="s">
        <v>36</v>
      </c>
      <c r="H94" s="206">
        <v>21092</v>
      </c>
      <c r="I94" s="207"/>
      <c r="J94" s="208">
        <v>110000</v>
      </c>
      <c r="K94" s="209">
        <f t="shared" si="6"/>
        <v>7981.7700000000332</v>
      </c>
      <c r="L94" s="163"/>
    </row>
    <row r="95" spans="1:12" s="143" customFormat="1" ht="17.25" customHeight="1">
      <c r="A95" s="143">
        <f t="shared" si="4"/>
        <v>4</v>
      </c>
      <c r="B95" s="158">
        <v>41747</v>
      </c>
      <c r="C95" s="159" t="s">
        <v>160</v>
      </c>
      <c r="D95" s="158">
        <v>41747</v>
      </c>
      <c r="E95" s="160" t="s">
        <v>708</v>
      </c>
      <c r="F95" s="163">
        <f t="shared" si="5"/>
        <v>13793487.200000001</v>
      </c>
      <c r="G95" s="161" t="s">
        <v>166</v>
      </c>
      <c r="H95" s="206">
        <v>21080</v>
      </c>
      <c r="I95" s="207"/>
      <c r="J95" s="208">
        <v>654.34</v>
      </c>
      <c r="K95" s="209">
        <f t="shared" si="6"/>
        <v>7327.430000000033</v>
      </c>
      <c r="L95" s="163"/>
    </row>
    <row r="96" spans="1:12" s="143" customFormat="1" ht="17.25" customHeight="1">
      <c r="A96" s="143">
        <f t="shared" si="4"/>
        <v>4</v>
      </c>
      <c r="B96" s="158">
        <v>41747</v>
      </c>
      <c r="C96" s="159" t="s">
        <v>160</v>
      </c>
      <c r="D96" s="158">
        <v>41747</v>
      </c>
      <c r="E96" s="160" t="s">
        <v>704</v>
      </c>
      <c r="F96" s="163">
        <f t="shared" si="5"/>
        <v>11563012.399999999</v>
      </c>
      <c r="G96" s="161" t="s">
        <v>166</v>
      </c>
      <c r="H96" s="206">
        <v>21080</v>
      </c>
      <c r="I96" s="207"/>
      <c r="J96" s="208">
        <v>548.53</v>
      </c>
      <c r="K96" s="209">
        <f t="shared" si="6"/>
        <v>6778.9000000000333</v>
      </c>
      <c r="L96" s="163"/>
    </row>
    <row r="97" spans="1:13" s="143" customFormat="1" ht="17.25" customHeight="1">
      <c r="A97" s="143">
        <f>IF(B97&lt;&gt;"",MONTH(B97),"")</f>
        <v>4</v>
      </c>
      <c r="B97" s="158">
        <v>41747</v>
      </c>
      <c r="C97" s="159" t="s">
        <v>160</v>
      </c>
      <c r="D97" s="158">
        <v>41747</v>
      </c>
      <c r="E97" s="160" t="s">
        <v>699</v>
      </c>
      <c r="F97" s="163">
        <f t="shared" si="5"/>
        <v>11209079.200000001</v>
      </c>
      <c r="G97" s="161" t="s">
        <v>166</v>
      </c>
      <c r="H97" s="206">
        <v>21080</v>
      </c>
      <c r="I97" s="207"/>
      <c r="J97" s="208">
        <v>531.74</v>
      </c>
      <c r="K97" s="209">
        <f t="shared" si="6"/>
        <v>6247.1600000000335</v>
      </c>
      <c r="L97" s="163"/>
    </row>
    <row r="98" spans="1:13" s="143" customFormat="1" ht="17.25" customHeight="1">
      <c r="A98" s="143">
        <f t="shared" si="4"/>
        <v>4</v>
      </c>
      <c r="B98" s="158">
        <v>41747</v>
      </c>
      <c r="C98" s="159" t="s">
        <v>160</v>
      </c>
      <c r="D98" s="158">
        <v>41747</v>
      </c>
      <c r="E98" s="160" t="s">
        <v>698</v>
      </c>
      <c r="F98" s="163">
        <f t="shared" si="5"/>
        <v>10913959.200000001</v>
      </c>
      <c r="G98" s="161" t="s">
        <v>166</v>
      </c>
      <c r="H98" s="206">
        <v>21080</v>
      </c>
      <c r="I98" s="207"/>
      <c r="J98" s="208">
        <v>517.74</v>
      </c>
      <c r="K98" s="209">
        <f t="shared" si="6"/>
        <v>5729.4200000000337</v>
      </c>
      <c r="L98" s="163"/>
    </row>
    <row r="99" spans="1:13" s="143" customFormat="1" ht="17.25" customHeight="1">
      <c r="A99" s="143">
        <f t="shared" si="4"/>
        <v>4</v>
      </c>
      <c r="B99" s="158">
        <v>41750</v>
      </c>
      <c r="C99" s="159" t="s">
        <v>160</v>
      </c>
      <c r="D99" s="158">
        <v>41750</v>
      </c>
      <c r="E99" s="160" t="s">
        <v>682</v>
      </c>
      <c r="F99" s="163">
        <f t="shared" si="5"/>
        <v>120213000</v>
      </c>
      <c r="G99" s="161" t="s">
        <v>36</v>
      </c>
      <c r="H99" s="206">
        <v>21090</v>
      </c>
      <c r="I99" s="207"/>
      <c r="J99" s="208">
        <v>5700</v>
      </c>
      <c r="K99" s="209">
        <f t="shared" si="6"/>
        <v>29.420000000033724</v>
      </c>
      <c r="L99" s="163"/>
    </row>
    <row r="100" spans="1:13" s="143" customFormat="1" ht="17.25" customHeight="1">
      <c r="A100" s="143">
        <f t="shared" si="4"/>
        <v>4</v>
      </c>
      <c r="B100" s="158">
        <v>41758</v>
      </c>
      <c r="C100" s="159" t="s">
        <v>160</v>
      </c>
      <c r="D100" s="158">
        <v>41758</v>
      </c>
      <c r="E100" s="160" t="s">
        <v>596</v>
      </c>
      <c r="F100" s="163">
        <f t="shared" si="5"/>
        <v>315975</v>
      </c>
      <c r="G100" s="161" t="s">
        <v>247</v>
      </c>
      <c r="H100" s="206">
        <v>21065</v>
      </c>
      <c r="I100" s="207"/>
      <c r="J100" s="208">
        <v>15</v>
      </c>
      <c r="K100" s="209">
        <f t="shared" si="6"/>
        <v>14.420000000033724</v>
      </c>
      <c r="L100" s="163"/>
    </row>
    <row r="101" spans="1:13" s="143" customFormat="1" ht="17.25" customHeight="1">
      <c r="A101" s="143">
        <f>IF(B101&lt;&gt;"",MONTH(B101),"")</f>
        <v>4</v>
      </c>
      <c r="B101" s="158">
        <v>41758</v>
      </c>
      <c r="C101" s="159" t="s">
        <v>160</v>
      </c>
      <c r="D101" s="158">
        <v>41758</v>
      </c>
      <c r="E101" s="160" t="s">
        <v>650</v>
      </c>
      <c r="F101" s="163">
        <f t="shared" si="5"/>
        <v>31597.5</v>
      </c>
      <c r="G101" s="161" t="s">
        <v>35</v>
      </c>
      <c r="H101" s="206">
        <v>21065</v>
      </c>
      <c r="I101" s="207"/>
      <c r="J101" s="208">
        <v>1.5</v>
      </c>
      <c r="K101" s="209">
        <f t="shared" si="6"/>
        <v>12.920000000033724</v>
      </c>
      <c r="L101" s="163"/>
    </row>
    <row r="102" spans="1:13" s="143" customFormat="1" ht="17.25" customHeight="1">
      <c r="A102" s="143">
        <f>IF(B102&lt;&gt;"",MONTH(B102),"")</f>
        <v>5</v>
      </c>
      <c r="B102" s="158">
        <v>41765</v>
      </c>
      <c r="C102" s="159" t="s">
        <v>163</v>
      </c>
      <c r="D102" s="158">
        <v>41765</v>
      </c>
      <c r="E102" s="160" t="s">
        <v>683</v>
      </c>
      <c r="F102" s="163">
        <f t="shared" si="5"/>
        <v>423607500</v>
      </c>
      <c r="G102" s="161" t="s">
        <v>190</v>
      </c>
      <c r="H102" s="206">
        <v>21075</v>
      </c>
      <c r="I102" s="207">
        <v>20100</v>
      </c>
      <c r="J102" s="208"/>
      <c r="K102" s="209">
        <f t="shared" si="6"/>
        <v>20112.920000000035</v>
      </c>
      <c r="L102" s="163"/>
    </row>
    <row r="103" spans="1:13" s="143" customFormat="1" ht="17.25" customHeight="1">
      <c r="A103" s="143">
        <f t="shared" si="4"/>
        <v>5</v>
      </c>
      <c r="B103" s="158">
        <v>41765</v>
      </c>
      <c r="C103" s="159" t="s">
        <v>163</v>
      </c>
      <c r="D103" s="158">
        <v>41765</v>
      </c>
      <c r="E103" s="160" t="s">
        <v>683</v>
      </c>
      <c r="F103" s="163">
        <f t="shared" si="5"/>
        <v>498423750</v>
      </c>
      <c r="G103" s="161" t="s">
        <v>190</v>
      </c>
      <c r="H103" s="206">
        <v>21075</v>
      </c>
      <c r="I103" s="207">
        <v>23650</v>
      </c>
      <c r="J103" s="208"/>
      <c r="K103" s="209">
        <f t="shared" si="6"/>
        <v>43762.920000000035</v>
      </c>
      <c r="L103" s="163"/>
    </row>
    <row r="104" spans="1:13" s="143" customFormat="1" ht="17.25" customHeight="1">
      <c r="A104" s="143">
        <f>IF(B104&lt;&gt;"",MONTH(B104),"")</f>
        <v>5</v>
      </c>
      <c r="B104" s="158">
        <v>41765</v>
      </c>
      <c r="C104" s="159" t="s">
        <v>160</v>
      </c>
      <c r="D104" s="158">
        <v>41765</v>
      </c>
      <c r="E104" s="160" t="s">
        <v>165</v>
      </c>
      <c r="F104" s="163">
        <f t="shared" si="5"/>
        <v>5202996</v>
      </c>
      <c r="G104" s="161" t="s">
        <v>166</v>
      </c>
      <c r="H104" s="206">
        <v>21075</v>
      </c>
      <c r="I104" s="207"/>
      <c r="J104" s="208">
        <v>246.88</v>
      </c>
      <c r="K104" s="209">
        <f t="shared" si="6"/>
        <v>43516.040000000037</v>
      </c>
      <c r="L104" s="163"/>
    </row>
    <row r="105" spans="1:13" s="143" customFormat="1" ht="17.25" customHeight="1">
      <c r="A105" s="143">
        <f>IF(B105&lt;&gt;"",MONTH(B105),"")</f>
        <v>5</v>
      </c>
      <c r="B105" s="158">
        <v>41765</v>
      </c>
      <c r="C105" s="159" t="s">
        <v>160</v>
      </c>
      <c r="D105" s="158">
        <v>41765</v>
      </c>
      <c r="E105" s="160" t="s">
        <v>167</v>
      </c>
      <c r="F105" s="163">
        <f t="shared" si="5"/>
        <v>13581151.5</v>
      </c>
      <c r="G105" s="161" t="s">
        <v>166</v>
      </c>
      <c r="H105" s="206">
        <v>21075</v>
      </c>
      <c r="I105" s="207"/>
      <c r="J105" s="208">
        <v>644.41999999999996</v>
      </c>
      <c r="K105" s="209">
        <f t="shared" si="6"/>
        <v>42871.620000000039</v>
      </c>
      <c r="L105" s="163"/>
    </row>
    <row r="106" spans="1:13" s="143" customFormat="1" ht="17.25" customHeight="1">
      <c r="A106" s="143">
        <f>IF(B106&lt;&gt;"",MONTH(B106),"")</f>
        <v>5</v>
      </c>
      <c r="B106" s="158">
        <v>41765</v>
      </c>
      <c r="C106" s="159" t="s">
        <v>160</v>
      </c>
      <c r="D106" s="158">
        <v>41765</v>
      </c>
      <c r="E106" s="160" t="s">
        <v>168</v>
      </c>
      <c r="F106" s="163">
        <f t="shared" si="5"/>
        <v>8470253.25</v>
      </c>
      <c r="G106" s="161" t="s">
        <v>166</v>
      </c>
      <c r="H106" s="206">
        <v>21075</v>
      </c>
      <c r="I106" s="207"/>
      <c r="J106" s="208">
        <v>401.91</v>
      </c>
      <c r="K106" s="209">
        <f t="shared" si="6"/>
        <v>42469.710000000036</v>
      </c>
      <c r="L106" s="163"/>
    </row>
    <row r="107" spans="1:13" s="143" customFormat="1" ht="17.25" customHeight="1">
      <c r="A107" s="143">
        <f>IF(B107&lt;&gt;"",MONTH(B107),"")</f>
        <v>5</v>
      </c>
      <c r="B107" s="158">
        <v>41765</v>
      </c>
      <c r="C107" s="159" t="s">
        <v>160</v>
      </c>
      <c r="D107" s="158">
        <v>41765</v>
      </c>
      <c r="E107" s="160" t="s">
        <v>169</v>
      </c>
      <c r="F107" s="163">
        <f t="shared" si="5"/>
        <v>11857638</v>
      </c>
      <c r="G107" s="161" t="s">
        <v>166</v>
      </c>
      <c r="H107" s="206">
        <v>21075</v>
      </c>
      <c r="I107" s="207"/>
      <c r="J107" s="208">
        <v>562.64</v>
      </c>
      <c r="K107" s="209">
        <f t="shared" si="6"/>
        <v>41907.070000000036</v>
      </c>
      <c r="L107" s="163"/>
    </row>
    <row r="108" spans="1:13" s="143" customFormat="1" ht="17.25" customHeight="1">
      <c r="A108" s="143">
        <f>IF(B108&lt;&gt;"",MONTH(B108),"")</f>
        <v>5</v>
      </c>
      <c r="B108" s="158">
        <v>41765</v>
      </c>
      <c r="C108" s="159" t="s">
        <v>160</v>
      </c>
      <c r="D108" s="158">
        <v>41765</v>
      </c>
      <c r="E108" s="160" t="s">
        <v>612</v>
      </c>
      <c r="F108" s="163">
        <f t="shared" si="5"/>
        <v>582091.5</v>
      </c>
      <c r="G108" s="161" t="s">
        <v>247</v>
      </c>
      <c r="H108" s="206">
        <v>21075</v>
      </c>
      <c r="I108" s="207"/>
      <c r="J108" s="208">
        <v>27.62</v>
      </c>
      <c r="K108" s="209">
        <f t="shared" si="6"/>
        <v>41879.450000000033</v>
      </c>
      <c r="L108" s="163"/>
    </row>
    <row r="109" spans="1:13" s="143" customFormat="1" ht="17.25" customHeight="1">
      <c r="A109" s="143">
        <f t="shared" si="4"/>
        <v>5</v>
      </c>
      <c r="B109" s="158">
        <v>41765</v>
      </c>
      <c r="C109" s="159" t="s">
        <v>160</v>
      </c>
      <c r="D109" s="158">
        <v>41765</v>
      </c>
      <c r="E109" s="160" t="s">
        <v>613</v>
      </c>
      <c r="F109" s="163">
        <f t="shared" si="5"/>
        <v>58166.999999999993</v>
      </c>
      <c r="G109" s="161" t="s">
        <v>35</v>
      </c>
      <c r="H109" s="206">
        <v>21075</v>
      </c>
      <c r="I109" s="207"/>
      <c r="J109" s="208">
        <v>2.76</v>
      </c>
      <c r="K109" s="209">
        <f t="shared" si="6"/>
        <v>41876.690000000031</v>
      </c>
      <c r="L109" s="163"/>
    </row>
    <row r="110" spans="1:13" s="143" customFormat="1" ht="17.25" customHeight="1">
      <c r="A110" s="143">
        <f t="shared" ref="A110:A141" si="7">IF(B110&lt;&gt;"",MONTH(B110),"")</f>
        <v>5</v>
      </c>
      <c r="B110" s="158">
        <v>41765</v>
      </c>
      <c r="C110" s="159" t="s">
        <v>160</v>
      </c>
      <c r="D110" s="158">
        <v>41765</v>
      </c>
      <c r="E110" s="160" t="s">
        <v>612</v>
      </c>
      <c r="F110" s="163">
        <f t="shared" si="5"/>
        <v>753220.5</v>
      </c>
      <c r="G110" s="161" t="s">
        <v>247</v>
      </c>
      <c r="H110" s="206">
        <v>21075</v>
      </c>
      <c r="I110" s="207"/>
      <c r="J110" s="208">
        <v>35.74</v>
      </c>
      <c r="K110" s="209">
        <f t="shared" si="6"/>
        <v>41840.950000000033</v>
      </c>
      <c r="L110" s="163"/>
      <c r="M110" s="271">
        <f>K110+'Q4-USD'!K33</f>
        <v>129616.26000000004</v>
      </c>
    </row>
    <row r="111" spans="1:13" s="143" customFormat="1" ht="17.25" customHeight="1">
      <c r="A111" s="143">
        <f t="shared" si="7"/>
        <v>5</v>
      </c>
      <c r="B111" s="158">
        <v>41765</v>
      </c>
      <c r="C111" s="159" t="s">
        <v>160</v>
      </c>
      <c r="D111" s="158">
        <v>41765</v>
      </c>
      <c r="E111" s="160" t="s">
        <v>613</v>
      </c>
      <c r="F111" s="163">
        <f t="shared" si="5"/>
        <v>75237.75</v>
      </c>
      <c r="G111" s="161" t="s">
        <v>35</v>
      </c>
      <c r="H111" s="206">
        <v>21075</v>
      </c>
      <c r="I111" s="207"/>
      <c r="J111" s="208">
        <v>3.57</v>
      </c>
      <c r="K111" s="209">
        <f t="shared" si="6"/>
        <v>41837.380000000034</v>
      </c>
      <c r="L111" s="163"/>
    </row>
    <row r="112" spans="1:13" s="143" customFormat="1" ht="17.25" customHeight="1">
      <c r="A112" s="143">
        <f t="shared" si="7"/>
        <v>5</v>
      </c>
      <c r="B112" s="158">
        <v>41765</v>
      </c>
      <c r="C112" s="159" t="s">
        <v>160</v>
      </c>
      <c r="D112" s="158">
        <v>41765</v>
      </c>
      <c r="E112" s="160" t="s">
        <v>612</v>
      </c>
      <c r="F112" s="163">
        <f t="shared" si="5"/>
        <v>582091.5</v>
      </c>
      <c r="G112" s="161" t="s">
        <v>247</v>
      </c>
      <c r="H112" s="206">
        <v>21075</v>
      </c>
      <c r="I112" s="207"/>
      <c r="J112" s="208">
        <v>27.62</v>
      </c>
      <c r="K112" s="209">
        <f t="shared" si="6"/>
        <v>41809.760000000031</v>
      </c>
      <c r="L112" s="163"/>
    </row>
    <row r="113" spans="1:12" s="143" customFormat="1" ht="17.25" customHeight="1">
      <c r="A113" s="143">
        <f t="shared" si="7"/>
        <v>5</v>
      </c>
      <c r="B113" s="158">
        <v>41765</v>
      </c>
      <c r="C113" s="159" t="s">
        <v>160</v>
      </c>
      <c r="D113" s="158">
        <v>41765</v>
      </c>
      <c r="E113" s="160" t="s">
        <v>613</v>
      </c>
      <c r="F113" s="163">
        <f t="shared" si="5"/>
        <v>58166.999999999993</v>
      </c>
      <c r="G113" s="161" t="s">
        <v>35</v>
      </c>
      <c r="H113" s="206">
        <v>21075</v>
      </c>
      <c r="I113" s="207"/>
      <c r="J113" s="208">
        <v>2.76</v>
      </c>
      <c r="K113" s="209">
        <f t="shared" si="6"/>
        <v>41807.000000000029</v>
      </c>
      <c r="L113" s="163"/>
    </row>
    <row r="114" spans="1:12" s="143" customFormat="1" ht="17.25" customHeight="1">
      <c r="A114" s="143">
        <f t="shared" si="7"/>
        <v>5</v>
      </c>
      <c r="B114" s="158">
        <v>41765</v>
      </c>
      <c r="C114" s="159" t="s">
        <v>160</v>
      </c>
      <c r="D114" s="158">
        <v>41765</v>
      </c>
      <c r="E114" s="160" t="s">
        <v>612</v>
      </c>
      <c r="F114" s="163">
        <f t="shared" si="5"/>
        <v>753220.5</v>
      </c>
      <c r="G114" s="161" t="s">
        <v>247</v>
      </c>
      <c r="H114" s="206">
        <v>21075</v>
      </c>
      <c r="I114" s="207"/>
      <c r="J114" s="208">
        <v>35.74</v>
      </c>
      <c r="K114" s="209">
        <f t="shared" si="6"/>
        <v>41771.260000000031</v>
      </c>
      <c r="L114" s="163"/>
    </row>
    <row r="115" spans="1:12" s="143" customFormat="1" ht="17.25" customHeight="1">
      <c r="A115" s="143">
        <f t="shared" si="7"/>
        <v>5</v>
      </c>
      <c r="B115" s="158">
        <v>41765</v>
      </c>
      <c r="C115" s="159" t="s">
        <v>160</v>
      </c>
      <c r="D115" s="158">
        <v>41765</v>
      </c>
      <c r="E115" s="354" t="s">
        <v>613</v>
      </c>
      <c r="F115" s="163">
        <f t="shared" si="5"/>
        <v>75237.75</v>
      </c>
      <c r="G115" s="161" t="s">
        <v>35</v>
      </c>
      <c r="H115" s="206">
        <v>21075</v>
      </c>
      <c r="I115" s="207"/>
      <c r="J115" s="208">
        <v>3.57</v>
      </c>
      <c r="K115" s="209">
        <f t="shared" si="6"/>
        <v>41767.690000000031</v>
      </c>
      <c r="L115" s="163"/>
    </row>
    <row r="116" spans="1:12" s="143" customFormat="1" ht="17.25" customHeight="1">
      <c r="A116" s="143">
        <f t="shared" si="7"/>
        <v>5</v>
      </c>
      <c r="B116" s="158">
        <v>41766</v>
      </c>
      <c r="C116" s="159" t="s">
        <v>160</v>
      </c>
      <c r="D116" s="158">
        <v>41766</v>
      </c>
      <c r="E116" s="160" t="s">
        <v>682</v>
      </c>
      <c r="F116" s="163">
        <f t="shared" si="5"/>
        <v>879327900</v>
      </c>
      <c r="G116" s="161" t="s">
        <v>36</v>
      </c>
      <c r="H116" s="206">
        <v>21087</v>
      </c>
      <c r="I116" s="207"/>
      <c r="J116" s="208">
        <v>41700</v>
      </c>
      <c r="K116" s="209">
        <f t="shared" si="6"/>
        <v>67.690000000031432</v>
      </c>
      <c r="L116" s="163"/>
    </row>
    <row r="117" spans="1:12" s="143" customFormat="1" ht="17.25" customHeight="1">
      <c r="A117" s="143">
        <f t="shared" si="7"/>
        <v>5</v>
      </c>
      <c r="B117" s="158">
        <v>41772</v>
      </c>
      <c r="C117" s="159" t="s">
        <v>163</v>
      </c>
      <c r="D117" s="158">
        <v>41772</v>
      </c>
      <c r="E117" s="160" t="s">
        <v>683</v>
      </c>
      <c r="F117" s="163">
        <f t="shared" si="5"/>
        <v>20494819.199999999</v>
      </c>
      <c r="G117" s="161" t="s">
        <v>190</v>
      </c>
      <c r="H117" s="206">
        <v>21080</v>
      </c>
      <c r="I117" s="207">
        <v>972.24</v>
      </c>
      <c r="J117" s="208"/>
      <c r="K117" s="209">
        <f t="shared" si="6"/>
        <v>1039.9300000000314</v>
      </c>
      <c r="L117" s="163"/>
    </row>
    <row r="118" spans="1:12" s="143" customFormat="1" ht="17.25" customHeight="1">
      <c r="A118" s="143">
        <f t="shared" si="7"/>
        <v>5</v>
      </c>
      <c r="B118" s="158">
        <v>41772</v>
      </c>
      <c r="C118" s="159" t="s">
        <v>163</v>
      </c>
      <c r="D118" s="158">
        <v>41772</v>
      </c>
      <c r="E118" s="160" t="s">
        <v>683</v>
      </c>
      <c r="F118" s="163">
        <f t="shared" si="5"/>
        <v>23257142.399999999</v>
      </c>
      <c r="G118" s="161" t="s">
        <v>190</v>
      </c>
      <c r="H118" s="206">
        <v>21080</v>
      </c>
      <c r="I118" s="207">
        <v>1103.28</v>
      </c>
      <c r="J118" s="208"/>
      <c r="K118" s="209">
        <f t="shared" si="6"/>
        <v>2143.2100000000314</v>
      </c>
      <c r="L118" s="163"/>
    </row>
    <row r="119" spans="1:12" s="143" customFormat="1" ht="17.25" customHeight="1">
      <c r="A119" s="143">
        <f t="shared" si="7"/>
        <v>5</v>
      </c>
      <c r="B119" s="158">
        <v>41773</v>
      </c>
      <c r="C119" s="159" t="s">
        <v>163</v>
      </c>
      <c r="D119" s="158">
        <v>41773</v>
      </c>
      <c r="E119" s="160" t="s">
        <v>686</v>
      </c>
      <c r="F119" s="163">
        <f t="shared" si="5"/>
        <v>2273807691.1999998</v>
      </c>
      <c r="G119" s="161" t="s">
        <v>190</v>
      </c>
      <c r="H119" s="206">
        <v>21080</v>
      </c>
      <c r="I119" s="207">
        <v>107865.64</v>
      </c>
      <c r="J119" s="208"/>
      <c r="K119" s="209">
        <f t="shared" si="6"/>
        <v>110008.85000000003</v>
      </c>
      <c r="L119" s="163"/>
    </row>
    <row r="120" spans="1:12" s="143" customFormat="1" ht="17.25" customHeight="1">
      <c r="A120" s="143">
        <f t="shared" si="7"/>
        <v>5</v>
      </c>
      <c r="B120" s="158">
        <v>41775</v>
      </c>
      <c r="C120" s="159" t="s">
        <v>160</v>
      </c>
      <c r="D120" s="158">
        <v>41775</v>
      </c>
      <c r="E120" s="160" t="s">
        <v>682</v>
      </c>
      <c r="F120" s="163">
        <f t="shared" si="5"/>
        <v>528750000</v>
      </c>
      <c r="G120" s="161" t="s">
        <v>36</v>
      </c>
      <c r="H120" s="206">
        <v>21150</v>
      </c>
      <c r="I120" s="207"/>
      <c r="J120" s="208">
        <v>25000</v>
      </c>
      <c r="K120" s="209">
        <f t="shared" si="6"/>
        <v>85008.850000000035</v>
      </c>
      <c r="L120" s="163"/>
    </row>
    <row r="121" spans="1:12" s="143" customFormat="1" ht="17.25" customHeight="1">
      <c r="A121" s="143">
        <f t="shared" si="7"/>
        <v>5</v>
      </c>
      <c r="B121" s="158">
        <v>41778</v>
      </c>
      <c r="C121" s="159" t="s">
        <v>163</v>
      </c>
      <c r="D121" s="158">
        <v>41778</v>
      </c>
      <c r="E121" s="160" t="s">
        <v>700</v>
      </c>
      <c r="F121" s="163">
        <f t="shared" si="5"/>
        <v>189675000</v>
      </c>
      <c r="G121" s="161" t="s">
        <v>162</v>
      </c>
      <c r="H121" s="206">
        <v>21075</v>
      </c>
      <c r="I121" s="207">
        <v>9000</v>
      </c>
      <c r="J121" s="208"/>
      <c r="K121" s="209">
        <f t="shared" si="6"/>
        <v>94008.850000000035</v>
      </c>
      <c r="L121" s="163"/>
    </row>
    <row r="122" spans="1:12" s="143" customFormat="1" ht="17.25" customHeight="1">
      <c r="A122" s="143">
        <f t="shared" si="7"/>
        <v>5</v>
      </c>
      <c r="B122" s="158">
        <v>41778</v>
      </c>
      <c r="C122" s="159" t="s">
        <v>160</v>
      </c>
      <c r="D122" s="158">
        <v>41778</v>
      </c>
      <c r="E122" s="160" t="s">
        <v>698</v>
      </c>
      <c r="F122" s="163">
        <f t="shared" si="5"/>
        <v>10561923.200000001</v>
      </c>
      <c r="G122" s="161" t="s">
        <v>166</v>
      </c>
      <c r="H122" s="206">
        <v>21080</v>
      </c>
      <c r="I122" s="207"/>
      <c r="J122" s="208">
        <v>501.04</v>
      </c>
      <c r="K122" s="209">
        <f t="shared" si="6"/>
        <v>93507.810000000041</v>
      </c>
      <c r="L122" s="163"/>
    </row>
    <row r="123" spans="1:12" s="143" customFormat="1" ht="17.25" customHeight="1">
      <c r="A123" s="143">
        <f t="shared" si="7"/>
        <v>5</v>
      </c>
      <c r="B123" s="158">
        <v>41778</v>
      </c>
      <c r="C123" s="159" t="s">
        <v>160</v>
      </c>
      <c r="D123" s="158">
        <v>41778</v>
      </c>
      <c r="E123" s="160" t="s">
        <v>699</v>
      </c>
      <c r="F123" s="163">
        <f t="shared" si="5"/>
        <v>10847346.4</v>
      </c>
      <c r="G123" s="161" t="s">
        <v>166</v>
      </c>
      <c r="H123" s="206">
        <v>21080</v>
      </c>
      <c r="I123" s="207"/>
      <c r="J123" s="208">
        <v>514.58000000000004</v>
      </c>
      <c r="K123" s="209">
        <f t="shared" si="6"/>
        <v>92993.23000000004</v>
      </c>
      <c r="L123" s="163"/>
    </row>
    <row r="124" spans="1:12" s="143" customFormat="1" ht="17.25" customHeight="1">
      <c r="A124" s="143">
        <f t="shared" si="7"/>
        <v>5</v>
      </c>
      <c r="B124" s="158">
        <v>41778</v>
      </c>
      <c r="C124" s="159" t="s">
        <v>160</v>
      </c>
      <c r="D124" s="158">
        <v>41778</v>
      </c>
      <c r="E124" s="160" t="s">
        <v>704</v>
      </c>
      <c r="F124" s="163">
        <f t="shared" si="5"/>
        <v>11189896.4</v>
      </c>
      <c r="G124" s="161" t="s">
        <v>166</v>
      </c>
      <c r="H124" s="206">
        <v>21080</v>
      </c>
      <c r="I124" s="207"/>
      <c r="J124" s="208">
        <v>530.83000000000004</v>
      </c>
      <c r="K124" s="209">
        <f t="shared" si="6"/>
        <v>92462.400000000038</v>
      </c>
      <c r="L124" s="163"/>
    </row>
    <row r="125" spans="1:12" s="143" customFormat="1" ht="17.25" customHeight="1">
      <c r="A125" s="143">
        <f t="shared" si="7"/>
        <v>5</v>
      </c>
      <c r="B125" s="158">
        <v>41778</v>
      </c>
      <c r="C125" s="159" t="s">
        <v>160</v>
      </c>
      <c r="D125" s="158">
        <v>41778</v>
      </c>
      <c r="E125" s="160" t="s">
        <v>708</v>
      </c>
      <c r="F125" s="163">
        <f t="shared" si="5"/>
        <v>10889717.200000001</v>
      </c>
      <c r="G125" s="161" t="s">
        <v>166</v>
      </c>
      <c r="H125" s="206">
        <v>21080</v>
      </c>
      <c r="I125" s="207"/>
      <c r="J125" s="208">
        <v>516.59</v>
      </c>
      <c r="K125" s="209">
        <f t="shared" si="6"/>
        <v>91945.810000000041</v>
      </c>
      <c r="L125" s="163"/>
    </row>
    <row r="126" spans="1:12" s="143" customFormat="1" ht="17.25" customHeight="1">
      <c r="A126" s="143">
        <f t="shared" si="7"/>
        <v>5</v>
      </c>
      <c r="B126" s="158">
        <v>41778</v>
      </c>
      <c r="C126" s="159" t="s">
        <v>160</v>
      </c>
      <c r="D126" s="158">
        <v>41778</v>
      </c>
      <c r="E126" s="160" t="s">
        <v>652</v>
      </c>
      <c r="F126" s="163">
        <f t="shared" si="5"/>
        <v>15155887.600000001</v>
      </c>
      <c r="G126" s="161" t="s">
        <v>166</v>
      </c>
      <c r="H126" s="206">
        <v>21080</v>
      </c>
      <c r="I126" s="207"/>
      <c r="J126" s="208">
        <v>718.97</v>
      </c>
      <c r="K126" s="209">
        <f t="shared" si="6"/>
        <v>91226.84000000004</v>
      </c>
      <c r="L126" s="163"/>
    </row>
    <row r="127" spans="1:12" s="143" customFormat="1" ht="17.25" customHeight="1">
      <c r="A127" s="143">
        <f t="shared" si="7"/>
        <v>5</v>
      </c>
      <c r="B127" s="158">
        <v>41778</v>
      </c>
      <c r="C127" s="159" t="s">
        <v>160</v>
      </c>
      <c r="D127" s="158">
        <v>41778</v>
      </c>
      <c r="E127" s="160" t="s">
        <v>682</v>
      </c>
      <c r="F127" s="163">
        <f t="shared" si="5"/>
        <v>1795200000</v>
      </c>
      <c r="G127" s="161" t="s">
        <v>36</v>
      </c>
      <c r="H127" s="206">
        <v>21120</v>
      </c>
      <c r="I127" s="207"/>
      <c r="J127" s="208">
        <v>85000</v>
      </c>
      <c r="K127" s="209">
        <f t="shared" si="6"/>
        <v>6226.8400000000402</v>
      </c>
      <c r="L127" s="163"/>
    </row>
    <row r="128" spans="1:12" s="143" customFormat="1" ht="17.25" customHeight="1">
      <c r="A128" s="143">
        <f t="shared" si="7"/>
        <v>5</v>
      </c>
      <c r="B128" s="158">
        <v>41779</v>
      </c>
      <c r="C128" s="159" t="s">
        <v>163</v>
      </c>
      <c r="D128" s="158">
        <v>41779</v>
      </c>
      <c r="E128" s="160" t="s">
        <v>161</v>
      </c>
      <c r="F128" s="163">
        <f t="shared" si="5"/>
        <v>63450000</v>
      </c>
      <c r="G128" s="161" t="s">
        <v>36</v>
      </c>
      <c r="H128" s="206">
        <v>21150</v>
      </c>
      <c r="I128" s="207">
        <v>3000</v>
      </c>
      <c r="J128" s="208"/>
      <c r="K128" s="209">
        <f t="shared" si="6"/>
        <v>9226.8400000000402</v>
      </c>
      <c r="L128" s="163"/>
    </row>
    <row r="129" spans="1:12" s="143" customFormat="1" ht="17.25" customHeight="1">
      <c r="A129" s="143">
        <f t="shared" si="7"/>
        <v>5</v>
      </c>
      <c r="B129" s="158">
        <v>41779</v>
      </c>
      <c r="C129" s="159" t="s">
        <v>160</v>
      </c>
      <c r="D129" s="158">
        <v>41779</v>
      </c>
      <c r="E129" s="160" t="s">
        <v>709</v>
      </c>
      <c r="F129" s="163">
        <f t="shared" si="5"/>
        <v>190197670.79999998</v>
      </c>
      <c r="G129" s="161" t="s">
        <v>190</v>
      </c>
      <c r="H129" s="206">
        <v>21180</v>
      </c>
      <c r="I129" s="207"/>
      <c r="J129" s="208">
        <v>8980.06</v>
      </c>
      <c r="K129" s="209">
        <f t="shared" si="6"/>
        <v>246.78000000004067</v>
      </c>
      <c r="L129" s="163"/>
    </row>
    <row r="130" spans="1:12" s="143" customFormat="1" ht="17.25" customHeight="1">
      <c r="A130" s="143">
        <f t="shared" si="7"/>
        <v>5</v>
      </c>
      <c r="B130" s="158">
        <v>41785</v>
      </c>
      <c r="C130" s="159" t="s">
        <v>163</v>
      </c>
      <c r="D130" s="158">
        <v>41785</v>
      </c>
      <c r="E130" s="160" t="s">
        <v>175</v>
      </c>
      <c r="F130" s="163">
        <f t="shared" si="5"/>
        <v>30922.799999999999</v>
      </c>
      <c r="G130" s="161" t="s">
        <v>176</v>
      </c>
      <c r="H130" s="206">
        <v>21180</v>
      </c>
      <c r="I130" s="207">
        <v>1.46</v>
      </c>
      <c r="J130" s="208"/>
      <c r="K130" s="209">
        <f t="shared" si="6"/>
        <v>248.24000000004068</v>
      </c>
      <c r="L130" s="163"/>
    </row>
    <row r="131" spans="1:12" s="143" customFormat="1" ht="17.25" customHeight="1">
      <c r="A131" s="143">
        <f t="shared" si="7"/>
        <v>6</v>
      </c>
      <c r="B131" s="158">
        <v>41803</v>
      </c>
      <c r="C131" s="159" t="s">
        <v>163</v>
      </c>
      <c r="D131" s="158">
        <v>41803</v>
      </c>
      <c r="E131" s="160" t="s">
        <v>686</v>
      </c>
      <c r="F131" s="163">
        <f t="shared" si="5"/>
        <v>1029967497.0000001</v>
      </c>
      <c r="G131" s="161" t="s">
        <v>190</v>
      </c>
      <c r="H131" s="206">
        <v>21190</v>
      </c>
      <c r="I131" s="207">
        <v>48606.3</v>
      </c>
      <c r="J131" s="208"/>
      <c r="K131" s="209">
        <f t="shared" si="6"/>
        <v>48854.540000000045</v>
      </c>
      <c r="L131" s="163"/>
    </row>
    <row r="132" spans="1:12" s="143" customFormat="1" ht="17.25" customHeight="1">
      <c r="A132" s="143">
        <f t="shared" si="7"/>
        <v>6</v>
      </c>
      <c r="B132" s="158">
        <v>41808</v>
      </c>
      <c r="C132" s="159" t="s">
        <v>160</v>
      </c>
      <c r="D132" s="158">
        <v>41808</v>
      </c>
      <c r="E132" s="160" t="s">
        <v>698</v>
      </c>
      <c r="F132" s="163">
        <f t="shared" si="5"/>
        <v>10970910.6</v>
      </c>
      <c r="G132" s="161" t="s">
        <v>166</v>
      </c>
      <c r="H132" s="206">
        <v>21190</v>
      </c>
      <c r="I132" s="207"/>
      <c r="J132" s="208">
        <v>517.74</v>
      </c>
      <c r="K132" s="209">
        <f t="shared" si="6"/>
        <v>48336.800000000047</v>
      </c>
      <c r="L132" s="163"/>
    </row>
    <row r="133" spans="1:12" s="143" customFormat="1" ht="17.25" customHeight="1">
      <c r="A133" s="143">
        <f t="shared" si="7"/>
        <v>6</v>
      </c>
      <c r="B133" s="158">
        <v>41808</v>
      </c>
      <c r="C133" s="159" t="s">
        <v>160</v>
      </c>
      <c r="D133" s="158">
        <v>41808</v>
      </c>
      <c r="E133" s="160" t="s">
        <v>699</v>
      </c>
      <c r="F133" s="163">
        <f t="shared" si="5"/>
        <v>11267570.6</v>
      </c>
      <c r="G133" s="161" t="s">
        <v>166</v>
      </c>
      <c r="H133" s="206">
        <v>21190</v>
      </c>
      <c r="I133" s="207"/>
      <c r="J133" s="208">
        <v>531.74</v>
      </c>
      <c r="K133" s="209">
        <f t="shared" si="6"/>
        <v>47805.060000000049</v>
      </c>
      <c r="L133" s="163"/>
    </row>
    <row r="134" spans="1:12" s="143" customFormat="1" ht="17.25" customHeight="1">
      <c r="A134" s="143">
        <f t="shared" si="7"/>
        <v>6</v>
      </c>
      <c r="B134" s="158">
        <v>41808</v>
      </c>
      <c r="C134" s="159" t="s">
        <v>160</v>
      </c>
      <c r="D134" s="158">
        <v>41808</v>
      </c>
      <c r="E134" s="160" t="s">
        <v>704</v>
      </c>
      <c r="F134" s="163">
        <f t="shared" si="5"/>
        <v>11623350.699999999</v>
      </c>
      <c r="G134" s="161" t="s">
        <v>166</v>
      </c>
      <c r="H134" s="206">
        <v>21190</v>
      </c>
      <c r="I134" s="207"/>
      <c r="J134" s="208">
        <v>548.53</v>
      </c>
      <c r="K134" s="209">
        <f t="shared" si="6"/>
        <v>47256.53000000005</v>
      </c>
      <c r="L134" s="163"/>
    </row>
    <row r="135" spans="1:12" s="143" customFormat="1" ht="17.25" customHeight="1">
      <c r="A135" s="143">
        <f t="shared" si="7"/>
        <v>6</v>
      </c>
      <c r="B135" s="158">
        <v>41808</v>
      </c>
      <c r="C135" s="159" t="s">
        <v>160</v>
      </c>
      <c r="D135" s="158">
        <v>41808</v>
      </c>
      <c r="E135" s="160" t="s">
        <v>708</v>
      </c>
      <c r="F135" s="163">
        <f t="shared" si="5"/>
        <v>11311433.899999999</v>
      </c>
      <c r="G135" s="161" t="s">
        <v>166</v>
      </c>
      <c r="H135" s="206">
        <v>21190</v>
      </c>
      <c r="I135" s="207"/>
      <c r="J135" s="208">
        <v>533.80999999999995</v>
      </c>
      <c r="K135" s="209">
        <f t="shared" si="6"/>
        <v>46722.720000000052</v>
      </c>
      <c r="L135" s="163"/>
    </row>
    <row r="136" spans="1:12" s="143" customFormat="1" ht="17.25" customHeight="1">
      <c r="A136" s="143">
        <f t="shared" si="7"/>
        <v>6</v>
      </c>
      <c r="B136" s="158">
        <v>41808</v>
      </c>
      <c r="C136" s="159" t="s">
        <v>160</v>
      </c>
      <c r="D136" s="158">
        <v>41808</v>
      </c>
      <c r="E136" s="160" t="s">
        <v>652</v>
      </c>
      <c r="F136" s="163">
        <f t="shared" si="5"/>
        <v>10733794.5</v>
      </c>
      <c r="G136" s="161" t="s">
        <v>166</v>
      </c>
      <c r="H136" s="206">
        <v>21190</v>
      </c>
      <c r="I136" s="207"/>
      <c r="J136" s="208">
        <v>506.55</v>
      </c>
      <c r="K136" s="209">
        <f t="shared" si="6"/>
        <v>46216.170000000049</v>
      </c>
      <c r="L136" s="163"/>
    </row>
    <row r="137" spans="1:12" s="143" customFormat="1" ht="17.25" customHeight="1">
      <c r="A137" s="143">
        <f t="shared" si="7"/>
        <v>6</v>
      </c>
      <c r="B137" s="158">
        <v>41810</v>
      </c>
      <c r="C137" s="159" t="s">
        <v>160</v>
      </c>
      <c r="D137" s="158">
        <v>41810</v>
      </c>
      <c r="E137" s="354" t="s">
        <v>710</v>
      </c>
      <c r="F137" s="163">
        <f t="shared" si="5"/>
        <v>50008</v>
      </c>
      <c r="G137" s="161" t="s">
        <v>247</v>
      </c>
      <c r="H137" s="206">
        <v>21280</v>
      </c>
      <c r="I137" s="207"/>
      <c r="J137" s="208">
        <v>2.35</v>
      </c>
      <c r="K137" s="209">
        <f t="shared" si="6"/>
        <v>46213.820000000051</v>
      </c>
      <c r="L137" s="163"/>
    </row>
    <row r="138" spans="1:12" s="143" customFormat="1" ht="17.25" customHeight="1">
      <c r="A138" s="143">
        <f t="shared" si="7"/>
        <v>6</v>
      </c>
      <c r="B138" s="158">
        <v>41810</v>
      </c>
      <c r="C138" s="159" t="s">
        <v>160</v>
      </c>
      <c r="D138" s="158">
        <v>41810</v>
      </c>
      <c r="E138" s="160" t="s">
        <v>711</v>
      </c>
      <c r="F138" s="163">
        <f t="shared" si="5"/>
        <v>4894.4000000000005</v>
      </c>
      <c r="G138" s="161" t="s">
        <v>35</v>
      </c>
      <c r="H138" s="206">
        <v>21280</v>
      </c>
      <c r="I138" s="207"/>
      <c r="J138" s="208">
        <v>0.23</v>
      </c>
      <c r="K138" s="209">
        <f t="shared" si="6"/>
        <v>46213.590000000047</v>
      </c>
      <c r="L138" s="163"/>
    </row>
    <row r="139" spans="1:12" s="143" customFormat="1" ht="17.25" customHeight="1">
      <c r="A139" s="143">
        <f t="shared" si="7"/>
        <v>6</v>
      </c>
      <c r="B139" s="158">
        <v>41810</v>
      </c>
      <c r="C139" s="159" t="s">
        <v>160</v>
      </c>
      <c r="D139" s="158">
        <v>41810</v>
      </c>
      <c r="E139" s="160" t="s">
        <v>710</v>
      </c>
      <c r="F139" s="163">
        <f t="shared" si="5"/>
        <v>50008</v>
      </c>
      <c r="G139" s="161" t="s">
        <v>247</v>
      </c>
      <c r="H139" s="206">
        <v>21280</v>
      </c>
      <c r="I139" s="207"/>
      <c r="J139" s="208">
        <v>2.35</v>
      </c>
      <c r="K139" s="209">
        <f t="shared" si="6"/>
        <v>46211.240000000049</v>
      </c>
      <c r="L139" s="163"/>
    </row>
    <row r="140" spans="1:12" s="143" customFormat="1" ht="17.25" customHeight="1">
      <c r="A140" s="143">
        <f t="shared" si="7"/>
        <v>6</v>
      </c>
      <c r="B140" s="158">
        <v>41810</v>
      </c>
      <c r="C140" s="159" t="s">
        <v>160</v>
      </c>
      <c r="D140" s="158">
        <v>41810</v>
      </c>
      <c r="E140" s="160" t="s">
        <v>711</v>
      </c>
      <c r="F140" s="163">
        <f t="shared" ref="F140:F203" si="8">(I140+J140)*H140</f>
        <v>4894.4000000000005</v>
      </c>
      <c r="G140" s="161" t="s">
        <v>35</v>
      </c>
      <c r="H140" s="206">
        <v>21280</v>
      </c>
      <c r="I140" s="207"/>
      <c r="J140" s="208">
        <v>0.23</v>
      </c>
      <c r="K140" s="209">
        <f t="shared" si="6"/>
        <v>46211.010000000046</v>
      </c>
      <c r="L140" s="163"/>
    </row>
    <row r="141" spans="1:12" s="143" customFormat="1" ht="17.25" customHeight="1">
      <c r="A141" s="143">
        <f t="shared" si="7"/>
        <v>6</v>
      </c>
      <c r="B141" s="158">
        <v>41810</v>
      </c>
      <c r="C141" s="159" t="s">
        <v>160</v>
      </c>
      <c r="D141" s="158">
        <v>41810</v>
      </c>
      <c r="E141" s="160" t="s">
        <v>710</v>
      </c>
      <c r="F141" s="163">
        <f t="shared" si="8"/>
        <v>50008</v>
      </c>
      <c r="G141" s="161" t="s">
        <v>247</v>
      </c>
      <c r="H141" s="206">
        <v>21280</v>
      </c>
      <c r="I141" s="207"/>
      <c r="J141" s="208">
        <v>2.35</v>
      </c>
      <c r="K141" s="209">
        <f t="shared" ref="K141:K176" si="9">IF(B141&lt;&gt;"",K140+I141-J141,0)</f>
        <v>46208.660000000047</v>
      </c>
      <c r="L141" s="163"/>
    </row>
    <row r="142" spans="1:12" s="143" customFormat="1" ht="17.25" customHeight="1">
      <c r="A142" s="143">
        <f t="shared" ref="A142:A176" si="10">IF(B142&lt;&gt;"",MONTH(B142),"")</f>
        <v>6</v>
      </c>
      <c r="B142" s="158">
        <v>41810</v>
      </c>
      <c r="C142" s="159" t="s">
        <v>160</v>
      </c>
      <c r="D142" s="158">
        <v>41810</v>
      </c>
      <c r="E142" s="160" t="s">
        <v>711</v>
      </c>
      <c r="F142" s="163">
        <f t="shared" si="8"/>
        <v>4894.4000000000005</v>
      </c>
      <c r="G142" s="161" t="s">
        <v>35</v>
      </c>
      <c r="H142" s="206">
        <v>21280</v>
      </c>
      <c r="I142" s="207"/>
      <c r="J142" s="208">
        <v>0.23</v>
      </c>
      <c r="K142" s="209">
        <f t="shared" si="9"/>
        <v>46208.430000000044</v>
      </c>
      <c r="L142" s="163"/>
    </row>
    <row r="143" spans="1:12" s="143" customFormat="1" ht="17.25" customHeight="1">
      <c r="A143" s="143">
        <f t="shared" si="10"/>
        <v>6</v>
      </c>
      <c r="B143" s="158">
        <v>41810</v>
      </c>
      <c r="C143" s="159" t="s">
        <v>160</v>
      </c>
      <c r="D143" s="158">
        <v>41810</v>
      </c>
      <c r="E143" s="160" t="s">
        <v>682</v>
      </c>
      <c r="F143" s="163">
        <f t="shared" si="8"/>
        <v>980030000</v>
      </c>
      <c r="G143" s="161" t="s">
        <v>36</v>
      </c>
      <c r="H143" s="206">
        <v>21305</v>
      </c>
      <c r="I143" s="207"/>
      <c r="J143" s="208">
        <v>46000</v>
      </c>
      <c r="K143" s="209">
        <f t="shared" si="9"/>
        <v>208.43000000004395</v>
      </c>
      <c r="L143" s="163"/>
    </row>
    <row r="144" spans="1:12" s="143" customFormat="1" ht="17.25" customHeight="1">
      <c r="A144" s="143">
        <f t="shared" si="10"/>
        <v>6</v>
      </c>
      <c r="B144" s="158">
        <v>41810</v>
      </c>
      <c r="C144" s="159" t="s">
        <v>160</v>
      </c>
      <c r="D144" s="158">
        <v>41810</v>
      </c>
      <c r="E144" s="160" t="s">
        <v>712</v>
      </c>
      <c r="F144" s="163">
        <f t="shared" si="8"/>
        <v>319200</v>
      </c>
      <c r="G144" s="161" t="s">
        <v>247</v>
      </c>
      <c r="H144" s="206">
        <v>21280</v>
      </c>
      <c r="I144" s="207"/>
      <c r="J144" s="208">
        <v>15</v>
      </c>
      <c r="K144" s="209">
        <f t="shared" si="9"/>
        <v>193.43000000004395</v>
      </c>
      <c r="L144" s="163"/>
    </row>
    <row r="145" spans="1:12" s="143" customFormat="1" ht="17.25" customHeight="1">
      <c r="A145" s="143">
        <f t="shared" si="10"/>
        <v>6</v>
      </c>
      <c r="B145" s="158">
        <v>41810</v>
      </c>
      <c r="C145" s="159" t="s">
        <v>160</v>
      </c>
      <c r="D145" s="158">
        <v>41810</v>
      </c>
      <c r="E145" s="160" t="s">
        <v>713</v>
      </c>
      <c r="F145" s="163">
        <f t="shared" si="8"/>
        <v>31920</v>
      </c>
      <c r="G145" s="161" t="s">
        <v>35</v>
      </c>
      <c r="H145" s="206">
        <v>21280</v>
      </c>
      <c r="I145" s="207"/>
      <c r="J145" s="208">
        <v>1.5</v>
      </c>
      <c r="K145" s="209">
        <f t="shared" si="9"/>
        <v>191.93000000004395</v>
      </c>
      <c r="L145" s="163"/>
    </row>
    <row r="146" spans="1:12" s="143" customFormat="1" ht="17.25" customHeight="1">
      <c r="A146" s="143">
        <f>IF(B146&lt;&gt;"",MONTH(B146),"")</f>
        <v>6</v>
      </c>
      <c r="B146" s="158">
        <v>41815</v>
      </c>
      <c r="C146" s="159" t="s">
        <v>163</v>
      </c>
      <c r="D146" s="158">
        <v>41815</v>
      </c>
      <c r="E146" s="160" t="s">
        <v>175</v>
      </c>
      <c r="F146" s="163">
        <f t="shared" si="8"/>
        <v>20216</v>
      </c>
      <c r="G146" s="161" t="s">
        <v>176</v>
      </c>
      <c r="H146" s="206">
        <v>21280</v>
      </c>
      <c r="I146" s="207">
        <v>0.95</v>
      </c>
      <c r="J146" s="208"/>
      <c r="K146" s="209">
        <f>IF(B146&lt;&gt;"",K145+I146-J146,0)</f>
        <v>192.88000000004394</v>
      </c>
      <c r="L146" s="163"/>
    </row>
    <row r="147" spans="1:12" s="143" customFormat="1" ht="17.25" customHeight="1">
      <c r="A147" s="143">
        <f>IF(B147&lt;&gt;"",MONTH(B147),"")</f>
        <v>6</v>
      </c>
      <c r="B147" s="158">
        <v>41816</v>
      </c>
      <c r="C147" s="159" t="s">
        <v>163</v>
      </c>
      <c r="D147" s="158">
        <v>41816</v>
      </c>
      <c r="E147" s="160" t="s">
        <v>714</v>
      </c>
      <c r="F147" s="163">
        <f t="shared" si="8"/>
        <v>957932660.60000002</v>
      </c>
      <c r="G147" s="161" t="s">
        <v>190</v>
      </c>
      <c r="H147" s="206">
        <v>21310</v>
      </c>
      <c r="I147" s="207">
        <v>44952.26</v>
      </c>
      <c r="J147" s="208"/>
      <c r="K147" s="209">
        <f>IF(B147&lt;&gt;"",K146+I147-J147,0)</f>
        <v>45145.140000000043</v>
      </c>
      <c r="L147" s="163"/>
    </row>
    <row r="148" spans="1:12" s="143" customFormat="1" ht="17.25" customHeight="1">
      <c r="A148" s="143">
        <f t="shared" si="10"/>
        <v>6</v>
      </c>
      <c r="B148" s="158">
        <v>41816</v>
      </c>
      <c r="C148" s="159" t="s">
        <v>163</v>
      </c>
      <c r="D148" s="158">
        <v>41816</v>
      </c>
      <c r="E148" s="160" t="s">
        <v>715</v>
      </c>
      <c r="F148" s="163">
        <f t="shared" si="8"/>
        <v>1276800000</v>
      </c>
      <c r="G148" s="161" t="s">
        <v>162</v>
      </c>
      <c r="H148" s="206">
        <v>21280</v>
      </c>
      <c r="I148" s="207">
        <v>60000</v>
      </c>
      <c r="J148" s="208"/>
      <c r="K148" s="209">
        <f t="shared" si="9"/>
        <v>105145.14000000004</v>
      </c>
      <c r="L148" s="163"/>
    </row>
    <row r="149" spans="1:12" s="143" customFormat="1" ht="17.25" customHeight="1">
      <c r="A149" s="143">
        <f t="shared" si="10"/>
        <v>6</v>
      </c>
      <c r="B149" s="158">
        <v>41816</v>
      </c>
      <c r="C149" s="159" t="s">
        <v>160</v>
      </c>
      <c r="D149" s="158">
        <v>41816</v>
      </c>
      <c r="E149" s="160" t="s">
        <v>716</v>
      </c>
      <c r="F149" s="163">
        <f t="shared" si="8"/>
        <v>1971175000</v>
      </c>
      <c r="G149" s="161" t="s">
        <v>355</v>
      </c>
      <c r="H149" s="206">
        <v>21310</v>
      </c>
      <c r="I149" s="207"/>
      <c r="J149" s="208">
        <v>92500</v>
      </c>
      <c r="K149" s="209">
        <f t="shared" si="9"/>
        <v>12645.140000000043</v>
      </c>
      <c r="L149" s="163"/>
    </row>
    <row r="150" spans="1:12" s="143" customFormat="1" ht="17.25" customHeight="1">
      <c r="A150" s="143">
        <f t="shared" si="10"/>
        <v>6</v>
      </c>
      <c r="B150" s="158">
        <v>41817</v>
      </c>
      <c r="C150" s="159" t="s">
        <v>163</v>
      </c>
      <c r="D150" s="158">
        <v>41817</v>
      </c>
      <c r="E150" s="160" t="s">
        <v>717</v>
      </c>
      <c r="F150" s="163">
        <f t="shared" si="8"/>
        <v>976856816.00000012</v>
      </c>
      <c r="G150" s="161" t="s">
        <v>190</v>
      </c>
      <c r="H150" s="206">
        <v>21320</v>
      </c>
      <c r="I150" s="207">
        <v>45818.8</v>
      </c>
      <c r="J150" s="208"/>
      <c r="K150" s="209">
        <f t="shared" si="9"/>
        <v>58463.940000000046</v>
      </c>
      <c r="L150" s="163"/>
    </row>
    <row r="151" spans="1:12" s="143" customFormat="1" ht="17.25" customHeight="1">
      <c r="A151" s="143">
        <f t="shared" si="10"/>
        <v>6</v>
      </c>
      <c r="B151" s="158">
        <v>41817</v>
      </c>
      <c r="C151" s="159" t="s">
        <v>163</v>
      </c>
      <c r="D151" s="158">
        <v>41817</v>
      </c>
      <c r="E151" s="160" t="s">
        <v>718</v>
      </c>
      <c r="F151" s="163">
        <f t="shared" si="8"/>
        <v>1925196000</v>
      </c>
      <c r="G151" s="161" t="s">
        <v>355</v>
      </c>
      <c r="H151" s="206">
        <v>21320</v>
      </c>
      <c r="I151" s="207">
        <v>90300</v>
      </c>
      <c r="J151" s="208"/>
      <c r="K151" s="209">
        <f t="shared" si="9"/>
        <v>148763.94000000006</v>
      </c>
      <c r="L151" s="163"/>
    </row>
    <row r="152" spans="1:12" s="143" customFormat="1" ht="17.25" customHeight="1">
      <c r="A152" s="143">
        <f t="shared" si="10"/>
        <v>6</v>
      </c>
      <c r="B152" s="158">
        <v>41817</v>
      </c>
      <c r="C152" s="159" t="s">
        <v>160</v>
      </c>
      <c r="D152" s="158">
        <v>41817</v>
      </c>
      <c r="E152" s="160" t="s">
        <v>682</v>
      </c>
      <c r="F152" s="163">
        <f t="shared" si="8"/>
        <v>1925196000</v>
      </c>
      <c r="G152" s="161" t="s">
        <v>36</v>
      </c>
      <c r="H152" s="206">
        <v>21320</v>
      </c>
      <c r="I152" s="207"/>
      <c r="J152" s="208">
        <v>90300</v>
      </c>
      <c r="K152" s="209">
        <f t="shared" si="9"/>
        <v>58463.940000000061</v>
      </c>
      <c r="L152" s="163"/>
    </row>
    <row r="153" spans="1:12" s="143" customFormat="1" ht="17.25" customHeight="1">
      <c r="A153" s="143">
        <f t="shared" si="10"/>
        <v>7</v>
      </c>
      <c r="B153" s="158">
        <v>41821</v>
      </c>
      <c r="C153" s="159" t="s">
        <v>163</v>
      </c>
      <c r="D153" s="158">
        <v>41821</v>
      </c>
      <c r="E153" s="160" t="s">
        <v>161</v>
      </c>
      <c r="F153" s="163">
        <f t="shared" si="8"/>
        <v>781044000</v>
      </c>
      <c r="G153" s="161" t="s">
        <v>36</v>
      </c>
      <c r="H153" s="206">
        <v>21340</v>
      </c>
      <c r="I153" s="207">
        <v>36600</v>
      </c>
      <c r="J153" s="208"/>
      <c r="K153" s="209">
        <f t="shared" si="9"/>
        <v>95063.940000000061</v>
      </c>
      <c r="L153" s="163"/>
    </row>
    <row r="154" spans="1:12" s="143" customFormat="1" ht="17.25" customHeight="1">
      <c r="A154" s="143">
        <f t="shared" si="10"/>
        <v>7</v>
      </c>
      <c r="B154" s="158">
        <v>41821</v>
      </c>
      <c r="C154" s="159" t="s">
        <v>160</v>
      </c>
      <c r="D154" s="158">
        <v>41821</v>
      </c>
      <c r="E154" s="160" t="s">
        <v>719</v>
      </c>
      <c r="F154" s="163">
        <f t="shared" si="8"/>
        <v>2027300000</v>
      </c>
      <c r="G154" s="161" t="s">
        <v>355</v>
      </c>
      <c r="H154" s="206">
        <v>21340</v>
      </c>
      <c r="I154" s="207"/>
      <c r="J154" s="208">
        <v>95000</v>
      </c>
      <c r="K154" s="209">
        <f t="shared" si="9"/>
        <v>63.940000000060536</v>
      </c>
      <c r="L154" s="163"/>
    </row>
    <row r="155" spans="1:12" s="143" customFormat="1" ht="17.25" customHeight="1">
      <c r="A155" s="143">
        <f t="shared" si="10"/>
        <v>7</v>
      </c>
      <c r="B155" s="158">
        <v>41822</v>
      </c>
      <c r="C155" s="159" t="s">
        <v>163</v>
      </c>
      <c r="D155" s="158">
        <v>41822</v>
      </c>
      <c r="E155" s="160" t="s">
        <v>720</v>
      </c>
      <c r="F155" s="163">
        <f t="shared" si="8"/>
        <v>2024925000</v>
      </c>
      <c r="G155" s="161" t="s">
        <v>355</v>
      </c>
      <c r="H155" s="206">
        <v>21315</v>
      </c>
      <c r="I155" s="207">
        <v>95000</v>
      </c>
      <c r="J155" s="208"/>
      <c r="K155" s="209">
        <f t="shared" si="9"/>
        <v>95063.940000000061</v>
      </c>
      <c r="L155" s="163"/>
    </row>
    <row r="156" spans="1:12" s="143" customFormat="1" ht="17.25" customHeight="1">
      <c r="A156" s="143">
        <f t="shared" si="10"/>
        <v>7</v>
      </c>
      <c r="B156" s="158">
        <v>41822</v>
      </c>
      <c r="C156" s="159" t="s">
        <v>160</v>
      </c>
      <c r="D156" s="158">
        <v>41822</v>
      </c>
      <c r="E156" s="160" t="s">
        <v>682</v>
      </c>
      <c r="F156" s="163">
        <f t="shared" si="8"/>
        <v>2024925000</v>
      </c>
      <c r="G156" s="161" t="s">
        <v>36</v>
      </c>
      <c r="H156" s="206">
        <v>21315</v>
      </c>
      <c r="I156" s="207"/>
      <c r="J156" s="208">
        <v>95000</v>
      </c>
      <c r="K156" s="209">
        <f t="shared" si="9"/>
        <v>63.940000000060536</v>
      </c>
      <c r="L156" s="163"/>
    </row>
    <row r="157" spans="1:12" s="143" customFormat="1" ht="17.25" customHeight="1">
      <c r="A157" s="143">
        <f t="shared" si="10"/>
        <v>7</v>
      </c>
      <c r="B157" s="158">
        <v>41827</v>
      </c>
      <c r="C157" s="159" t="s">
        <v>163</v>
      </c>
      <c r="D157" s="158">
        <v>41827</v>
      </c>
      <c r="E157" s="160" t="s">
        <v>703</v>
      </c>
      <c r="F157" s="163">
        <f t="shared" si="8"/>
        <v>1574070000</v>
      </c>
      <c r="G157" s="161" t="s">
        <v>190</v>
      </c>
      <c r="H157" s="206">
        <v>21300</v>
      </c>
      <c r="I157" s="207">
        <v>73900</v>
      </c>
      <c r="J157" s="208"/>
      <c r="K157" s="209">
        <f t="shared" si="9"/>
        <v>73963.940000000061</v>
      </c>
      <c r="L157" s="163"/>
    </row>
    <row r="158" spans="1:12" s="143" customFormat="1" ht="17.25" customHeight="1">
      <c r="A158" s="143">
        <f t="shared" si="10"/>
        <v>7</v>
      </c>
      <c r="B158" s="158">
        <v>41827</v>
      </c>
      <c r="C158" s="159" t="s">
        <v>160</v>
      </c>
      <c r="D158" s="158">
        <v>41827</v>
      </c>
      <c r="E158" s="160" t="s">
        <v>165</v>
      </c>
      <c r="F158" s="163">
        <f t="shared" si="8"/>
        <v>5258544</v>
      </c>
      <c r="G158" s="161" t="s">
        <v>166</v>
      </c>
      <c r="H158" s="206">
        <v>21300</v>
      </c>
      <c r="I158" s="207"/>
      <c r="J158" s="208">
        <v>246.88</v>
      </c>
      <c r="K158" s="209">
        <f t="shared" si="9"/>
        <v>73717.060000000056</v>
      </c>
      <c r="L158" s="163"/>
    </row>
    <row r="159" spans="1:12" s="143" customFormat="1" ht="17.25" customHeight="1">
      <c r="A159" s="143">
        <f t="shared" si="10"/>
        <v>7</v>
      </c>
      <c r="B159" s="158">
        <v>41827</v>
      </c>
      <c r="C159" s="159" t="s">
        <v>160</v>
      </c>
      <c r="D159" s="158">
        <v>41827</v>
      </c>
      <c r="E159" s="160" t="s">
        <v>721</v>
      </c>
      <c r="F159" s="163">
        <f t="shared" si="8"/>
        <v>212500</v>
      </c>
      <c r="G159" s="161" t="s">
        <v>247</v>
      </c>
      <c r="H159" s="206">
        <v>21250</v>
      </c>
      <c r="I159" s="207"/>
      <c r="J159" s="208">
        <v>10</v>
      </c>
      <c r="K159" s="209">
        <f t="shared" si="9"/>
        <v>73707.060000000056</v>
      </c>
      <c r="L159" s="163"/>
    </row>
    <row r="160" spans="1:12" s="143" customFormat="1" ht="17.25" customHeight="1">
      <c r="A160" s="143">
        <f>IF(B160&lt;&gt;"",MONTH(B160),"")</f>
        <v>7</v>
      </c>
      <c r="B160" s="158">
        <v>41827</v>
      </c>
      <c r="C160" s="159" t="s">
        <v>160</v>
      </c>
      <c r="D160" s="158">
        <v>41827</v>
      </c>
      <c r="E160" s="160" t="s">
        <v>722</v>
      </c>
      <c r="F160" s="163">
        <f t="shared" si="8"/>
        <v>21250</v>
      </c>
      <c r="G160" s="161" t="s">
        <v>35</v>
      </c>
      <c r="H160" s="206">
        <v>21250</v>
      </c>
      <c r="I160" s="207"/>
      <c r="J160" s="208">
        <v>1</v>
      </c>
      <c r="K160" s="209">
        <f>IF(B160&lt;&gt;"",K159+I160-J160,0)</f>
        <v>73706.060000000056</v>
      </c>
      <c r="L160" s="163"/>
    </row>
    <row r="161" spans="1:12" s="143" customFormat="1" ht="17.25" customHeight="1">
      <c r="A161" s="143">
        <f>IF(B161&lt;&gt;"",MONTH(B161),"")</f>
        <v>7</v>
      </c>
      <c r="B161" s="158">
        <v>41827</v>
      </c>
      <c r="C161" s="159" t="s">
        <v>160</v>
      </c>
      <c r="D161" s="158">
        <v>41827</v>
      </c>
      <c r="E161" s="160" t="s">
        <v>612</v>
      </c>
      <c r="F161" s="163">
        <f t="shared" si="8"/>
        <v>586925</v>
      </c>
      <c r="G161" s="161" t="s">
        <v>247</v>
      </c>
      <c r="H161" s="206">
        <v>21250</v>
      </c>
      <c r="I161" s="207"/>
      <c r="J161" s="208">
        <v>27.62</v>
      </c>
      <c r="K161" s="209">
        <f>IF(B161&lt;&gt;"",K160+I161-J161,0)</f>
        <v>73678.440000000061</v>
      </c>
      <c r="L161" s="163"/>
    </row>
    <row r="162" spans="1:12" s="143" customFormat="1" ht="17.25" customHeight="1">
      <c r="A162" s="143">
        <f>IF(B162&lt;&gt;"",MONTH(B162),"")</f>
        <v>7</v>
      </c>
      <c r="B162" s="158">
        <v>41827</v>
      </c>
      <c r="C162" s="159" t="s">
        <v>160</v>
      </c>
      <c r="D162" s="158">
        <v>41827</v>
      </c>
      <c r="E162" s="160" t="s">
        <v>613</v>
      </c>
      <c r="F162" s="163">
        <f t="shared" si="8"/>
        <v>58649.999999999993</v>
      </c>
      <c r="G162" s="161" t="s">
        <v>35</v>
      </c>
      <c r="H162" s="206">
        <v>21250</v>
      </c>
      <c r="I162" s="207"/>
      <c r="J162" s="208">
        <v>2.76</v>
      </c>
      <c r="K162" s="209">
        <f>IF(B162&lt;&gt;"",K161+I162-J162,0)</f>
        <v>73675.680000000066</v>
      </c>
      <c r="L162" s="163"/>
    </row>
    <row r="163" spans="1:12" s="143" customFormat="1" ht="17.25" customHeight="1">
      <c r="A163" s="143">
        <f t="shared" si="10"/>
        <v>7</v>
      </c>
      <c r="B163" s="158">
        <v>41827</v>
      </c>
      <c r="C163" s="159" t="s">
        <v>160</v>
      </c>
      <c r="D163" s="158">
        <v>41827</v>
      </c>
      <c r="E163" s="160" t="s">
        <v>167</v>
      </c>
      <c r="F163" s="163">
        <f t="shared" si="8"/>
        <v>13693925</v>
      </c>
      <c r="G163" s="161" t="s">
        <v>166</v>
      </c>
      <c r="H163" s="206">
        <v>21250</v>
      </c>
      <c r="I163" s="207"/>
      <c r="J163" s="208">
        <v>644.41999999999996</v>
      </c>
      <c r="K163" s="209">
        <f t="shared" si="9"/>
        <v>73031.260000000068</v>
      </c>
      <c r="L163" s="163"/>
    </row>
    <row r="164" spans="1:12" s="143" customFormat="1" ht="17.25" customHeight="1">
      <c r="A164" s="143">
        <f t="shared" si="10"/>
        <v>7</v>
      </c>
      <c r="B164" s="158">
        <v>41827</v>
      </c>
      <c r="C164" s="159" t="s">
        <v>160</v>
      </c>
      <c r="D164" s="158">
        <v>41827</v>
      </c>
      <c r="E164" s="160" t="s">
        <v>168</v>
      </c>
      <c r="F164" s="163">
        <f t="shared" si="8"/>
        <v>8540587.5</v>
      </c>
      <c r="G164" s="161" t="s">
        <v>166</v>
      </c>
      <c r="H164" s="206">
        <v>21250</v>
      </c>
      <c r="I164" s="207"/>
      <c r="J164" s="208">
        <v>401.91</v>
      </c>
      <c r="K164" s="209">
        <f t="shared" si="9"/>
        <v>72629.350000000064</v>
      </c>
      <c r="L164" s="163"/>
    </row>
    <row r="165" spans="1:12" s="143" customFormat="1" ht="17.25" customHeight="1">
      <c r="A165" s="143">
        <f t="shared" si="10"/>
        <v>7</v>
      </c>
      <c r="B165" s="158">
        <v>41827</v>
      </c>
      <c r="C165" s="159" t="s">
        <v>160</v>
      </c>
      <c r="D165" s="158">
        <v>41827</v>
      </c>
      <c r="E165" s="160" t="s">
        <v>169</v>
      </c>
      <c r="F165" s="163">
        <f t="shared" si="8"/>
        <v>11956100</v>
      </c>
      <c r="G165" s="161" t="s">
        <v>166</v>
      </c>
      <c r="H165" s="206">
        <v>21250</v>
      </c>
      <c r="I165" s="207"/>
      <c r="J165" s="208">
        <v>562.64</v>
      </c>
      <c r="K165" s="209">
        <f t="shared" si="9"/>
        <v>72066.710000000065</v>
      </c>
      <c r="L165" s="163"/>
    </row>
    <row r="166" spans="1:12" s="143" customFormat="1" ht="17.25" customHeight="1">
      <c r="A166" s="143">
        <f t="shared" si="10"/>
        <v>7</v>
      </c>
      <c r="B166" s="158">
        <v>41828</v>
      </c>
      <c r="C166" s="159" t="s">
        <v>160</v>
      </c>
      <c r="D166" s="158">
        <v>41828</v>
      </c>
      <c r="E166" s="160" t="s">
        <v>682</v>
      </c>
      <c r="F166" s="163">
        <f t="shared" si="8"/>
        <v>1487850000</v>
      </c>
      <c r="G166" s="161" t="s">
        <v>36</v>
      </c>
      <c r="H166" s="206">
        <v>21255</v>
      </c>
      <c r="I166" s="207"/>
      <c r="J166" s="208">
        <v>70000</v>
      </c>
      <c r="K166" s="209">
        <f t="shared" si="9"/>
        <v>2066.7100000000646</v>
      </c>
      <c r="L166" s="163"/>
    </row>
    <row r="167" spans="1:12" s="143" customFormat="1" ht="17.25" customHeight="1">
      <c r="A167" s="143">
        <f t="shared" si="10"/>
        <v>7</v>
      </c>
      <c r="B167" s="158">
        <v>41835</v>
      </c>
      <c r="C167" s="159" t="s">
        <v>163</v>
      </c>
      <c r="D167" s="158">
        <v>41835</v>
      </c>
      <c r="E167" s="160" t="s">
        <v>703</v>
      </c>
      <c r="F167" s="163">
        <f t="shared" si="8"/>
        <v>77332951.5</v>
      </c>
      <c r="G167" s="161" t="s">
        <v>190</v>
      </c>
      <c r="H167" s="206">
        <v>21170</v>
      </c>
      <c r="I167" s="207">
        <v>3652.95</v>
      </c>
      <c r="J167" s="208"/>
      <c r="K167" s="209">
        <f t="shared" si="9"/>
        <v>5719.6600000000644</v>
      </c>
      <c r="L167" s="163"/>
    </row>
    <row r="168" spans="1:12" s="143" customFormat="1" ht="17.25" customHeight="1">
      <c r="A168" s="143">
        <f t="shared" si="10"/>
        <v>7</v>
      </c>
      <c r="B168" s="158">
        <v>41835</v>
      </c>
      <c r="C168" s="159" t="s">
        <v>163</v>
      </c>
      <c r="D168" s="158">
        <v>41835</v>
      </c>
      <c r="E168" s="160" t="s">
        <v>714</v>
      </c>
      <c r="F168" s="163">
        <f t="shared" si="8"/>
        <v>952092170.5</v>
      </c>
      <c r="G168" s="161" t="s">
        <v>190</v>
      </c>
      <c r="H168" s="206">
        <v>21170</v>
      </c>
      <c r="I168" s="207">
        <v>44973.65</v>
      </c>
      <c r="J168" s="208"/>
      <c r="K168" s="209">
        <f t="shared" si="9"/>
        <v>50693.310000000063</v>
      </c>
      <c r="L168" s="163"/>
    </row>
    <row r="169" spans="1:12" s="143" customFormat="1" ht="17.25" customHeight="1">
      <c r="A169" s="143">
        <f t="shared" si="10"/>
        <v>7</v>
      </c>
      <c r="B169" s="158">
        <v>41836</v>
      </c>
      <c r="C169" s="159" t="s">
        <v>163</v>
      </c>
      <c r="D169" s="158">
        <v>41836</v>
      </c>
      <c r="E169" s="160" t="s">
        <v>683</v>
      </c>
      <c r="F169" s="163">
        <f t="shared" si="8"/>
        <v>273888230</v>
      </c>
      <c r="G169" s="161" t="s">
        <v>190</v>
      </c>
      <c r="H169" s="206">
        <v>21230</v>
      </c>
      <c r="I169" s="207">
        <v>12901</v>
      </c>
      <c r="J169" s="208"/>
      <c r="K169" s="209">
        <f t="shared" si="9"/>
        <v>63594.310000000063</v>
      </c>
      <c r="L169" s="163"/>
    </row>
    <row r="170" spans="1:12" s="143" customFormat="1" ht="17.25" customHeight="1">
      <c r="A170" s="143">
        <f t="shared" si="10"/>
        <v>7</v>
      </c>
      <c r="B170" s="158">
        <v>41836</v>
      </c>
      <c r="C170" s="159" t="s">
        <v>160</v>
      </c>
      <c r="D170" s="158">
        <v>41836</v>
      </c>
      <c r="E170" s="160" t="s">
        <v>682</v>
      </c>
      <c r="F170" s="163">
        <f t="shared" si="8"/>
        <v>1059500000</v>
      </c>
      <c r="G170" s="161" t="s">
        <v>36</v>
      </c>
      <c r="H170" s="206">
        <v>21190</v>
      </c>
      <c r="I170" s="207"/>
      <c r="J170" s="208">
        <v>50000</v>
      </c>
      <c r="K170" s="209">
        <f t="shared" si="9"/>
        <v>13594.310000000063</v>
      </c>
      <c r="L170" s="163"/>
    </row>
    <row r="171" spans="1:12" s="143" customFormat="1" ht="17.25" customHeight="1">
      <c r="A171" s="143">
        <f>IF(B171&lt;&gt;"",MONTH(B171),"")</f>
        <v>7</v>
      </c>
      <c r="B171" s="158">
        <v>41836</v>
      </c>
      <c r="C171" s="159" t="s">
        <v>160</v>
      </c>
      <c r="D171" s="158">
        <v>41836</v>
      </c>
      <c r="E171" s="160" t="s">
        <v>721</v>
      </c>
      <c r="F171" s="163">
        <f t="shared" si="8"/>
        <v>212300</v>
      </c>
      <c r="G171" s="161" t="s">
        <v>247</v>
      </c>
      <c r="H171" s="206">
        <v>21230</v>
      </c>
      <c r="I171" s="207"/>
      <c r="J171" s="208">
        <v>10</v>
      </c>
      <c r="K171" s="209">
        <f>IF(B171&lt;&gt;"",K170+I171-J171,0)</f>
        <v>13584.310000000063</v>
      </c>
      <c r="L171" s="163"/>
    </row>
    <row r="172" spans="1:12" s="143" customFormat="1" ht="17.25" customHeight="1">
      <c r="A172" s="143">
        <f t="shared" si="10"/>
        <v>7</v>
      </c>
      <c r="B172" s="158">
        <v>41836</v>
      </c>
      <c r="C172" s="159" t="s">
        <v>160</v>
      </c>
      <c r="D172" s="158">
        <v>41836</v>
      </c>
      <c r="E172" s="160" t="s">
        <v>722</v>
      </c>
      <c r="F172" s="163">
        <f t="shared" si="8"/>
        <v>21230</v>
      </c>
      <c r="G172" s="161" t="s">
        <v>35</v>
      </c>
      <c r="H172" s="206">
        <v>21230</v>
      </c>
      <c r="I172" s="207"/>
      <c r="J172" s="208">
        <v>1</v>
      </c>
      <c r="K172" s="209">
        <f t="shared" si="9"/>
        <v>13583.310000000063</v>
      </c>
      <c r="L172" s="163"/>
    </row>
    <row r="173" spans="1:12" s="143" customFormat="1" ht="17.25" customHeight="1">
      <c r="A173" s="143">
        <f t="shared" si="10"/>
        <v>7</v>
      </c>
      <c r="B173" s="158">
        <v>41836</v>
      </c>
      <c r="C173" s="159" t="s">
        <v>160</v>
      </c>
      <c r="D173" s="158">
        <v>41836</v>
      </c>
      <c r="E173" s="160" t="s">
        <v>612</v>
      </c>
      <c r="F173" s="163">
        <f t="shared" si="8"/>
        <v>586372.6</v>
      </c>
      <c r="G173" s="161" t="s">
        <v>247</v>
      </c>
      <c r="H173" s="206">
        <v>21230</v>
      </c>
      <c r="I173" s="207"/>
      <c r="J173" s="208">
        <v>27.62</v>
      </c>
      <c r="K173" s="209">
        <f t="shared" si="9"/>
        <v>13555.690000000062</v>
      </c>
      <c r="L173" s="163"/>
    </row>
    <row r="174" spans="1:12" s="143" customFormat="1" ht="17.25" customHeight="1">
      <c r="A174" s="143">
        <f>IF(B174&lt;&gt;"",MONTH(B174),"")</f>
        <v>7</v>
      </c>
      <c r="B174" s="158">
        <v>41836</v>
      </c>
      <c r="C174" s="159" t="s">
        <v>160</v>
      </c>
      <c r="D174" s="158">
        <v>41836</v>
      </c>
      <c r="E174" s="160" t="s">
        <v>613</v>
      </c>
      <c r="F174" s="163">
        <f t="shared" si="8"/>
        <v>58594.799999999996</v>
      </c>
      <c r="G174" s="161" t="s">
        <v>35</v>
      </c>
      <c r="H174" s="206">
        <v>21230</v>
      </c>
      <c r="I174" s="207"/>
      <c r="J174" s="208">
        <v>2.76</v>
      </c>
      <c r="K174" s="209">
        <f>IF(B174&lt;&gt;"",K173+I174-J174,0)</f>
        <v>13552.930000000062</v>
      </c>
      <c r="L174" s="163"/>
    </row>
    <row r="175" spans="1:12" s="143" customFormat="1" ht="17.25" customHeight="1">
      <c r="A175" s="143">
        <f t="shared" si="10"/>
        <v>7</v>
      </c>
      <c r="B175" s="158">
        <v>41836</v>
      </c>
      <c r="C175" s="159" t="s">
        <v>160</v>
      </c>
      <c r="D175" s="158">
        <v>41836</v>
      </c>
      <c r="E175" s="160" t="s">
        <v>612</v>
      </c>
      <c r="F175" s="163">
        <f t="shared" si="8"/>
        <v>758760.20000000007</v>
      </c>
      <c r="G175" s="161" t="s">
        <v>247</v>
      </c>
      <c r="H175" s="206">
        <v>21230</v>
      </c>
      <c r="I175" s="207"/>
      <c r="J175" s="208">
        <v>35.74</v>
      </c>
      <c r="K175" s="209">
        <f t="shared" si="9"/>
        <v>13517.190000000062</v>
      </c>
      <c r="L175" s="163"/>
    </row>
    <row r="176" spans="1:12" s="143" customFormat="1" ht="17.25" customHeight="1">
      <c r="A176" s="143">
        <f t="shared" si="10"/>
        <v>7</v>
      </c>
      <c r="B176" s="158">
        <v>41836</v>
      </c>
      <c r="C176" s="159" t="s">
        <v>160</v>
      </c>
      <c r="D176" s="158">
        <v>41836</v>
      </c>
      <c r="E176" s="160" t="s">
        <v>613</v>
      </c>
      <c r="F176" s="163">
        <f t="shared" si="8"/>
        <v>75791.099999999991</v>
      </c>
      <c r="G176" s="161" t="s">
        <v>35</v>
      </c>
      <c r="H176" s="206">
        <v>21230</v>
      </c>
      <c r="I176" s="207"/>
      <c r="J176" s="208">
        <v>3.57</v>
      </c>
      <c r="K176" s="209">
        <f t="shared" si="9"/>
        <v>13513.620000000063</v>
      </c>
      <c r="L176" s="163"/>
    </row>
    <row r="177" spans="1:12" s="143" customFormat="1" ht="17.25" customHeight="1">
      <c r="A177" s="143">
        <f t="shared" ref="A177:A240" si="11">IF(B177&lt;&gt;"",MONTH(B177),"")</f>
        <v>7</v>
      </c>
      <c r="B177" s="158">
        <v>41838</v>
      </c>
      <c r="C177" s="159" t="s">
        <v>160</v>
      </c>
      <c r="D177" s="158">
        <v>41838</v>
      </c>
      <c r="E177" s="160" t="s">
        <v>704</v>
      </c>
      <c r="F177" s="163">
        <f t="shared" si="8"/>
        <v>11269520.9</v>
      </c>
      <c r="G177" s="161" t="s">
        <v>166</v>
      </c>
      <c r="H177" s="206">
        <v>21230</v>
      </c>
      <c r="I177" s="207"/>
      <c r="J177" s="208">
        <v>530.83000000000004</v>
      </c>
      <c r="K177" s="209">
        <f t="shared" ref="K177:K240" si="12">IF(B177&lt;&gt;"",K176+I177-J177,0)</f>
        <v>12982.790000000063</v>
      </c>
      <c r="L177" s="163"/>
    </row>
    <row r="178" spans="1:12" s="143" customFormat="1" ht="17.25" customHeight="1">
      <c r="A178" s="143">
        <f t="shared" si="11"/>
        <v>7</v>
      </c>
      <c r="B178" s="158">
        <v>41838</v>
      </c>
      <c r="C178" s="159" t="s">
        <v>160</v>
      </c>
      <c r="D178" s="158">
        <v>41838</v>
      </c>
      <c r="E178" s="160" t="s">
        <v>708</v>
      </c>
      <c r="F178" s="163">
        <f t="shared" si="8"/>
        <v>10967205.700000001</v>
      </c>
      <c r="G178" s="161" t="s">
        <v>166</v>
      </c>
      <c r="H178" s="206">
        <v>21230</v>
      </c>
      <c r="I178" s="207"/>
      <c r="J178" s="208">
        <v>516.59</v>
      </c>
      <c r="K178" s="209">
        <f t="shared" si="12"/>
        <v>12466.200000000063</v>
      </c>
      <c r="L178" s="163"/>
    </row>
    <row r="179" spans="1:12" s="143" customFormat="1" ht="17.25" customHeight="1">
      <c r="A179" s="143">
        <f t="shared" si="11"/>
        <v>7</v>
      </c>
      <c r="B179" s="158">
        <v>41838</v>
      </c>
      <c r="C179" s="159" t="s">
        <v>160</v>
      </c>
      <c r="D179" s="158">
        <v>41838</v>
      </c>
      <c r="E179" s="160" t="s">
        <v>652</v>
      </c>
      <c r="F179" s="163">
        <f t="shared" si="8"/>
        <v>10407158.299999999</v>
      </c>
      <c r="G179" s="161" t="s">
        <v>166</v>
      </c>
      <c r="H179" s="206">
        <v>21230</v>
      </c>
      <c r="I179" s="207"/>
      <c r="J179" s="208">
        <v>490.21</v>
      </c>
      <c r="K179" s="209">
        <f t="shared" si="12"/>
        <v>11975.990000000063</v>
      </c>
      <c r="L179" s="163"/>
    </row>
    <row r="180" spans="1:12" s="143" customFormat="1" ht="17.25" customHeight="1">
      <c r="A180" s="143">
        <f t="shared" si="11"/>
        <v>7</v>
      </c>
      <c r="B180" s="158">
        <v>41841</v>
      </c>
      <c r="C180" s="159" t="s">
        <v>160</v>
      </c>
      <c r="D180" s="158">
        <v>41841</v>
      </c>
      <c r="E180" s="160" t="s">
        <v>596</v>
      </c>
      <c r="F180" s="163">
        <f t="shared" si="8"/>
        <v>317850</v>
      </c>
      <c r="G180" s="161" t="s">
        <v>247</v>
      </c>
      <c r="H180" s="206">
        <v>21190</v>
      </c>
      <c r="I180" s="207"/>
      <c r="J180" s="208">
        <v>15</v>
      </c>
      <c r="K180" s="209">
        <f t="shared" si="12"/>
        <v>11960.990000000063</v>
      </c>
      <c r="L180" s="163"/>
    </row>
    <row r="181" spans="1:12" s="143" customFormat="1" ht="17.25" customHeight="1">
      <c r="A181" s="143">
        <f t="shared" si="11"/>
        <v>7</v>
      </c>
      <c r="B181" s="158">
        <v>41841</v>
      </c>
      <c r="C181" s="159" t="s">
        <v>160</v>
      </c>
      <c r="D181" s="158">
        <v>41841</v>
      </c>
      <c r="E181" s="160" t="s">
        <v>650</v>
      </c>
      <c r="F181" s="163">
        <f t="shared" si="8"/>
        <v>31785</v>
      </c>
      <c r="G181" s="161" t="s">
        <v>35</v>
      </c>
      <c r="H181" s="206">
        <v>21190</v>
      </c>
      <c r="I181" s="207"/>
      <c r="J181" s="208">
        <v>1.5</v>
      </c>
      <c r="K181" s="209">
        <f t="shared" si="12"/>
        <v>11959.490000000063</v>
      </c>
      <c r="L181" s="163"/>
    </row>
    <row r="182" spans="1:12" s="143" customFormat="1" ht="17.25" customHeight="1">
      <c r="A182" s="143">
        <f t="shared" si="11"/>
        <v>7</v>
      </c>
      <c r="B182" s="158">
        <v>41842</v>
      </c>
      <c r="C182" s="159" t="s">
        <v>163</v>
      </c>
      <c r="D182" s="158">
        <v>41842</v>
      </c>
      <c r="E182" s="160" t="s">
        <v>700</v>
      </c>
      <c r="F182" s="163">
        <f t="shared" si="8"/>
        <v>460040000</v>
      </c>
      <c r="G182" s="161" t="s">
        <v>162</v>
      </c>
      <c r="H182" s="206">
        <v>21200</v>
      </c>
      <c r="I182" s="207">
        <v>21700</v>
      </c>
      <c r="J182" s="208"/>
      <c r="K182" s="209">
        <f t="shared" si="12"/>
        <v>33659.490000000063</v>
      </c>
      <c r="L182" s="163"/>
    </row>
    <row r="183" spans="1:12" s="143" customFormat="1" ht="17.25" customHeight="1">
      <c r="A183" s="143">
        <f t="shared" si="11"/>
        <v>7</v>
      </c>
      <c r="B183" s="158">
        <v>41842</v>
      </c>
      <c r="C183" s="159" t="s">
        <v>160</v>
      </c>
      <c r="D183" s="158">
        <v>41842</v>
      </c>
      <c r="E183" s="160" t="s">
        <v>682</v>
      </c>
      <c r="F183" s="163">
        <f t="shared" si="8"/>
        <v>712992000</v>
      </c>
      <c r="G183" s="161" t="s">
        <v>36</v>
      </c>
      <c r="H183" s="206">
        <v>21220</v>
      </c>
      <c r="I183" s="207"/>
      <c r="J183" s="208">
        <v>33600</v>
      </c>
      <c r="K183" s="209">
        <f t="shared" si="12"/>
        <v>59.490000000063446</v>
      </c>
      <c r="L183" s="163"/>
    </row>
    <row r="184" spans="1:12" s="143" customFormat="1" ht="17.25" customHeight="1">
      <c r="A184" s="143">
        <f t="shared" si="11"/>
        <v>7</v>
      </c>
      <c r="B184" s="158">
        <v>41843</v>
      </c>
      <c r="C184" s="159" t="s">
        <v>163</v>
      </c>
      <c r="D184" s="158">
        <v>41843</v>
      </c>
      <c r="E184" s="160" t="s">
        <v>683</v>
      </c>
      <c r="F184" s="163">
        <f t="shared" si="8"/>
        <v>12753111.1</v>
      </c>
      <c r="G184" s="161" t="s">
        <v>190</v>
      </c>
      <c r="H184" s="206">
        <v>21205</v>
      </c>
      <c r="I184" s="207">
        <v>601.41999999999996</v>
      </c>
      <c r="J184" s="208"/>
      <c r="K184" s="209">
        <f t="shared" si="12"/>
        <v>660.91000000006341</v>
      </c>
      <c r="L184" s="163"/>
    </row>
    <row r="185" spans="1:12" s="143" customFormat="1" ht="17.25" customHeight="1">
      <c r="A185" s="143">
        <f t="shared" si="11"/>
        <v>7</v>
      </c>
      <c r="B185" s="158">
        <v>41845</v>
      </c>
      <c r="C185" s="159" t="s">
        <v>163</v>
      </c>
      <c r="D185" s="158">
        <v>41845</v>
      </c>
      <c r="E185" s="160" t="s">
        <v>175</v>
      </c>
      <c r="F185" s="163">
        <f t="shared" si="8"/>
        <v>27142.400000000001</v>
      </c>
      <c r="G185" s="161" t="s">
        <v>176</v>
      </c>
      <c r="H185" s="206">
        <v>21205</v>
      </c>
      <c r="I185" s="207">
        <v>1.28</v>
      </c>
      <c r="J185" s="208"/>
      <c r="K185" s="209">
        <f t="shared" si="12"/>
        <v>662.19000000006338</v>
      </c>
      <c r="L185" s="163"/>
    </row>
    <row r="186" spans="1:12" s="143" customFormat="1" ht="17.25" customHeight="1">
      <c r="A186" s="143">
        <f t="shared" si="11"/>
        <v>7</v>
      </c>
      <c r="B186" s="158">
        <v>41849</v>
      </c>
      <c r="C186" s="159" t="s">
        <v>163</v>
      </c>
      <c r="D186" s="158">
        <v>41849</v>
      </c>
      <c r="E186" s="160" t="s">
        <v>686</v>
      </c>
      <c r="F186" s="163">
        <f t="shared" si="8"/>
        <v>2404530571.9499998</v>
      </c>
      <c r="G186" s="161" t="s">
        <v>190</v>
      </c>
      <c r="H186" s="206">
        <v>21195</v>
      </c>
      <c r="I186" s="207">
        <v>113448.01</v>
      </c>
      <c r="J186" s="208"/>
      <c r="K186" s="209">
        <f t="shared" si="12"/>
        <v>114110.20000000006</v>
      </c>
      <c r="L186" s="163"/>
    </row>
    <row r="187" spans="1:12" s="143" customFormat="1" ht="17.25" customHeight="1">
      <c r="A187" s="143">
        <f t="shared" si="11"/>
        <v>7</v>
      </c>
      <c r="B187" s="158">
        <v>41849</v>
      </c>
      <c r="C187" s="159" t="s">
        <v>160</v>
      </c>
      <c r="D187" s="158">
        <v>41849</v>
      </c>
      <c r="E187" s="160" t="s">
        <v>723</v>
      </c>
      <c r="F187" s="163">
        <f t="shared" si="8"/>
        <v>105975</v>
      </c>
      <c r="G187" s="161" t="s">
        <v>247</v>
      </c>
      <c r="H187" s="206">
        <v>21195</v>
      </c>
      <c r="I187" s="207"/>
      <c r="J187" s="208">
        <v>5</v>
      </c>
      <c r="K187" s="209">
        <f t="shared" si="12"/>
        <v>114105.20000000006</v>
      </c>
      <c r="L187" s="163"/>
    </row>
    <row r="188" spans="1:12" s="143" customFormat="1" ht="17.25" customHeight="1">
      <c r="A188" s="143">
        <f t="shared" si="11"/>
        <v>7</v>
      </c>
      <c r="B188" s="158">
        <v>41849</v>
      </c>
      <c r="C188" s="159" t="s">
        <v>160</v>
      </c>
      <c r="D188" s="158">
        <v>41849</v>
      </c>
      <c r="E188" s="160" t="s">
        <v>724</v>
      </c>
      <c r="F188" s="163">
        <f t="shared" si="8"/>
        <v>10597.5</v>
      </c>
      <c r="G188" s="161" t="s">
        <v>35</v>
      </c>
      <c r="H188" s="206">
        <v>21195</v>
      </c>
      <c r="I188" s="207"/>
      <c r="J188" s="208">
        <v>0.5</v>
      </c>
      <c r="K188" s="209">
        <f t="shared" si="12"/>
        <v>114104.70000000006</v>
      </c>
      <c r="L188" s="163"/>
    </row>
    <row r="189" spans="1:12" s="143" customFormat="1" ht="17.25" customHeight="1">
      <c r="A189" s="143">
        <f t="shared" si="11"/>
        <v>7</v>
      </c>
      <c r="B189" s="158">
        <v>41849</v>
      </c>
      <c r="C189" s="159" t="s">
        <v>160</v>
      </c>
      <c r="D189" s="158">
        <v>41849</v>
      </c>
      <c r="E189" s="160" t="s">
        <v>682</v>
      </c>
      <c r="F189" s="163">
        <f t="shared" si="8"/>
        <v>936022500</v>
      </c>
      <c r="G189" s="161" t="s">
        <v>36</v>
      </c>
      <c r="H189" s="206">
        <v>21225</v>
      </c>
      <c r="I189" s="207"/>
      <c r="J189" s="208">
        <v>44100</v>
      </c>
      <c r="K189" s="209">
        <f t="shared" si="12"/>
        <v>70004.700000000055</v>
      </c>
      <c r="L189" s="163"/>
    </row>
    <row r="190" spans="1:12" s="143" customFormat="1" ht="17.25" customHeight="1">
      <c r="A190" s="143">
        <f t="shared" si="11"/>
        <v>7</v>
      </c>
      <c r="B190" s="158">
        <v>41851</v>
      </c>
      <c r="C190" s="159" t="s">
        <v>160</v>
      </c>
      <c r="D190" s="158">
        <v>41851</v>
      </c>
      <c r="E190" s="160" t="s">
        <v>682</v>
      </c>
      <c r="F190" s="163">
        <f t="shared" si="8"/>
        <v>106100000</v>
      </c>
      <c r="G190" s="161" t="s">
        <v>36</v>
      </c>
      <c r="H190" s="206">
        <v>21220</v>
      </c>
      <c r="I190" s="207"/>
      <c r="J190" s="208">
        <v>5000</v>
      </c>
      <c r="K190" s="209">
        <f t="shared" si="12"/>
        <v>65004.700000000055</v>
      </c>
      <c r="L190" s="163"/>
    </row>
    <row r="191" spans="1:12" s="143" customFormat="1" ht="17.25" customHeight="1">
      <c r="A191" s="143">
        <f t="shared" si="11"/>
        <v>8</v>
      </c>
      <c r="B191" s="158">
        <v>41855</v>
      </c>
      <c r="C191" s="159" t="s">
        <v>160</v>
      </c>
      <c r="D191" s="158">
        <v>41855</v>
      </c>
      <c r="E191" s="160" t="s">
        <v>682</v>
      </c>
      <c r="F191" s="163">
        <f t="shared" si="8"/>
        <v>106125000</v>
      </c>
      <c r="G191" s="161" t="s">
        <v>36</v>
      </c>
      <c r="H191" s="206">
        <v>21225</v>
      </c>
      <c r="I191" s="207"/>
      <c r="J191" s="208">
        <v>5000</v>
      </c>
      <c r="K191" s="209">
        <f t="shared" si="12"/>
        <v>60004.700000000055</v>
      </c>
      <c r="L191" s="163"/>
    </row>
    <row r="192" spans="1:12" s="143" customFormat="1" ht="17.25" customHeight="1">
      <c r="A192" s="143">
        <f t="shared" si="11"/>
        <v>8</v>
      </c>
      <c r="B192" s="158">
        <v>41856</v>
      </c>
      <c r="C192" s="159" t="s">
        <v>160</v>
      </c>
      <c r="D192" s="158">
        <v>41856</v>
      </c>
      <c r="E192" s="160" t="s">
        <v>725</v>
      </c>
      <c r="F192" s="163">
        <f t="shared" si="8"/>
        <v>1273500000</v>
      </c>
      <c r="G192" s="161" t="s">
        <v>355</v>
      </c>
      <c r="H192" s="206">
        <v>21225</v>
      </c>
      <c r="I192" s="207"/>
      <c r="J192" s="208">
        <v>60000</v>
      </c>
      <c r="K192" s="209">
        <f t="shared" si="12"/>
        <v>4.7000000000552973</v>
      </c>
      <c r="L192" s="163"/>
    </row>
    <row r="193" spans="1:12" s="143" customFormat="1" ht="17.25" customHeight="1">
      <c r="A193" s="143">
        <f t="shared" si="11"/>
        <v>8</v>
      </c>
      <c r="B193" s="158">
        <v>41857</v>
      </c>
      <c r="C193" s="159" t="s">
        <v>163</v>
      </c>
      <c r="D193" s="158">
        <v>41857</v>
      </c>
      <c r="E193" s="160" t="s">
        <v>726</v>
      </c>
      <c r="F193" s="163">
        <f t="shared" si="8"/>
        <v>1273500000</v>
      </c>
      <c r="G193" s="161" t="s">
        <v>355</v>
      </c>
      <c r="H193" s="206">
        <v>21225</v>
      </c>
      <c r="I193" s="207">
        <v>60000</v>
      </c>
      <c r="J193" s="208"/>
      <c r="K193" s="209">
        <f t="shared" si="12"/>
        <v>60004.700000000055</v>
      </c>
      <c r="L193" s="163"/>
    </row>
    <row r="194" spans="1:12" s="143" customFormat="1" ht="17.25" customHeight="1">
      <c r="A194" s="143">
        <f t="shared" si="11"/>
        <v>8</v>
      </c>
      <c r="B194" s="158">
        <v>41857</v>
      </c>
      <c r="C194" s="159" t="s">
        <v>160</v>
      </c>
      <c r="D194" s="158">
        <v>41857</v>
      </c>
      <c r="E194" s="160" t="s">
        <v>682</v>
      </c>
      <c r="F194" s="163">
        <f t="shared" si="8"/>
        <v>1272300000</v>
      </c>
      <c r="G194" s="161" t="s">
        <v>36</v>
      </c>
      <c r="H194" s="206">
        <v>21205</v>
      </c>
      <c r="I194" s="207"/>
      <c r="J194" s="208">
        <v>60000</v>
      </c>
      <c r="K194" s="209">
        <f t="shared" si="12"/>
        <v>4.7000000000552973</v>
      </c>
      <c r="L194" s="163"/>
    </row>
    <row r="195" spans="1:12" s="143" customFormat="1" ht="17.25" customHeight="1">
      <c r="A195" s="143">
        <f t="shared" si="11"/>
        <v>8</v>
      </c>
      <c r="B195" s="158">
        <v>41869</v>
      </c>
      <c r="C195" s="159" t="s">
        <v>163</v>
      </c>
      <c r="D195" s="158">
        <v>41869</v>
      </c>
      <c r="E195" s="160" t="s">
        <v>717</v>
      </c>
      <c r="F195" s="163">
        <f t="shared" si="8"/>
        <v>416458142.09999996</v>
      </c>
      <c r="G195" s="161" t="s">
        <v>190</v>
      </c>
      <c r="H195" s="206">
        <v>21205</v>
      </c>
      <c r="I195" s="207">
        <v>19639.62</v>
      </c>
      <c r="J195" s="208"/>
      <c r="K195" s="209">
        <f t="shared" si="12"/>
        <v>19644.320000000054</v>
      </c>
      <c r="L195" s="163"/>
    </row>
    <row r="196" spans="1:12" s="143" customFormat="1" ht="17.25" customHeight="1">
      <c r="A196" s="143">
        <f t="shared" si="11"/>
        <v>8</v>
      </c>
      <c r="B196" s="158">
        <v>41870</v>
      </c>
      <c r="C196" s="159" t="s">
        <v>160</v>
      </c>
      <c r="D196" s="158">
        <v>41870</v>
      </c>
      <c r="E196" s="160" t="s">
        <v>725</v>
      </c>
      <c r="F196" s="163">
        <f t="shared" si="8"/>
        <v>415618000</v>
      </c>
      <c r="G196" s="161" t="s">
        <v>355</v>
      </c>
      <c r="H196" s="206">
        <v>21205</v>
      </c>
      <c r="I196" s="207"/>
      <c r="J196" s="208">
        <v>19600</v>
      </c>
      <c r="K196" s="209">
        <f t="shared" si="12"/>
        <v>44.320000000054279</v>
      </c>
      <c r="L196" s="163"/>
    </row>
    <row r="197" spans="1:12" s="143" customFormat="1" ht="17.25" customHeight="1">
      <c r="A197" s="143">
        <f t="shared" si="11"/>
        <v>8</v>
      </c>
      <c r="B197" s="158">
        <v>41871</v>
      </c>
      <c r="C197" s="159" t="s">
        <v>163</v>
      </c>
      <c r="D197" s="158">
        <v>41871</v>
      </c>
      <c r="E197" s="160" t="s">
        <v>727</v>
      </c>
      <c r="F197" s="163">
        <f t="shared" si="8"/>
        <v>806550000</v>
      </c>
      <c r="G197" s="161" t="s">
        <v>355</v>
      </c>
      <c r="H197" s="206">
        <v>21225</v>
      </c>
      <c r="I197" s="207">
        <v>38000</v>
      </c>
      <c r="J197" s="208"/>
      <c r="K197" s="209">
        <f t="shared" si="12"/>
        <v>38044.320000000051</v>
      </c>
      <c r="L197" s="163"/>
    </row>
    <row r="198" spans="1:12" s="143" customFormat="1" ht="17.25" customHeight="1">
      <c r="A198" s="143">
        <f t="shared" si="11"/>
        <v>8</v>
      </c>
      <c r="B198" s="158">
        <v>41871</v>
      </c>
      <c r="C198" s="159" t="s">
        <v>163</v>
      </c>
      <c r="D198" s="158">
        <v>41871</v>
      </c>
      <c r="E198" s="160" t="s">
        <v>728</v>
      </c>
      <c r="F198" s="163">
        <f t="shared" si="8"/>
        <v>861735000</v>
      </c>
      <c r="G198" s="161" t="s">
        <v>190</v>
      </c>
      <c r="H198" s="206">
        <v>21225</v>
      </c>
      <c r="I198" s="207">
        <v>40600</v>
      </c>
      <c r="J198" s="208"/>
      <c r="K198" s="209">
        <f t="shared" si="12"/>
        <v>78644.320000000051</v>
      </c>
      <c r="L198" s="163"/>
    </row>
    <row r="199" spans="1:12" s="143" customFormat="1" ht="17.25" customHeight="1">
      <c r="A199" s="143">
        <f t="shared" si="11"/>
        <v>8</v>
      </c>
      <c r="B199" s="158">
        <v>41871</v>
      </c>
      <c r="C199" s="159" t="s">
        <v>160</v>
      </c>
      <c r="D199" s="158">
        <v>41871</v>
      </c>
      <c r="E199" s="160" t="s">
        <v>729</v>
      </c>
      <c r="F199" s="163">
        <f t="shared" si="8"/>
        <v>796603.5</v>
      </c>
      <c r="G199" s="161" t="s">
        <v>247</v>
      </c>
      <c r="H199" s="206">
        <v>21175</v>
      </c>
      <c r="I199" s="207"/>
      <c r="J199" s="208">
        <v>37.619999999999997</v>
      </c>
      <c r="K199" s="209">
        <f t="shared" si="12"/>
        <v>78606.700000000055</v>
      </c>
      <c r="L199" s="163"/>
    </row>
    <row r="200" spans="1:12" s="143" customFormat="1" ht="17.25" customHeight="1">
      <c r="A200" s="143">
        <f t="shared" si="11"/>
        <v>8</v>
      </c>
      <c r="B200" s="158">
        <v>41871</v>
      </c>
      <c r="C200" s="159" t="s">
        <v>160</v>
      </c>
      <c r="D200" s="158">
        <v>41871</v>
      </c>
      <c r="E200" s="160" t="s">
        <v>730</v>
      </c>
      <c r="F200" s="163">
        <f t="shared" si="8"/>
        <v>79618</v>
      </c>
      <c r="G200" s="161" t="s">
        <v>35</v>
      </c>
      <c r="H200" s="206">
        <v>21175</v>
      </c>
      <c r="I200" s="207"/>
      <c r="J200" s="208">
        <v>3.76</v>
      </c>
      <c r="K200" s="209">
        <f t="shared" si="12"/>
        <v>78602.940000000061</v>
      </c>
      <c r="L200" s="163"/>
    </row>
    <row r="201" spans="1:12" s="143" customFormat="1" ht="17.25" customHeight="1">
      <c r="A201" s="143">
        <f t="shared" si="11"/>
        <v>8</v>
      </c>
      <c r="B201" s="158">
        <v>41871</v>
      </c>
      <c r="C201" s="159" t="s">
        <v>160</v>
      </c>
      <c r="D201" s="158">
        <v>41871</v>
      </c>
      <c r="E201" s="160" t="s">
        <v>731</v>
      </c>
      <c r="F201" s="163">
        <f t="shared" si="8"/>
        <v>390540000</v>
      </c>
      <c r="G201" s="161" t="s">
        <v>355</v>
      </c>
      <c r="H201" s="206">
        <v>21225</v>
      </c>
      <c r="I201" s="207"/>
      <c r="J201" s="208">
        <v>18400</v>
      </c>
      <c r="K201" s="209">
        <f t="shared" si="12"/>
        <v>60202.940000000061</v>
      </c>
      <c r="L201" s="163"/>
    </row>
    <row r="202" spans="1:12" s="143" customFormat="1" ht="17.25" customHeight="1">
      <c r="A202" s="143">
        <f t="shared" si="11"/>
        <v>8</v>
      </c>
      <c r="B202" s="158">
        <v>41871</v>
      </c>
      <c r="C202" s="159" t="s">
        <v>160</v>
      </c>
      <c r="D202" s="158">
        <v>41871</v>
      </c>
      <c r="E202" s="160" t="s">
        <v>704</v>
      </c>
      <c r="F202" s="163">
        <f t="shared" si="8"/>
        <v>9419018.25</v>
      </c>
      <c r="G202" s="161" t="s">
        <v>166</v>
      </c>
      <c r="H202" s="206">
        <v>21225</v>
      </c>
      <c r="I202" s="207"/>
      <c r="J202" s="208">
        <v>443.77</v>
      </c>
      <c r="K202" s="209">
        <f t="shared" si="12"/>
        <v>59759.170000000064</v>
      </c>
      <c r="L202" s="163"/>
    </row>
    <row r="203" spans="1:12" s="143" customFormat="1" ht="17.25" customHeight="1">
      <c r="A203" s="143">
        <f t="shared" si="11"/>
        <v>8</v>
      </c>
      <c r="B203" s="158">
        <v>41871</v>
      </c>
      <c r="C203" s="159" t="s">
        <v>160</v>
      </c>
      <c r="D203" s="158">
        <v>41871</v>
      </c>
      <c r="E203" s="160" t="s">
        <v>708</v>
      </c>
      <c r="F203" s="163">
        <f t="shared" si="8"/>
        <v>11336272.5</v>
      </c>
      <c r="G203" s="161" t="s">
        <v>166</v>
      </c>
      <c r="H203" s="206">
        <v>21225</v>
      </c>
      <c r="I203" s="207"/>
      <c r="J203" s="208">
        <v>534.1</v>
      </c>
      <c r="K203" s="209">
        <f t="shared" si="12"/>
        <v>59225.070000000065</v>
      </c>
      <c r="L203" s="163"/>
    </row>
    <row r="204" spans="1:12" s="143" customFormat="1" ht="17.25" customHeight="1">
      <c r="A204" s="143">
        <f t="shared" si="11"/>
        <v>8</v>
      </c>
      <c r="B204" s="158">
        <v>41871</v>
      </c>
      <c r="C204" s="159" t="s">
        <v>160</v>
      </c>
      <c r="D204" s="158">
        <v>41871</v>
      </c>
      <c r="E204" s="160" t="s">
        <v>652</v>
      </c>
      <c r="F204" s="163">
        <f t="shared" ref="F204:F267" si="13">(I204+J204)*H204</f>
        <v>10757254.5</v>
      </c>
      <c r="G204" s="161" t="s">
        <v>166</v>
      </c>
      <c r="H204" s="206">
        <v>21225</v>
      </c>
      <c r="I204" s="207"/>
      <c r="J204" s="208">
        <v>506.82</v>
      </c>
      <c r="K204" s="209">
        <f t="shared" si="12"/>
        <v>58718.250000000065</v>
      </c>
      <c r="L204" s="163"/>
    </row>
    <row r="205" spans="1:12" s="143" customFormat="1" ht="17.25" customHeight="1">
      <c r="A205" s="143">
        <f t="shared" si="11"/>
        <v>8</v>
      </c>
      <c r="B205" s="158">
        <v>41871</v>
      </c>
      <c r="C205" s="159" t="s">
        <v>160</v>
      </c>
      <c r="D205" s="158">
        <v>41871</v>
      </c>
      <c r="E205" s="160" t="s">
        <v>651</v>
      </c>
      <c r="F205" s="163">
        <f t="shared" si="13"/>
        <v>18004530.75</v>
      </c>
      <c r="G205" s="161" t="s">
        <v>166</v>
      </c>
      <c r="H205" s="206">
        <v>21225</v>
      </c>
      <c r="I205" s="207"/>
      <c r="J205" s="208">
        <v>848.27</v>
      </c>
      <c r="K205" s="209">
        <f t="shared" si="12"/>
        <v>57869.980000000069</v>
      </c>
      <c r="L205" s="163"/>
    </row>
    <row r="206" spans="1:12" s="143" customFormat="1" ht="17.25" customHeight="1">
      <c r="A206" s="143">
        <f t="shared" si="11"/>
        <v>8</v>
      </c>
      <c r="B206" s="158">
        <v>41871</v>
      </c>
      <c r="C206" s="159" t="s">
        <v>160</v>
      </c>
      <c r="D206" s="158">
        <v>41871</v>
      </c>
      <c r="E206" s="160" t="s">
        <v>653</v>
      </c>
      <c r="F206" s="163">
        <f t="shared" si="13"/>
        <v>17120509.5</v>
      </c>
      <c r="G206" s="161" t="s">
        <v>166</v>
      </c>
      <c r="H206" s="206">
        <v>21225</v>
      </c>
      <c r="I206" s="207"/>
      <c r="J206" s="208">
        <v>806.62</v>
      </c>
      <c r="K206" s="209">
        <f t="shared" si="12"/>
        <v>57063.360000000066</v>
      </c>
      <c r="L206" s="163"/>
    </row>
    <row r="207" spans="1:12" s="143" customFormat="1" ht="17.25" customHeight="1">
      <c r="A207" s="143">
        <f t="shared" si="11"/>
        <v>8</v>
      </c>
      <c r="B207" s="158">
        <v>41871</v>
      </c>
      <c r="C207" s="159" t="s">
        <v>160</v>
      </c>
      <c r="D207" s="158">
        <v>41871</v>
      </c>
      <c r="E207" s="160" t="s">
        <v>682</v>
      </c>
      <c r="F207" s="163">
        <f t="shared" si="13"/>
        <v>1207830000</v>
      </c>
      <c r="G207" s="161" t="s">
        <v>36</v>
      </c>
      <c r="H207" s="206">
        <v>21190</v>
      </c>
      <c r="I207" s="207"/>
      <c r="J207" s="208">
        <v>57000</v>
      </c>
      <c r="K207" s="209">
        <f t="shared" si="12"/>
        <v>63.360000000066066</v>
      </c>
      <c r="L207" s="163"/>
    </row>
    <row r="208" spans="1:12" s="143" customFormat="1" ht="17.25" customHeight="1">
      <c r="A208" s="143">
        <f t="shared" si="11"/>
        <v>8</v>
      </c>
      <c r="B208" s="158">
        <v>41873</v>
      </c>
      <c r="C208" s="159" t="s">
        <v>163</v>
      </c>
      <c r="D208" s="158">
        <v>41873</v>
      </c>
      <c r="E208" s="160" t="s">
        <v>714</v>
      </c>
      <c r="F208" s="163">
        <f t="shared" si="13"/>
        <v>634650000</v>
      </c>
      <c r="G208" s="161" t="s">
        <v>190</v>
      </c>
      <c r="H208" s="206">
        <v>21155</v>
      </c>
      <c r="I208" s="207">
        <v>30000</v>
      </c>
      <c r="J208" s="208"/>
      <c r="K208" s="209">
        <f t="shared" si="12"/>
        <v>30063.360000000066</v>
      </c>
      <c r="L208" s="163"/>
    </row>
    <row r="209" spans="1:12" s="143" customFormat="1" ht="17.25" customHeight="1">
      <c r="A209" s="143">
        <f t="shared" si="11"/>
        <v>8</v>
      </c>
      <c r="B209" s="158">
        <v>41876</v>
      </c>
      <c r="C209" s="159" t="s">
        <v>163</v>
      </c>
      <c r="D209" s="158">
        <v>41876</v>
      </c>
      <c r="E209" s="160" t="s">
        <v>175</v>
      </c>
      <c r="F209" s="163">
        <f t="shared" si="13"/>
        <v>31944.05</v>
      </c>
      <c r="G209" s="161" t="s">
        <v>176</v>
      </c>
      <c r="H209" s="206">
        <v>21155</v>
      </c>
      <c r="I209" s="207">
        <v>1.51</v>
      </c>
      <c r="J209" s="208"/>
      <c r="K209" s="209">
        <f t="shared" si="12"/>
        <v>30064.870000000064</v>
      </c>
      <c r="L209" s="163"/>
    </row>
    <row r="210" spans="1:12" s="143" customFormat="1" ht="17.25" customHeight="1">
      <c r="A210" s="143">
        <f t="shared" si="11"/>
        <v>8</v>
      </c>
      <c r="B210" s="158">
        <v>41876</v>
      </c>
      <c r="C210" s="159" t="s">
        <v>163</v>
      </c>
      <c r="D210" s="158">
        <v>41876</v>
      </c>
      <c r="E210" s="160" t="s">
        <v>717</v>
      </c>
      <c r="F210" s="163">
        <f t="shared" si="13"/>
        <v>702365653.19999993</v>
      </c>
      <c r="G210" s="161" t="s">
        <v>190</v>
      </c>
      <c r="H210" s="206">
        <v>21180</v>
      </c>
      <c r="I210" s="207">
        <v>33161.74</v>
      </c>
      <c r="J210" s="208"/>
      <c r="K210" s="209">
        <f t="shared" si="12"/>
        <v>63226.610000000059</v>
      </c>
      <c r="L210" s="163"/>
    </row>
    <row r="211" spans="1:12" s="143" customFormat="1" ht="17.25" customHeight="1">
      <c r="A211" s="143">
        <f t="shared" si="11"/>
        <v>8</v>
      </c>
      <c r="B211" s="158">
        <v>41876</v>
      </c>
      <c r="C211" s="159" t="s">
        <v>160</v>
      </c>
      <c r="D211" s="158">
        <v>41876</v>
      </c>
      <c r="E211" s="160" t="s">
        <v>682</v>
      </c>
      <c r="F211" s="163">
        <f t="shared" si="13"/>
        <v>1340156000</v>
      </c>
      <c r="G211" s="161" t="s">
        <v>36</v>
      </c>
      <c r="H211" s="206">
        <v>21205</v>
      </c>
      <c r="I211" s="207"/>
      <c r="J211" s="208">
        <v>63200</v>
      </c>
      <c r="K211" s="209">
        <f t="shared" si="12"/>
        <v>26.61000000005879</v>
      </c>
      <c r="L211" s="163"/>
    </row>
    <row r="212" spans="1:12" s="143" customFormat="1" ht="17.25" customHeight="1">
      <c r="A212" s="143">
        <f t="shared" si="11"/>
        <v>9</v>
      </c>
      <c r="B212" s="158">
        <v>41885</v>
      </c>
      <c r="C212" s="159" t="s">
        <v>163</v>
      </c>
      <c r="D212" s="158">
        <v>41885</v>
      </c>
      <c r="E212" s="160" t="s">
        <v>728</v>
      </c>
      <c r="F212" s="163">
        <f t="shared" si="13"/>
        <v>39935203</v>
      </c>
      <c r="G212" s="161" t="s">
        <v>190</v>
      </c>
      <c r="H212" s="206">
        <v>21175</v>
      </c>
      <c r="I212" s="207">
        <v>1885.96</v>
      </c>
      <c r="J212" s="208"/>
      <c r="K212" s="209">
        <f t="shared" si="12"/>
        <v>1912.5700000000588</v>
      </c>
      <c r="L212" s="163"/>
    </row>
    <row r="213" spans="1:12" s="143" customFormat="1" ht="17.25" customHeight="1">
      <c r="A213" s="143">
        <f t="shared" si="11"/>
        <v>9</v>
      </c>
      <c r="B213" s="158">
        <v>41887</v>
      </c>
      <c r="C213" s="159" t="s">
        <v>163</v>
      </c>
      <c r="D213" s="158">
        <v>41887</v>
      </c>
      <c r="E213" s="160" t="s">
        <v>732</v>
      </c>
      <c r="F213" s="163">
        <f t="shared" si="13"/>
        <v>978321377.0999999</v>
      </c>
      <c r="G213" s="161" t="s">
        <v>190</v>
      </c>
      <c r="H213" s="206">
        <v>21170</v>
      </c>
      <c r="I213" s="207">
        <v>46212.63</v>
      </c>
      <c r="J213" s="208"/>
      <c r="K213" s="209">
        <f t="shared" si="12"/>
        <v>48125.200000000055</v>
      </c>
      <c r="L213" s="163"/>
    </row>
    <row r="214" spans="1:12" s="143" customFormat="1" ht="17.25" customHeight="1">
      <c r="A214" s="143">
        <f t="shared" si="11"/>
        <v>9</v>
      </c>
      <c r="B214" s="158">
        <v>41888</v>
      </c>
      <c r="C214" s="159" t="s">
        <v>160</v>
      </c>
      <c r="D214" s="158">
        <v>41888</v>
      </c>
      <c r="E214" s="160" t="s">
        <v>165</v>
      </c>
      <c r="F214" s="163">
        <f t="shared" si="13"/>
        <v>4500530.3</v>
      </c>
      <c r="G214" s="161" t="s">
        <v>166</v>
      </c>
      <c r="H214" s="206">
        <v>21170</v>
      </c>
      <c r="I214" s="207"/>
      <c r="J214" s="208">
        <v>212.59</v>
      </c>
      <c r="K214" s="209">
        <f t="shared" si="12"/>
        <v>47912.610000000059</v>
      </c>
      <c r="L214" s="163"/>
    </row>
    <row r="215" spans="1:12" s="143" customFormat="1" ht="17.25" customHeight="1">
      <c r="A215" s="143">
        <f t="shared" si="11"/>
        <v>9</v>
      </c>
      <c r="B215" s="158">
        <v>41888</v>
      </c>
      <c r="C215" s="159" t="s">
        <v>160</v>
      </c>
      <c r="D215" s="158">
        <v>41888</v>
      </c>
      <c r="E215" s="160" t="s">
        <v>167</v>
      </c>
      <c r="F215" s="163">
        <f t="shared" si="13"/>
        <v>11747656.399999999</v>
      </c>
      <c r="G215" s="161" t="s">
        <v>166</v>
      </c>
      <c r="H215" s="206">
        <v>21170</v>
      </c>
      <c r="I215" s="207"/>
      <c r="J215" s="208">
        <v>554.91999999999996</v>
      </c>
      <c r="K215" s="209">
        <f t="shared" si="12"/>
        <v>47357.690000000061</v>
      </c>
      <c r="L215" s="163"/>
    </row>
    <row r="216" spans="1:12" s="143" customFormat="1" ht="17.25" customHeight="1">
      <c r="A216" s="143">
        <f t="shared" si="11"/>
        <v>9</v>
      </c>
      <c r="B216" s="158">
        <v>41888</v>
      </c>
      <c r="C216" s="159" t="s">
        <v>160</v>
      </c>
      <c r="D216" s="158">
        <v>41888</v>
      </c>
      <c r="E216" s="160" t="s">
        <v>168</v>
      </c>
      <c r="F216" s="163">
        <f t="shared" si="13"/>
        <v>7326725.2999999998</v>
      </c>
      <c r="G216" s="161" t="s">
        <v>166</v>
      </c>
      <c r="H216" s="206">
        <v>21170</v>
      </c>
      <c r="I216" s="207"/>
      <c r="J216" s="208">
        <v>346.09</v>
      </c>
      <c r="K216" s="209">
        <f t="shared" si="12"/>
        <v>47011.600000000064</v>
      </c>
      <c r="L216" s="163"/>
    </row>
    <row r="217" spans="1:12" s="143" customFormat="1" ht="17.25" customHeight="1">
      <c r="A217" s="143">
        <f t="shared" si="11"/>
        <v>9</v>
      </c>
      <c r="B217" s="158">
        <v>41888</v>
      </c>
      <c r="C217" s="159" t="s">
        <v>160</v>
      </c>
      <c r="D217" s="158">
        <v>41888</v>
      </c>
      <c r="E217" s="160" t="s">
        <v>169</v>
      </c>
      <c r="F217" s="163">
        <f t="shared" si="13"/>
        <v>10256653.300000001</v>
      </c>
      <c r="G217" s="161" t="s">
        <v>166</v>
      </c>
      <c r="H217" s="206">
        <v>21170</v>
      </c>
      <c r="I217" s="207"/>
      <c r="J217" s="208">
        <v>484.49</v>
      </c>
      <c r="K217" s="209">
        <f t="shared" si="12"/>
        <v>46527.110000000066</v>
      </c>
      <c r="L217" s="163"/>
    </row>
    <row r="218" spans="1:12" s="143" customFormat="1" ht="17.25" customHeight="1">
      <c r="A218" s="143">
        <f t="shared" si="11"/>
        <v>9</v>
      </c>
      <c r="B218" s="158">
        <v>41888</v>
      </c>
      <c r="C218" s="159" t="s">
        <v>160</v>
      </c>
      <c r="D218" s="158">
        <v>41888</v>
      </c>
      <c r="E218" s="160" t="s">
        <v>733</v>
      </c>
      <c r="F218" s="163">
        <f t="shared" si="13"/>
        <v>984405000</v>
      </c>
      <c r="G218" s="161" t="s">
        <v>355</v>
      </c>
      <c r="H218" s="206">
        <v>21170</v>
      </c>
      <c r="I218" s="207"/>
      <c r="J218" s="208">
        <v>46500</v>
      </c>
      <c r="K218" s="209">
        <f t="shared" si="12"/>
        <v>27.110000000066066</v>
      </c>
      <c r="L218" s="163"/>
    </row>
    <row r="219" spans="1:12" s="143" customFormat="1" ht="17.25" customHeight="1">
      <c r="A219" s="143">
        <f t="shared" si="11"/>
        <v>9</v>
      </c>
      <c r="B219" s="158">
        <v>41890</v>
      </c>
      <c r="C219" s="159" t="s">
        <v>163</v>
      </c>
      <c r="D219" s="158">
        <v>41890</v>
      </c>
      <c r="E219" s="160" t="s">
        <v>734</v>
      </c>
      <c r="F219" s="163">
        <f t="shared" si="13"/>
        <v>984405000</v>
      </c>
      <c r="G219" s="161" t="s">
        <v>355</v>
      </c>
      <c r="H219" s="206">
        <v>21170</v>
      </c>
      <c r="I219" s="207">
        <v>46500</v>
      </c>
      <c r="J219" s="208"/>
      <c r="K219" s="209">
        <f t="shared" si="12"/>
        <v>46527.110000000066</v>
      </c>
      <c r="L219" s="163"/>
    </row>
    <row r="220" spans="1:12" s="143" customFormat="1" ht="17.25" customHeight="1">
      <c r="A220" s="143">
        <f t="shared" si="11"/>
        <v>9</v>
      </c>
      <c r="B220" s="158">
        <v>41890</v>
      </c>
      <c r="C220" s="159" t="s">
        <v>160</v>
      </c>
      <c r="D220" s="158">
        <v>41890</v>
      </c>
      <c r="E220" s="160" t="s">
        <v>682</v>
      </c>
      <c r="F220" s="163">
        <f t="shared" si="13"/>
        <v>985567500</v>
      </c>
      <c r="G220" s="161" t="s">
        <v>36</v>
      </c>
      <c r="H220" s="206">
        <v>21195</v>
      </c>
      <c r="I220" s="207"/>
      <c r="J220" s="208">
        <v>46500</v>
      </c>
      <c r="K220" s="209">
        <f t="shared" si="12"/>
        <v>27.110000000066066</v>
      </c>
      <c r="L220" s="163"/>
    </row>
    <row r="221" spans="1:12" s="143" customFormat="1" ht="17.25" customHeight="1">
      <c r="A221" s="143">
        <f t="shared" si="11"/>
        <v>9</v>
      </c>
      <c r="B221" s="158">
        <v>41892</v>
      </c>
      <c r="C221" s="159" t="s">
        <v>163</v>
      </c>
      <c r="D221" s="158">
        <v>41892</v>
      </c>
      <c r="E221" s="160" t="s">
        <v>700</v>
      </c>
      <c r="F221" s="163">
        <f t="shared" si="13"/>
        <v>432378000</v>
      </c>
      <c r="G221" s="161" t="s">
        <v>162</v>
      </c>
      <c r="H221" s="206">
        <v>21195</v>
      </c>
      <c r="I221" s="207">
        <v>20400</v>
      </c>
      <c r="J221" s="208"/>
      <c r="K221" s="209">
        <f t="shared" si="12"/>
        <v>20427.110000000066</v>
      </c>
      <c r="L221" s="163"/>
    </row>
    <row r="222" spans="1:12" s="143" customFormat="1" ht="17.25" customHeight="1">
      <c r="A222" s="143">
        <f t="shared" si="11"/>
        <v>9</v>
      </c>
      <c r="B222" s="158">
        <v>41892</v>
      </c>
      <c r="C222" s="159" t="s">
        <v>163</v>
      </c>
      <c r="D222" s="158">
        <v>41892</v>
      </c>
      <c r="E222" s="160" t="s">
        <v>161</v>
      </c>
      <c r="F222" s="163">
        <f t="shared" si="13"/>
        <v>603848700</v>
      </c>
      <c r="G222" s="161" t="s">
        <v>36</v>
      </c>
      <c r="H222" s="206">
        <v>21210</v>
      </c>
      <c r="I222" s="207">
        <v>28470</v>
      </c>
      <c r="J222" s="208"/>
      <c r="K222" s="209">
        <f t="shared" si="12"/>
        <v>48897.110000000066</v>
      </c>
      <c r="L222" s="163"/>
    </row>
    <row r="223" spans="1:12" s="143" customFormat="1" ht="17.25" customHeight="1">
      <c r="A223" s="143">
        <f t="shared" si="11"/>
        <v>9</v>
      </c>
      <c r="B223" s="158">
        <v>41892</v>
      </c>
      <c r="C223" s="159" t="s">
        <v>160</v>
      </c>
      <c r="D223" s="158">
        <v>41892</v>
      </c>
      <c r="E223" s="160" t="s">
        <v>735</v>
      </c>
      <c r="F223" s="163">
        <f t="shared" si="13"/>
        <v>1036532700</v>
      </c>
      <c r="G223" s="161" t="s">
        <v>355</v>
      </c>
      <c r="H223" s="206">
        <v>21210</v>
      </c>
      <c r="I223" s="207"/>
      <c r="J223" s="208">
        <v>48870</v>
      </c>
      <c r="K223" s="209">
        <f t="shared" si="12"/>
        <v>27.110000000066066</v>
      </c>
      <c r="L223" s="163"/>
    </row>
    <row r="224" spans="1:12" s="143" customFormat="1" ht="17.25" customHeight="1">
      <c r="A224" s="143">
        <f t="shared" si="11"/>
        <v>9</v>
      </c>
      <c r="B224" s="158">
        <v>41893</v>
      </c>
      <c r="C224" s="159" t="s">
        <v>163</v>
      </c>
      <c r="D224" s="158">
        <v>41893</v>
      </c>
      <c r="E224" s="160" t="s">
        <v>736</v>
      </c>
      <c r="F224" s="163">
        <f t="shared" si="13"/>
        <v>1078952700</v>
      </c>
      <c r="G224" s="161" t="s">
        <v>355</v>
      </c>
      <c r="H224" s="206">
        <v>21210</v>
      </c>
      <c r="I224" s="207">
        <v>50870</v>
      </c>
      <c r="J224" s="208"/>
      <c r="K224" s="209">
        <f t="shared" si="12"/>
        <v>50897.110000000066</v>
      </c>
      <c r="L224" s="163"/>
    </row>
    <row r="225" spans="1:12" s="143" customFormat="1" ht="17.25" customHeight="1">
      <c r="A225" s="143">
        <f t="shared" si="11"/>
        <v>9</v>
      </c>
      <c r="B225" s="158">
        <v>41893</v>
      </c>
      <c r="C225" s="159" t="s">
        <v>160</v>
      </c>
      <c r="D225" s="158">
        <v>41893</v>
      </c>
      <c r="E225" s="160" t="s">
        <v>682</v>
      </c>
      <c r="F225" s="163">
        <f t="shared" si="13"/>
        <v>1078698350</v>
      </c>
      <c r="G225" s="161" t="s">
        <v>36</v>
      </c>
      <c r="H225" s="206">
        <v>21205</v>
      </c>
      <c r="I225" s="207"/>
      <c r="J225" s="208">
        <v>50870</v>
      </c>
      <c r="K225" s="209">
        <f t="shared" si="12"/>
        <v>27.110000000066066</v>
      </c>
      <c r="L225" s="163"/>
    </row>
    <row r="226" spans="1:12" s="143" customFormat="1" ht="17.25" customHeight="1">
      <c r="A226" s="143">
        <f t="shared" si="11"/>
        <v>9</v>
      </c>
      <c r="B226" s="158">
        <v>41894</v>
      </c>
      <c r="C226" s="159" t="s">
        <v>160</v>
      </c>
      <c r="D226" s="158">
        <v>41894</v>
      </c>
      <c r="E226" s="160" t="s">
        <v>596</v>
      </c>
      <c r="F226" s="163">
        <f t="shared" si="13"/>
        <v>317700</v>
      </c>
      <c r="G226" s="161" t="s">
        <v>247</v>
      </c>
      <c r="H226" s="206">
        <v>21180</v>
      </c>
      <c r="I226" s="207"/>
      <c r="J226" s="208">
        <v>15</v>
      </c>
      <c r="K226" s="209">
        <f t="shared" si="12"/>
        <v>12.110000000066066</v>
      </c>
      <c r="L226" s="163"/>
    </row>
    <row r="227" spans="1:12" s="143" customFormat="1" ht="17.25" customHeight="1">
      <c r="A227" s="143">
        <f t="shared" si="11"/>
        <v>9</v>
      </c>
      <c r="B227" s="158">
        <v>41894</v>
      </c>
      <c r="C227" s="159" t="s">
        <v>160</v>
      </c>
      <c r="D227" s="158">
        <v>41894</v>
      </c>
      <c r="E227" s="160" t="s">
        <v>597</v>
      </c>
      <c r="F227" s="163">
        <f t="shared" si="13"/>
        <v>31770</v>
      </c>
      <c r="G227" s="161" t="s">
        <v>35</v>
      </c>
      <c r="H227" s="206">
        <v>21180</v>
      </c>
      <c r="I227" s="207"/>
      <c r="J227" s="208">
        <v>1.5</v>
      </c>
      <c r="K227" s="209">
        <f t="shared" si="12"/>
        <v>10.610000000066066</v>
      </c>
      <c r="L227" s="163"/>
    </row>
    <row r="228" spans="1:12" s="143" customFormat="1" ht="17.25" customHeight="1">
      <c r="A228" s="143">
        <f t="shared" si="11"/>
        <v>9</v>
      </c>
      <c r="B228" s="158">
        <v>41899</v>
      </c>
      <c r="C228" s="159" t="s">
        <v>163</v>
      </c>
      <c r="D228" s="158">
        <v>41899</v>
      </c>
      <c r="E228" s="160" t="s">
        <v>700</v>
      </c>
      <c r="F228" s="163">
        <f t="shared" si="13"/>
        <v>16940000</v>
      </c>
      <c r="G228" s="161" t="s">
        <v>162</v>
      </c>
      <c r="H228" s="206">
        <v>21175</v>
      </c>
      <c r="I228" s="207">
        <v>800</v>
      </c>
      <c r="J228" s="208"/>
      <c r="K228" s="209">
        <f t="shared" si="12"/>
        <v>810.61000000006607</v>
      </c>
      <c r="L228" s="163"/>
    </row>
    <row r="229" spans="1:12" s="143" customFormat="1" ht="17.25" customHeight="1">
      <c r="A229" s="143">
        <f t="shared" si="11"/>
        <v>9</v>
      </c>
      <c r="B229" s="158">
        <v>41899</v>
      </c>
      <c r="C229" s="159" t="s">
        <v>163</v>
      </c>
      <c r="D229" s="158">
        <v>41899</v>
      </c>
      <c r="E229" s="160" t="s">
        <v>714</v>
      </c>
      <c r="F229" s="163">
        <f t="shared" si="13"/>
        <v>656107375</v>
      </c>
      <c r="G229" s="161" t="s">
        <v>190</v>
      </c>
      <c r="H229" s="206">
        <v>21175</v>
      </c>
      <c r="I229" s="207">
        <v>30985</v>
      </c>
      <c r="J229" s="208"/>
      <c r="K229" s="209">
        <f t="shared" si="12"/>
        <v>31795.610000000066</v>
      </c>
      <c r="L229" s="163"/>
    </row>
    <row r="230" spans="1:12" s="143" customFormat="1" ht="17.25" customHeight="1">
      <c r="A230" s="143">
        <f t="shared" si="11"/>
        <v>9</v>
      </c>
      <c r="B230" s="158">
        <v>41899</v>
      </c>
      <c r="C230" s="159" t="s">
        <v>160</v>
      </c>
      <c r="D230" s="158">
        <v>41899</v>
      </c>
      <c r="E230" s="160" t="s">
        <v>682</v>
      </c>
      <c r="F230" s="163">
        <f t="shared" si="13"/>
        <v>671881500</v>
      </c>
      <c r="G230" s="161" t="s">
        <v>36</v>
      </c>
      <c r="H230" s="206">
        <v>21195</v>
      </c>
      <c r="I230" s="207"/>
      <c r="J230" s="208">
        <v>31700</v>
      </c>
      <c r="K230" s="209">
        <f t="shared" si="12"/>
        <v>95.610000000066066</v>
      </c>
      <c r="L230" s="163"/>
    </row>
    <row r="231" spans="1:12" s="143" customFormat="1" ht="17.25" customHeight="1">
      <c r="A231" s="143">
        <f t="shared" si="11"/>
        <v>9</v>
      </c>
      <c r="B231" s="158">
        <v>41906</v>
      </c>
      <c r="C231" s="159" t="s">
        <v>163</v>
      </c>
      <c r="D231" s="158">
        <v>41906</v>
      </c>
      <c r="E231" s="160" t="s">
        <v>700</v>
      </c>
      <c r="F231" s="163">
        <f t="shared" si="13"/>
        <v>868995000</v>
      </c>
      <c r="G231" s="161" t="s">
        <v>162</v>
      </c>
      <c r="H231" s="206">
        <v>21195</v>
      </c>
      <c r="I231" s="207">
        <v>41000</v>
      </c>
      <c r="J231" s="208"/>
      <c r="K231" s="209">
        <f t="shared" si="12"/>
        <v>41095.610000000066</v>
      </c>
      <c r="L231" s="163"/>
    </row>
    <row r="232" spans="1:12" s="143" customFormat="1" ht="17.25" customHeight="1">
      <c r="A232" s="143">
        <f t="shared" si="11"/>
        <v>9</v>
      </c>
      <c r="B232" s="158">
        <v>41906</v>
      </c>
      <c r="C232" s="159" t="s">
        <v>163</v>
      </c>
      <c r="D232" s="158">
        <v>41906</v>
      </c>
      <c r="E232" s="160" t="s">
        <v>161</v>
      </c>
      <c r="F232" s="163">
        <f t="shared" si="13"/>
        <v>1061250000</v>
      </c>
      <c r="G232" s="161" t="s">
        <v>36</v>
      </c>
      <c r="H232" s="206">
        <v>21225</v>
      </c>
      <c r="I232" s="207">
        <v>50000</v>
      </c>
      <c r="J232" s="208"/>
      <c r="K232" s="209">
        <f t="shared" si="12"/>
        <v>91095.610000000073</v>
      </c>
      <c r="L232" s="163"/>
    </row>
    <row r="233" spans="1:12" s="143" customFormat="1" ht="17.25" customHeight="1">
      <c r="A233" s="143">
        <f t="shared" si="11"/>
        <v>9</v>
      </c>
      <c r="B233" s="158">
        <v>41906</v>
      </c>
      <c r="C233" s="159" t="s">
        <v>163</v>
      </c>
      <c r="D233" s="158">
        <v>41906</v>
      </c>
      <c r="E233" s="160" t="s">
        <v>737</v>
      </c>
      <c r="F233" s="163">
        <f t="shared" si="13"/>
        <v>1908900000</v>
      </c>
      <c r="G233" s="161" t="s">
        <v>355</v>
      </c>
      <c r="H233" s="206">
        <v>21210</v>
      </c>
      <c r="I233" s="207">
        <v>90000</v>
      </c>
      <c r="J233" s="208"/>
      <c r="K233" s="209">
        <f t="shared" si="12"/>
        <v>181095.61000000007</v>
      </c>
      <c r="L233" s="163"/>
    </row>
    <row r="234" spans="1:12" s="143" customFormat="1" ht="17.25" customHeight="1">
      <c r="A234" s="143">
        <f t="shared" si="11"/>
        <v>9</v>
      </c>
      <c r="B234" s="158">
        <v>41906</v>
      </c>
      <c r="C234" s="159" t="s">
        <v>160</v>
      </c>
      <c r="D234" s="158">
        <v>41906</v>
      </c>
      <c r="E234" s="160" t="s">
        <v>738</v>
      </c>
      <c r="F234" s="163">
        <f t="shared" si="13"/>
        <v>1919505000</v>
      </c>
      <c r="G234" s="161" t="s">
        <v>355</v>
      </c>
      <c r="H234" s="206">
        <v>21210</v>
      </c>
      <c r="I234" s="207"/>
      <c r="J234" s="208">
        <v>90500</v>
      </c>
      <c r="K234" s="209">
        <f t="shared" si="12"/>
        <v>90595.610000000073</v>
      </c>
      <c r="L234" s="163"/>
    </row>
    <row r="235" spans="1:12" s="143" customFormat="1" ht="17.25" customHeight="1">
      <c r="A235" s="143">
        <f t="shared" si="11"/>
        <v>9</v>
      </c>
      <c r="B235" s="158">
        <v>41906</v>
      </c>
      <c r="C235" s="159" t="s">
        <v>160</v>
      </c>
      <c r="D235" s="158">
        <v>41906</v>
      </c>
      <c r="E235" s="160" t="s">
        <v>739</v>
      </c>
      <c r="F235" s="163">
        <f t="shared" si="13"/>
        <v>2079428.4000000001</v>
      </c>
      <c r="G235" s="161" t="s">
        <v>166</v>
      </c>
      <c r="H235" s="206">
        <v>21210</v>
      </c>
      <c r="I235" s="207"/>
      <c r="J235" s="208">
        <v>98.04</v>
      </c>
      <c r="K235" s="209">
        <f t="shared" si="12"/>
        <v>90497.57000000008</v>
      </c>
      <c r="L235" s="163"/>
    </row>
    <row r="236" spans="1:12" s="143" customFormat="1" ht="17.25" customHeight="1">
      <c r="A236" s="143">
        <f t="shared" si="11"/>
        <v>9</v>
      </c>
      <c r="B236" s="158">
        <v>41906</v>
      </c>
      <c r="C236" s="159" t="s">
        <v>160</v>
      </c>
      <c r="D236" s="158">
        <v>41906</v>
      </c>
      <c r="E236" s="160" t="s">
        <v>682</v>
      </c>
      <c r="F236" s="163">
        <f t="shared" si="13"/>
        <v>1910070000</v>
      </c>
      <c r="G236" s="161" t="s">
        <v>36</v>
      </c>
      <c r="H236" s="206">
        <v>21223</v>
      </c>
      <c r="I236" s="207"/>
      <c r="J236" s="208">
        <v>90000</v>
      </c>
      <c r="K236" s="209">
        <f t="shared" si="12"/>
        <v>497.57000000007974</v>
      </c>
      <c r="L236" s="163"/>
    </row>
    <row r="237" spans="1:12" s="143" customFormat="1" ht="17.25" customHeight="1">
      <c r="A237" s="143">
        <f t="shared" si="11"/>
        <v>9</v>
      </c>
      <c r="B237" s="158">
        <v>41907</v>
      </c>
      <c r="C237" s="159" t="s">
        <v>160</v>
      </c>
      <c r="D237" s="158">
        <v>41907</v>
      </c>
      <c r="E237" s="160" t="s">
        <v>170</v>
      </c>
      <c r="F237" s="163">
        <f t="shared" si="13"/>
        <v>10165732.5</v>
      </c>
      <c r="G237" s="161" t="s">
        <v>247</v>
      </c>
      <c r="H237" s="206">
        <v>21245</v>
      </c>
      <c r="I237" s="207"/>
      <c r="J237" s="208">
        <v>478.5</v>
      </c>
      <c r="K237" s="209">
        <f t="shared" si="12"/>
        <v>19.070000000079744</v>
      </c>
      <c r="L237" s="163"/>
    </row>
    <row r="238" spans="1:12" s="143" customFormat="1" ht="17.25" customHeight="1">
      <c r="A238" s="143">
        <f t="shared" si="11"/>
        <v>9</v>
      </c>
      <c r="B238" s="158">
        <v>41907</v>
      </c>
      <c r="C238" s="159" t="s">
        <v>160</v>
      </c>
      <c r="D238" s="158">
        <v>41907</v>
      </c>
      <c r="E238" s="160" t="s">
        <v>740</v>
      </c>
      <c r="F238" s="163">
        <f t="shared" si="13"/>
        <v>317925</v>
      </c>
      <c r="G238" s="161" t="s">
        <v>247</v>
      </c>
      <c r="H238" s="206">
        <v>21195</v>
      </c>
      <c r="I238" s="207"/>
      <c r="J238" s="208">
        <v>15</v>
      </c>
      <c r="K238" s="209">
        <f t="shared" si="12"/>
        <v>4.0700000000797445</v>
      </c>
      <c r="L238" s="163"/>
    </row>
    <row r="239" spans="1:12" s="143" customFormat="1" ht="17.25" customHeight="1">
      <c r="A239" s="143">
        <f t="shared" si="11"/>
        <v>9</v>
      </c>
      <c r="B239" s="158">
        <v>41907</v>
      </c>
      <c r="C239" s="159" t="s">
        <v>160</v>
      </c>
      <c r="D239" s="158">
        <v>41907</v>
      </c>
      <c r="E239" s="160" t="s">
        <v>741</v>
      </c>
      <c r="F239" s="163">
        <f t="shared" si="13"/>
        <v>31762.5</v>
      </c>
      <c r="G239" s="161" t="s">
        <v>35</v>
      </c>
      <c r="H239" s="206">
        <v>21175</v>
      </c>
      <c r="I239" s="207"/>
      <c r="J239" s="208">
        <v>1.5</v>
      </c>
      <c r="K239" s="209">
        <f t="shared" si="12"/>
        <v>2.5700000000797445</v>
      </c>
      <c r="L239" s="163"/>
    </row>
    <row r="240" spans="1:12" s="143" customFormat="1" ht="17.25" customHeight="1">
      <c r="A240" s="143">
        <f t="shared" si="11"/>
        <v>10</v>
      </c>
      <c r="B240" s="158">
        <v>41920</v>
      </c>
      <c r="C240" s="159" t="s">
        <v>163</v>
      </c>
      <c r="D240" s="158">
        <v>41920</v>
      </c>
      <c r="E240" s="160" t="s">
        <v>732</v>
      </c>
      <c r="F240" s="163">
        <f t="shared" si="13"/>
        <v>2292154695.5999999</v>
      </c>
      <c r="G240" s="161" t="s">
        <v>190</v>
      </c>
      <c r="H240" s="206">
        <v>21230</v>
      </c>
      <c r="I240" s="207">
        <v>107967.72</v>
      </c>
      <c r="J240" s="208"/>
      <c r="K240" s="209">
        <f t="shared" si="12"/>
        <v>107970.29000000008</v>
      </c>
      <c r="L240" s="163"/>
    </row>
    <row r="241" spans="1:12" s="143" customFormat="1" ht="17.25" customHeight="1">
      <c r="A241" s="143">
        <f t="shared" ref="A241:A304" si="14">IF(B241&lt;&gt;"",MONTH(B241),"")</f>
        <v>10</v>
      </c>
      <c r="B241" s="158">
        <v>41920</v>
      </c>
      <c r="C241" s="159" t="s">
        <v>160</v>
      </c>
      <c r="D241" s="158">
        <v>41920</v>
      </c>
      <c r="E241" s="160" t="s">
        <v>742</v>
      </c>
      <c r="F241" s="163">
        <f t="shared" si="13"/>
        <v>213467650</v>
      </c>
      <c r="G241" s="161" t="s">
        <v>743</v>
      </c>
      <c r="H241" s="206">
        <v>21230</v>
      </c>
      <c r="I241" s="207"/>
      <c r="J241" s="208">
        <v>10055</v>
      </c>
      <c r="K241" s="209">
        <f t="shared" ref="K241:K304" si="15">IF(B241&lt;&gt;"",K240+I241-J241,0)</f>
        <v>97915.290000000081</v>
      </c>
      <c r="L241" s="163"/>
    </row>
    <row r="242" spans="1:12" s="143" customFormat="1" ht="17.25" customHeight="1">
      <c r="A242" s="143">
        <f t="shared" si="14"/>
        <v>10</v>
      </c>
      <c r="B242" s="158">
        <v>41920</v>
      </c>
      <c r="C242" s="159" t="s">
        <v>160</v>
      </c>
      <c r="D242" s="158">
        <v>41920</v>
      </c>
      <c r="E242" s="160" t="s">
        <v>165</v>
      </c>
      <c r="F242" s="163">
        <f t="shared" si="13"/>
        <v>4369983.2</v>
      </c>
      <c r="G242" s="161" t="s">
        <v>166</v>
      </c>
      <c r="H242" s="206">
        <v>21230</v>
      </c>
      <c r="I242" s="207"/>
      <c r="J242" s="208">
        <v>205.84</v>
      </c>
      <c r="K242" s="209">
        <f t="shared" si="15"/>
        <v>97709.450000000084</v>
      </c>
      <c r="L242" s="163"/>
    </row>
    <row r="243" spans="1:12" s="143" customFormat="1" ht="17.25" customHeight="1">
      <c r="A243" s="143">
        <f t="shared" si="14"/>
        <v>10</v>
      </c>
      <c r="B243" s="158">
        <v>41920</v>
      </c>
      <c r="C243" s="159" t="s">
        <v>160</v>
      </c>
      <c r="D243" s="158">
        <v>41920</v>
      </c>
      <c r="E243" s="160" t="s">
        <v>744</v>
      </c>
      <c r="F243" s="163">
        <f t="shared" si="13"/>
        <v>698700530</v>
      </c>
      <c r="G243" s="161" t="s">
        <v>743</v>
      </c>
      <c r="H243" s="206">
        <v>21230</v>
      </c>
      <c r="I243" s="207"/>
      <c r="J243" s="208">
        <v>32911</v>
      </c>
      <c r="K243" s="209">
        <f t="shared" si="15"/>
        <v>64798.450000000084</v>
      </c>
      <c r="L243" s="163"/>
    </row>
    <row r="244" spans="1:12" s="143" customFormat="1" ht="17.25" customHeight="1">
      <c r="A244" s="143">
        <f t="shared" si="14"/>
        <v>10</v>
      </c>
      <c r="B244" s="158">
        <v>41920</v>
      </c>
      <c r="C244" s="159" t="s">
        <v>160</v>
      </c>
      <c r="D244" s="158">
        <v>41920</v>
      </c>
      <c r="E244" s="160" t="s">
        <v>167</v>
      </c>
      <c r="F244" s="163">
        <f t="shared" si="13"/>
        <v>11407091.299999999</v>
      </c>
      <c r="G244" s="161" t="s">
        <v>166</v>
      </c>
      <c r="H244" s="206">
        <v>21230</v>
      </c>
      <c r="I244" s="207"/>
      <c r="J244" s="208">
        <v>537.30999999999995</v>
      </c>
      <c r="K244" s="209">
        <f t="shared" si="15"/>
        <v>64261.140000000087</v>
      </c>
      <c r="L244" s="163"/>
    </row>
    <row r="245" spans="1:12" s="143" customFormat="1" ht="17.25" customHeight="1">
      <c r="A245" s="143">
        <f t="shared" si="14"/>
        <v>10</v>
      </c>
      <c r="B245" s="158">
        <v>41920</v>
      </c>
      <c r="C245" s="159" t="s">
        <v>160</v>
      </c>
      <c r="D245" s="158">
        <v>41920</v>
      </c>
      <c r="E245" s="160" t="s">
        <v>745</v>
      </c>
      <c r="F245" s="163">
        <f t="shared" si="13"/>
        <v>438569340</v>
      </c>
      <c r="G245" s="161" t="s">
        <v>743</v>
      </c>
      <c r="H245" s="206">
        <v>21230</v>
      </c>
      <c r="I245" s="207"/>
      <c r="J245" s="208">
        <v>20658</v>
      </c>
      <c r="K245" s="209">
        <f t="shared" si="15"/>
        <v>43603.140000000087</v>
      </c>
      <c r="L245" s="163"/>
    </row>
    <row r="246" spans="1:12" s="143" customFormat="1" ht="17.25" customHeight="1">
      <c r="A246" s="143">
        <f t="shared" si="14"/>
        <v>10</v>
      </c>
      <c r="B246" s="158">
        <v>41920</v>
      </c>
      <c r="C246" s="159" t="s">
        <v>160</v>
      </c>
      <c r="D246" s="158">
        <v>41920</v>
      </c>
      <c r="E246" s="160" t="s">
        <v>168</v>
      </c>
      <c r="F246" s="163">
        <f t="shared" si="13"/>
        <v>7114173.0000000009</v>
      </c>
      <c r="G246" s="161" t="s">
        <v>166</v>
      </c>
      <c r="H246" s="206">
        <v>21230</v>
      </c>
      <c r="I246" s="207"/>
      <c r="J246" s="208">
        <v>335.1</v>
      </c>
      <c r="K246" s="209">
        <f t="shared" si="15"/>
        <v>43268.040000000088</v>
      </c>
      <c r="L246" s="163"/>
    </row>
    <row r="247" spans="1:12" s="143" customFormat="1" ht="17.25" customHeight="1">
      <c r="A247" s="143">
        <f t="shared" si="14"/>
        <v>10</v>
      </c>
      <c r="B247" s="158">
        <v>41920</v>
      </c>
      <c r="C247" s="159" t="s">
        <v>160</v>
      </c>
      <c r="D247" s="158">
        <v>41920</v>
      </c>
      <c r="E247" s="160" t="s">
        <v>746</v>
      </c>
      <c r="F247" s="163">
        <f t="shared" si="13"/>
        <v>613971600</v>
      </c>
      <c r="G247" s="161" t="s">
        <v>743</v>
      </c>
      <c r="H247" s="206">
        <v>21230</v>
      </c>
      <c r="I247" s="207"/>
      <c r="J247" s="208">
        <v>28920</v>
      </c>
      <c r="K247" s="209">
        <f t="shared" si="15"/>
        <v>14348.040000000088</v>
      </c>
      <c r="L247" s="163"/>
    </row>
    <row r="248" spans="1:12" s="143" customFormat="1" ht="17.25" customHeight="1">
      <c r="A248" s="143">
        <f t="shared" si="14"/>
        <v>10</v>
      </c>
      <c r="B248" s="158">
        <v>41920</v>
      </c>
      <c r="C248" s="159" t="s">
        <v>160</v>
      </c>
      <c r="D248" s="158">
        <v>41920</v>
      </c>
      <c r="E248" s="160" t="s">
        <v>169</v>
      </c>
      <c r="F248" s="163">
        <f t="shared" si="13"/>
        <v>9959205.3000000007</v>
      </c>
      <c r="G248" s="161" t="s">
        <v>166</v>
      </c>
      <c r="H248" s="206">
        <v>21230</v>
      </c>
      <c r="I248" s="207"/>
      <c r="J248" s="208">
        <v>469.11</v>
      </c>
      <c r="K248" s="209">
        <f t="shared" si="15"/>
        <v>13878.930000000088</v>
      </c>
      <c r="L248" s="163"/>
    </row>
    <row r="249" spans="1:12" s="143" customFormat="1" ht="17.25" customHeight="1">
      <c r="A249" s="143">
        <f t="shared" si="14"/>
        <v>10</v>
      </c>
      <c r="B249" s="158">
        <v>41921</v>
      </c>
      <c r="C249" s="159" t="s">
        <v>163</v>
      </c>
      <c r="D249" s="158">
        <v>41921</v>
      </c>
      <c r="E249" s="160" t="s">
        <v>747</v>
      </c>
      <c r="F249" s="163">
        <f t="shared" si="13"/>
        <v>1962850000</v>
      </c>
      <c r="G249" s="161" t="s">
        <v>355</v>
      </c>
      <c r="H249" s="206">
        <v>21220</v>
      </c>
      <c r="I249" s="207">
        <v>92500</v>
      </c>
      <c r="J249" s="208"/>
      <c r="K249" s="209">
        <f t="shared" si="15"/>
        <v>106378.93000000008</v>
      </c>
      <c r="L249" s="163"/>
    </row>
    <row r="250" spans="1:12" s="143" customFormat="1" ht="17.25" customHeight="1">
      <c r="A250" s="143">
        <f t="shared" si="14"/>
        <v>10</v>
      </c>
      <c r="B250" s="158">
        <v>41921</v>
      </c>
      <c r="C250" s="159" t="s">
        <v>160</v>
      </c>
      <c r="D250" s="158">
        <v>41921</v>
      </c>
      <c r="E250" s="160" t="s">
        <v>682</v>
      </c>
      <c r="F250" s="163">
        <f t="shared" si="13"/>
        <v>2255686000</v>
      </c>
      <c r="G250" s="161" t="s">
        <v>36</v>
      </c>
      <c r="H250" s="206">
        <v>21220</v>
      </c>
      <c r="I250" s="207"/>
      <c r="J250" s="208">
        <v>106300</v>
      </c>
      <c r="K250" s="209">
        <f t="shared" si="15"/>
        <v>78.930000000080327</v>
      </c>
      <c r="L250" s="163"/>
    </row>
    <row r="251" spans="1:12" s="143" customFormat="1" ht="17.25" customHeight="1">
      <c r="A251" s="143">
        <f t="shared" si="14"/>
        <v>10</v>
      </c>
      <c r="B251" s="158">
        <v>41923</v>
      </c>
      <c r="C251" s="159" t="s">
        <v>163</v>
      </c>
      <c r="D251" s="158">
        <v>41923</v>
      </c>
      <c r="E251" s="160" t="s">
        <v>714</v>
      </c>
      <c r="F251" s="163">
        <f t="shared" si="13"/>
        <v>423331437.59999996</v>
      </c>
      <c r="G251" s="161" t="s">
        <v>190</v>
      </c>
      <c r="H251" s="206">
        <v>21180</v>
      </c>
      <c r="I251" s="207">
        <v>19987.32</v>
      </c>
      <c r="J251" s="208"/>
      <c r="K251" s="209">
        <f t="shared" si="15"/>
        <v>20066.25000000008</v>
      </c>
      <c r="L251" s="163"/>
    </row>
    <row r="252" spans="1:12" s="143" customFormat="1" ht="17.25" customHeight="1">
      <c r="A252" s="143">
        <f t="shared" si="14"/>
        <v>10</v>
      </c>
      <c r="B252" s="158">
        <v>41925</v>
      </c>
      <c r="C252" s="159" t="s">
        <v>163</v>
      </c>
      <c r="D252" s="158">
        <v>41925</v>
      </c>
      <c r="E252" s="160" t="s">
        <v>703</v>
      </c>
      <c r="F252" s="163">
        <f t="shared" si="13"/>
        <v>2003403500</v>
      </c>
      <c r="G252" s="161" t="s">
        <v>190</v>
      </c>
      <c r="H252" s="206">
        <v>21245</v>
      </c>
      <c r="I252" s="207">
        <v>94300</v>
      </c>
      <c r="J252" s="208"/>
      <c r="K252" s="209">
        <f t="shared" si="15"/>
        <v>114366.25000000009</v>
      </c>
      <c r="L252" s="163"/>
    </row>
    <row r="253" spans="1:12" s="143" customFormat="1" ht="17.25" customHeight="1">
      <c r="A253" s="143">
        <f t="shared" si="14"/>
        <v>10</v>
      </c>
      <c r="B253" s="158">
        <v>41925</v>
      </c>
      <c r="C253" s="159" t="s">
        <v>160</v>
      </c>
      <c r="D253" s="158">
        <v>41925</v>
      </c>
      <c r="E253" s="160" t="s">
        <v>721</v>
      </c>
      <c r="F253" s="163">
        <f t="shared" si="13"/>
        <v>211950</v>
      </c>
      <c r="G253" s="161" t="s">
        <v>247</v>
      </c>
      <c r="H253" s="206">
        <v>21195</v>
      </c>
      <c r="I253" s="207"/>
      <c r="J253" s="208">
        <v>10</v>
      </c>
      <c r="K253" s="209">
        <f t="shared" si="15"/>
        <v>114356.25000000009</v>
      </c>
      <c r="L253" s="163"/>
    </row>
    <row r="254" spans="1:12" s="143" customFormat="1" ht="17.25" customHeight="1">
      <c r="A254" s="143">
        <f t="shared" si="14"/>
        <v>10</v>
      </c>
      <c r="B254" s="158">
        <v>41925</v>
      </c>
      <c r="C254" s="159" t="s">
        <v>160</v>
      </c>
      <c r="D254" s="158">
        <v>41925</v>
      </c>
      <c r="E254" s="160" t="s">
        <v>722</v>
      </c>
      <c r="F254" s="163">
        <f t="shared" si="13"/>
        <v>21195</v>
      </c>
      <c r="G254" s="161" t="s">
        <v>35</v>
      </c>
      <c r="H254" s="206">
        <v>21195</v>
      </c>
      <c r="I254" s="207"/>
      <c r="J254" s="208">
        <v>1</v>
      </c>
      <c r="K254" s="209">
        <f t="shared" si="15"/>
        <v>114355.25000000009</v>
      </c>
      <c r="L254" s="163"/>
    </row>
    <row r="255" spans="1:12" s="143" customFormat="1" ht="17.25" customHeight="1">
      <c r="A255" s="143">
        <f t="shared" si="14"/>
        <v>10</v>
      </c>
      <c r="B255" s="158">
        <v>41925</v>
      </c>
      <c r="C255" s="159" t="s">
        <v>160</v>
      </c>
      <c r="D255" s="158">
        <v>41925</v>
      </c>
      <c r="E255" s="160" t="s">
        <v>612</v>
      </c>
      <c r="F255" s="163">
        <f t="shared" si="13"/>
        <v>585405.9</v>
      </c>
      <c r="G255" s="161" t="s">
        <v>247</v>
      </c>
      <c r="H255" s="206">
        <v>21195</v>
      </c>
      <c r="I255" s="207"/>
      <c r="J255" s="208">
        <v>27.62</v>
      </c>
      <c r="K255" s="209">
        <f t="shared" si="15"/>
        <v>114327.63000000009</v>
      </c>
      <c r="L255" s="163"/>
    </row>
    <row r="256" spans="1:12" s="143" customFormat="1" ht="17.25" customHeight="1">
      <c r="A256" s="143">
        <f t="shared" si="14"/>
        <v>10</v>
      </c>
      <c r="B256" s="158">
        <v>41925</v>
      </c>
      <c r="C256" s="159" t="s">
        <v>160</v>
      </c>
      <c r="D256" s="158">
        <v>41925</v>
      </c>
      <c r="E256" s="160" t="s">
        <v>613</v>
      </c>
      <c r="F256" s="163">
        <f t="shared" si="13"/>
        <v>58498.2</v>
      </c>
      <c r="G256" s="161" t="s">
        <v>35</v>
      </c>
      <c r="H256" s="206">
        <v>21195</v>
      </c>
      <c r="I256" s="207"/>
      <c r="J256" s="208">
        <v>2.76</v>
      </c>
      <c r="K256" s="209">
        <f t="shared" si="15"/>
        <v>114324.8700000001</v>
      </c>
      <c r="L256" s="163"/>
    </row>
    <row r="257" spans="1:12" s="143" customFormat="1" ht="17.25" customHeight="1">
      <c r="A257" s="143">
        <f t="shared" si="14"/>
        <v>10</v>
      </c>
      <c r="B257" s="158">
        <v>41925</v>
      </c>
      <c r="C257" s="159" t="s">
        <v>160</v>
      </c>
      <c r="D257" s="158">
        <v>41925</v>
      </c>
      <c r="E257" s="160" t="s">
        <v>612</v>
      </c>
      <c r="F257" s="163">
        <f t="shared" si="13"/>
        <v>585405.9</v>
      </c>
      <c r="G257" s="161" t="s">
        <v>247</v>
      </c>
      <c r="H257" s="206">
        <v>21195</v>
      </c>
      <c r="I257" s="207"/>
      <c r="J257" s="208">
        <v>27.62</v>
      </c>
      <c r="K257" s="209">
        <f t="shared" si="15"/>
        <v>114297.2500000001</v>
      </c>
      <c r="L257" s="163"/>
    </row>
    <row r="258" spans="1:12" s="143" customFormat="1" ht="17.25" customHeight="1">
      <c r="A258" s="143">
        <f t="shared" si="14"/>
        <v>10</v>
      </c>
      <c r="B258" s="158">
        <v>41925</v>
      </c>
      <c r="C258" s="159" t="s">
        <v>160</v>
      </c>
      <c r="D258" s="158">
        <v>41925</v>
      </c>
      <c r="E258" s="160" t="s">
        <v>613</v>
      </c>
      <c r="F258" s="163">
        <f t="shared" si="13"/>
        <v>58498.2</v>
      </c>
      <c r="G258" s="161" t="s">
        <v>35</v>
      </c>
      <c r="H258" s="206">
        <v>21195</v>
      </c>
      <c r="I258" s="207"/>
      <c r="J258" s="208">
        <v>2.76</v>
      </c>
      <c r="K258" s="209">
        <f t="shared" si="15"/>
        <v>114294.49000000011</v>
      </c>
      <c r="L258" s="163"/>
    </row>
    <row r="259" spans="1:12" s="143" customFormat="1" ht="17.25" customHeight="1">
      <c r="A259" s="143">
        <f t="shared" si="14"/>
        <v>10</v>
      </c>
      <c r="B259" s="158">
        <v>41928</v>
      </c>
      <c r="C259" s="159" t="s">
        <v>160</v>
      </c>
      <c r="D259" s="158">
        <v>41928</v>
      </c>
      <c r="E259" s="160" t="s">
        <v>682</v>
      </c>
      <c r="F259" s="163">
        <f t="shared" si="13"/>
        <v>2421588000</v>
      </c>
      <c r="G259" s="161" t="s">
        <v>36</v>
      </c>
      <c r="H259" s="206">
        <v>21242</v>
      </c>
      <c r="I259" s="207"/>
      <c r="J259" s="208">
        <v>114000</v>
      </c>
      <c r="K259" s="209">
        <f t="shared" si="15"/>
        <v>294.4900000001071</v>
      </c>
      <c r="L259" s="163"/>
    </row>
    <row r="260" spans="1:12" s="143" customFormat="1" ht="17.25" customHeight="1">
      <c r="A260" s="143">
        <f t="shared" si="14"/>
        <v>10</v>
      </c>
      <c r="B260" s="158">
        <v>41929</v>
      </c>
      <c r="C260" s="159" t="s">
        <v>163</v>
      </c>
      <c r="D260" s="158">
        <v>41929</v>
      </c>
      <c r="E260" s="160" t="s">
        <v>728</v>
      </c>
      <c r="F260" s="163">
        <f t="shared" si="13"/>
        <v>839433916.4000001</v>
      </c>
      <c r="G260" s="161" t="s">
        <v>190</v>
      </c>
      <c r="H260" s="206">
        <v>21220</v>
      </c>
      <c r="I260" s="207">
        <v>39558.620000000003</v>
      </c>
      <c r="J260" s="208"/>
      <c r="K260" s="209">
        <f t="shared" si="15"/>
        <v>39853.11000000011</v>
      </c>
      <c r="L260" s="163"/>
    </row>
    <row r="261" spans="1:12" s="143" customFormat="1" ht="17.25" customHeight="1">
      <c r="A261" s="143">
        <f t="shared" si="14"/>
        <v>10</v>
      </c>
      <c r="B261" s="158">
        <v>41930</v>
      </c>
      <c r="C261" s="159" t="s">
        <v>160</v>
      </c>
      <c r="D261" s="158">
        <v>41930</v>
      </c>
      <c r="E261" s="160" t="s">
        <v>654</v>
      </c>
      <c r="F261" s="163">
        <f t="shared" si="13"/>
        <v>6366000</v>
      </c>
      <c r="G261" s="161" t="s">
        <v>166</v>
      </c>
      <c r="H261" s="206">
        <v>21220</v>
      </c>
      <c r="I261" s="207"/>
      <c r="J261" s="208">
        <v>300</v>
      </c>
      <c r="K261" s="209">
        <f t="shared" si="15"/>
        <v>39553.11000000011</v>
      </c>
      <c r="L261" s="163"/>
    </row>
    <row r="262" spans="1:12" s="143" customFormat="1" ht="17.25" customHeight="1">
      <c r="A262" s="143">
        <f t="shared" si="14"/>
        <v>10</v>
      </c>
      <c r="B262" s="158">
        <v>41930</v>
      </c>
      <c r="C262" s="159" t="s">
        <v>160</v>
      </c>
      <c r="D262" s="158">
        <v>41930</v>
      </c>
      <c r="E262" s="160" t="s">
        <v>677</v>
      </c>
      <c r="F262" s="163">
        <f t="shared" si="13"/>
        <v>7929277.4000000004</v>
      </c>
      <c r="G262" s="161" t="s">
        <v>166</v>
      </c>
      <c r="H262" s="206">
        <v>21220</v>
      </c>
      <c r="I262" s="207"/>
      <c r="J262" s="208">
        <v>373.67</v>
      </c>
      <c r="K262" s="209">
        <f t="shared" si="15"/>
        <v>39179.440000000111</v>
      </c>
      <c r="L262" s="163"/>
    </row>
    <row r="263" spans="1:12" s="143" customFormat="1" ht="17.25" customHeight="1">
      <c r="A263" s="143">
        <f t="shared" si="14"/>
        <v>10</v>
      </c>
      <c r="B263" s="158">
        <v>41930</v>
      </c>
      <c r="C263" s="159" t="s">
        <v>160</v>
      </c>
      <c r="D263" s="158">
        <v>41930</v>
      </c>
      <c r="E263" s="160" t="s">
        <v>191</v>
      </c>
      <c r="F263" s="163">
        <f t="shared" si="13"/>
        <v>6578200</v>
      </c>
      <c r="G263" s="161" t="s">
        <v>166</v>
      </c>
      <c r="H263" s="206">
        <v>21220</v>
      </c>
      <c r="I263" s="207"/>
      <c r="J263" s="208">
        <v>310</v>
      </c>
      <c r="K263" s="209">
        <f t="shared" si="15"/>
        <v>38869.440000000111</v>
      </c>
      <c r="L263" s="163"/>
    </row>
    <row r="264" spans="1:12" s="143" customFormat="1" ht="17.25" customHeight="1">
      <c r="A264" s="143">
        <f t="shared" si="14"/>
        <v>10</v>
      </c>
      <c r="B264" s="158">
        <v>41930</v>
      </c>
      <c r="C264" s="159" t="s">
        <v>160</v>
      </c>
      <c r="D264" s="158">
        <v>41930</v>
      </c>
      <c r="E264" s="160" t="s">
        <v>192</v>
      </c>
      <c r="F264" s="163">
        <f t="shared" si="13"/>
        <v>6656714</v>
      </c>
      <c r="G264" s="161" t="s">
        <v>166</v>
      </c>
      <c r="H264" s="206">
        <v>21220</v>
      </c>
      <c r="I264" s="207"/>
      <c r="J264" s="208">
        <v>313.7</v>
      </c>
      <c r="K264" s="209">
        <f t="shared" si="15"/>
        <v>38555.740000000114</v>
      </c>
      <c r="L264" s="163"/>
    </row>
    <row r="265" spans="1:12" s="143" customFormat="1" ht="17.25" customHeight="1">
      <c r="A265" s="143">
        <f t="shared" si="14"/>
        <v>10</v>
      </c>
      <c r="B265" s="158">
        <v>41930</v>
      </c>
      <c r="C265" s="159" t="s">
        <v>160</v>
      </c>
      <c r="D265" s="158">
        <v>41930</v>
      </c>
      <c r="E265" s="160" t="s">
        <v>651</v>
      </c>
      <c r="F265" s="163">
        <f t="shared" si="13"/>
        <v>9580830</v>
      </c>
      <c r="G265" s="161" t="s">
        <v>166</v>
      </c>
      <c r="H265" s="206">
        <v>21220</v>
      </c>
      <c r="I265" s="207"/>
      <c r="J265" s="208">
        <v>451.5</v>
      </c>
      <c r="K265" s="209">
        <f t="shared" si="15"/>
        <v>38104.240000000114</v>
      </c>
      <c r="L265" s="163"/>
    </row>
    <row r="266" spans="1:12" s="143" customFormat="1" ht="17.25" customHeight="1">
      <c r="A266" s="143">
        <f t="shared" si="14"/>
        <v>10</v>
      </c>
      <c r="B266" s="158">
        <v>41930</v>
      </c>
      <c r="C266" s="159" t="s">
        <v>160</v>
      </c>
      <c r="D266" s="158">
        <v>41930</v>
      </c>
      <c r="E266" s="160" t="s">
        <v>653</v>
      </c>
      <c r="F266" s="163">
        <f t="shared" si="13"/>
        <v>10079500</v>
      </c>
      <c r="G266" s="161" t="s">
        <v>166</v>
      </c>
      <c r="H266" s="206">
        <v>21220</v>
      </c>
      <c r="I266" s="207"/>
      <c r="J266" s="208">
        <v>475</v>
      </c>
      <c r="K266" s="209">
        <f t="shared" si="15"/>
        <v>37629.240000000114</v>
      </c>
      <c r="L266" s="163"/>
    </row>
    <row r="267" spans="1:12" s="143" customFormat="1" ht="17.25" customHeight="1">
      <c r="A267" s="143">
        <f t="shared" si="14"/>
        <v>10</v>
      </c>
      <c r="B267" s="158">
        <v>41933</v>
      </c>
      <c r="C267" s="159" t="s">
        <v>163</v>
      </c>
      <c r="D267" s="158">
        <v>41933</v>
      </c>
      <c r="E267" s="160" t="s">
        <v>703</v>
      </c>
      <c r="F267" s="163">
        <f t="shared" si="13"/>
        <v>99548175</v>
      </c>
      <c r="G267" s="161" t="s">
        <v>190</v>
      </c>
      <c r="H267" s="206">
        <v>21250</v>
      </c>
      <c r="I267" s="207">
        <v>4684.62</v>
      </c>
      <c r="J267" s="208"/>
      <c r="K267" s="209">
        <f t="shared" si="15"/>
        <v>42313.860000000117</v>
      </c>
      <c r="L267" s="163"/>
    </row>
    <row r="268" spans="1:12" s="143" customFormat="1" ht="17.25" customHeight="1">
      <c r="A268" s="143">
        <f t="shared" si="14"/>
        <v>10</v>
      </c>
      <c r="B268" s="158">
        <v>41936</v>
      </c>
      <c r="C268" s="159" t="s">
        <v>160</v>
      </c>
      <c r="D268" s="158">
        <v>41936</v>
      </c>
      <c r="E268" s="160" t="s">
        <v>700</v>
      </c>
      <c r="F268" s="163">
        <f t="shared" ref="F268:F330" si="16">(I268+J268)*H268</f>
        <v>892710000</v>
      </c>
      <c r="G268" s="161" t="s">
        <v>162</v>
      </c>
      <c r="H268" s="206">
        <v>21255</v>
      </c>
      <c r="I268" s="207"/>
      <c r="J268" s="208">
        <v>42000</v>
      </c>
      <c r="K268" s="209">
        <f t="shared" si="15"/>
        <v>313.860000000117</v>
      </c>
      <c r="L268" s="163"/>
    </row>
    <row r="269" spans="1:12" s="143" customFormat="1" ht="17.25" customHeight="1">
      <c r="A269" s="143">
        <f t="shared" si="14"/>
        <v>10</v>
      </c>
      <c r="B269" s="158">
        <v>41937</v>
      </c>
      <c r="C269" s="159" t="s">
        <v>163</v>
      </c>
      <c r="D269" s="158">
        <v>41937</v>
      </c>
      <c r="E269" s="160" t="s">
        <v>175</v>
      </c>
      <c r="F269" s="163">
        <f t="shared" si="16"/>
        <v>39893.599999999999</v>
      </c>
      <c r="G269" s="161" t="s">
        <v>176</v>
      </c>
      <c r="H269" s="206">
        <v>21220</v>
      </c>
      <c r="I269" s="207">
        <v>1.88</v>
      </c>
      <c r="J269" s="208"/>
      <c r="K269" s="209">
        <f t="shared" si="15"/>
        <v>315.74000000011699</v>
      </c>
      <c r="L269" s="163"/>
    </row>
    <row r="270" spans="1:12" s="143" customFormat="1" ht="17.25" customHeight="1">
      <c r="A270" s="143">
        <f t="shared" si="14"/>
        <v>10</v>
      </c>
      <c r="B270" s="158">
        <v>41941</v>
      </c>
      <c r="C270" s="159" t="s">
        <v>163</v>
      </c>
      <c r="D270" s="158">
        <v>41941</v>
      </c>
      <c r="E270" s="160" t="s">
        <v>728</v>
      </c>
      <c r="F270" s="163">
        <f t="shared" si="16"/>
        <v>39414998.700000003</v>
      </c>
      <c r="G270" s="161" t="s">
        <v>190</v>
      </c>
      <c r="H270" s="206">
        <v>21245</v>
      </c>
      <c r="I270" s="207">
        <v>1855.26</v>
      </c>
      <c r="J270" s="208"/>
      <c r="K270" s="209">
        <f t="shared" si="15"/>
        <v>2171.0000000001169</v>
      </c>
      <c r="L270" s="163"/>
    </row>
    <row r="271" spans="1:12" s="143" customFormat="1" ht="17.25" customHeight="1">
      <c r="A271" s="143">
        <f t="shared" si="14"/>
        <v>10</v>
      </c>
      <c r="B271" s="158">
        <v>41942</v>
      </c>
      <c r="C271" s="159" t="s">
        <v>163</v>
      </c>
      <c r="D271" s="158">
        <v>41942</v>
      </c>
      <c r="E271" s="160" t="s">
        <v>717</v>
      </c>
      <c r="F271" s="163">
        <f t="shared" si="16"/>
        <v>1345314131</v>
      </c>
      <c r="G271" s="161" t="s">
        <v>190</v>
      </c>
      <c r="H271" s="206">
        <v>21245</v>
      </c>
      <c r="I271" s="207">
        <v>63323.8</v>
      </c>
      <c r="J271" s="208"/>
      <c r="K271" s="209">
        <f t="shared" si="15"/>
        <v>65494.800000000119</v>
      </c>
      <c r="L271" s="163"/>
    </row>
    <row r="272" spans="1:12" s="143" customFormat="1" ht="17.25" customHeight="1">
      <c r="A272" s="143">
        <f t="shared" si="14"/>
        <v>11</v>
      </c>
      <c r="B272" s="158">
        <v>41946</v>
      </c>
      <c r="C272" s="159" t="s">
        <v>160</v>
      </c>
      <c r="D272" s="158">
        <v>41946</v>
      </c>
      <c r="E272" s="160" t="s">
        <v>682</v>
      </c>
      <c r="F272" s="163">
        <f t="shared" si="16"/>
        <v>1392366000</v>
      </c>
      <c r="G272" s="161" t="s">
        <v>36</v>
      </c>
      <c r="H272" s="206">
        <v>21290</v>
      </c>
      <c r="I272" s="207"/>
      <c r="J272" s="208">
        <v>65400</v>
      </c>
      <c r="K272" s="209">
        <f t="shared" si="15"/>
        <v>94.800000000119326</v>
      </c>
      <c r="L272" s="163"/>
    </row>
    <row r="273" spans="1:12" s="143" customFormat="1" ht="17.25" customHeight="1">
      <c r="A273" s="143">
        <f t="shared" si="14"/>
        <v>11</v>
      </c>
      <c r="B273" s="158">
        <v>41949</v>
      </c>
      <c r="C273" s="159" t="s">
        <v>160</v>
      </c>
      <c r="D273" s="158">
        <v>41949</v>
      </c>
      <c r="E273" s="160" t="s">
        <v>670</v>
      </c>
      <c r="F273" s="163">
        <f t="shared" si="16"/>
        <v>350872.5</v>
      </c>
      <c r="G273" s="161">
        <v>6422</v>
      </c>
      <c r="H273" s="206">
        <v>21265</v>
      </c>
      <c r="I273" s="207"/>
      <c r="J273" s="208">
        <v>16.5</v>
      </c>
      <c r="K273" s="209">
        <f t="shared" si="15"/>
        <v>78.300000000119326</v>
      </c>
      <c r="L273" s="163"/>
    </row>
    <row r="274" spans="1:12" s="143" customFormat="1" ht="17.25" customHeight="1">
      <c r="A274" s="143">
        <f t="shared" si="14"/>
        <v>11</v>
      </c>
      <c r="B274" s="158">
        <v>41956</v>
      </c>
      <c r="C274" s="159" t="s">
        <v>160</v>
      </c>
      <c r="D274" s="158">
        <v>41956</v>
      </c>
      <c r="E274" s="160" t="s">
        <v>670</v>
      </c>
      <c r="F274" s="163">
        <f t="shared" si="16"/>
        <v>106700</v>
      </c>
      <c r="G274" s="161">
        <v>6422</v>
      </c>
      <c r="H274" s="206">
        <v>21340</v>
      </c>
      <c r="I274" s="207"/>
      <c r="J274" s="208">
        <v>5</v>
      </c>
      <c r="K274" s="209">
        <f t="shared" si="15"/>
        <v>73.300000000119326</v>
      </c>
      <c r="L274" s="163"/>
    </row>
    <row r="275" spans="1:12" s="143" customFormat="1" ht="17.25" customHeight="1">
      <c r="A275" s="143">
        <f t="shared" si="14"/>
        <v>11</v>
      </c>
      <c r="B275" s="158">
        <v>41956</v>
      </c>
      <c r="C275" s="159" t="s">
        <v>160</v>
      </c>
      <c r="D275" s="158">
        <v>41956</v>
      </c>
      <c r="E275" s="160" t="s">
        <v>671</v>
      </c>
      <c r="F275" s="163">
        <f t="shared" si="16"/>
        <v>10670</v>
      </c>
      <c r="G275" s="161" t="s">
        <v>35</v>
      </c>
      <c r="H275" s="206">
        <v>21340</v>
      </c>
      <c r="I275" s="207"/>
      <c r="J275" s="208">
        <v>0.5</v>
      </c>
      <c r="K275" s="209">
        <f t="shared" si="15"/>
        <v>72.800000000119326</v>
      </c>
      <c r="L275" s="163"/>
    </row>
    <row r="276" spans="1:12" s="143" customFormat="1" ht="17.25" customHeight="1">
      <c r="A276" s="143">
        <f t="shared" si="14"/>
        <v>11</v>
      </c>
      <c r="B276" s="158">
        <v>41957</v>
      </c>
      <c r="C276" s="159" t="s">
        <v>163</v>
      </c>
      <c r="D276" s="158">
        <v>41957</v>
      </c>
      <c r="E276" s="160" t="s">
        <v>161</v>
      </c>
      <c r="F276" s="163">
        <f t="shared" si="16"/>
        <v>93896000</v>
      </c>
      <c r="G276" s="161" t="s">
        <v>36</v>
      </c>
      <c r="H276" s="206">
        <v>21340</v>
      </c>
      <c r="I276" s="207">
        <v>4400</v>
      </c>
      <c r="J276" s="208"/>
      <c r="K276" s="209">
        <f t="shared" si="15"/>
        <v>4472.8000000001193</v>
      </c>
      <c r="L276" s="163"/>
    </row>
    <row r="277" spans="1:12" s="143" customFormat="1" ht="17.25" customHeight="1">
      <c r="A277" s="143">
        <f t="shared" si="14"/>
        <v>11</v>
      </c>
      <c r="B277" s="158">
        <v>41957</v>
      </c>
      <c r="C277" s="159" t="s">
        <v>160</v>
      </c>
      <c r="D277" s="158">
        <v>41957</v>
      </c>
      <c r="E277" s="160" t="s">
        <v>748</v>
      </c>
      <c r="F277" s="163">
        <f t="shared" si="16"/>
        <v>93918000</v>
      </c>
      <c r="G277" s="161" t="s">
        <v>57</v>
      </c>
      <c r="H277" s="206">
        <v>21345</v>
      </c>
      <c r="I277" s="207"/>
      <c r="J277" s="208">
        <v>4400</v>
      </c>
      <c r="K277" s="209">
        <f t="shared" si="15"/>
        <v>72.800000000119326</v>
      </c>
      <c r="L277" s="163"/>
    </row>
    <row r="278" spans="1:12" s="143" customFormat="1" ht="17.25" customHeight="1">
      <c r="A278" s="143">
        <f t="shared" si="14"/>
        <v>11</v>
      </c>
      <c r="B278" s="158">
        <v>41958</v>
      </c>
      <c r="C278" s="159" t="s">
        <v>163</v>
      </c>
      <c r="D278" s="158">
        <v>41958</v>
      </c>
      <c r="E278" s="160" t="s">
        <v>749</v>
      </c>
      <c r="F278" s="163">
        <f t="shared" si="16"/>
        <v>1471770000</v>
      </c>
      <c r="G278" s="161" t="s">
        <v>355</v>
      </c>
      <c r="H278" s="206">
        <v>21330</v>
      </c>
      <c r="I278" s="207">
        <v>69000</v>
      </c>
      <c r="J278" s="208"/>
      <c r="K278" s="209">
        <f t="shared" si="15"/>
        <v>69072.800000000119</v>
      </c>
      <c r="L278" s="163"/>
    </row>
    <row r="279" spans="1:12" s="143" customFormat="1" ht="17.25" customHeight="1">
      <c r="A279" s="143">
        <f t="shared" si="14"/>
        <v>11</v>
      </c>
      <c r="B279" s="158">
        <v>41958</v>
      </c>
      <c r="C279" s="159" t="s">
        <v>160</v>
      </c>
      <c r="D279" s="158">
        <v>41958</v>
      </c>
      <c r="E279" s="160" t="s">
        <v>682</v>
      </c>
      <c r="F279" s="163">
        <f t="shared" si="16"/>
        <v>1471770000</v>
      </c>
      <c r="G279" s="161" t="s">
        <v>36</v>
      </c>
      <c r="H279" s="206">
        <v>21330</v>
      </c>
      <c r="I279" s="207"/>
      <c r="J279" s="208">
        <v>69000</v>
      </c>
      <c r="K279" s="209">
        <f t="shared" si="15"/>
        <v>72.800000000119326</v>
      </c>
      <c r="L279" s="163"/>
    </row>
    <row r="280" spans="1:12" s="143" customFormat="1" ht="17.25" customHeight="1">
      <c r="A280" s="143">
        <f t="shared" si="14"/>
        <v>11</v>
      </c>
      <c r="B280" s="158">
        <v>41961</v>
      </c>
      <c r="C280" s="159" t="s">
        <v>163</v>
      </c>
      <c r="D280" s="158">
        <v>41961</v>
      </c>
      <c r="E280" s="160" t="s">
        <v>717</v>
      </c>
      <c r="F280" s="163">
        <f t="shared" si="16"/>
        <v>1335450300.6000001</v>
      </c>
      <c r="G280" s="161" t="s">
        <v>190</v>
      </c>
      <c r="H280" s="206">
        <v>21355</v>
      </c>
      <c r="I280" s="207">
        <v>62535.72</v>
      </c>
      <c r="J280" s="208"/>
      <c r="K280" s="209">
        <f t="shared" si="15"/>
        <v>62608.52000000012</v>
      </c>
      <c r="L280" s="163"/>
    </row>
    <row r="281" spans="1:12" s="143" customFormat="1" ht="17.25" customHeight="1">
      <c r="A281" s="143">
        <f t="shared" si="14"/>
        <v>11</v>
      </c>
      <c r="B281" s="158">
        <v>41962</v>
      </c>
      <c r="C281" s="159" t="s">
        <v>163</v>
      </c>
      <c r="D281" s="158">
        <v>41962</v>
      </c>
      <c r="E281" s="160" t="s">
        <v>717</v>
      </c>
      <c r="F281" s="163">
        <f t="shared" si="16"/>
        <v>1088874366</v>
      </c>
      <c r="G281" s="161" t="s">
        <v>190</v>
      </c>
      <c r="H281" s="206">
        <v>21355</v>
      </c>
      <c r="I281" s="207">
        <v>50989.2</v>
      </c>
      <c r="J281" s="208"/>
      <c r="K281" s="209">
        <f t="shared" si="15"/>
        <v>113597.72000000012</v>
      </c>
      <c r="L281" s="163"/>
    </row>
    <row r="282" spans="1:12" s="143" customFormat="1" ht="17.25" customHeight="1">
      <c r="A282" s="143">
        <f t="shared" si="14"/>
        <v>11</v>
      </c>
      <c r="B282" s="158">
        <v>41962</v>
      </c>
      <c r="C282" s="159" t="s">
        <v>160</v>
      </c>
      <c r="D282" s="158">
        <v>41962</v>
      </c>
      <c r="E282" s="160" t="s">
        <v>651</v>
      </c>
      <c r="F282" s="163">
        <f t="shared" si="16"/>
        <v>7972035.0499999998</v>
      </c>
      <c r="G282" s="161" t="s">
        <v>166</v>
      </c>
      <c r="H282" s="206">
        <v>21355</v>
      </c>
      <c r="I282" s="207"/>
      <c r="J282" s="208">
        <v>373.31</v>
      </c>
      <c r="K282" s="209">
        <f t="shared" si="15"/>
        <v>113224.41000000012</v>
      </c>
      <c r="L282" s="163"/>
    </row>
    <row r="283" spans="1:12" s="143" customFormat="1" ht="17.25" customHeight="1">
      <c r="A283" s="143">
        <f t="shared" si="14"/>
        <v>11</v>
      </c>
      <c r="B283" s="158">
        <v>41962</v>
      </c>
      <c r="C283" s="159" t="s">
        <v>160</v>
      </c>
      <c r="D283" s="158">
        <v>41962</v>
      </c>
      <c r="E283" s="160" t="s">
        <v>653</v>
      </c>
      <c r="F283" s="163">
        <f t="shared" si="16"/>
        <v>8387176.25</v>
      </c>
      <c r="G283" s="161" t="s">
        <v>166</v>
      </c>
      <c r="H283" s="206">
        <v>21355</v>
      </c>
      <c r="I283" s="207"/>
      <c r="J283" s="208">
        <v>392.75</v>
      </c>
      <c r="K283" s="209">
        <f t="shared" si="15"/>
        <v>112831.66000000012</v>
      </c>
      <c r="L283" s="163"/>
    </row>
    <row r="284" spans="1:12" s="143" customFormat="1" ht="17.25" customHeight="1">
      <c r="A284" s="143">
        <f t="shared" si="14"/>
        <v>11</v>
      </c>
      <c r="B284" s="158">
        <v>41962</v>
      </c>
      <c r="C284" s="159" t="s">
        <v>160</v>
      </c>
      <c r="D284" s="158">
        <v>41962</v>
      </c>
      <c r="E284" s="160" t="s">
        <v>654</v>
      </c>
      <c r="F284" s="163">
        <f t="shared" si="16"/>
        <v>5297107.75</v>
      </c>
      <c r="G284" s="161" t="s">
        <v>166</v>
      </c>
      <c r="H284" s="206">
        <v>21355</v>
      </c>
      <c r="I284" s="207"/>
      <c r="J284" s="208">
        <v>248.05</v>
      </c>
      <c r="K284" s="209">
        <f t="shared" si="15"/>
        <v>112583.61000000012</v>
      </c>
      <c r="L284" s="163"/>
    </row>
    <row r="285" spans="1:12" s="143" customFormat="1" ht="17.25" customHeight="1">
      <c r="A285" s="143">
        <f t="shared" si="14"/>
        <v>11</v>
      </c>
      <c r="B285" s="158">
        <v>41962</v>
      </c>
      <c r="C285" s="159" t="s">
        <v>160</v>
      </c>
      <c r="D285" s="158">
        <v>41962</v>
      </c>
      <c r="E285" s="160" t="s">
        <v>677</v>
      </c>
      <c r="F285" s="163">
        <f t="shared" si="16"/>
        <v>3354870.5</v>
      </c>
      <c r="G285" s="161" t="s">
        <v>166</v>
      </c>
      <c r="H285" s="206">
        <v>21355</v>
      </c>
      <c r="I285" s="207"/>
      <c r="J285" s="208">
        <v>157.1</v>
      </c>
      <c r="K285" s="209">
        <f t="shared" si="15"/>
        <v>112426.51000000011</v>
      </c>
      <c r="L285" s="163"/>
    </row>
    <row r="286" spans="1:12" s="143" customFormat="1" ht="17.25" customHeight="1">
      <c r="A286" s="143">
        <f t="shared" si="14"/>
        <v>11</v>
      </c>
      <c r="B286" s="158">
        <v>41962</v>
      </c>
      <c r="C286" s="159" t="s">
        <v>160</v>
      </c>
      <c r="D286" s="158">
        <v>41962</v>
      </c>
      <c r="E286" s="160" t="s">
        <v>191</v>
      </c>
      <c r="F286" s="163">
        <f t="shared" si="16"/>
        <v>4105285.2</v>
      </c>
      <c r="G286" s="161" t="s">
        <v>166</v>
      </c>
      <c r="H286" s="206">
        <v>21355</v>
      </c>
      <c r="I286" s="207"/>
      <c r="J286" s="208">
        <v>192.24</v>
      </c>
      <c r="K286" s="209">
        <f t="shared" si="15"/>
        <v>112234.27000000011</v>
      </c>
      <c r="L286" s="163"/>
    </row>
    <row r="287" spans="1:12" s="143" customFormat="1" ht="17.25" customHeight="1">
      <c r="A287" s="143">
        <f t="shared" si="14"/>
        <v>11</v>
      </c>
      <c r="B287" s="158">
        <v>41962</v>
      </c>
      <c r="C287" s="159" t="s">
        <v>160</v>
      </c>
      <c r="D287" s="158">
        <v>41962</v>
      </c>
      <c r="E287" s="160" t="s">
        <v>192</v>
      </c>
      <c r="F287" s="163">
        <f t="shared" si="16"/>
        <v>4490956.5</v>
      </c>
      <c r="G287" s="161" t="s">
        <v>166</v>
      </c>
      <c r="H287" s="206">
        <v>21355</v>
      </c>
      <c r="I287" s="207"/>
      <c r="J287" s="208">
        <v>210.3</v>
      </c>
      <c r="K287" s="209">
        <f t="shared" si="15"/>
        <v>112023.9700000001</v>
      </c>
      <c r="L287" s="163"/>
    </row>
    <row r="288" spans="1:12" s="143" customFormat="1" ht="17.25" customHeight="1">
      <c r="A288" s="143">
        <f t="shared" si="14"/>
        <v>11</v>
      </c>
      <c r="B288" s="158">
        <v>41962</v>
      </c>
      <c r="C288" s="159" t="s">
        <v>160</v>
      </c>
      <c r="D288" s="158">
        <v>41962</v>
      </c>
      <c r="E288" s="160" t="s">
        <v>193</v>
      </c>
      <c r="F288" s="163">
        <f t="shared" si="16"/>
        <v>14802004.699999999</v>
      </c>
      <c r="G288" s="161" t="s">
        <v>166</v>
      </c>
      <c r="H288" s="206">
        <v>21355</v>
      </c>
      <c r="I288" s="207"/>
      <c r="J288" s="208">
        <v>693.14</v>
      </c>
      <c r="K288" s="209">
        <f t="shared" si="15"/>
        <v>111330.8300000001</v>
      </c>
      <c r="L288" s="163"/>
    </row>
    <row r="289" spans="1:12" s="143" customFormat="1" ht="17.25" customHeight="1">
      <c r="A289" s="143">
        <f t="shared" si="14"/>
        <v>11</v>
      </c>
      <c r="B289" s="158">
        <v>41962</v>
      </c>
      <c r="C289" s="159" t="s">
        <v>160</v>
      </c>
      <c r="D289" s="158">
        <v>41962</v>
      </c>
      <c r="E289" s="160" t="s">
        <v>181</v>
      </c>
      <c r="F289" s="163">
        <f t="shared" si="16"/>
        <v>10537197.65</v>
      </c>
      <c r="G289" s="161" t="s">
        <v>166</v>
      </c>
      <c r="H289" s="206">
        <v>21355</v>
      </c>
      <c r="I289" s="207"/>
      <c r="J289" s="208">
        <v>493.43</v>
      </c>
      <c r="K289" s="209">
        <f t="shared" si="15"/>
        <v>110837.40000000011</v>
      </c>
      <c r="L289" s="163"/>
    </row>
    <row r="290" spans="1:12" s="143" customFormat="1" ht="17.25" customHeight="1">
      <c r="A290" s="143">
        <f t="shared" si="14"/>
        <v>11</v>
      </c>
      <c r="B290" s="158">
        <v>41962</v>
      </c>
      <c r="C290" s="159" t="s">
        <v>160</v>
      </c>
      <c r="D290" s="158">
        <v>41962</v>
      </c>
      <c r="E290" s="160" t="s">
        <v>700</v>
      </c>
      <c r="F290" s="163">
        <f t="shared" si="16"/>
        <v>1277029000</v>
      </c>
      <c r="G290" s="161" t="s">
        <v>162</v>
      </c>
      <c r="H290" s="206">
        <v>21355</v>
      </c>
      <c r="I290" s="207"/>
      <c r="J290" s="208">
        <v>59800</v>
      </c>
      <c r="K290" s="209">
        <f t="shared" si="15"/>
        <v>51037.400000000111</v>
      </c>
      <c r="L290" s="163"/>
    </row>
    <row r="291" spans="1:12" s="143" customFormat="1" ht="17.25" customHeight="1">
      <c r="A291" s="143">
        <f t="shared" si="14"/>
        <v>11</v>
      </c>
      <c r="B291" s="158">
        <v>41962</v>
      </c>
      <c r="C291" s="159" t="s">
        <v>163</v>
      </c>
      <c r="D291" s="158">
        <v>41962</v>
      </c>
      <c r="E291" s="160" t="s">
        <v>700</v>
      </c>
      <c r="F291" s="163">
        <f t="shared" si="16"/>
        <v>15843400</v>
      </c>
      <c r="G291" s="161" t="s">
        <v>162</v>
      </c>
      <c r="H291" s="206">
        <v>21410</v>
      </c>
      <c r="I291" s="207">
        <v>740</v>
      </c>
      <c r="J291" s="208"/>
      <c r="K291" s="209">
        <f t="shared" si="15"/>
        <v>51777.400000000111</v>
      </c>
      <c r="L291" s="163"/>
    </row>
    <row r="292" spans="1:12" s="143" customFormat="1" ht="17.25" customHeight="1">
      <c r="A292" s="143">
        <f t="shared" si="14"/>
        <v>11</v>
      </c>
      <c r="B292" s="158">
        <v>41963</v>
      </c>
      <c r="C292" s="159" t="s">
        <v>160</v>
      </c>
      <c r="D292" s="158">
        <v>41963</v>
      </c>
      <c r="E292" s="160" t="s">
        <v>682</v>
      </c>
      <c r="F292" s="163">
        <f t="shared" si="16"/>
        <v>1089870000</v>
      </c>
      <c r="G292" s="161" t="s">
        <v>36</v>
      </c>
      <c r="H292" s="206">
        <v>21370</v>
      </c>
      <c r="I292" s="207"/>
      <c r="J292" s="208">
        <v>51000</v>
      </c>
      <c r="K292" s="209">
        <f t="shared" si="15"/>
        <v>777.40000000011059</v>
      </c>
      <c r="L292" s="163"/>
    </row>
    <row r="293" spans="1:12" s="143" customFormat="1" ht="17.25" customHeight="1">
      <c r="A293" s="143">
        <f t="shared" si="14"/>
        <v>11</v>
      </c>
      <c r="B293" s="158">
        <v>41968</v>
      </c>
      <c r="C293" s="159" t="s">
        <v>163</v>
      </c>
      <c r="D293" s="158">
        <v>41968</v>
      </c>
      <c r="E293" s="160" t="s">
        <v>175</v>
      </c>
      <c r="F293" s="163">
        <f t="shared" si="16"/>
        <v>22652.2</v>
      </c>
      <c r="G293" s="161" t="s">
        <v>176</v>
      </c>
      <c r="H293" s="206">
        <v>21370</v>
      </c>
      <c r="I293" s="207">
        <v>1.06</v>
      </c>
      <c r="J293" s="208"/>
      <c r="K293" s="209">
        <f t="shared" si="15"/>
        <v>778.46000000011054</v>
      </c>
      <c r="L293" s="163"/>
    </row>
    <row r="294" spans="1:12" s="143" customFormat="1" ht="17.25" customHeight="1">
      <c r="A294" s="143">
        <f t="shared" si="14"/>
        <v>11</v>
      </c>
      <c r="B294" s="158">
        <v>41971</v>
      </c>
      <c r="C294" s="159" t="s">
        <v>163</v>
      </c>
      <c r="D294" s="158">
        <v>41971</v>
      </c>
      <c r="E294" s="160" t="s">
        <v>728</v>
      </c>
      <c r="F294" s="163">
        <f t="shared" si="16"/>
        <v>847836000</v>
      </c>
      <c r="G294" s="161" t="s">
        <v>190</v>
      </c>
      <c r="H294" s="206">
        <v>21410</v>
      </c>
      <c r="I294" s="207">
        <v>39600</v>
      </c>
      <c r="J294" s="208"/>
      <c r="K294" s="209">
        <f t="shared" si="15"/>
        <v>40378.460000000108</v>
      </c>
      <c r="L294" s="163"/>
    </row>
    <row r="295" spans="1:12" s="143" customFormat="1" ht="17.25" customHeight="1">
      <c r="A295" s="143">
        <f t="shared" si="14"/>
        <v>11</v>
      </c>
      <c r="B295" s="158">
        <v>41971</v>
      </c>
      <c r="C295" s="159" t="s">
        <v>160</v>
      </c>
      <c r="D295" s="158">
        <v>41971</v>
      </c>
      <c r="E295" s="160" t="s">
        <v>721</v>
      </c>
      <c r="F295" s="163">
        <f t="shared" si="16"/>
        <v>214100</v>
      </c>
      <c r="G295" s="161">
        <v>6422</v>
      </c>
      <c r="H295" s="206">
        <v>21410</v>
      </c>
      <c r="I295" s="207"/>
      <c r="J295" s="208">
        <v>10</v>
      </c>
      <c r="K295" s="209">
        <f t="shared" si="15"/>
        <v>40368.460000000108</v>
      </c>
      <c r="L295" s="163"/>
    </row>
    <row r="296" spans="1:12" s="143" customFormat="1" ht="17.25" customHeight="1">
      <c r="A296" s="143">
        <f t="shared" si="14"/>
        <v>11</v>
      </c>
      <c r="B296" s="158">
        <v>41971</v>
      </c>
      <c r="C296" s="159" t="s">
        <v>160</v>
      </c>
      <c r="D296" s="158">
        <v>41971</v>
      </c>
      <c r="E296" s="160" t="s">
        <v>722</v>
      </c>
      <c r="F296" s="163">
        <f t="shared" si="16"/>
        <v>21410</v>
      </c>
      <c r="G296" s="161" t="s">
        <v>35</v>
      </c>
      <c r="H296" s="206">
        <v>21410</v>
      </c>
      <c r="I296" s="207"/>
      <c r="J296" s="208">
        <v>1</v>
      </c>
      <c r="K296" s="209">
        <f t="shared" si="15"/>
        <v>40367.460000000108</v>
      </c>
      <c r="L296" s="163"/>
    </row>
    <row r="297" spans="1:12" s="143" customFormat="1" ht="17.25" customHeight="1">
      <c r="A297" s="143">
        <f t="shared" si="14"/>
        <v>11</v>
      </c>
      <c r="B297" s="158">
        <v>41971</v>
      </c>
      <c r="C297" s="159" t="s">
        <v>160</v>
      </c>
      <c r="D297" s="158">
        <v>41971</v>
      </c>
      <c r="E297" s="160" t="s">
        <v>612</v>
      </c>
      <c r="F297" s="163">
        <f t="shared" si="16"/>
        <v>591344.20000000007</v>
      </c>
      <c r="G297" s="161">
        <v>6422</v>
      </c>
      <c r="H297" s="206">
        <v>21410</v>
      </c>
      <c r="I297" s="207"/>
      <c r="J297" s="208">
        <v>27.62</v>
      </c>
      <c r="K297" s="209">
        <f t="shared" si="15"/>
        <v>40339.840000000106</v>
      </c>
      <c r="L297" s="163"/>
    </row>
    <row r="298" spans="1:12" s="143" customFormat="1" ht="17.25" customHeight="1">
      <c r="A298" s="143">
        <f t="shared" si="14"/>
        <v>11</v>
      </c>
      <c r="B298" s="158">
        <v>41971</v>
      </c>
      <c r="C298" s="159" t="s">
        <v>160</v>
      </c>
      <c r="D298" s="158">
        <v>41971</v>
      </c>
      <c r="E298" s="160" t="s">
        <v>613</v>
      </c>
      <c r="F298" s="163">
        <f t="shared" si="16"/>
        <v>59091.6</v>
      </c>
      <c r="G298" s="161" t="s">
        <v>35</v>
      </c>
      <c r="H298" s="206">
        <v>21410</v>
      </c>
      <c r="I298" s="207"/>
      <c r="J298" s="208">
        <v>2.76</v>
      </c>
      <c r="K298" s="209">
        <f t="shared" si="15"/>
        <v>40337.080000000104</v>
      </c>
      <c r="L298" s="163"/>
    </row>
    <row r="299" spans="1:12" s="143" customFormat="1" ht="17.25" customHeight="1">
      <c r="A299" s="143">
        <f t="shared" si="14"/>
        <v>11</v>
      </c>
      <c r="B299" s="158">
        <v>41971</v>
      </c>
      <c r="C299" s="159" t="s">
        <v>160</v>
      </c>
      <c r="D299" s="158">
        <v>41971</v>
      </c>
      <c r="E299" s="160" t="s">
        <v>612</v>
      </c>
      <c r="F299" s="163">
        <f t="shared" si="16"/>
        <v>765193.4</v>
      </c>
      <c r="G299" s="161">
        <v>6422</v>
      </c>
      <c r="H299" s="206">
        <v>21410</v>
      </c>
      <c r="I299" s="207"/>
      <c r="J299" s="208">
        <v>35.74</v>
      </c>
      <c r="K299" s="209">
        <f t="shared" si="15"/>
        <v>40301.340000000106</v>
      </c>
      <c r="L299" s="163"/>
    </row>
    <row r="300" spans="1:12" s="143" customFormat="1" ht="17.25" customHeight="1">
      <c r="A300" s="143">
        <f t="shared" si="14"/>
        <v>11</v>
      </c>
      <c r="B300" s="158">
        <v>41971</v>
      </c>
      <c r="C300" s="159" t="s">
        <v>160</v>
      </c>
      <c r="D300" s="158">
        <v>41971</v>
      </c>
      <c r="E300" s="160" t="s">
        <v>613</v>
      </c>
      <c r="F300" s="163">
        <f t="shared" si="16"/>
        <v>76433.7</v>
      </c>
      <c r="G300" s="161" t="s">
        <v>35</v>
      </c>
      <c r="H300" s="206">
        <v>21410</v>
      </c>
      <c r="I300" s="207"/>
      <c r="J300" s="208">
        <v>3.57</v>
      </c>
      <c r="K300" s="209">
        <f t="shared" si="15"/>
        <v>40297.770000000106</v>
      </c>
      <c r="L300" s="163"/>
    </row>
    <row r="301" spans="1:12" s="143" customFormat="1" ht="17.25" customHeight="1">
      <c r="A301" s="143">
        <f t="shared" si="14"/>
        <v>11</v>
      </c>
      <c r="B301" s="158">
        <v>41971</v>
      </c>
      <c r="C301" s="159" t="s">
        <v>160</v>
      </c>
      <c r="D301" s="158">
        <v>41971</v>
      </c>
      <c r="E301" s="160" t="s">
        <v>682</v>
      </c>
      <c r="F301" s="163">
        <f t="shared" si="16"/>
        <v>855800000</v>
      </c>
      <c r="G301" s="161" t="s">
        <v>36</v>
      </c>
      <c r="H301" s="206">
        <v>21395</v>
      </c>
      <c r="I301" s="207"/>
      <c r="J301" s="208">
        <v>40000</v>
      </c>
      <c r="K301" s="209">
        <f t="shared" si="15"/>
        <v>297.77000000010594</v>
      </c>
      <c r="L301" s="163"/>
    </row>
    <row r="302" spans="1:12" s="143" customFormat="1" ht="17.25" customHeight="1">
      <c r="A302" s="143">
        <f t="shared" si="14"/>
        <v>12</v>
      </c>
      <c r="B302" s="158">
        <v>41996</v>
      </c>
      <c r="C302" s="159" t="s">
        <v>163</v>
      </c>
      <c r="D302" s="158">
        <v>41996</v>
      </c>
      <c r="E302" s="160" t="s">
        <v>161</v>
      </c>
      <c r="F302" s="163">
        <f t="shared" si="16"/>
        <v>1498000000</v>
      </c>
      <c r="G302" s="161" t="s">
        <v>36</v>
      </c>
      <c r="H302" s="206">
        <v>21400</v>
      </c>
      <c r="I302" s="207">
        <v>70000</v>
      </c>
      <c r="J302" s="208"/>
      <c r="K302" s="209">
        <f t="shared" si="15"/>
        <v>70297.770000000106</v>
      </c>
      <c r="L302" s="163"/>
    </row>
    <row r="303" spans="1:12" s="143" customFormat="1" ht="17.25" customHeight="1">
      <c r="A303" s="143">
        <f t="shared" si="14"/>
        <v>12</v>
      </c>
      <c r="B303" s="158">
        <v>42003</v>
      </c>
      <c r="C303" s="159" t="s">
        <v>163</v>
      </c>
      <c r="D303" s="158">
        <v>42003</v>
      </c>
      <c r="E303" s="160" t="s">
        <v>161</v>
      </c>
      <c r="F303" s="163">
        <f t="shared" si="16"/>
        <v>930900000</v>
      </c>
      <c r="G303" s="161" t="s">
        <v>36</v>
      </c>
      <c r="H303" s="206">
        <v>21400</v>
      </c>
      <c r="I303" s="207">
        <v>43500</v>
      </c>
      <c r="J303" s="208"/>
      <c r="K303" s="209">
        <f t="shared" si="15"/>
        <v>113797.77000000011</v>
      </c>
      <c r="L303" s="163"/>
    </row>
    <row r="304" spans="1:12" s="143" customFormat="1" ht="17.25" customHeight="1">
      <c r="A304" s="143">
        <f t="shared" si="14"/>
        <v>12</v>
      </c>
      <c r="B304" s="158">
        <v>41977</v>
      </c>
      <c r="C304" s="159" t="s">
        <v>163</v>
      </c>
      <c r="D304" s="158">
        <v>41977</v>
      </c>
      <c r="E304" s="160" t="s">
        <v>728</v>
      </c>
      <c r="F304" s="163">
        <f t="shared" si="16"/>
        <v>40419496.800000004</v>
      </c>
      <c r="G304" s="161" t="s">
        <v>190</v>
      </c>
      <c r="H304" s="206">
        <v>21330</v>
      </c>
      <c r="I304" s="207">
        <v>1894.96</v>
      </c>
      <c r="J304" s="208"/>
      <c r="K304" s="209">
        <f t="shared" si="15"/>
        <v>115692.73000000011</v>
      </c>
      <c r="L304" s="163"/>
    </row>
    <row r="305" spans="1:12" s="143" customFormat="1" ht="17.25" customHeight="1">
      <c r="A305" s="143">
        <f t="shared" ref="A305:A330" si="17">IF(B305&lt;&gt;"",MONTH(B305),"")</f>
        <v>12</v>
      </c>
      <c r="B305" s="158">
        <v>41985</v>
      </c>
      <c r="C305" s="159" t="s">
        <v>163</v>
      </c>
      <c r="D305" s="158">
        <v>41985</v>
      </c>
      <c r="E305" s="160" t="s">
        <v>717</v>
      </c>
      <c r="F305" s="163">
        <f t="shared" si="16"/>
        <v>761705905.39999998</v>
      </c>
      <c r="G305" s="161" t="s">
        <v>190</v>
      </c>
      <c r="H305" s="206">
        <v>21340</v>
      </c>
      <c r="I305" s="207">
        <v>35693.81</v>
      </c>
      <c r="J305" s="208"/>
      <c r="K305" s="209">
        <f t="shared" ref="K305:K330" si="18">IF(B305&lt;&gt;"",K304+I305-J305,0)</f>
        <v>151386.5400000001</v>
      </c>
      <c r="L305" s="163"/>
    </row>
    <row r="306" spans="1:12" s="143" customFormat="1" ht="17.25" customHeight="1">
      <c r="A306" s="143">
        <f t="shared" si="17"/>
        <v>12</v>
      </c>
      <c r="B306" s="158">
        <v>41989</v>
      </c>
      <c r="C306" s="159" t="s">
        <v>163</v>
      </c>
      <c r="D306" s="158">
        <v>41989</v>
      </c>
      <c r="E306" s="160" t="s">
        <v>732</v>
      </c>
      <c r="F306" s="163">
        <f t="shared" si="16"/>
        <v>886502885.60000002</v>
      </c>
      <c r="G306" s="161" t="s">
        <v>190</v>
      </c>
      <c r="H306" s="206">
        <v>21380</v>
      </c>
      <c r="I306" s="207">
        <v>41464.120000000003</v>
      </c>
      <c r="J306" s="208"/>
      <c r="K306" s="209">
        <f t="shared" si="18"/>
        <v>192850.66000000009</v>
      </c>
      <c r="L306" s="163"/>
    </row>
    <row r="307" spans="1:12" s="143" customFormat="1" ht="17.25" customHeight="1">
      <c r="A307" s="143">
        <f t="shared" si="17"/>
        <v>12</v>
      </c>
      <c r="B307" s="158">
        <v>41990</v>
      </c>
      <c r="C307" s="159" t="s">
        <v>163</v>
      </c>
      <c r="D307" s="158">
        <v>41990</v>
      </c>
      <c r="E307" s="160" t="s">
        <v>750</v>
      </c>
      <c r="F307" s="163">
        <f t="shared" si="16"/>
        <v>115874682.60000001</v>
      </c>
      <c r="G307" s="161" t="s">
        <v>190</v>
      </c>
      <c r="H307" s="206">
        <v>21380</v>
      </c>
      <c r="I307" s="207">
        <v>5419.77</v>
      </c>
      <c r="J307" s="208"/>
      <c r="K307" s="209">
        <f t="shared" si="18"/>
        <v>198270.43000000008</v>
      </c>
      <c r="L307" s="163"/>
    </row>
    <row r="308" spans="1:12" s="143" customFormat="1" ht="17.25" customHeight="1">
      <c r="A308" s="143">
        <f t="shared" si="17"/>
        <v>12</v>
      </c>
      <c r="B308" s="158">
        <v>41990</v>
      </c>
      <c r="C308" s="159" t="s">
        <v>163</v>
      </c>
      <c r="D308" s="158">
        <v>41990</v>
      </c>
      <c r="E308" s="160" t="s">
        <v>751</v>
      </c>
      <c r="F308" s="163">
        <f t="shared" si="16"/>
        <v>95393284</v>
      </c>
      <c r="G308" s="161" t="s">
        <v>190</v>
      </c>
      <c r="H308" s="206">
        <v>21380</v>
      </c>
      <c r="I308" s="207">
        <v>4461.8</v>
      </c>
      <c r="J308" s="208"/>
      <c r="K308" s="209">
        <f t="shared" si="18"/>
        <v>202732.23000000007</v>
      </c>
      <c r="L308" s="163"/>
    </row>
    <row r="309" spans="1:12" s="143" customFormat="1" ht="17.25" customHeight="1">
      <c r="A309" s="143">
        <f t="shared" si="17"/>
        <v>12</v>
      </c>
      <c r="B309" s="158">
        <v>41990</v>
      </c>
      <c r="C309" s="159" t="s">
        <v>163</v>
      </c>
      <c r="D309" s="158">
        <v>41990</v>
      </c>
      <c r="E309" s="160" t="s">
        <v>752</v>
      </c>
      <c r="F309" s="163">
        <f t="shared" si="16"/>
        <v>24880333.600000001</v>
      </c>
      <c r="G309" s="161" t="s">
        <v>190</v>
      </c>
      <c r="H309" s="206">
        <v>21380</v>
      </c>
      <c r="I309" s="207">
        <v>1163.72</v>
      </c>
      <c r="J309" s="208"/>
      <c r="K309" s="209">
        <f t="shared" si="18"/>
        <v>203895.95000000007</v>
      </c>
      <c r="L309" s="163"/>
    </row>
    <row r="310" spans="1:12" s="143" customFormat="1" ht="17.25" customHeight="1">
      <c r="A310" s="143">
        <f t="shared" si="17"/>
        <v>12</v>
      </c>
      <c r="B310" s="158">
        <v>41990</v>
      </c>
      <c r="C310" s="159" t="s">
        <v>163</v>
      </c>
      <c r="D310" s="158">
        <v>41990</v>
      </c>
      <c r="E310" s="160" t="s">
        <v>753</v>
      </c>
      <c r="F310" s="163">
        <f t="shared" si="16"/>
        <v>541272115</v>
      </c>
      <c r="G310" s="161" t="s">
        <v>190</v>
      </c>
      <c r="H310" s="206">
        <v>21380</v>
      </c>
      <c r="I310" s="207">
        <v>25316.75</v>
      </c>
      <c r="J310" s="208"/>
      <c r="K310" s="209">
        <f t="shared" si="18"/>
        <v>229212.70000000007</v>
      </c>
      <c r="L310" s="163"/>
    </row>
    <row r="311" spans="1:12" s="143" customFormat="1" ht="17.25" customHeight="1">
      <c r="A311" s="143">
        <f t="shared" si="17"/>
        <v>12</v>
      </c>
      <c r="B311" s="158">
        <v>41990</v>
      </c>
      <c r="C311" s="159" t="s">
        <v>163</v>
      </c>
      <c r="D311" s="158">
        <v>41990</v>
      </c>
      <c r="E311" s="160" t="s">
        <v>753</v>
      </c>
      <c r="F311" s="163">
        <f t="shared" si="16"/>
        <v>241049665.20000002</v>
      </c>
      <c r="G311" s="161" t="s">
        <v>190</v>
      </c>
      <c r="H311" s="206">
        <v>21380</v>
      </c>
      <c r="I311" s="207">
        <v>11274.54</v>
      </c>
      <c r="J311" s="208"/>
      <c r="K311" s="209">
        <f t="shared" si="18"/>
        <v>240487.24000000008</v>
      </c>
      <c r="L311" s="163"/>
    </row>
    <row r="312" spans="1:12" s="143" customFormat="1" ht="17.25" customHeight="1">
      <c r="A312" s="143">
        <f t="shared" si="17"/>
        <v>12</v>
      </c>
      <c r="B312" s="158">
        <v>41996</v>
      </c>
      <c r="C312" s="159" t="s">
        <v>163</v>
      </c>
      <c r="D312" s="158">
        <v>41996</v>
      </c>
      <c r="E312" s="160" t="s">
        <v>717</v>
      </c>
      <c r="F312" s="163">
        <f t="shared" si="16"/>
        <v>203857912.99999997</v>
      </c>
      <c r="G312" s="161" t="s">
        <v>190</v>
      </c>
      <c r="H312" s="206">
        <v>21350</v>
      </c>
      <c r="I312" s="207">
        <v>9548.3799999999992</v>
      </c>
      <c r="J312" s="208"/>
      <c r="K312" s="209">
        <f t="shared" si="18"/>
        <v>250035.62000000008</v>
      </c>
      <c r="L312" s="163"/>
    </row>
    <row r="313" spans="1:12" s="143" customFormat="1" ht="17.25" customHeight="1">
      <c r="A313" s="143">
        <f t="shared" si="17"/>
        <v>12</v>
      </c>
      <c r="B313" s="158">
        <v>41996</v>
      </c>
      <c r="C313" s="159" t="s">
        <v>163</v>
      </c>
      <c r="D313" s="158">
        <v>41996</v>
      </c>
      <c r="E313" s="160" t="s">
        <v>754</v>
      </c>
      <c r="F313" s="163">
        <f t="shared" si="16"/>
        <v>1498000000</v>
      </c>
      <c r="G313" s="161" t="s">
        <v>355</v>
      </c>
      <c r="H313" s="206">
        <v>21400</v>
      </c>
      <c r="I313" s="207">
        <v>70000</v>
      </c>
      <c r="J313" s="208"/>
      <c r="K313" s="209">
        <f t="shared" si="18"/>
        <v>320035.62000000011</v>
      </c>
      <c r="L313" s="163"/>
    </row>
    <row r="314" spans="1:12" s="143" customFormat="1" ht="17.25" customHeight="1">
      <c r="A314" s="143">
        <f t="shared" si="17"/>
        <v>12</v>
      </c>
      <c r="B314" s="158">
        <v>41998</v>
      </c>
      <c r="C314" s="159" t="s">
        <v>163</v>
      </c>
      <c r="D314" s="158">
        <v>41998</v>
      </c>
      <c r="E314" s="160" t="s">
        <v>175</v>
      </c>
      <c r="F314" s="163">
        <f t="shared" si="16"/>
        <v>10272</v>
      </c>
      <c r="G314" s="161" t="s">
        <v>176</v>
      </c>
      <c r="H314" s="206">
        <v>21400</v>
      </c>
      <c r="I314" s="207">
        <v>0.48</v>
      </c>
      <c r="J314" s="208"/>
      <c r="K314" s="209">
        <f t="shared" si="18"/>
        <v>320036.10000000009</v>
      </c>
      <c r="L314" s="163"/>
    </row>
    <row r="315" spans="1:12" s="143" customFormat="1" ht="17.25" customHeight="1">
      <c r="A315" s="143">
        <f t="shared" si="17"/>
        <v>12</v>
      </c>
      <c r="B315" s="158">
        <v>41999</v>
      </c>
      <c r="C315" s="159" t="s">
        <v>163</v>
      </c>
      <c r="D315" s="158">
        <v>41999</v>
      </c>
      <c r="E315" s="160" t="s">
        <v>700</v>
      </c>
      <c r="F315" s="163">
        <f t="shared" si="16"/>
        <v>470800000</v>
      </c>
      <c r="G315" s="161" t="s">
        <v>162</v>
      </c>
      <c r="H315" s="206">
        <v>21400</v>
      </c>
      <c r="I315" s="207">
        <v>22000</v>
      </c>
      <c r="J315" s="208"/>
      <c r="K315" s="209">
        <f t="shared" si="18"/>
        <v>342036.10000000009</v>
      </c>
      <c r="L315" s="163"/>
    </row>
    <row r="316" spans="1:12" s="143" customFormat="1" ht="17.25" customHeight="1">
      <c r="A316" s="143">
        <f t="shared" si="17"/>
        <v>12</v>
      </c>
      <c r="B316" s="158">
        <v>42000</v>
      </c>
      <c r="C316" s="159" t="s">
        <v>163</v>
      </c>
      <c r="D316" s="158">
        <v>42000</v>
      </c>
      <c r="E316" s="160" t="s">
        <v>755</v>
      </c>
      <c r="F316" s="163">
        <f t="shared" si="16"/>
        <v>417300000</v>
      </c>
      <c r="G316" s="161" t="s">
        <v>355</v>
      </c>
      <c r="H316" s="206">
        <v>21400</v>
      </c>
      <c r="I316" s="207">
        <v>19500</v>
      </c>
      <c r="J316" s="208"/>
      <c r="K316" s="209">
        <f t="shared" si="18"/>
        <v>361536.10000000009</v>
      </c>
      <c r="L316" s="163"/>
    </row>
    <row r="317" spans="1:12" s="143" customFormat="1" ht="17.25" customHeight="1">
      <c r="A317" s="143">
        <f t="shared" si="17"/>
        <v>12</v>
      </c>
      <c r="B317" s="158">
        <v>42002</v>
      </c>
      <c r="C317" s="159" t="s">
        <v>163</v>
      </c>
      <c r="D317" s="158">
        <v>42002</v>
      </c>
      <c r="E317" s="160" t="s">
        <v>717</v>
      </c>
      <c r="F317" s="163">
        <f t="shared" si="16"/>
        <v>849531948.19999993</v>
      </c>
      <c r="G317" s="161" t="s">
        <v>190</v>
      </c>
      <c r="H317" s="206">
        <v>21380</v>
      </c>
      <c r="I317" s="207">
        <v>39734.89</v>
      </c>
      <c r="J317" s="208"/>
      <c r="K317" s="209">
        <f t="shared" si="18"/>
        <v>401270.99000000011</v>
      </c>
      <c r="L317" s="163"/>
    </row>
    <row r="318" spans="1:12" s="143" customFormat="1" ht="17.25" customHeight="1">
      <c r="A318" s="143">
        <f t="shared" si="17"/>
        <v>12</v>
      </c>
      <c r="B318" s="158">
        <v>42004</v>
      </c>
      <c r="C318" s="159" t="s">
        <v>163</v>
      </c>
      <c r="D318" s="158">
        <v>42004</v>
      </c>
      <c r="E318" s="160" t="s">
        <v>756</v>
      </c>
      <c r="F318" s="163">
        <f t="shared" si="16"/>
        <v>930030000</v>
      </c>
      <c r="G318" s="161" t="s">
        <v>355</v>
      </c>
      <c r="H318" s="206">
        <v>21380</v>
      </c>
      <c r="I318" s="207">
        <v>43500</v>
      </c>
      <c r="J318" s="208"/>
      <c r="K318" s="209">
        <f t="shared" si="18"/>
        <v>444770.99000000011</v>
      </c>
      <c r="L318" s="163"/>
    </row>
    <row r="319" spans="1:12" s="143" customFormat="1" ht="17.25" customHeight="1">
      <c r="A319" s="143">
        <f t="shared" si="17"/>
        <v>12</v>
      </c>
      <c r="B319" s="158">
        <v>42004</v>
      </c>
      <c r="C319" s="159" t="s">
        <v>163</v>
      </c>
      <c r="D319" s="158">
        <v>42004</v>
      </c>
      <c r="E319" s="160" t="s">
        <v>717</v>
      </c>
      <c r="F319" s="163">
        <f t="shared" si="16"/>
        <v>198091686.40000001</v>
      </c>
      <c r="G319" s="161" t="s">
        <v>190</v>
      </c>
      <c r="H319" s="206">
        <v>21380</v>
      </c>
      <c r="I319" s="207">
        <v>9265.2800000000007</v>
      </c>
      <c r="J319" s="208"/>
      <c r="K319" s="209">
        <f t="shared" si="18"/>
        <v>454036.27000000014</v>
      </c>
      <c r="L319" s="163"/>
    </row>
    <row r="320" spans="1:12" s="143" customFormat="1" ht="17.25" customHeight="1">
      <c r="A320" s="143">
        <f t="shared" si="17"/>
        <v>12</v>
      </c>
      <c r="B320" s="158">
        <v>41988</v>
      </c>
      <c r="C320" s="159" t="s">
        <v>160</v>
      </c>
      <c r="D320" s="158">
        <v>41988</v>
      </c>
      <c r="E320" s="160" t="s">
        <v>682</v>
      </c>
      <c r="F320" s="163">
        <f t="shared" si="16"/>
        <v>749350000</v>
      </c>
      <c r="G320" s="161" t="s">
        <v>36</v>
      </c>
      <c r="H320" s="206">
        <v>21410</v>
      </c>
      <c r="I320" s="207"/>
      <c r="J320" s="208">
        <v>35000</v>
      </c>
      <c r="K320" s="209">
        <f t="shared" si="18"/>
        <v>419036.27000000014</v>
      </c>
      <c r="L320" s="163"/>
    </row>
    <row r="321" spans="1:13" s="143" customFormat="1" ht="17.25" customHeight="1">
      <c r="A321" s="143">
        <f t="shared" si="17"/>
        <v>12</v>
      </c>
      <c r="B321" s="158">
        <v>41997</v>
      </c>
      <c r="C321" s="159" t="s">
        <v>160</v>
      </c>
      <c r="D321" s="158">
        <v>41997</v>
      </c>
      <c r="E321" s="160" t="s">
        <v>682</v>
      </c>
      <c r="F321" s="163">
        <f t="shared" si="16"/>
        <v>1498000000</v>
      </c>
      <c r="G321" s="161" t="s">
        <v>36</v>
      </c>
      <c r="H321" s="206">
        <v>21400</v>
      </c>
      <c r="I321" s="207"/>
      <c r="J321" s="208">
        <v>70000</v>
      </c>
      <c r="K321" s="209">
        <f t="shared" si="18"/>
        <v>349036.27000000014</v>
      </c>
      <c r="L321" s="163"/>
    </row>
    <row r="322" spans="1:13" s="143" customFormat="1" ht="17.25" customHeight="1">
      <c r="A322" s="143">
        <f t="shared" si="17"/>
        <v>12</v>
      </c>
      <c r="B322" s="158">
        <v>41998</v>
      </c>
      <c r="C322" s="159" t="s">
        <v>160</v>
      </c>
      <c r="D322" s="158">
        <v>41998</v>
      </c>
      <c r="E322" s="160" t="s">
        <v>682</v>
      </c>
      <c r="F322" s="163">
        <f t="shared" si="16"/>
        <v>203300000</v>
      </c>
      <c r="G322" s="161" t="s">
        <v>36</v>
      </c>
      <c r="H322" s="206">
        <v>21400</v>
      </c>
      <c r="I322" s="207"/>
      <c r="J322" s="208">
        <v>9500</v>
      </c>
      <c r="K322" s="209">
        <f t="shared" si="18"/>
        <v>339536.27000000014</v>
      </c>
      <c r="L322" s="163"/>
    </row>
    <row r="323" spans="1:13" s="143" customFormat="1" ht="17.25" customHeight="1">
      <c r="A323" s="143">
        <f t="shared" si="17"/>
        <v>12</v>
      </c>
      <c r="B323" s="158">
        <v>42000</v>
      </c>
      <c r="C323" s="159" t="s">
        <v>160</v>
      </c>
      <c r="D323" s="158">
        <v>42000</v>
      </c>
      <c r="E323" s="160" t="s">
        <v>682</v>
      </c>
      <c r="F323" s="163">
        <f t="shared" si="16"/>
        <v>449400000</v>
      </c>
      <c r="G323" s="161" t="s">
        <v>36</v>
      </c>
      <c r="H323" s="206">
        <v>21400</v>
      </c>
      <c r="I323" s="207"/>
      <c r="J323" s="208">
        <v>21000</v>
      </c>
      <c r="K323" s="209">
        <f t="shared" si="18"/>
        <v>318536.27000000014</v>
      </c>
      <c r="L323" s="163"/>
    </row>
    <row r="324" spans="1:13" s="143" customFormat="1" ht="17.25" customHeight="1">
      <c r="A324" s="143">
        <f t="shared" si="17"/>
        <v>12</v>
      </c>
      <c r="B324" s="158">
        <v>42004</v>
      </c>
      <c r="C324" s="159" t="s">
        <v>160</v>
      </c>
      <c r="D324" s="158">
        <v>42004</v>
      </c>
      <c r="E324" s="160" t="s">
        <v>682</v>
      </c>
      <c r="F324" s="163">
        <f t="shared" si="16"/>
        <v>930900000</v>
      </c>
      <c r="G324" s="161" t="s">
        <v>36</v>
      </c>
      <c r="H324" s="206">
        <v>21400</v>
      </c>
      <c r="I324" s="207"/>
      <c r="J324" s="208">
        <v>43500</v>
      </c>
      <c r="K324" s="209">
        <f t="shared" si="18"/>
        <v>275036.27000000014</v>
      </c>
      <c r="L324" s="163"/>
    </row>
    <row r="325" spans="1:13" s="143" customFormat="1" ht="17.25" customHeight="1">
      <c r="A325" s="143">
        <f t="shared" si="17"/>
        <v>12</v>
      </c>
      <c r="B325" s="158">
        <v>41978</v>
      </c>
      <c r="C325" s="159" t="s">
        <v>160</v>
      </c>
      <c r="D325" s="158">
        <v>41978</v>
      </c>
      <c r="E325" s="160" t="s">
        <v>700</v>
      </c>
      <c r="F325" s="163">
        <f t="shared" si="16"/>
        <v>46755360</v>
      </c>
      <c r="G325" s="161" t="s">
        <v>162</v>
      </c>
      <c r="H325" s="206">
        <v>21330</v>
      </c>
      <c r="I325" s="207"/>
      <c r="J325" s="208">
        <v>2192</v>
      </c>
      <c r="K325" s="209">
        <f t="shared" si="18"/>
        <v>272844.27000000014</v>
      </c>
      <c r="L325" s="163"/>
    </row>
    <row r="326" spans="1:13" s="143" customFormat="1" ht="17.25" customHeight="1">
      <c r="A326" s="143">
        <f t="shared" si="17"/>
        <v>12</v>
      </c>
      <c r="B326" s="158">
        <v>41990</v>
      </c>
      <c r="C326" s="159" t="s">
        <v>160</v>
      </c>
      <c r="D326" s="158">
        <v>41990</v>
      </c>
      <c r="E326" s="160" t="s">
        <v>700</v>
      </c>
      <c r="F326" s="163">
        <f t="shared" si="16"/>
        <v>1919710200</v>
      </c>
      <c r="G326" s="161" t="s">
        <v>162</v>
      </c>
      <c r="H326" s="206">
        <v>21380</v>
      </c>
      <c r="I326" s="207"/>
      <c r="J326" s="208">
        <v>89790</v>
      </c>
      <c r="K326" s="209">
        <f t="shared" si="18"/>
        <v>183054.27000000014</v>
      </c>
      <c r="L326" s="163"/>
    </row>
    <row r="327" spans="1:13" s="143" customFormat="1" ht="17.25" customHeight="1">
      <c r="A327" s="143">
        <f t="shared" si="17"/>
        <v>12</v>
      </c>
      <c r="B327" s="158">
        <v>41996</v>
      </c>
      <c r="C327" s="159" t="s">
        <v>160</v>
      </c>
      <c r="D327" s="158">
        <v>41996</v>
      </c>
      <c r="E327" s="160" t="s">
        <v>757</v>
      </c>
      <c r="F327" s="163">
        <f t="shared" si="16"/>
        <v>1498000000</v>
      </c>
      <c r="G327" s="161" t="s">
        <v>355</v>
      </c>
      <c r="H327" s="206">
        <v>21400</v>
      </c>
      <c r="I327" s="207"/>
      <c r="J327" s="208">
        <v>70000</v>
      </c>
      <c r="K327" s="209">
        <f t="shared" si="18"/>
        <v>113054.27000000014</v>
      </c>
      <c r="L327" s="163"/>
    </row>
    <row r="328" spans="1:13" s="143" customFormat="1" ht="17.25" customHeight="1">
      <c r="A328" s="143">
        <f t="shared" si="17"/>
        <v>12</v>
      </c>
      <c r="B328" s="158">
        <v>41999</v>
      </c>
      <c r="C328" s="159" t="s">
        <v>160</v>
      </c>
      <c r="D328" s="158">
        <v>41999</v>
      </c>
      <c r="E328" s="160" t="s">
        <v>757</v>
      </c>
      <c r="F328" s="163">
        <f t="shared" si="16"/>
        <v>434420000</v>
      </c>
      <c r="G328" s="161" t="s">
        <v>355</v>
      </c>
      <c r="H328" s="206">
        <v>21400</v>
      </c>
      <c r="I328" s="207"/>
      <c r="J328" s="208">
        <v>20300</v>
      </c>
      <c r="K328" s="209">
        <f t="shared" si="18"/>
        <v>92754.270000000135</v>
      </c>
      <c r="L328" s="163"/>
    </row>
    <row r="329" spans="1:13" s="143" customFormat="1" ht="17.25" customHeight="1">
      <c r="A329" s="143">
        <f t="shared" si="17"/>
        <v>12</v>
      </c>
      <c r="B329" s="158">
        <v>42002</v>
      </c>
      <c r="C329" s="159" t="s">
        <v>160</v>
      </c>
      <c r="D329" s="158">
        <v>42002</v>
      </c>
      <c r="E329" s="160" t="s">
        <v>700</v>
      </c>
      <c r="F329" s="163">
        <f t="shared" si="16"/>
        <v>853062000</v>
      </c>
      <c r="G329" s="161" t="s">
        <v>162</v>
      </c>
      <c r="H329" s="206">
        <v>21380</v>
      </c>
      <c r="I329" s="207"/>
      <c r="J329" s="208">
        <v>39900</v>
      </c>
      <c r="K329" s="209">
        <f t="shared" si="18"/>
        <v>52854.270000000135</v>
      </c>
      <c r="L329" s="163"/>
    </row>
    <row r="330" spans="1:13" s="143" customFormat="1" ht="17.25" customHeight="1">
      <c r="A330" s="143">
        <f t="shared" si="17"/>
        <v>12</v>
      </c>
      <c r="B330" s="158">
        <v>42003</v>
      </c>
      <c r="C330" s="159" t="s">
        <v>160</v>
      </c>
      <c r="D330" s="158">
        <v>42003</v>
      </c>
      <c r="E330" s="160" t="s">
        <v>758</v>
      </c>
      <c r="F330" s="163">
        <f t="shared" si="16"/>
        <v>930030000</v>
      </c>
      <c r="G330" s="161" t="s">
        <v>355</v>
      </c>
      <c r="H330" s="206">
        <v>21380</v>
      </c>
      <c r="I330" s="207"/>
      <c r="J330" s="208">
        <v>43500</v>
      </c>
      <c r="K330" s="209">
        <f t="shared" si="18"/>
        <v>9354.270000000135</v>
      </c>
      <c r="L330" s="163"/>
    </row>
    <row r="331" spans="1:13" s="187" customFormat="1" ht="17.25" customHeight="1">
      <c r="B331" s="158"/>
      <c r="C331" s="210"/>
      <c r="D331" s="211"/>
      <c r="E331" s="212"/>
      <c r="F331" s="212"/>
      <c r="G331" s="210"/>
      <c r="H331" s="213"/>
      <c r="I331" s="214"/>
      <c r="J331" s="214"/>
      <c r="K331" s="215"/>
      <c r="L331" s="212"/>
    </row>
    <row r="332" spans="1:13" s="195" customFormat="1" ht="17.25" customHeight="1">
      <c r="B332" s="216"/>
      <c r="C332" s="217"/>
      <c r="D332" s="218"/>
      <c r="E332" s="201" t="s">
        <v>29</v>
      </c>
      <c r="F332" s="201"/>
      <c r="G332" s="218"/>
      <c r="H332" s="219"/>
      <c r="I332" s="204">
        <f>SUM(I12:I331)</f>
        <v>4157753.9099999997</v>
      </c>
      <c r="J332" s="204">
        <f>SUM(J12:J331)</f>
        <v>4153246.0500000007</v>
      </c>
      <c r="K332" s="204">
        <f>K11+I332-J332</f>
        <v>9354.2699999990873</v>
      </c>
      <c r="L332" s="218"/>
    </row>
    <row r="333" spans="1:13" s="195" customFormat="1" ht="17.25" customHeight="1">
      <c r="B333" s="216"/>
      <c r="C333" s="217"/>
      <c r="D333" s="218"/>
      <c r="E333" s="201" t="s">
        <v>183</v>
      </c>
      <c r="F333" s="201"/>
      <c r="G333" s="218"/>
      <c r="H333" s="219"/>
      <c r="I333" s="204"/>
      <c r="J333" s="204"/>
      <c r="K333" s="204">
        <f>K332</f>
        <v>9354.2699999990873</v>
      </c>
      <c r="L333" s="218"/>
      <c r="M333" s="205"/>
    </row>
    <row r="334" spans="1:13" s="187" customFormat="1" ht="22.5" customHeight="1">
      <c r="B334" s="220" t="s">
        <v>184</v>
      </c>
      <c r="C334" s="221"/>
      <c r="H334" s="189"/>
      <c r="I334" s="222"/>
      <c r="J334" s="190"/>
      <c r="K334" s="378">
        <f>K333+'Q4-USD'!K93</f>
        <v>11298.81999999925</v>
      </c>
      <c r="M334" s="253">
        <f>K334*H157</f>
        <v>240664865.99998403</v>
      </c>
    </row>
    <row r="335" spans="1:13" s="187" customFormat="1" ht="15">
      <c r="B335" s="223" t="s">
        <v>194</v>
      </c>
      <c r="C335" s="138"/>
      <c r="H335" s="189"/>
      <c r="I335" s="191"/>
      <c r="J335" s="190"/>
      <c r="K335" s="190"/>
    </row>
    <row r="336" spans="1:13" s="187" customFormat="1" ht="15">
      <c r="B336" s="224"/>
      <c r="C336" s="136"/>
      <c r="D336" s="225"/>
      <c r="H336" s="189"/>
      <c r="I336" s="190"/>
      <c r="J336" s="411" t="s">
        <v>186</v>
      </c>
      <c r="K336" s="411"/>
      <c r="L336" s="411"/>
    </row>
    <row r="337" spans="2:13" s="187" customFormat="1" ht="17.25" customHeight="1">
      <c r="B337" s="427" t="s">
        <v>33</v>
      </c>
      <c r="C337" s="427"/>
      <c r="D337" s="136"/>
      <c r="G337" s="139" t="s">
        <v>13</v>
      </c>
      <c r="H337" s="226"/>
      <c r="I337" s="227"/>
      <c r="J337" s="228"/>
      <c r="K337" s="229" t="s">
        <v>14</v>
      </c>
      <c r="L337" s="230"/>
      <c r="M337" s="224"/>
    </row>
    <row r="338" spans="2:13" s="187" customFormat="1" ht="15">
      <c r="B338" s="428" t="s">
        <v>15</v>
      </c>
      <c r="C338" s="428"/>
      <c r="D338" s="231"/>
      <c r="G338" s="137" t="s">
        <v>15</v>
      </c>
      <c r="H338" s="232"/>
      <c r="I338" s="233"/>
      <c r="J338" s="416" t="s">
        <v>16</v>
      </c>
      <c r="K338" s="416"/>
      <c r="L338" s="416"/>
      <c r="M338" s="234"/>
    </row>
    <row r="343" spans="2:13">
      <c r="K343" s="235"/>
    </row>
  </sheetData>
  <autoFilter ref="A10:N330">
    <filterColumn colId="0"/>
    <filterColumn colId="6"/>
  </autoFilter>
  <mergeCells count="19">
    <mergeCell ref="J1:L1"/>
    <mergeCell ref="B2:E3"/>
    <mergeCell ref="J2:L2"/>
    <mergeCell ref="J3:L3"/>
    <mergeCell ref="B4:L4"/>
    <mergeCell ref="A8:A9"/>
    <mergeCell ref="J336:L336"/>
    <mergeCell ref="B337:C337"/>
    <mergeCell ref="B338:C338"/>
    <mergeCell ref="J338:L338"/>
    <mergeCell ref="B5:L5"/>
    <mergeCell ref="B6:L6"/>
    <mergeCell ref="B8:B9"/>
    <mergeCell ref="C8:D8"/>
    <mergeCell ref="E8:E9"/>
    <mergeCell ref="I8:K8"/>
    <mergeCell ref="L8:L9"/>
    <mergeCell ref="H8:H9"/>
    <mergeCell ref="G8:G9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22"/>
  <sheetViews>
    <sheetView topLeftCell="A8" workbookViewId="0">
      <pane ySplit="4" topLeftCell="A108" activePane="bottomLeft" state="frozen"/>
      <selection activeCell="E186" sqref="E186"/>
      <selection pane="bottomLeft" activeCell="J11" sqref="J11"/>
    </sheetView>
  </sheetViews>
  <sheetFormatPr defaultRowHeight="15.75"/>
  <cols>
    <col min="1" max="1" width="3.7109375" style="236" customWidth="1"/>
    <col min="2" max="2" width="10.7109375" style="267" customWidth="1"/>
    <col min="3" max="3" width="5.42578125" style="237" customWidth="1"/>
    <col min="4" max="4" width="9.7109375" style="267" customWidth="1"/>
    <col min="5" max="5" width="33" style="236" customWidth="1"/>
    <col min="6" max="6" width="35.28515625" style="236" hidden="1" customWidth="1"/>
    <col min="7" max="7" width="6.5703125" style="236" customWidth="1"/>
    <col min="8" max="9" width="14" style="236" customWidth="1"/>
    <col min="10" max="10" width="14.85546875" style="236" customWidth="1"/>
    <col min="11" max="11" width="8.5703125" style="236" customWidth="1"/>
    <col min="12" max="12" width="9.140625" style="236"/>
    <col min="13" max="13" width="10.7109375" style="236" bestFit="1" customWidth="1"/>
    <col min="14" max="16384" width="9.140625" style="236"/>
  </cols>
  <sheetData>
    <row r="1" spans="1:13" s="187" customFormat="1" ht="16.5" customHeight="1">
      <c r="B1" s="240" t="s">
        <v>142</v>
      </c>
      <c r="C1" s="136"/>
      <c r="D1" s="241"/>
      <c r="I1" s="429" t="s">
        <v>143</v>
      </c>
      <c r="J1" s="429"/>
      <c r="K1" s="429"/>
      <c r="L1" s="139"/>
      <c r="M1" s="139"/>
    </row>
    <row r="2" spans="1:13" s="187" customFormat="1" ht="16.5" customHeight="1">
      <c r="B2" s="430" t="s">
        <v>144</v>
      </c>
      <c r="C2" s="430"/>
      <c r="D2" s="430"/>
      <c r="E2" s="430"/>
      <c r="F2" s="140"/>
      <c r="I2" s="428" t="s">
        <v>145</v>
      </c>
      <c r="J2" s="428"/>
      <c r="K2" s="428"/>
      <c r="L2" s="137"/>
      <c r="M2" s="137"/>
    </row>
    <row r="3" spans="1:13" s="187" customFormat="1" ht="16.5" customHeight="1">
      <c r="B3" s="430"/>
      <c r="C3" s="430"/>
      <c r="D3" s="430"/>
      <c r="E3" s="430"/>
      <c r="F3" s="140"/>
      <c r="I3" s="428" t="s">
        <v>146</v>
      </c>
      <c r="J3" s="428"/>
      <c r="K3" s="428"/>
    </row>
    <row r="4" spans="1:13" s="187" customFormat="1" ht="19.5" customHeight="1">
      <c r="B4" s="431" t="s">
        <v>147</v>
      </c>
      <c r="C4" s="431"/>
      <c r="D4" s="431"/>
      <c r="E4" s="431"/>
      <c r="F4" s="431"/>
      <c r="G4" s="431"/>
      <c r="H4" s="431"/>
      <c r="I4" s="431"/>
      <c r="J4" s="431"/>
      <c r="K4" s="431"/>
    </row>
    <row r="5" spans="1:13" s="187" customFormat="1" ht="15">
      <c r="B5" s="416" t="s">
        <v>195</v>
      </c>
      <c r="C5" s="416"/>
      <c r="D5" s="416"/>
      <c r="E5" s="416"/>
      <c r="F5" s="416"/>
      <c r="G5" s="416"/>
      <c r="H5" s="416"/>
      <c r="I5" s="416"/>
      <c r="J5" s="416"/>
      <c r="K5" s="416"/>
    </row>
    <row r="6" spans="1:13" s="187" customFormat="1" ht="15">
      <c r="B6" s="416" t="s">
        <v>196</v>
      </c>
      <c r="C6" s="416"/>
      <c r="D6" s="416"/>
      <c r="E6" s="416"/>
      <c r="F6" s="416"/>
      <c r="G6" s="416"/>
      <c r="H6" s="416"/>
      <c r="I6" s="416"/>
      <c r="J6" s="416"/>
      <c r="K6" s="416"/>
    </row>
    <row r="7" spans="1:13" s="187" customFormat="1" ht="8.25" customHeight="1">
      <c r="B7" s="242"/>
      <c r="C7" s="138"/>
      <c r="D7" s="242"/>
      <c r="E7" s="138"/>
      <c r="F7" s="138"/>
      <c r="G7" s="138"/>
      <c r="H7" s="138"/>
      <c r="I7" s="138"/>
      <c r="J7" s="138"/>
      <c r="K7" s="138"/>
    </row>
    <row r="8" spans="1:13" s="143" customFormat="1" ht="16.5" customHeight="1">
      <c r="A8" s="401" t="s">
        <v>126</v>
      </c>
      <c r="B8" s="434" t="s">
        <v>150</v>
      </c>
      <c r="C8" s="409" t="s">
        <v>151</v>
      </c>
      <c r="D8" s="410"/>
      <c r="E8" s="421" t="s">
        <v>3</v>
      </c>
      <c r="F8" s="194"/>
      <c r="G8" s="413" t="s">
        <v>22</v>
      </c>
      <c r="H8" s="415" t="s">
        <v>78</v>
      </c>
      <c r="I8" s="409"/>
      <c r="J8" s="410"/>
      <c r="K8" s="421" t="s">
        <v>4</v>
      </c>
    </row>
    <row r="9" spans="1:13" s="143" customFormat="1" ht="26.25" customHeight="1">
      <c r="A9" s="402"/>
      <c r="B9" s="435"/>
      <c r="C9" s="141" t="s">
        <v>152</v>
      </c>
      <c r="D9" s="144" t="s">
        <v>153</v>
      </c>
      <c r="E9" s="422"/>
      <c r="F9" s="196"/>
      <c r="G9" s="414"/>
      <c r="H9" s="142" t="s">
        <v>154</v>
      </c>
      <c r="I9" s="142" t="s">
        <v>155</v>
      </c>
      <c r="J9" s="194" t="s">
        <v>156</v>
      </c>
      <c r="K9" s="422"/>
    </row>
    <row r="10" spans="1:13" s="200" customFormat="1" ht="12">
      <c r="A10" s="146"/>
      <c r="B10" s="243" t="s">
        <v>7</v>
      </c>
      <c r="C10" s="198" t="s">
        <v>8</v>
      </c>
      <c r="D10" s="243" t="s">
        <v>9</v>
      </c>
      <c r="E10" s="198" t="s">
        <v>10</v>
      </c>
      <c r="F10" s="198"/>
      <c r="G10" s="198" t="s">
        <v>11</v>
      </c>
      <c r="H10" s="198">
        <v>1</v>
      </c>
      <c r="I10" s="198">
        <v>2</v>
      </c>
      <c r="J10" s="198">
        <v>3</v>
      </c>
      <c r="K10" s="198" t="s">
        <v>27</v>
      </c>
    </row>
    <row r="11" spans="1:13" s="195" customFormat="1" ht="18" customHeight="1">
      <c r="A11" s="150"/>
      <c r="B11" s="244"/>
      <c r="C11" s="202"/>
      <c r="D11" s="244"/>
      <c r="E11" s="201" t="s">
        <v>157</v>
      </c>
      <c r="F11" s="201"/>
      <c r="G11" s="201"/>
      <c r="H11" s="203"/>
      <c r="I11" s="201"/>
      <c r="J11" s="203">
        <v>517</v>
      </c>
      <c r="K11" s="201"/>
    </row>
    <row r="12" spans="1:13" s="143" customFormat="1" ht="18" customHeight="1">
      <c r="A12" s="143">
        <f t="shared" ref="A12:A43" si="0">IF(B12&lt;&gt;"",MONTH(B12),"")</f>
        <v>1</v>
      </c>
      <c r="B12" s="388">
        <f t="shared" ref="B12:B75" si="1">D12</f>
        <v>41663</v>
      </c>
      <c r="C12" s="389" t="s">
        <v>160</v>
      </c>
      <c r="D12" s="388">
        <v>41663</v>
      </c>
      <c r="E12" s="389" t="s">
        <v>682</v>
      </c>
      <c r="F12" s="389" t="str">
        <f>"Q4 - "&amp;E12</f>
        <v>Q4 - Bán ngoại tệ</v>
      </c>
      <c r="G12" s="390" t="s">
        <v>162</v>
      </c>
      <c r="H12" s="162">
        <v>421500000</v>
      </c>
      <c r="I12" s="162"/>
      <c r="J12" s="163">
        <f>IF(B12&lt;&gt;"",J11+H12-I12,0)</f>
        <v>421500517</v>
      </c>
      <c r="K12" s="163"/>
    </row>
    <row r="13" spans="1:13" s="143" customFormat="1" ht="18" customHeight="1">
      <c r="A13" s="143">
        <f t="shared" si="0"/>
        <v>1</v>
      </c>
      <c r="B13" s="388">
        <f t="shared" si="1"/>
        <v>41663</v>
      </c>
      <c r="C13" s="389" t="s">
        <v>160</v>
      </c>
      <c r="D13" s="388">
        <v>41663</v>
      </c>
      <c r="E13" s="389" t="s">
        <v>577</v>
      </c>
      <c r="F13" s="389" t="str">
        <f t="shared" ref="F13:F76" si="2">"Q4 - "&amp;E13</f>
        <v>Q4 - Rút tiền VNĐ</v>
      </c>
      <c r="G13" s="390" t="s">
        <v>159</v>
      </c>
      <c r="H13" s="162"/>
      <c r="I13" s="162">
        <v>421000000</v>
      </c>
      <c r="J13" s="163">
        <f t="shared" ref="J13:J76" si="3">IF(B13&lt;&gt;"",J12+H13-I13,0)</f>
        <v>500517</v>
      </c>
      <c r="K13" s="163"/>
    </row>
    <row r="14" spans="1:13" s="143" customFormat="1" ht="18" customHeight="1">
      <c r="A14" s="143">
        <f t="shared" si="0"/>
        <v>2</v>
      </c>
      <c r="B14" s="388">
        <f t="shared" si="1"/>
        <v>41677</v>
      </c>
      <c r="C14" s="389" t="s">
        <v>160</v>
      </c>
      <c r="D14" s="388">
        <v>41677</v>
      </c>
      <c r="E14" s="389" t="s">
        <v>197</v>
      </c>
      <c r="F14" s="389" t="str">
        <f t="shared" si="2"/>
        <v>Q4 - Phí dịch vụ thông báo số dư tự động</v>
      </c>
      <c r="G14" s="391" t="s">
        <v>247</v>
      </c>
      <c r="H14" s="162"/>
      <c r="I14" s="162">
        <v>30000</v>
      </c>
      <c r="J14" s="163">
        <f t="shared" si="3"/>
        <v>470517</v>
      </c>
      <c r="K14" s="163"/>
    </row>
    <row r="15" spans="1:13" s="143" customFormat="1" ht="18" customHeight="1">
      <c r="A15" s="143">
        <f t="shared" si="0"/>
        <v>2</v>
      </c>
      <c r="B15" s="388">
        <f t="shared" si="1"/>
        <v>41677</v>
      </c>
      <c r="C15" s="389" t="s">
        <v>160</v>
      </c>
      <c r="D15" s="388">
        <v>41677</v>
      </c>
      <c r="E15" s="389" t="s">
        <v>219</v>
      </c>
      <c r="F15" s="389" t="str">
        <f t="shared" si="2"/>
        <v>Q4 - VAT Phí dịch vụ thông báo số dư tự động</v>
      </c>
      <c r="G15" s="390" t="s">
        <v>35</v>
      </c>
      <c r="H15" s="162"/>
      <c r="I15" s="162">
        <v>3000</v>
      </c>
      <c r="J15" s="163">
        <f t="shared" si="3"/>
        <v>467517</v>
      </c>
      <c r="K15" s="163"/>
    </row>
    <row r="16" spans="1:13" s="143" customFormat="1" ht="18" customHeight="1">
      <c r="A16" s="143">
        <f t="shared" si="0"/>
        <v>2</v>
      </c>
      <c r="B16" s="388">
        <f t="shared" si="1"/>
        <v>41677</v>
      </c>
      <c r="C16" s="389" t="s">
        <v>160</v>
      </c>
      <c r="D16" s="388">
        <v>41677</v>
      </c>
      <c r="E16" s="389" t="s">
        <v>197</v>
      </c>
      <c r="F16" s="389" t="str">
        <f t="shared" si="2"/>
        <v>Q4 - Phí dịch vụ thông báo số dư tự động</v>
      </c>
      <c r="G16" s="391" t="s">
        <v>247</v>
      </c>
      <c r="H16" s="162"/>
      <c r="I16" s="162">
        <v>30000</v>
      </c>
      <c r="J16" s="163">
        <f t="shared" si="3"/>
        <v>437517</v>
      </c>
      <c r="K16" s="163"/>
    </row>
    <row r="17" spans="1:13" s="143" customFormat="1" ht="18" customHeight="1">
      <c r="A17" s="143">
        <f t="shared" si="0"/>
        <v>2</v>
      </c>
      <c r="B17" s="388">
        <f t="shared" si="1"/>
        <v>41677</v>
      </c>
      <c r="C17" s="389" t="s">
        <v>160</v>
      </c>
      <c r="D17" s="388">
        <v>41677</v>
      </c>
      <c r="E17" s="389" t="s">
        <v>219</v>
      </c>
      <c r="F17" s="389" t="str">
        <f t="shared" si="2"/>
        <v>Q4 - VAT Phí dịch vụ thông báo số dư tự động</v>
      </c>
      <c r="G17" s="390" t="s">
        <v>35</v>
      </c>
      <c r="H17" s="162"/>
      <c r="I17" s="162">
        <v>3000</v>
      </c>
      <c r="J17" s="163">
        <f t="shared" si="3"/>
        <v>434517</v>
      </c>
      <c r="K17" s="163"/>
    </row>
    <row r="18" spans="1:13" s="143" customFormat="1" ht="18" customHeight="1">
      <c r="A18" s="143">
        <f t="shared" si="0"/>
        <v>2</v>
      </c>
      <c r="B18" s="388">
        <f t="shared" si="1"/>
        <v>41696</v>
      </c>
      <c r="C18" s="389" t="s">
        <v>163</v>
      </c>
      <c r="D18" s="388">
        <v>41696</v>
      </c>
      <c r="E18" s="389" t="s">
        <v>759</v>
      </c>
      <c r="F18" s="389" t="str">
        <f t="shared" si="2"/>
        <v>Q4 - Hoàn thuế theo QĐ 1127/QD -GC/HT-SXXK</v>
      </c>
      <c r="G18" s="390" t="s">
        <v>663</v>
      </c>
      <c r="H18" s="162">
        <v>31242000</v>
      </c>
      <c r="I18" s="162"/>
      <c r="J18" s="163">
        <f t="shared" si="3"/>
        <v>31676517</v>
      </c>
      <c r="K18" s="163"/>
    </row>
    <row r="19" spans="1:13" s="143" customFormat="1" ht="18" customHeight="1">
      <c r="A19" s="143">
        <f t="shared" si="0"/>
        <v>2</v>
      </c>
      <c r="B19" s="388">
        <f t="shared" si="1"/>
        <v>41697</v>
      </c>
      <c r="C19" s="389" t="s">
        <v>160</v>
      </c>
      <c r="D19" s="388">
        <v>41697</v>
      </c>
      <c r="E19" s="389" t="s">
        <v>220</v>
      </c>
      <c r="F19" s="389" t="str">
        <f t="shared" si="2"/>
        <v>Q4 - Chuyển VNĐ</v>
      </c>
      <c r="G19" s="390" t="s">
        <v>36</v>
      </c>
      <c r="H19" s="162"/>
      <c r="I19" s="162">
        <v>31670000</v>
      </c>
      <c r="J19" s="163">
        <f t="shared" si="3"/>
        <v>6517</v>
      </c>
      <c r="K19" s="163"/>
    </row>
    <row r="20" spans="1:13" s="143" customFormat="1" ht="18" customHeight="1">
      <c r="A20" s="143">
        <f t="shared" si="0"/>
        <v>5</v>
      </c>
      <c r="B20" s="388">
        <f t="shared" si="1"/>
        <v>41773</v>
      </c>
      <c r="C20" s="389" t="s">
        <v>160</v>
      </c>
      <c r="D20" s="388">
        <v>41773</v>
      </c>
      <c r="E20" s="389" t="s">
        <v>682</v>
      </c>
      <c r="F20" s="389" t="str">
        <f t="shared" si="2"/>
        <v>Q4 - Bán ngoại tệ</v>
      </c>
      <c r="G20" s="391" t="s">
        <v>162</v>
      </c>
      <c r="H20" s="162">
        <v>831537000</v>
      </c>
      <c r="I20" s="162"/>
      <c r="J20" s="163">
        <f t="shared" si="3"/>
        <v>831543517</v>
      </c>
      <c r="K20" s="163"/>
    </row>
    <row r="21" spans="1:13" s="143" customFormat="1" ht="18" customHeight="1">
      <c r="A21" s="143">
        <f t="shared" si="0"/>
        <v>5</v>
      </c>
      <c r="B21" s="388">
        <f t="shared" si="1"/>
        <v>41774</v>
      </c>
      <c r="C21" s="389" t="s">
        <v>160</v>
      </c>
      <c r="D21" s="388">
        <v>41774</v>
      </c>
      <c r="E21" s="389" t="s">
        <v>760</v>
      </c>
      <c r="F21" s="389" t="str">
        <f t="shared" si="2"/>
        <v>Q4 - Phí thông báo số dư tự động TK VNĐ</v>
      </c>
      <c r="G21" s="391" t="s">
        <v>247</v>
      </c>
      <c r="H21" s="162"/>
      <c r="I21" s="162">
        <v>44075</v>
      </c>
      <c r="J21" s="163">
        <f t="shared" si="3"/>
        <v>831499442</v>
      </c>
      <c r="K21" s="163"/>
    </row>
    <row r="22" spans="1:13" s="143" customFormat="1" ht="18" customHeight="1">
      <c r="A22" s="143">
        <f t="shared" si="0"/>
        <v>5</v>
      </c>
      <c r="B22" s="388">
        <f t="shared" si="1"/>
        <v>41774</v>
      </c>
      <c r="C22" s="389" t="s">
        <v>160</v>
      </c>
      <c r="D22" s="388">
        <v>41774</v>
      </c>
      <c r="E22" s="389" t="s">
        <v>761</v>
      </c>
      <c r="F22" s="389" t="str">
        <f t="shared" si="2"/>
        <v>Q4 - VAT Phí thông báo số dư tự động TK VNĐ</v>
      </c>
      <c r="G22" s="390" t="s">
        <v>35</v>
      </c>
      <c r="H22" s="162"/>
      <c r="I22" s="162">
        <v>4408</v>
      </c>
      <c r="J22" s="163">
        <f t="shared" si="3"/>
        <v>831495034</v>
      </c>
      <c r="K22" s="163"/>
    </row>
    <row r="23" spans="1:13" s="143" customFormat="1" ht="18" customHeight="1">
      <c r="A23" s="143">
        <f t="shared" si="0"/>
        <v>5</v>
      </c>
      <c r="B23" s="388">
        <f t="shared" si="1"/>
        <v>41774</v>
      </c>
      <c r="C23" s="389" t="s">
        <v>160</v>
      </c>
      <c r="D23" s="388">
        <v>41774</v>
      </c>
      <c r="E23" s="389" t="s">
        <v>577</v>
      </c>
      <c r="F23" s="389" t="str">
        <f t="shared" si="2"/>
        <v>Q4 - Rút tiền VNĐ</v>
      </c>
      <c r="G23" s="390" t="s">
        <v>159</v>
      </c>
      <c r="H23" s="162"/>
      <c r="I23" s="162">
        <v>830000000</v>
      </c>
      <c r="J23" s="163">
        <f t="shared" si="3"/>
        <v>1495034</v>
      </c>
      <c r="K23" s="163"/>
    </row>
    <row r="24" spans="1:13" s="143" customFormat="1" ht="18" customHeight="1">
      <c r="A24" s="143">
        <f t="shared" si="0"/>
        <v>5</v>
      </c>
      <c r="B24" s="388">
        <f t="shared" si="1"/>
        <v>41785</v>
      </c>
      <c r="C24" s="389" t="s">
        <v>163</v>
      </c>
      <c r="D24" s="388">
        <v>41785</v>
      </c>
      <c r="E24" s="389" t="s">
        <v>175</v>
      </c>
      <c r="F24" s="389" t="str">
        <f t="shared" si="2"/>
        <v>Q4 - Lãi tiền gửi</v>
      </c>
      <c r="G24" s="390" t="s">
        <v>176</v>
      </c>
      <c r="H24" s="162">
        <v>11757</v>
      </c>
      <c r="I24" s="162"/>
      <c r="J24" s="163">
        <f t="shared" si="3"/>
        <v>1506791</v>
      </c>
      <c r="K24" s="163"/>
    </row>
    <row r="25" spans="1:13" s="143" customFormat="1" ht="18" customHeight="1">
      <c r="A25" s="143">
        <f t="shared" si="0"/>
        <v>5</v>
      </c>
      <c r="B25" s="388">
        <f t="shared" si="1"/>
        <v>41787</v>
      </c>
      <c r="C25" s="389" t="s">
        <v>160</v>
      </c>
      <c r="D25" s="388">
        <v>41787</v>
      </c>
      <c r="E25" s="389" t="s">
        <v>682</v>
      </c>
      <c r="F25" s="389" t="str">
        <f t="shared" si="2"/>
        <v>Q4 - Bán ngoại tệ</v>
      </c>
      <c r="G25" s="390" t="s">
        <v>162</v>
      </c>
      <c r="H25" s="162">
        <v>634200000</v>
      </c>
      <c r="I25" s="162"/>
      <c r="J25" s="163">
        <f t="shared" si="3"/>
        <v>635706791</v>
      </c>
      <c r="K25" s="163"/>
    </row>
    <row r="26" spans="1:13" s="143" customFormat="1" ht="18" customHeight="1">
      <c r="A26" s="143">
        <f t="shared" si="0"/>
        <v>5</v>
      </c>
      <c r="B26" s="388">
        <f t="shared" si="1"/>
        <v>41787</v>
      </c>
      <c r="C26" s="389" t="s">
        <v>160</v>
      </c>
      <c r="D26" s="388">
        <v>41787</v>
      </c>
      <c r="E26" s="389" t="s">
        <v>577</v>
      </c>
      <c r="F26" s="389" t="str">
        <f t="shared" si="2"/>
        <v>Q4 - Rút tiền VNĐ</v>
      </c>
      <c r="G26" s="390" t="s">
        <v>159</v>
      </c>
      <c r="H26" s="162"/>
      <c r="I26" s="162">
        <v>630000000</v>
      </c>
      <c r="J26" s="163">
        <f t="shared" si="3"/>
        <v>5706791</v>
      </c>
      <c r="K26" s="163"/>
      <c r="M26" s="156"/>
    </row>
    <row r="27" spans="1:13" s="143" customFormat="1" ht="18" customHeight="1">
      <c r="A27" s="143">
        <f t="shared" si="0"/>
        <v>6</v>
      </c>
      <c r="B27" s="388">
        <f t="shared" si="1"/>
        <v>41794</v>
      </c>
      <c r="C27" s="389" t="s">
        <v>160</v>
      </c>
      <c r="D27" s="388">
        <v>41794</v>
      </c>
      <c r="E27" s="389" t="s">
        <v>682</v>
      </c>
      <c r="F27" s="389" t="str">
        <f t="shared" si="2"/>
        <v>Q4 - Bán ngoại tệ</v>
      </c>
      <c r="G27" s="390" t="s">
        <v>162</v>
      </c>
      <c r="H27" s="162">
        <v>1273200000</v>
      </c>
      <c r="I27" s="162"/>
      <c r="J27" s="163">
        <f t="shared" si="3"/>
        <v>1278906791</v>
      </c>
      <c r="K27" s="163"/>
    </row>
    <row r="28" spans="1:13" s="143" customFormat="1" ht="18" customHeight="1">
      <c r="A28" s="143">
        <f t="shared" si="0"/>
        <v>6</v>
      </c>
      <c r="B28" s="388">
        <f t="shared" si="1"/>
        <v>41794</v>
      </c>
      <c r="C28" s="389" t="s">
        <v>160</v>
      </c>
      <c r="D28" s="388">
        <v>41794</v>
      </c>
      <c r="E28" s="389" t="s">
        <v>577</v>
      </c>
      <c r="F28" s="389" t="str">
        <f t="shared" si="2"/>
        <v>Q4 - Rút tiền VNĐ</v>
      </c>
      <c r="G28" s="390" t="s">
        <v>159</v>
      </c>
      <c r="H28" s="162"/>
      <c r="I28" s="162">
        <v>1000000000</v>
      </c>
      <c r="J28" s="163">
        <f t="shared" si="3"/>
        <v>278906791</v>
      </c>
      <c r="K28" s="163"/>
    </row>
    <row r="29" spans="1:13" s="143" customFormat="1" ht="18" customHeight="1">
      <c r="A29" s="143">
        <f t="shared" si="0"/>
        <v>6</v>
      </c>
      <c r="B29" s="388">
        <f t="shared" si="1"/>
        <v>41794</v>
      </c>
      <c r="C29" s="389" t="s">
        <v>160</v>
      </c>
      <c r="D29" s="388">
        <v>41794</v>
      </c>
      <c r="E29" s="389" t="s">
        <v>577</v>
      </c>
      <c r="F29" s="389" t="str">
        <f t="shared" si="2"/>
        <v>Q4 - Rút tiền VNĐ</v>
      </c>
      <c r="G29" s="390" t="s">
        <v>159</v>
      </c>
      <c r="H29" s="162"/>
      <c r="I29" s="162">
        <v>50000000</v>
      </c>
      <c r="J29" s="163">
        <f t="shared" si="3"/>
        <v>228906791</v>
      </c>
      <c r="K29" s="163"/>
    </row>
    <row r="30" spans="1:13" s="143" customFormat="1" ht="18" customHeight="1">
      <c r="A30" s="143">
        <f t="shared" si="0"/>
        <v>6</v>
      </c>
      <c r="B30" s="388">
        <f t="shared" si="1"/>
        <v>41795</v>
      </c>
      <c r="C30" s="389" t="s">
        <v>160</v>
      </c>
      <c r="D30" s="388">
        <v>41795</v>
      </c>
      <c r="E30" s="389" t="s">
        <v>216</v>
      </c>
      <c r="F30" s="389" t="str">
        <f t="shared" si="2"/>
        <v>Q4 - Thanh toán tiền bao bì - Tấn Dũng</v>
      </c>
      <c r="G30" s="390" t="s">
        <v>34</v>
      </c>
      <c r="H30" s="162"/>
      <c r="I30" s="162">
        <v>60000000</v>
      </c>
      <c r="J30" s="163">
        <f t="shared" si="3"/>
        <v>168906791</v>
      </c>
      <c r="K30" s="163"/>
    </row>
    <row r="31" spans="1:13" s="143" customFormat="1" ht="18" customHeight="1">
      <c r="A31" s="143">
        <f t="shared" si="0"/>
        <v>6</v>
      </c>
      <c r="B31" s="388">
        <f t="shared" si="1"/>
        <v>41795</v>
      </c>
      <c r="C31" s="389" t="s">
        <v>160</v>
      </c>
      <c r="D31" s="388">
        <v>41795</v>
      </c>
      <c r="E31" s="389" t="s">
        <v>222</v>
      </c>
      <c r="F31" s="389" t="str">
        <f t="shared" si="2"/>
        <v>Q4 - Phí thanh toán</v>
      </c>
      <c r="G31" s="391" t="s">
        <v>247</v>
      </c>
      <c r="H31" s="162"/>
      <c r="I31" s="162">
        <v>30000</v>
      </c>
      <c r="J31" s="163">
        <f t="shared" si="3"/>
        <v>168876791</v>
      </c>
      <c r="K31" s="163"/>
    </row>
    <row r="32" spans="1:13" s="143" customFormat="1" ht="18" customHeight="1">
      <c r="A32" s="143">
        <f t="shared" si="0"/>
        <v>6</v>
      </c>
      <c r="B32" s="388">
        <f t="shared" si="1"/>
        <v>41795</v>
      </c>
      <c r="C32" s="389" t="s">
        <v>160</v>
      </c>
      <c r="D32" s="388">
        <v>41795</v>
      </c>
      <c r="E32" s="389" t="s">
        <v>223</v>
      </c>
      <c r="F32" s="389" t="str">
        <f t="shared" si="2"/>
        <v>Q4 - VAT Phí thanh toán</v>
      </c>
      <c r="G32" s="390" t="s">
        <v>35</v>
      </c>
      <c r="H32" s="162"/>
      <c r="I32" s="162">
        <v>3000</v>
      </c>
      <c r="J32" s="163">
        <f t="shared" si="3"/>
        <v>168873791</v>
      </c>
      <c r="K32" s="163"/>
    </row>
    <row r="33" spans="1:11" s="143" customFormat="1" ht="18" customHeight="1">
      <c r="A33" s="143">
        <f t="shared" si="0"/>
        <v>6</v>
      </c>
      <c r="B33" s="388">
        <f t="shared" si="1"/>
        <v>41795</v>
      </c>
      <c r="C33" s="389" t="s">
        <v>160</v>
      </c>
      <c r="D33" s="388">
        <v>41795</v>
      </c>
      <c r="E33" s="389" t="s">
        <v>218</v>
      </c>
      <c r="F33" s="389" t="str">
        <f t="shared" si="2"/>
        <v>Q4 - Thanh toán tiền bao bì - Nghị Hòa</v>
      </c>
      <c r="G33" s="390" t="s">
        <v>34</v>
      </c>
      <c r="H33" s="162"/>
      <c r="I33" s="162">
        <v>20317000</v>
      </c>
      <c r="J33" s="163">
        <f t="shared" si="3"/>
        <v>148556791</v>
      </c>
      <c r="K33" s="163"/>
    </row>
    <row r="34" spans="1:11" s="143" customFormat="1" ht="18" customHeight="1">
      <c r="A34" s="143">
        <f t="shared" si="0"/>
        <v>6</v>
      </c>
      <c r="B34" s="388">
        <f t="shared" si="1"/>
        <v>41795</v>
      </c>
      <c r="C34" s="389" t="s">
        <v>160</v>
      </c>
      <c r="D34" s="388">
        <v>41795</v>
      </c>
      <c r="E34" s="389" t="s">
        <v>222</v>
      </c>
      <c r="F34" s="389" t="str">
        <f t="shared" si="2"/>
        <v>Q4 - Phí thanh toán</v>
      </c>
      <c r="G34" s="391" t="s">
        <v>247</v>
      </c>
      <c r="H34" s="162"/>
      <c r="I34" s="162">
        <v>20000</v>
      </c>
      <c r="J34" s="163">
        <f t="shared" si="3"/>
        <v>148536791</v>
      </c>
      <c r="K34" s="163"/>
    </row>
    <row r="35" spans="1:11" s="143" customFormat="1" ht="18" customHeight="1">
      <c r="A35" s="143">
        <f t="shared" si="0"/>
        <v>6</v>
      </c>
      <c r="B35" s="388">
        <f t="shared" si="1"/>
        <v>41795</v>
      </c>
      <c r="C35" s="389" t="s">
        <v>160</v>
      </c>
      <c r="D35" s="388">
        <v>41795</v>
      </c>
      <c r="E35" s="389" t="s">
        <v>223</v>
      </c>
      <c r="F35" s="389" t="str">
        <f t="shared" si="2"/>
        <v>Q4 - VAT Phí thanh toán</v>
      </c>
      <c r="G35" s="390" t="s">
        <v>35</v>
      </c>
      <c r="H35" s="162"/>
      <c r="I35" s="162">
        <v>2000</v>
      </c>
      <c r="J35" s="163">
        <f t="shared" si="3"/>
        <v>148534791</v>
      </c>
      <c r="K35" s="163"/>
    </row>
    <row r="36" spans="1:11" s="143" customFormat="1" ht="18" customHeight="1">
      <c r="A36" s="143">
        <f t="shared" si="0"/>
        <v>6</v>
      </c>
      <c r="B36" s="388">
        <f t="shared" si="1"/>
        <v>41795</v>
      </c>
      <c r="C36" s="389" t="s">
        <v>160</v>
      </c>
      <c r="D36" s="388">
        <v>41795</v>
      </c>
      <c r="E36" s="389" t="s">
        <v>645</v>
      </c>
      <c r="F36" s="389" t="str">
        <f t="shared" si="2"/>
        <v>Q4 - Tiền hóa chất - Thành Phương</v>
      </c>
      <c r="G36" s="390" t="s">
        <v>34</v>
      </c>
      <c r="H36" s="162"/>
      <c r="I36" s="162">
        <v>42174000</v>
      </c>
      <c r="J36" s="163">
        <f t="shared" si="3"/>
        <v>106360791</v>
      </c>
      <c r="K36" s="163"/>
    </row>
    <row r="37" spans="1:11" s="143" customFormat="1" ht="18" customHeight="1">
      <c r="A37" s="143">
        <f t="shared" si="0"/>
        <v>6</v>
      </c>
      <c r="B37" s="388">
        <f t="shared" si="1"/>
        <v>41795</v>
      </c>
      <c r="C37" s="389" t="s">
        <v>160</v>
      </c>
      <c r="D37" s="388">
        <v>41795</v>
      </c>
      <c r="E37" s="389" t="s">
        <v>222</v>
      </c>
      <c r="F37" s="389" t="str">
        <f t="shared" si="2"/>
        <v>Q4 - Phí thanh toán</v>
      </c>
      <c r="G37" s="391" t="s">
        <v>247</v>
      </c>
      <c r="H37" s="162"/>
      <c r="I37" s="162">
        <v>20000</v>
      </c>
      <c r="J37" s="163">
        <f t="shared" si="3"/>
        <v>106340791</v>
      </c>
      <c r="K37" s="163"/>
    </row>
    <row r="38" spans="1:11" s="143" customFormat="1" ht="18" customHeight="1">
      <c r="A38" s="143">
        <f t="shared" si="0"/>
        <v>6</v>
      </c>
      <c r="B38" s="388">
        <f t="shared" si="1"/>
        <v>41795</v>
      </c>
      <c r="C38" s="389" t="s">
        <v>160</v>
      </c>
      <c r="D38" s="388">
        <v>41795</v>
      </c>
      <c r="E38" s="389" t="s">
        <v>223</v>
      </c>
      <c r="F38" s="389" t="str">
        <f t="shared" si="2"/>
        <v>Q4 - VAT Phí thanh toán</v>
      </c>
      <c r="G38" s="390" t="s">
        <v>35</v>
      </c>
      <c r="H38" s="162"/>
      <c r="I38" s="162">
        <v>2000</v>
      </c>
      <c r="J38" s="163">
        <f t="shared" si="3"/>
        <v>106338791</v>
      </c>
      <c r="K38" s="163"/>
    </row>
    <row r="39" spans="1:11" s="143" customFormat="1" ht="18" customHeight="1">
      <c r="A39" s="143">
        <f t="shared" si="0"/>
        <v>6</v>
      </c>
      <c r="B39" s="388">
        <f t="shared" si="1"/>
        <v>41795</v>
      </c>
      <c r="C39" s="389" t="s">
        <v>160</v>
      </c>
      <c r="D39" s="388">
        <v>41795</v>
      </c>
      <c r="E39" s="389" t="s">
        <v>584</v>
      </c>
      <c r="F39" s="389" t="str">
        <f t="shared" si="2"/>
        <v>Q4 - Thanh toán tiền bảo hiểm - Bến Tre</v>
      </c>
      <c r="G39" s="390" t="s">
        <v>34</v>
      </c>
      <c r="H39" s="162"/>
      <c r="I39" s="162">
        <v>20765360</v>
      </c>
      <c r="J39" s="163">
        <f t="shared" si="3"/>
        <v>85573431</v>
      </c>
      <c r="K39" s="163"/>
    </row>
    <row r="40" spans="1:11" s="143" customFormat="1" ht="18" customHeight="1">
      <c r="A40" s="143">
        <f t="shared" si="0"/>
        <v>6</v>
      </c>
      <c r="B40" s="388">
        <f t="shared" si="1"/>
        <v>41795</v>
      </c>
      <c r="C40" s="389" t="s">
        <v>160</v>
      </c>
      <c r="D40" s="388">
        <v>41795</v>
      </c>
      <c r="E40" s="389" t="s">
        <v>222</v>
      </c>
      <c r="F40" s="389" t="str">
        <f t="shared" si="2"/>
        <v>Q4 - Phí thanh toán</v>
      </c>
      <c r="G40" s="391" t="s">
        <v>247</v>
      </c>
      <c r="H40" s="162"/>
      <c r="I40" s="162">
        <v>25000</v>
      </c>
      <c r="J40" s="163">
        <f t="shared" si="3"/>
        <v>85548431</v>
      </c>
      <c r="K40" s="163"/>
    </row>
    <row r="41" spans="1:11" s="143" customFormat="1" ht="18" customHeight="1">
      <c r="A41" s="143">
        <f t="shared" si="0"/>
        <v>6</v>
      </c>
      <c r="B41" s="388">
        <f t="shared" si="1"/>
        <v>41795</v>
      </c>
      <c r="C41" s="389" t="s">
        <v>160</v>
      </c>
      <c r="D41" s="388">
        <v>41795</v>
      </c>
      <c r="E41" s="389" t="s">
        <v>223</v>
      </c>
      <c r="F41" s="389" t="str">
        <f t="shared" si="2"/>
        <v>Q4 - VAT Phí thanh toán</v>
      </c>
      <c r="G41" s="390" t="s">
        <v>35</v>
      </c>
      <c r="H41" s="162"/>
      <c r="I41" s="162">
        <v>2500</v>
      </c>
      <c r="J41" s="163">
        <f t="shared" si="3"/>
        <v>85545931</v>
      </c>
      <c r="K41" s="163"/>
    </row>
    <row r="42" spans="1:11" s="143" customFormat="1" ht="18" customHeight="1">
      <c r="A42" s="143">
        <f t="shared" si="0"/>
        <v>6</v>
      </c>
      <c r="B42" s="388">
        <f t="shared" si="1"/>
        <v>41795</v>
      </c>
      <c r="C42" s="389" t="s">
        <v>160</v>
      </c>
      <c r="D42" s="388">
        <v>41795</v>
      </c>
      <c r="E42" s="389" t="s">
        <v>762</v>
      </c>
      <c r="F42" s="389" t="str">
        <f t="shared" si="2"/>
        <v>Q4 - Thanh toán tiền giám sát MT Minh Việt</v>
      </c>
      <c r="G42" s="390" t="s">
        <v>34</v>
      </c>
      <c r="H42" s="162"/>
      <c r="I42" s="162">
        <v>3657500</v>
      </c>
      <c r="J42" s="163">
        <f t="shared" si="3"/>
        <v>81888431</v>
      </c>
      <c r="K42" s="163"/>
    </row>
    <row r="43" spans="1:11" s="143" customFormat="1" ht="18" customHeight="1">
      <c r="A43" s="143">
        <f t="shared" si="0"/>
        <v>6</v>
      </c>
      <c r="B43" s="388">
        <f t="shared" si="1"/>
        <v>41795</v>
      </c>
      <c r="C43" s="389" t="s">
        <v>160</v>
      </c>
      <c r="D43" s="388">
        <v>41795</v>
      </c>
      <c r="E43" s="389" t="s">
        <v>222</v>
      </c>
      <c r="F43" s="389" t="str">
        <f t="shared" si="2"/>
        <v>Q4 - Phí thanh toán</v>
      </c>
      <c r="G43" s="391" t="s">
        <v>247</v>
      </c>
      <c r="H43" s="162"/>
      <c r="I43" s="162">
        <v>20000</v>
      </c>
      <c r="J43" s="163">
        <f t="shared" si="3"/>
        <v>81868431</v>
      </c>
      <c r="K43" s="163"/>
    </row>
    <row r="44" spans="1:11" s="143" customFormat="1" ht="18" customHeight="1">
      <c r="A44" s="143">
        <f t="shared" ref="A44:A75" si="4">IF(B44&lt;&gt;"",MONTH(B44),"")</f>
        <v>6</v>
      </c>
      <c r="B44" s="388">
        <f t="shared" si="1"/>
        <v>41795</v>
      </c>
      <c r="C44" s="389" t="s">
        <v>160</v>
      </c>
      <c r="D44" s="388">
        <v>41795</v>
      </c>
      <c r="E44" s="389" t="s">
        <v>223</v>
      </c>
      <c r="F44" s="389" t="str">
        <f t="shared" si="2"/>
        <v>Q4 - VAT Phí thanh toán</v>
      </c>
      <c r="G44" s="390" t="s">
        <v>35</v>
      </c>
      <c r="H44" s="162"/>
      <c r="I44" s="162">
        <v>2000</v>
      </c>
      <c r="J44" s="163">
        <f t="shared" si="3"/>
        <v>81866431</v>
      </c>
      <c r="K44" s="163"/>
    </row>
    <row r="45" spans="1:11" s="143" customFormat="1" ht="18" customHeight="1">
      <c r="A45" s="143">
        <f t="shared" si="4"/>
        <v>6</v>
      </c>
      <c r="B45" s="388">
        <f t="shared" si="1"/>
        <v>41795</v>
      </c>
      <c r="C45" s="389" t="s">
        <v>160</v>
      </c>
      <c r="D45" s="388">
        <v>41795</v>
      </c>
      <c r="E45" s="389" t="s">
        <v>763</v>
      </c>
      <c r="F45" s="389" t="str">
        <f t="shared" si="2"/>
        <v>Q4 - Phí duy trì sử dụng mã số: 89352265</v>
      </c>
      <c r="G45" s="390" t="s">
        <v>34</v>
      </c>
      <c r="H45" s="162"/>
      <c r="I45" s="162">
        <v>1000000</v>
      </c>
      <c r="J45" s="163">
        <f t="shared" si="3"/>
        <v>80866431</v>
      </c>
      <c r="K45" s="163"/>
    </row>
    <row r="46" spans="1:11" s="143" customFormat="1" ht="18" customHeight="1">
      <c r="A46" s="143">
        <f t="shared" si="4"/>
        <v>6</v>
      </c>
      <c r="B46" s="388">
        <f t="shared" si="1"/>
        <v>41795</v>
      </c>
      <c r="C46" s="389" t="s">
        <v>160</v>
      </c>
      <c r="D46" s="388">
        <v>41795</v>
      </c>
      <c r="E46" s="389" t="s">
        <v>222</v>
      </c>
      <c r="F46" s="389" t="str">
        <f t="shared" si="2"/>
        <v>Q4 - Phí thanh toán</v>
      </c>
      <c r="G46" s="391" t="s">
        <v>247</v>
      </c>
      <c r="H46" s="162"/>
      <c r="I46" s="162">
        <v>20000</v>
      </c>
      <c r="J46" s="163">
        <f t="shared" si="3"/>
        <v>80846431</v>
      </c>
      <c r="K46" s="163"/>
    </row>
    <row r="47" spans="1:11" s="143" customFormat="1" ht="18" customHeight="1">
      <c r="A47" s="143">
        <f t="shared" si="4"/>
        <v>6</v>
      </c>
      <c r="B47" s="388">
        <f t="shared" si="1"/>
        <v>41795</v>
      </c>
      <c r="C47" s="389" t="s">
        <v>160</v>
      </c>
      <c r="D47" s="388">
        <v>41795</v>
      </c>
      <c r="E47" s="389" t="s">
        <v>223</v>
      </c>
      <c r="F47" s="389" t="str">
        <f t="shared" si="2"/>
        <v>Q4 - VAT Phí thanh toán</v>
      </c>
      <c r="G47" s="390" t="s">
        <v>35</v>
      </c>
      <c r="H47" s="162"/>
      <c r="I47" s="162">
        <v>2000</v>
      </c>
      <c r="J47" s="163">
        <f t="shared" si="3"/>
        <v>80844431</v>
      </c>
      <c r="K47" s="163"/>
    </row>
    <row r="48" spans="1:11" s="143" customFormat="1" ht="18" customHeight="1">
      <c r="A48" s="143">
        <f t="shared" si="4"/>
        <v>6</v>
      </c>
      <c r="B48" s="388">
        <f t="shared" si="1"/>
        <v>41795</v>
      </c>
      <c r="C48" s="389" t="s">
        <v>160</v>
      </c>
      <c r="D48" s="388">
        <v>41795</v>
      </c>
      <c r="E48" s="389" t="s">
        <v>585</v>
      </c>
      <c r="F48" s="389" t="str">
        <f t="shared" si="2"/>
        <v>Q4 - Thanh toán phí kiểm nghiệm Nafi4</v>
      </c>
      <c r="G48" s="390" t="s">
        <v>34</v>
      </c>
      <c r="H48" s="162"/>
      <c r="I48" s="162">
        <v>2720000</v>
      </c>
      <c r="J48" s="163">
        <f t="shared" si="3"/>
        <v>78124431</v>
      </c>
      <c r="K48" s="163"/>
    </row>
    <row r="49" spans="1:11" s="143" customFormat="1" ht="18" customHeight="1">
      <c r="A49" s="143">
        <f t="shared" si="4"/>
        <v>6</v>
      </c>
      <c r="B49" s="388">
        <f t="shared" si="1"/>
        <v>41795</v>
      </c>
      <c r="C49" s="389" t="s">
        <v>160</v>
      </c>
      <c r="D49" s="388">
        <v>41795</v>
      </c>
      <c r="E49" s="389" t="s">
        <v>222</v>
      </c>
      <c r="F49" s="389" t="str">
        <f t="shared" si="2"/>
        <v>Q4 - Phí thanh toán</v>
      </c>
      <c r="G49" s="391" t="s">
        <v>247</v>
      </c>
      <c r="H49" s="162"/>
      <c r="I49" s="162">
        <v>20000</v>
      </c>
      <c r="J49" s="163">
        <f t="shared" si="3"/>
        <v>78104431</v>
      </c>
      <c r="K49" s="163"/>
    </row>
    <row r="50" spans="1:11" s="143" customFormat="1" ht="18" customHeight="1">
      <c r="A50" s="143">
        <f t="shared" si="4"/>
        <v>6</v>
      </c>
      <c r="B50" s="388">
        <f t="shared" si="1"/>
        <v>41795</v>
      </c>
      <c r="C50" s="389" t="s">
        <v>160</v>
      </c>
      <c r="D50" s="388">
        <v>41795</v>
      </c>
      <c r="E50" s="389" t="s">
        <v>223</v>
      </c>
      <c r="F50" s="389" t="str">
        <f t="shared" si="2"/>
        <v>Q4 - VAT Phí thanh toán</v>
      </c>
      <c r="G50" s="390" t="s">
        <v>35</v>
      </c>
      <c r="H50" s="162"/>
      <c r="I50" s="162">
        <v>2000</v>
      </c>
      <c r="J50" s="163">
        <f t="shared" si="3"/>
        <v>78102431</v>
      </c>
      <c r="K50" s="163"/>
    </row>
    <row r="51" spans="1:11" s="143" customFormat="1" ht="18" customHeight="1">
      <c r="A51" s="143">
        <f t="shared" si="4"/>
        <v>6</v>
      </c>
      <c r="B51" s="388">
        <f t="shared" si="1"/>
        <v>41795</v>
      </c>
      <c r="C51" s="389" t="s">
        <v>160</v>
      </c>
      <c r="D51" s="388">
        <v>41795</v>
      </c>
      <c r="E51" s="389" t="s">
        <v>576</v>
      </c>
      <c r="F51" s="389" t="str">
        <f t="shared" si="2"/>
        <v>Q4 - Thanh toán tiền điện - Điện Lực LA</v>
      </c>
      <c r="G51" s="390" t="s">
        <v>34</v>
      </c>
      <c r="H51" s="162"/>
      <c r="I51" s="162">
        <v>25106400</v>
      </c>
      <c r="J51" s="163">
        <f t="shared" si="3"/>
        <v>52996031</v>
      </c>
      <c r="K51" s="163"/>
    </row>
    <row r="52" spans="1:11" s="143" customFormat="1" ht="18" customHeight="1">
      <c r="A52" s="143">
        <f t="shared" si="4"/>
        <v>6</v>
      </c>
      <c r="B52" s="388">
        <f t="shared" si="1"/>
        <v>41795</v>
      </c>
      <c r="C52" s="389" t="s">
        <v>160</v>
      </c>
      <c r="D52" s="388">
        <v>41795</v>
      </c>
      <c r="E52" s="389" t="s">
        <v>222</v>
      </c>
      <c r="F52" s="389" t="str">
        <f t="shared" si="2"/>
        <v>Q4 - Phí thanh toán</v>
      </c>
      <c r="G52" s="391" t="s">
        <v>247</v>
      </c>
      <c r="H52" s="162"/>
      <c r="I52" s="162">
        <v>25000</v>
      </c>
      <c r="J52" s="163">
        <f t="shared" si="3"/>
        <v>52971031</v>
      </c>
      <c r="K52" s="163"/>
    </row>
    <row r="53" spans="1:11" s="143" customFormat="1" ht="18" customHeight="1">
      <c r="A53" s="143">
        <f t="shared" si="4"/>
        <v>6</v>
      </c>
      <c r="B53" s="388">
        <f t="shared" si="1"/>
        <v>41795</v>
      </c>
      <c r="C53" s="389" t="s">
        <v>160</v>
      </c>
      <c r="D53" s="388">
        <v>41795</v>
      </c>
      <c r="E53" s="389" t="s">
        <v>223</v>
      </c>
      <c r="F53" s="389" t="str">
        <f t="shared" si="2"/>
        <v>Q4 - VAT Phí thanh toán</v>
      </c>
      <c r="G53" s="390" t="s">
        <v>35</v>
      </c>
      <c r="H53" s="162"/>
      <c r="I53" s="162">
        <v>2500</v>
      </c>
      <c r="J53" s="163">
        <f t="shared" si="3"/>
        <v>52968531</v>
      </c>
      <c r="K53" s="163"/>
    </row>
    <row r="54" spans="1:11" s="143" customFormat="1" ht="18" customHeight="1">
      <c r="A54" s="143">
        <f t="shared" si="4"/>
        <v>6</v>
      </c>
      <c r="B54" s="388">
        <f t="shared" si="1"/>
        <v>41795</v>
      </c>
      <c r="C54" s="389" t="s">
        <v>160</v>
      </c>
      <c r="D54" s="388">
        <v>41795</v>
      </c>
      <c r="E54" s="389" t="s">
        <v>615</v>
      </c>
      <c r="F54" s="389" t="str">
        <f t="shared" si="2"/>
        <v>Q4 - Thanh toán tiền thuê xe - An Lạc SG</v>
      </c>
      <c r="G54" s="390" t="s">
        <v>34</v>
      </c>
      <c r="H54" s="162"/>
      <c r="I54" s="162">
        <v>52000000</v>
      </c>
      <c r="J54" s="163">
        <f t="shared" si="3"/>
        <v>968531</v>
      </c>
      <c r="K54" s="163"/>
    </row>
    <row r="55" spans="1:11" s="143" customFormat="1" ht="18" customHeight="1">
      <c r="A55" s="143">
        <f t="shared" si="4"/>
        <v>6</v>
      </c>
      <c r="B55" s="388">
        <f t="shared" si="1"/>
        <v>41802</v>
      </c>
      <c r="C55" s="389" t="s">
        <v>160</v>
      </c>
      <c r="D55" s="388">
        <v>41802</v>
      </c>
      <c r="E55" s="389" t="s">
        <v>682</v>
      </c>
      <c r="F55" s="389" t="str">
        <f t="shared" si="2"/>
        <v>Q4 - Bán ngoại tệ</v>
      </c>
      <c r="G55" s="390" t="s">
        <v>162</v>
      </c>
      <c r="H55" s="162">
        <v>1613860000</v>
      </c>
      <c r="I55" s="162"/>
      <c r="J55" s="163">
        <f t="shared" si="3"/>
        <v>1614828531</v>
      </c>
      <c r="K55" s="163"/>
    </row>
    <row r="56" spans="1:11" s="143" customFormat="1" ht="18" customHeight="1">
      <c r="A56" s="143">
        <f t="shared" si="4"/>
        <v>6</v>
      </c>
      <c r="B56" s="388">
        <f t="shared" si="1"/>
        <v>41802</v>
      </c>
      <c r="C56" s="389" t="s">
        <v>160</v>
      </c>
      <c r="D56" s="388">
        <v>41802</v>
      </c>
      <c r="E56" s="389" t="s">
        <v>594</v>
      </c>
      <c r="F56" s="389" t="str">
        <f t="shared" si="2"/>
        <v>Q4 - Ứng/Hoàn vốn - An Lạc TP</v>
      </c>
      <c r="G56" s="390" t="s">
        <v>57</v>
      </c>
      <c r="H56" s="162"/>
      <c r="I56" s="162">
        <v>1613000000</v>
      </c>
      <c r="J56" s="163">
        <f t="shared" si="3"/>
        <v>1828531</v>
      </c>
      <c r="K56" s="163"/>
    </row>
    <row r="57" spans="1:11" s="143" customFormat="1" ht="18" customHeight="1">
      <c r="A57" s="143">
        <f t="shared" si="4"/>
        <v>6</v>
      </c>
      <c r="B57" s="388">
        <f t="shared" si="1"/>
        <v>41803</v>
      </c>
      <c r="C57" s="389" t="s">
        <v>163</v>
      </c>
      <c r="D57" s="388">
        <v>41803</v>
      </c>
      <c r="E57" s="389" t="s">
        <v>764</v>
      </c>
      <c r="F57" s="389" t="str">
        <f t="shared" si="2"/>
        <v>Q4 - Vay KU 1402LDS201401052</v>
      </c>
      <c r="G57" s="390" t="s">
        <v>355</v>
      </c>
      <c r="H57" s="162">
        <v>2037120000</v>
      </c>
      <c r="I57" s="162"/>
      <c r="J57" s="163">
        <f t="shared" si="3"/>
        <v>2038948531</v>
      </c>
      <c r="K57" s="163"/>
    </row>
    <row r="58" spans="1:11" s="143" customFormat="1" ht="18" customHeight="1">
      <c r="A58" s="143">
        <f t="shared" si="4"/>
        <v>6</v>
      </c>
      <c r="B58" s="388">
        <f t="shared" si="1"/>
        <v>41803</v>
      </c>
      <c r="C58" s="389" t="s">
        <v>160</v>
      </c>
      <c r="D58" s="388">
        <v>41803</v>
      </c>
      <c r="E58" s="389" t="s">
        <v>577</v>
      </c>
      <c r="F58" s="389" t="str">
        <f t="shared" si="2"/>
        <v>Q4 - Rút tiền VNĐ</v>
      </c>
      <c r="G58" s="390" t="s">
        <v>159</v>
      </c>
      <c r="H58" s="162"/>
      <c r="I58" s="162">
        <v>2030000000</v>
      </c>
      <c r="J58" s="163">
        <f t="shared" si="3"/>
        <v>8948531</v>
      </c>
      <c r="K58" s="163"/>
    </row>
    <row r="59" spans="1:11" s="143" customFormat="1" ht="18" customHeight="1">
      <c r="A59" s="143">
        <f t="shared" si="4"/>
        <v>6</v>
      </c>
      <c r="B59" s="388">
        <f t="shared" si="1"/>
        <v>41814</v>
      </c>
      <c r="C59" s="389" t="s">
        <v>163</v>
      </c>
      <c r="D59" s="388">
        <v>41814</v>
      </c>
      <c r="E59" s="389" t="s">
        <v>588</v>
      </c>
      <c r="F59" s="389" t="str">
        <f t="shared" si="2"/>
        <v>Q4 - Lãi TGNH</v>
      </c>
      <c r="G59" s="390" t="s">
        <v>176</v>
      </c>
      <c r="H59" s="162">
        <v>5405</v>
      </c>
      <c r="I59" s="162"/>
      <c r="J59" s="163">
        <f t="shared" si="3"/>
        <v>8953936</v>
      </c>
      <c r="K59" s="163"/>
    </row>
    <row r="60" spans="1:11" s="143" customFormat="1" ht="18" customHeight="1">
      <c r="A60" s="143">
        <f t="shared" si="4"/>
        <v>7</v>
      </c>
      <c r="B60" s="388">
        <f t="shared" si="1"/>
        <v>41821</v>
      </c>
      <c r="C60" s="389" t="s">
        <v>163</v>
      </c>
      <c r="D60" s="388">
        <v>41821</v>
      </c>
      <c r="E60" s="389" t="s">
        <v>765</v>
      </c>
      <c r="F60" s="389" t="str">
        <f t="shared" si="2"/>
        <v>Q4 - Vay KU 1402LDS201401189</v>
      </c>
      <c r="G60" s="390" t="s">
        <v>355</v>
      </c>
      <c r="H60" s="162">
        <v>929988000</v>
      </c>
      <c r="I60" s="162"/>
      <c r="J60" s="163">
        <f t="shared" si="3"/>
        <v>938941936</v>
      </c>
      <c r="K60" s="163"/>
    </row>
    <row r="61" spans="1:11" s="143" customFormat="1" ht="18" customHeight="1">
      <c r="A61" s="143">
        <f t="shared" si="4"/>
        <v>7</v>
      </c>
      <c r="B61" s="388">
        <f t="shared" si="1"/>
        <v>41821</v>
      </c>
      <c r="C61" s="389" t="s">
        <v>160</v>
      </c>
      <c r="D61" s="388">
        <v>41821</v>
      </c>
      <c r="E61" s="389" t="s">
        <v>766</v>
      </c>
      <c r="F61" s="389" t="str">
        <f t="shared" si="2"/>
        <v>Q4 - Phí dịch vụ Internet banking</v>
      </c>
      <c r="G61" s="391" t="s">
        <v>247</v>
      </c>
      <c r="H61" s="162"/>
      <c r="I61" s="162">
        <v>110000</v>
      </c>
      <c r="J61" s="163">
        <f t="shared" si="3"/>
        <v>938831936</v>
      </c>
      <c r="K61" s="163"/>
    </row>
    <row r="62" spans="1:11" s="143" customFormat="1" ht="18" customHeight="1">
      <c r="A62" s="143">
        <f t="shared" si="4"/>
        <v>7</v>
      </c>
      <c r="B62" s="388">
        <f t="shared" si="1"/>
        <v>41821</v>
      </c>
      <c r="C62" s="389" t="s">
        <v>160</v>
      </c>
      <c r="D62" s="388">
        <v>41821</v>
      </c>
      <c r="E62" s="389" t="s">
        <v>577</v>
      </c>
      <c r="F62" s="389" t="str">
        <f t="shared" si="2"/>
        <v>Q4 - Rút tiền VNĐ</v>
      </c>
      <c r="G62" s="390" t="s">
        <v>159</v>
      </c>
      <c r="H62" s="162"/>
      <c r="I62" s="162">
        <v>930000000</v>
      </c>
      <c r="J62" s="163">
        <f t="shared" si="3"/>
        <v>8831936</v>
      </c>
      <c r="K62" s="163"/>
    </row>
    <row r="63" spans="1:11" s="143" customFormat="1" ht="18" customHeight="1">
      <c r="A63" s="143">
        <f t="shared" si="4"/>
        <v>7</v>
      </c>
      <c r="B63" s="388">
        <f t="shared" si="1"/>
        <v>41836</v>
      </c>
      <c r="C63" s="389" t="s">
        <v>163</v>
      </c>
      <c r="D63" s="388">
        <v>41836</v>
      </c>
      <c r="E63" s="389" t="s">
        <v>594</v>
      </c>
      <c r="F63" s="389" t="str">
        <f t="shared" si="2"/>
        <v>Q4 - Ứng/Hoàn vốn - An Lạc TP</v>
      </c>
      <c r="G63" s="390" t="s">
        <v>57</v>
      </c>
      <c r="H63" s="162">
        <v>30000000</v>
      </c>
      <c r="I63" s="162"/>
      <c r="J63" s="163">
        <f t="shared" si="3"/>
        <v>38831936</v>
      </c>
      <c r="K63" s="163"/>
    </row>
    <row r="64" spans="1:11" s="143" customFormat="1" ht="18" customHeight="1">
      <c r="A64" s="143">
        <f t="shared" si="4"/>
        <v>7</v>
      </c>
      <c r="B64" s="388">
        <f t="shared" si="1"/>
        <v>41836</v>
      </c>
      <c r="C64" s="389" t="s">
        <v>160</v>
      </c>
      <c r="D64" s="388">
        <v>41836</v>
      </c>
      <c r="E64" s="389" t="s">
        <v>767</v>
      </c>
      <c r="F64" s="389" t="str">
        <f t="shared" si="2"/>
        <v>Q4 - Trả lãi KU 1402LDS201400889</v>
      </c>
      <c r="G64" s="390" t="s">
        <v>166</v>
      </c>
      <c r="H64" s="162"/>
      <c r="I64" s="162">
        <v>17821524</v>
      </c>
      <c r="J64" s="163">
        <f t="shared" si="3"/>
        <v>21010412</v>
      </c>
      <c r="K64" s="163"/>
    </row>
    <row r="65" spans="1:11" s="143" customFormat="1" ht="18" customHeight="1">
      <c r="A65" s="143">
        <f>IF(B65&lt;&gt;"",MONTH(B65),"")</f>
        <v>7</v>
      </c>
      <c r="B65" s="388">
        <f t="shared" si="1"/>
        <v>41836</v>
      </c>
      <c r="C65" s="389" t="s">
        <v>160</v>
      </c>
      <c r="D65" s="388">
        <v>41836</v>
      </c>
      <c r="E65" s="389" t="s">
        <v>768</v>
      </c>
      <c r="F65" s="389" t="str">
        <f t="shared" si="2"/>
        <v>Q4 - Trả lãi KU 1402LDS201401052</v>
      </c>
      <c r="G65" s="390" t="s">
        <v>166</v>
      </c>
      <c r="H65" s="162"/>
      <c r="I65" s="162">
        <v>11778829</v>
      </c>
      <c r="J65" s="163">
        <f>IF(B65&lt;&gt;"",J64+H65-I65,0)</f>
        <v>9231583</v>
      </c>
      <c r="K65" s="163"/>
    </row>
    <row r="66" spans="1:11" s="143" customFormat="1" ht="18" customHeight="1">
      <c r="A66" s="143">
        <f>IF(B66&lt;&gt;"",MONTH(B66),"")</f>
        <v>7</v>
      </c>
      <c r="B66" s="388">
        <f t="shared" si="1"/>
        <v>41842</v>
      </c>
      <c r="C66" s="389" t="s">
        <v>160</v>
      </c>
      <c r="D66" s="388">
        <v>41842</v>
      </c>
      <c r="E66" s="389" t="s">
        <v>584</v>
      </c>
      <c r="F66" s="389" t="str">
        <f t="shared" si="2"/>
        <v>Q4 - Thanh toán tiền bảo hiểm - Bến Tre</v>
      </c>
      <c r="G66" s="390" t="s">
        <v>34</v>
      </c>
      <c r="H66" s="162"/>
      <c r="I66" s="162">
        <v>3989966</v>
      </c>
      <c r="J66" s="163">
        <f>IF(B66&lt;&gt;"",J65+H66-I66,0)</f>
        <v>5241617</v>
      </c>
      <c r="K66" s="163"/>
    </row>
    <row r="67" spans="1:11" s="143" customFormat="1" ht="18" customHeight="1">
      <c r="A67" s="143">
        <f>IF(B67&lt;&gt;"",MONTH(B67),"")</f>
        <v>7</v>
      </c>
      <c r="B67" s="388">
        <f t="shared" si="1"/>
        <v>41842</v>
      </c>
      <c r="C67" s="389" t="s">
        <v>160</v>
      </c>
      <c r="D67" s="388">
        <v>41842</v>
      </c>
      <c r="E67" s="389" t="s">
        <v>222</v>
      </c>
      <c r="F67" s="389" t="str">
        <f t="shared" si="2"/>
        <v>Q4 - Phí thanh toán</v>
      </c>
      <c r="G67" s="391" t="s">
        <v>247</v>
      </c>
      <c r="H67" s="162"/>
      <c r="I67" s="162">
        <v>25000</v>
      </c>
      <c r="J67" s="163">
        <f>IF(B67&lt;&gt;"",J66+H67-I67,0)</f>
        <v>5216617</v>
      </c>
      <c r="K67" s="163"/>
    </row>
    <row r="68" spans="1:11" s="143" customFormat="1" ht="18" customHeight="1">
      <c r="A68" s="143">
        <f t="shared" si="4"/>
        <v>7</v>
      </c>
      <c r="B68" s="388">
        <f t="shared" si="1"/>
        <v>41842</v>
      </c>
      <c r="C68" s="389" t="s">
        <v>160</v>
      </c>
      <c r="D68" s="388">
        <v>41842</v>
      </c>
      <c r="E68" s="389" t="s">
        <v>223</v>
      </c>
      <c r="F68" s="389" t="str">
        <f t="shared" si="2"/>
        <v>Q4 - VAT Phí thanh toán</v>
      </c>
      <c r="G68" s="390" t="s">
        <v>35</v>
      </c>
      <c r="H68" s="162"/>
      <c r="I68" s="162">
        <v>2500</v>
      </c>
      <c r="J68" s="163">
        <f t="shared" si="3"/>
        <v>5214117</v>
      </c>
      <c r="K68" s="163"/>
    </row>
    <row r="69" spans="1:11" s="143" customFormat="1" ht="18" customHeight="1">
      <c r="A69" s="143">
        <f t="shared" si="4"/>
        <v>8</v>
      </c>
      <c r="B69" s="388">
        <f t="shared" si="1"/>
        <v>41856</v>
      </c>
      <c r="C69" s="389" t="s">
        <v>160</v>
      </c>
      <c r="D69" s="388">
        <v>41856</v>
      </c>
      <c r="E69" s="389" t="s">
        <v>760</v>
      </c>
      <c r="F69" s="389" t="str">
        <f t="shared" si="2"/>
        <v>Q4 - Phí thông báo số dư tự động TK VNĐ</v>
      </c>
      <c r="G69" s="391" t="s">
        <v>247</v>
      </c>
      <c r="H69" s="162"/>
      <c r="I69" s="162">
        <v>5925</v>
      </c>
      <c r="J69" s="163">
        <f t="shared" si="3"/>
        <v>5208192</v>
      </c>
      <c r="K69" s="163"/>
    </row>
    <row r="70" spans="1:11" s="143" customFormat="1" ht="18" customHeight="1">
      <c r="A70" s="143">
        <f t="shared" si="4"/>
        <v>8</v>
      </c>
      <c r="B70" s="388">
        <f t="shared" si="1"/>
        <v>41856</v>
      </c>
      <c r="C70" s="389" t="s">
        <v>160</v>
      </c>
      <c r="D70" s="388">
        <v>41856</v>
      </c>
      <c r="E70" s="389" t="s">
        <v>761</v>
      </c>
      <c r="F70" s="389" t="str">
        <f t="shared" si="2"/>
        <v>Q4 - VAT Phí thông báo số dư tự động TK VNĐ</v>
      </c>
      <c r="G70" s="390" t="s">
        <v>35</v>
      </c>
      <c r="H70" s="162"/>
      <c r="I70" s="162">
        <v>592</v>
      </c>
      <c r="J70" s="163">
        <f t="shared" si="3"/>
        <v>5207600</v>
      </c>
      <c r="K70" s="163"/>
    </row>
    <row r="71" spans="1:11" s="143" customFormat="1" ht="18" customHeight="1">
      <c r="A71" s="143">
        <f t="shared" si="4"/>
        <v>8</v>
      </c>
      <c r="B71" s="388">
        <f t="shared" si="1"/>
        <v>41859</v>
      </c>
      <c r="C71" s="389" t="s">
        <v>160</v>
      </c>
      <c r="D71" s="388">
        <v>41859</v>
      </c>
      <c r="E71" s="389" t="s">
        <v>682</v>
      </c>
      <c r="F71" s="389" t="str">
        <f t="shared" si="2"/>
        <v>Q4 - Bán ngoại tệ</v>
      </c>
      <c r="G71" s="390" t="s">
        <v>162</v>
      </c>
      <c r="H71" s="162">
        <v>20968200</v>
      </c>
      <c r="I71" s="162"/>
      <c r="J71" s="163">
        <f t="shared" si="3"/>
        <v>26175800</v>
      </c>
      <c r="K71" s="163"/>
    </row>
    <row r="72" spans="1:11" s="143" customFormat="1" ht="18" customHeight="1">
      <c r="A72" s="143">
        <f t="shared" si="4"/>
        <v>8</v>
      </c>
      <c r="B72" s="388">
        <f t="shared" si="1"/>
        <v>41859</v>
      </c>
      <c r="C72" s="389" t="s">
        <v>163</v>
      </c>
      <c r="D72" s="388">
        <v>41859</v>
      </c>
      <c r="E72" s="389" t="s">
        <v>220</v>
      </c>
      <c r="F72" s="389" t="str">
        <f t="shared" si="2"/>
        <v>Q4 - Chuyển VNĐ</v>
      </c>
      <c r="G72" s="390" t="s">
        <v>36</v>
      </c>
      <c r="H72" s="162"/>
      <c r="I72" s="162">
        <v>26000000</v>
      </c>
      <c r="J72" s="163">
        <f t="shared" si="3"/>
        <v>175800</v>
      </c>
      <c r="K72" s="163"/>
    </row>
    <row r="73" spans="1:11" s="143" customFormat="1" ht="18" customHeight="1">
      <c r="A73" s="143">
        <f t="shared" si="4"/>
        <v>8</v>
      </c>
      <c r="B73" s="388">
        <f t="shared" si="1"/>
        <v>41860</v>
      </c>
      <c r="C73" s="389" t="s">
        <v>160</v>
      </c>
      <c r="D73" s="388">
        <v>41860</v>
      </c>
      <c r="E73" s="389" t="s">
        <v>769</v>
      </c>
      <c r="F73" s="389" t="str">
        <f t="shared" si="2"/>
        <v>Q4 - Phí dịch vụ thông báo TK 140214851009465</v>
      </c>
      <c r="G73" s="391" t="s">
        <v>247</v>
      </c>
      <c r="H73" s="162"/>
      <c r="I73" s="162">
        <v>55000</v>
      </c>
      <c r="J73" s="163">
        <f t="shared" si="3"/>
        <v>120800</v>
      </c>
      <c r="K73" s="163"/>
    </row>
    <row r="74" spans="1:11" s="143" customFormat="1" ht="18" customHeight="1">
      <c r="A74" s="143">
        <f t="shared" si="4"/>
        <v>8</v>
      </c>
      <c r="B74" s="388">
        <f t="shared" si="1"/>
        <v>41860</v>
      </c>
      <c r="C74" s="389" t="s">
        <v>160</v>
      </c>
      <c r="D74" s="388">
        <v>41860</v>
      </c>
      <c r="E74" s="389" t="s">
        <v>770</v>
      </c>
      <c r="F74" s="389" t="str">
        <f t="shared" si="2"/>
        <v>Q4 - Phí dịch vụ thông báo TK 140214851009479</v>
      </c>
      <c r="G74" s="391" t="s">
        <v>247</v>
      </c>
      <c r="H74" s="162"/>
      <c r="I74" s="162">
        <v>55000</v>
      </c>
      <c r="J74" s="163">
        <f t="shared" si="3"/>
        <v>65800</v>
      </c>
      <c r="K74" s="163"/>
    </row>
    <row r="75" spans="1:11" s="143" customFormat="1" ht="18" customHeight="1">
      <c r="A75" s="143">
        <f t="shared" si="4"/>
        <v>8</v>
      </c>
      <c r="B75" s="388">
        <f t="shared" si="1"/>
        <v>41871</v>
      </c>
      <c r="C75" s="389" t="s">
        <v>160</v>
      </c>
      <c r="D75" s="388">
        <v>41871</v>
      </c>
      <c r="E75" s="389" t="s">
        <v>220</v>
      </c>
      <c r="F75" s="389" t="str">
        <f t="shared" si="2"/>
        <v>Q4 - Chuyển VNĐ</v>
      </c>
      <c r="G75" s="390" t="s">
        <v>36</v>
      </c>
      <c r="H75" s="162">
        <v>30000000</v>
      </c>
      <c r="I75" s="162"/>
      <c r="J75" s="163">
        <f t="shared" si="3"/>
        <v>30065800</v>
      </c>
      <c r="K75" s="163"/>
    </row>
    <row r="76" spans="1:11" s="143" customFormat="1" ht="18" customHeight="1">
      <c r="A76" s="143">
        <f t="shared" ref="A76:A107" si="5">IF(B76&lt;&gt;"",MONTH(B76),"")</f>
        <v>8</v>
      </c>
      <c r="B76" s="388">
        <f t="shared" ref="B76:B114" si="6">D76</f>
        <v>41871</v>
      </c>
      <c r="C76" s="389" t="s">
        <v>160</v>
      </c>
      <c r="D76" s="388">
        <v>41871</v>
      </c>
      <c r="E76" s="389" t="s">
        <v>767</v>
      </c>
      <c r="F76" s="389" t="str">
        <f t="shared" si="2"/>
        <v>Q4 - Trả lãi KU 1402LDS201400889</v>
      </c>
      <c r="G76" s="390" t="s">
        <v>166</v>
      </c>
      <c r="H76" s="162"/>
      <c r="I76" s="162">
        <v>9875144</v>
      </c>
      <c r="J76" s="163">
        <f t="shared" si="3"/>
        <v>20190656</v>
      </c>
      <c r="K76" s="163"/>
    </row>
    <row r="77" spans="1:11" s="143" customFormat="1" ht="18" customHeight="1">
      <c r="A77" s="143">
        <f t="shared" si="5"/>
        <v>8</v>
      </c>
      <c r="B77" s="388">
        <f t="shared" si="6"/>
        <v>41871</v>
      </c>
      <c r="C77" s="389" t="s">
        <v>160</v>
      </c>
      <c r="D77" s="388">
        <v>41871</v>
      </c>
      <c r="E77" s="389" t="s">
        <v>768</v>
      </c>
      <c r="F77" s="389" t="str">
        <f t="shared" ref="F77:F88" si="7">"Q4 - "&amp;E77</f>
        <v>Q4 - Trả lãi KU 1402LDS201401052</v>
      </c>
      <c r="G77" s="390" t="s">
        <v>166</v>
      </c>
      <c r="H77" s="162"/>
      <c r="I77" s="162">
        <v>11420536</v>
      </c>
      <c r="J77" s="163">
        <f t="shared" ref="J77:J114" si="8">IF(B77&lt;&gt;"",J76+H77-I77,0)</f>
        <v>8770120</v>
      </c>
      <c r="K77" s="163"/>
    </row>
    <row r="78" spans="1:11" s="143" customFormat="1" ht="18" customHeight="1">
      <c r="A78" s="143">
        <f t="shared" si="5"/>
        <v>8</v>
      </c>
      <c r="B78" s="388">
        <f t="shared" si="6"/>
        <v>41871</v>
      </c>
      <c r="C78" s="389" t="s">
        <v>160</v>
      </c>
      <c r="D78" s="388">
        <v>41871</v>
      </c>
      <c r="E78" s="389" t="s">
        <v>771</v>
      </c>
      <c r="F78" s="389" t="str">
        <f t="shared" si="7"/>
        <v>Q4 - Trả lãi KU 1402LDS201401189</v>
      </c>
      <c r="G78" s="390" t="s">
        <v>166</v>
      </c>
      <c r="H78" s="162"/>
      <c r="I78" s="162">
        <v>7529144</v>
      </c>
      <c r="J78" s="163">
        <f t="shared" si="8"/>
        <v>1240976</v>
      </c>
      <c r="K78" s="163"/>
    </row>
    <row r="79" spans="1:11" s="143" customFormat="1" ht="18" customHeight="1">
      <c r="A79" s="143">
        <f t="shared" si="5"/>
        <v>8</v>
      </c>
      <c r="B79" s="388">
        <f t="shared" si="6"/>
        <v>41871</v>
      </c>
      <c r="C79" s="389" t="s">
        <v>160</v>
      </c>
      <c r="D79" s="388">
        <v>41871</v>
      </c>
      <c r="E79" s="389" t="s">
        <v>585</v>
      </c>
      <c r="F79" s="389" t="str">
        <f t="shared" si="7"/>
        <v>Q4 - Thanh toán phí kiểm nghiệm Nafi4</v>
      </c>
      <c r="G79" s="390" t="s">
        <v>34</v>
      </c>
      <c r="H79" s="162"/>
      <c r="I79" s="162">
        <v>780000</v>
      </c>
      <c r="J79" s="163">
        <f t="shared" si="8"/>
        <v>460976</v>
      </c>
      <c r="K79" s="163"/>
    </row>
    <row r="80" spans="1:11" s="143" customFormat="1" ht="18" customHeight="1">
      <c r="A80" s="143">
        <f t="shared" si="5"/>
        <v>8</v>
      </c>
      <c r="B80" s="388">
        <f t="shared" si="6"/>
        <v>41871</v>
      </c>
      <c r="C80" s="389" t="s">
        <v>160</v>
      </c>
      <c r="D80" s="388">
        <v>41871</v>
      </c>
      <c r="E80" s="389" t="s">
        <v>222</v>
      </c>
      <c r="F80" s="389" t="str">
        <f t="shared" si="7"/>
        <v>Q4 - Phí thanh toán</v>
      </c>
      <c r="G80" s="391" t="s">
        <v>247</v>
      </c>
      <c r="H80" s="162"/>
      <c r="I80" s="162">
        <v>20000</v>
      </c>
      <c r="J80" s="163">
        <f t="shared" si="8"/>
        <v>440976</v>
      </c>
      <c r="K80" s="163"/>
    </row>
    <row r="81" spans="1:11" s="143" customFormat="1" ht="18" customHeight="1">
      <c r="A81" s="143">
        <f t="shared" si="5"/>
        <v>8</v>
      </c>
      <c r="B81" s="388">
        <f t="shared" si="6"/>
        <v>41871</v>
      </c>
      <c r="C81" s="389" t="s">
        <v>160</v>
      </c>
      <c r="D81" s="388">
        <v>41871</v>
      </c>
      <c r="E81" s="389" t="s">
        <v>223</v>
      </c>
      <c r="F81" s="389" t="str">
        <f t="shared" si="7"/>
        <v>Q4 - VAT Phí thanh toán</v>
      </c>
      <c r="G81" s="390" t="s">
        <v>35</v>
      </c>
      <c r="H81" s="162"/>
      <c r="I81" s="162">
        <v>2000</v>
      </c>
      <c r="J81" s="163">
        <f t="shared" si="8"/>
        <v>438976</v>
      </c>
      <c r="K81" s="163"/>
    </row>
    <row r="82" spans="1:11" s="143" customFormat="1" ht="18" customHeight="1">
      <c r="A82" s="143">
        <f t="shared" si="5"/>
        <v>8</v>
      </c>
      <c r="B82" s="388">
        <f t="shared" si="6"/>
        <v>41871</v>
      </c>
      <c r="C82" s="389" t="s">
        <v>160</v>
      </c>
      <c r="D82" s="388">
        <v>41871</v>
      </c>
      <c r="E82" s="389" t="s">
        <v>585</v>
      </c>
      <c r="F82" s="389" t="str">
        <f t="shared" si="7"/>
        <v>Q4 - Thanh toán phí kiểm nghiệm Nafi4</v>
      </c>
      <c r="G82" s="390" t="s">
        <v>34</v>
      </c>
      <c r="H82" s="162"/>
      <c r="I82" s="162">
        <v>240000</v>
      </c>
      <c r="J82" s="163">
        <f t="shared" si="8"/>
        <v>198976</v>
      </c>
      <c r="K82" s="163"/>
    </row>
    <row r="83" spans="1:11" s="143" customFormat="1" ht="18" customHeight="1">
      <c r="A83" s="143">
        <f t="shared" si="5"/>
        <v>8</v>
      </c>
      <c r="B83" s="388">
        <f t="shared" si="6"/>
        <v>41871</v>
      </c>
      <c r="C83" s="389" t="s">
        <v>160</v>
      </c>
      <c r="D83" s="388">
        <v>41871</v>
      </c>
      <c r="E83" s="389" t="s">
        <v>222</v>
      </c>
      <c r="F83" s="389" t="str">
        <f t="shared" si="7"/>
        <v>Q4 - Phí thanh toán</v>
      </c>
      <c r="G83" s="391" t="s">
        <v>247</v>
      </c>
      <c r="H83" s="162"/>
      <c r="I83" s="162">
        <v>20000</v>
      </c>
      <c r="J83" s="163">
        <f t="shared" si="8"/>
        <v>178976</v>
      </c>
      <c r="K83" s="163"/>
    </row>
    <row r="84" spans="1:11" s="143" customFormat="1" ht="18" customHeight="1">
      <c r="A84" s="143">
        <f t="shared" si="5"/>
        <v>8</v>
      </c>
      <c r="B84" s="388">
        <f t="shared" si="6"/>
        <v>41871</v>
      </c>
      <c r="C84" s="389" t="s">
        <v>160</v>
      </c>
      <c r="D84" s="388">
        <v>41871</v>
      </c>
      <c r="E84" s="389" t="s">
        <v>223</v>
      </c>
      <c r="F84" s="389" t="str">
        <f t="shared" si="7"/>
        <v>Q4 - VAT Phí thanh toán</v>
      </c>
      <c r="G84" s="390" t="s">
        <v>35</v>
      </c>
      <c r="H84" s="162"/>
      <c r="I84" s="162">
        <v>2000</v>
      </c>
      <c r="J84" s="163">
        <f t="shared" si="8"/>
        <v>176976</v>
      </c>
      <c r="K84" s="163"/>
    </row>
    <row r="85" spans="1:11" s="143" customFormat="1" ht="18" customHeight="1">
      <c r="A85" s="143">
        <f t="shared" si="5"/>
        <v>9</v>
      </c>
      <c r="B85" s="388">
        <f t="shared" si="6"/>
        <v>41905</v>
      </c>
      <c r="C85" s="389" t="s">
        <v>163</v>
      </c>
      <c r="D85" s="388">
        <v>41905</v>
      </c>
      <c r="E85" s="389" t="s">
        <v>220</v>
      </c>
      <c r="F85" s="389" t="str">
        <f t="shared" si="7"/>
        <v>Q4 - Chuyển VNĐ</v>
      </c>
      <c r="G85" s="390" t="s">
        <v>36</v>
      </c>
      <c r="H85" s="162">
        <v>26500000</v>
      </c>
      <c r="I85" s="162"/>
      <c r="J85" s="163">
        <f t="shared" si="8"/>
        <v>26676976</v>
      </c>
      <c r="K85" s="163"/>
    </row>
    <row r="86" spans="1:11" s="143" customFormat="1" ht="18" customHeight="1">
      <c r="A86" s="143">
        <f t="shared" si="5"/>
        <v>9</v>
      </c>
      <c r="B86" s="388">
        <f t="shared" si="6"/>
        <v>41905</v>
      </c>
      <c r="C86" s="389" t="s">
        <v>160</v>
      </c>
      <c r="D86" s="388">
        <v>41905</v>
      </c>
      <c r="E86" s="389" t="s">
        <v>767</v>
      </c>
      <c r="F86" s="389" t="str">
        <f t="shared" si="7"/>
        <v>Q4 - Trả lãi KU 1402LDS201400889</v>
      </c>
      <c r="G86" s="390" t="s">
        <v>166</v>
      </c>
      <c r="H86" s="162"/>
      <c r="I86" s="162">
        <v>9226916</v>
      </c>
      <c r="J86" s="163">
        <f t="shared" si="8"/>
        <v>17450060</v>
      </c>
      <c r="K86" s="163"/>
    </row>
    <row r="87" spans="1:11" s="143" customFormat="1" ht="18" customHeight="1">
      <c r="A87" s="143">
        <f t="shared" si="5"/>
        <v>9</v>
      </c>
      <c r="B87" s="388">
        <f t="shared" si="6"/>
        <v>41905</v>
      </c>
      <c r="C87" s="389" t="s">
        <v>160</v>
      </c>
      <c r="D87" s="388">
        <v>41905</v>
      </c>
      <c r="E87" s="389" t="s">
        <v>768</v>
      </c>
      <c r="F87" s="389" t="str">
        <f t="shared" si="7"/>
        <v>Q4 - Trả lãi KU 1402LDS201401052</v>
      </c>
      <c r="G87" s="390" t="s">
        <v>166</v>
      </c>
      <c r="H87" s="162"/>
      <c r="I87" s="162">
        <v>11381796</v>
      </c>
      <c r="J87" s="163">
        <f t="shared" si="8"/>
        <v>6068264</v>
      </c>
      <c r="K87" s="163"/>
    </row>
    <row r="88" spans="1:11" s="143" customFormat="1" ht="18" customHeight="1">
      <c r="A88" s="143">
        <f t="shared" si="5"/>
        <v>9</v>
      </c>
      <c r="B88" s="388">
        <f t="shared" si="6"/>
        <v>41905</v>
      </c>
      <c r="C88" s="389" t="s">
        <v>160</v>
      </c>
      <c r="D88" s="388">
        <v>41905</v>
      </c>
      <c r="E88" s="389" t="s">
        <v>771</v>
      </c>
      <c r="F88" s="389" t="str">
        <f t="shared" si="7"/>
        <v>Q4 - Trả lãi KU 1402LDS201401189</v>
      </c>
      <c r="G88" s="390" t="s">
        <v>166</v>
      </c>
      <c r="H88" s="162"/>
      <c r="I88" s="162">
        <v>5014457</v>
      </c>
      <c r="J88" s="163">
        <f t="shared" si="8"/>
        <v>1053807</v>
      </c>
      <c r="K88" s="163"/>
    </row>
    <row r="89" spans="1:11" s="143" customFormat="1" ht="18" customHeight="1">
      <c r="A89" s="143">
        <f t="shared" si="5"/>
        <v>10</v>
      </c>
      <c r="B89" s="388">
        <f t="shared" si="6"/>
        <v>41929</v>
      </c>
      <c r="C89" s="389" t="s">
        <v>163</v>
      </c>
      <c r="D89" s="388">
        <v>41929</v>
      </c>
      <c r="E89" s="389" t="s">
        <v>220</v>
      </c>
      <c r="F89" s="389"/>
      <c r="G89" s="390" t="s">
        <v>36</v>
      </c>
      <c r="H89" s="162">
        <v>30000000</v>
      </c>
      <c r="I89" s="162"/>
      <c r="J89" s="163">
        <f t="shared" si="8"/>
        <v>31053807</v>
      </c>
      <c r="K89" s="163"/>
    </row>
    <row r="90" spans="1:11" s="143" customFormat="1" ht="18" customHeight="1">
      <c r="A90" s="143">
        <f t="shared" si="5"/>
        <v>10</v>
      </c>
      <c r="B90" s="388">
        <f t="shared" si="6"/>
        <v>41929</v>
      </c>
      <c r="C90" s="389" t="s">
        <v>160</v>
      </c>
      <c r="D90" s="388">
        <v>41929</v>
      </c>
      <c r="E90" s="389" t="s">
        <v>767</v>
      </c>
      <c r="F90" s="389"/>
      <c r="G90" s="390" t="s">
        <v>166</v>
      </c>
      <c r="H90" s="162"/>
      <c r="I90" s="162">
        <v>8831517</v>
      </c>
      <c r="J90" s="163">
        <f t="shared" si="8"/>
        <v>22222290</v>
      </c>
      <c r="K90" s="163"/>
    </row>
    <row r="91" spans="1:11" s="143" customFormat="1" ht="18" customHeight="1">
      <c r="A91" s="143">
        <f t="shared" si="5"/>
        <v>10</v>
      </c>
      <c r="B91" s="388">
        <f t="shared" si="6"/>
        <v>41929</v>
      </c>
      <c r="C91" s="389" t="s">
        <v>160</v>
      </c>
      <c r="D91" s="388">
        <v>41929</v>
      </c>
      <c r="E91" s="389" t="s">
        <v>768</v>
      </c>
      <c r="F91" s="389"/>
      <c r="G91" s="390" t="s">
        <v>166</v>
      </c>
      <c r="H91" s="162"/>
      <c r="I91" s="162">
        <v>10214705</v>
      </c>
      <c r="J91" s="163">
        <f t="shared" si="8"/>
        <v>12007585</v>
      </c>
      <c r="K91" s="163"/>
    </row>
    <row r="92" spans="1:11" s="143" customFormat="1" ht="18" customHeight="1">
      <c r="A92" s="143">
        <f t="shared" si="5"/>
        <v>10</v>
      </c>
      <c r="B92" s="388">
        <f t="shared" si="6"/>
        <v>41929</v>
      </c>
      <c r="C92" s="389" t="s">
        <v>160</v>
      </c>
      <c r="D92" s="388">
        <v>41929</v>
      </c>
      <c r="E92" s="389" t="s">
        <v>772</v>
      </c>
      <c r="F92" s="389"/>
      <c r="G92" s="390" t="s">
        <v>166</v>
      </c>
      <c r="H92" s="162"/>
      <c r="I92" s="162">
        <v>4639200</v>
      </c>
      <c r="J92" s="163">
        <f t="shared" si="8"/>
        <v>7368385</v>
      </c>
      <c r="K92" s="163"/>
    </row>
    <row r="93" spans="1:11" s="143" customFormat="1" ht="18" customHeight="1">
      <c r="A93" s="143">
        <f t="shared" si="5"/>
        <v>10</v>
      </c>
      <c r="B93" s="388">
        <f t="shared" si="6"/>
        <v>41930</v>
      </c>
      <c r="C93" s="389" t="s">
        <v>160</v>
      </c>
      <c r="D93" s="388">
        <v>41930</v>
      </c>
      <c r="E93" s="389" t="s">
        <v>201</v>
      </c>
      <c r="F93" s="389"/>
      <c r="G93" s="390" t="s">
        <v>166</v>
      </c>
      <c r="H93" s="162"/>
      <c r="I93" s="162">
        <v>5501911</v>
      </c>
      <c r="J93" s="163">
        <f t="shared" si="8"/>
        <v>1866474</v>
      </c>
      <c r="K93" s="163"/>
    </row>
    <row r="94" spans="1:11" s="143" customFormat="1" ht="18" customHeight="1">
      <c r="A94" s="143">
        <f t="shared" si="5"/>
        <v>10</v>
      </c>
      <c r="B94" s="388">
        <f t="shared" si="6"/>
        <v>41936</v>
      </c>
      <c r="C94" s="389" t="s">
        <v>163</v>
      </c>
      <c r="D94" s="388">
        <v>41936</v>
      </c>
      <c r="E94" s="389" t="s">
        <v>682</v>
      </c>
      <c r="F94" s="389"/>
      <c r="G94" s="390" t="s">
        <v>162</v>
      </c>
      <c r="H94" s="162">
        <v>1317810000</v>
      </c>
      <c r="I94" s="162"/>
      <c r="J94" s="163">
        <f t="shared" si="8"/>
        <v>1319676474</v>
      </c>
      <c r="K94" s="163"/>
    </row>
    <row r="95" spans="1:11" s="143" customFormat="1" ht="18" customHeight="1">
      <c r="A95" s="143">
        <f t="shared" si="5"/>
        <v>10</v>
      </c>
      <c r="B95" s="388">
        <f t="shared" si="6"/>
        <v>41936</v>
      </c>
      <c r="C95" s="389" t="s">
        <v>160</v>
      </c>
      <c r="D95" s="388">
        <v>41936</v>
      </c>
      <c r="E95" s="389" t="s">
        <v>220</v>
      </c>
      <c r="F95" s="389"/>
      <c r="G95" s="390" t="s">
        <v>36</v>
      </c>
      <c r="H95" s="162"/>
      <c r="I95" s="162">
        <v>19000000</v>
      </c>
      <c r="J95" s="163">
        <f t="shared" si="8"/>
        <v>1300676474</v>
      </c>
      <c r="K95" s="163"/>
    </row>
    <row r="96" spans="1:11" s="143" customFormat="1" ht="18" customHeight="1">
      <c r="A96" s="143">
        <f t="shared" si="5"/>
        <v>10</v>
      </c>
      <c r="B96" s="388">
        <f t="shared" si="6"/>
        <v>41936</v>
      </c>
      <c r="C96" s="389" t="s">
        <v>160</v>
      </c>
      <c r="D96" s="388">
        <v>41936</v>
      </c>
      <c r="E96" s="389" t="s">
        <v>577</v>
      </c>
      <c r="F96" s="389"/>
      <c r="G96" s="390" t="s">
        <v>159</v>
      </c>
      <c r="H96" s="162"/>
      <c r="I96" s="162">
        <v>1300000000</v>
      </c>
      <c r="J96" s="163">
        <f t="shared" si="8"/>
        <v>676474</v>
      </c>
      <c r="K96" s="163"/>
    </row>
    <row r="97" spans="1:11" s="143" customFormat="1" ht="18" customHeight="1">
      <c r="A97" s="143">
        <f t="shared" si="5"/>
        <v>11</v>
      </c>
      <c r="B97" s="388">
        <f t="shared" si="6"/>
        <v>41954</v>
      </c>
      <c r="C97" s="389" t="s">
        <v>160</v>
      </c>
      <c r="D97" s="388">
        <v>41954</v>
      </c>
      <c r="E97" s="389" t="s">
        <v>197</v>
      </c>
      <c r="F97" s="389"/>
      <c r="G97" s="391" t="s">
        <v>247</v>
      </c>
      <c r="H97" s="162"/>
      <c r="I97" s="162">
        <v>55000</v>
      </c>
      <c r="J97" s="163">
        <f t="shared" si="8"/>
        <v>621474</v>
      </c>
      <c r="K97" s="163"/>
    </row>
    <row r="98" spans="1:11" s="143" customFormat="1" ht="18" customHeight="1">
      <c r="A98" s="143">
        <f t="shared" si="5"/>
        <v>11</v>
      </c>
      <c r="B98" s="388">
        <f t="shared" si="6"/>
        <v>41954</v>
      </c>
      <c r="C98" s="389" t="s">
        <v>160</v>
      </c>
      <c r="D98" s="388">
        <v>41954</v>
      </c>
      <c r="E98" s="389" t="s">
        <v>197</v>
      </c>
      <c r="F98" s="389"/>
      <c r="G98" s="391" t="s">
        <v>247</v>
      </c>
      <c r="H98" s="162"/>
      <c r="I98" s="162">
        <v>55000</v>
      </c>
      <c r="J98" s="163">
        <f t="shared" si="8"/>
        <v>566474</v>
      </c>
      <c r="K98" s="163"/>
    </row>
    <row r="99" spans="1:11" s="143" customFormat="1" ht="18" customHeight="1">
      <c r="A99" s="143">
        <f t="shared" si="5"/>
        <v>11</v>
      </c>
      <c r="B99" s="388">
        <f t="shared" si="6"/>
        <v>41962</v>
      </c>
      <c r="C99" s="389" t="s">
        <v>163</v>
      </c>
      <c r="D99" s="388">
        <v>41962</v>
      </c>
      <c r="E99" s="389" t="s">
        <v>773</v>
      </c>
      <c r="F99" s="389"/>
      <c r="G99" s="391" t="s">
        <v>355</v>
      </c>
      <c r="H99" s="162">
        <v>1730970000</v>
      </c>
      <c r="I99" s="162"/>
      <c r="J99" s="163">
        <f t="shared" si="8"/>
        <v>1731536474</v>
      </c>
      <c r="K99" s="163"/>
    </row>
    <row r="100" spans="1:11" s="143" customFormat="1" ht="18" customHeight="1">
      <c r="A100" s="143">
        <f t="shared" si="5"/>
        <v>11</v>
      </c>
      <c r="B100" s="388">
        <f t="shared" si="6"/>
        <v>41962</v>
      </c>
      <c r="C100" s="389" t="s">
        <v>160</v>
      </c>
      <c r="D100" s="388">
        <v>41962</v>
      </c>
      <c r="E100" s="389" t="s">
        <v>577</v>
      </c>
      <c r="F100" s="389"/>
      <c r="G100" s="391" t="s">
        <v>159</v>
      </c>
      <c r="H100" s="162"/>
      <c r="I100" s="162">
        <v>1730000000</v>
      </c>
      <c r="J100" s="163">
        <f t="shared" si="8"/>
        <v>1536474</v>
      </c>
      <c r="K100" s="163"/>
    </row>
    <row r="101" spans="1:11" s="143" customFormat="1" ht="18" customHeight="1">
      <c r="A101" s="143">
        <f t="shared" si="5"/>
        <v>11</v>
      </c>
      <c r="B101" s="388">
        <f t="shared" si="6"/>
        <v>41963</v>
      </c>
      <c r="C101" s="389" t="s">
        <v>160</v>
      </c>
      <c r="D101" s="388">
        <v>41963</v>
      </c>
      <c r="E101" s="389" t="s">
        <v>220</v>
      </c>
      <c r="F101" s="389"/>
      <c r="G101" s="391" t="s">
        <v>36</v>
      </c>
      <c r="H101" s="162">
        <v>26000000</v>
      </c>
      <c r="I101" s="162"/>
      <c r="J101" s="163">
        <f t="shared" si="8"/>
        <v>27536474</v>
      </c>
      <c r="K101" s="163"/>
    </row>
    <row r="102" spans="1:11" s="143" customFormat="1" ht="18" customHeight="1">
      <c r="A102" s="143">
        <f t="shared" si="5"/>
        <v>11</v>
      </c>
      <c r="B102" s="388">
        <f t="shared" si="6"/>
        <v>41963</v>
      </c>
      <c r="C102" s="389" t="s">
        <v>160</v>
      </c>
      <c r="D102" s="388">
        <v>41963</v>
      </c>
      <c r="E102" s="389" t="s">
        <v>767</v>
      </c>
      <c r="F102" s="389"/>
      <c r="G102" s="391" t="s">
        <v>166</v>
      </c>
      <c r="H102" s="162"/>
      <c r="I102" s="162">
        <v>8644102</v>
      </c>
      <c r="J102" s="163">
        <f t="shared" si="8"/>
        <v>18892372</v>
      </c>
      <c r="K102" s="163"/>
    </row>
    <row r="103" spans="1:11" s="143" customFormat="1" ht="18" customHeight="1">
      <c r="A103" s="143">
        <f t="shared" si="5"/>
        <v>11</v>
      </c>
      <c r="B103" s="388">
        <f t="shared" si="6"/>
        <v>41963</v>
      </c>
      <c r="C103" s="389" t="s">
        <v>160</v>
      </c>
      <c r="D103" s="388">
        <v>41963</v>
      </c>
      <c r="E103" s="389" t="s">
        <v>768</v>
      </c>
      <c r="F103" s="389"/>
      <c r="G103" s="391" t="s">
        <v>166</v>
      </c>
      <c r="H103" s="162"/>
      <c r="I103" s="162">
        <v>8854464</v>
      </c>
      <c r="J103" s="163">
        <f t="shared" si="8"/>
        <v>10037908</v>
      </c>
      <c r="K103" s="163"/>
    </row>
    <row r="104" spans="1:11" s="143" customFormat="1" ht="18" customHeight="1">
      <c r="A104" s="143">
        <f t="shared" si="5"/>
        <v>11</v>
      </c>
      <c r="B104" s="388">
        <f t="shared" si="6"/>
        <v>41963</v>
      </c>
      <c r="C104" s="389" t="s">
        <v>160</v>
      </c>
      <c r="D104" s="388">
        <v>41963</v>
      </c>
      <c r="E104" s="389" t="s">
        <v>771</v>
      </c>
      <c r="F104" s="389"/>
      <c r="G104" s="391" t="s">
        <v>166</v>
      </c>
      <c r="H104" s="162"/>
      <c r="I104" s="162">
        <v>4021488</v>
      </c>
      <c r="J104" s="163">
        <f t="shared" si="8"/>
        <v>6016420</v>
      </c>
      <c r="K104" s="163"/>
    </row>
    <row r="105" spans="1:11" s="143" customFormat="1" ht="18" customHeight="1">
      <c r="A105" s="143">
        <f t="shared" si="5"/>
        <v>11</v>
      </c>
      <c r="B105" s="388">
        <f t="shared" si="6"/>
        <v>41963</v>
      </c>
      <c r="C105" s="389" t="s">
        <v>160</v>
      </c>
      <c r="D105" s="388">
        <v>41963</v>
      </c>
      <c r="E105" s="389" t="s">
        <v>201</v>
      </c>
      <c r="F105" s="389"/>
      <c r="G105" s="391" t="s">
        <v>166</v>
      </c>
      <c r="H105" s="162"/>
      <c r="I105" s="162">
        <v>5073084</v>
      </c>
      <c r="J105" s="163">
        <f t="shared" si="8"/>
        <v>943336</v>
      </c>
      <c r="K105" s="163"/>
    </row>
    <row r="106" spans="1:11" s="143" customFormat="1" ht="18" customHeight="1">
      <c r="A106" s="143">
        <f t="shared" si="5"/>
        <v>12</v>
      </c>
      <c r="B106" s="388">
        <f t="shared" si="6"/>
        <v>41991</v>
      </c>
      <c r="C106" s="389" t="s">
        <v>163</v>
      </c>
      <c r="D106" s="388">
        <v>41991</v>
      </c>
      <c r="E106" s="389" t="s">
        <v>523</v>
      </c>
      <c r="F106" s="389"/>
      <c r="G106" s="390" t="s">
        <v>159</v>
      </c>
      <c r="H106" s="162">
        <v>5000000</v>
      </c>
      <c r="I106" s="162"/>
      <c r="J106" s="163">
        <f t="shared" si="8"/>
        <v>5943336</v>
      </c>
      <c r="K106" s="163"/>
    </row>
    <row r="107" spans="1:11" s="143" customFormat="1" ht="18" customHeight="1">
      <c r="A107" s="143">
        <f t="shared" si="5"/>
        <v>12</v>
      </c>
      <c r="B107" s="388">
        <f t="shared" si="6"/>
        <v>41990</v>
      </c>
      <c r="C107" s="389" t="s">
        <v>160</v>
      </c>
      <c r="D107" s="388">
        <v>41990</v>
      </c>
      <c r="E107" s="389" t="s">
        <v>220</v>
      </c>
      <c r="F107" s="389"/>
      <c r="G107" s="390" t="s">
        <v>36</v>
      </c>
      <c r="H107" s="162">
        <v>15000000</v>
      </c>
      <c r="I107" s="162"/>
      <c r="J107" s="163">
        <f t="shared" si="8"/>
        <v>20943336</v>
      </c>
      <c r="K107" s="163"/>
    </row>
    <row r="108" spans="1:11" s="143" customFormat="1" ht="18" customHeight="1">
      <c r="A108" s="143">
        <f t="shared" ref="A108:A115" si="9">IF(B108&lt;&gt;"",MONTH(B108),"")</f>
        <v>12</v>
      </c>
      <c r="B108" s="388">
        <f t="shared" si="6"/>
        <v>42003</v>
      </c>
      <c r="C108" s="389" t="s">
        <v>163</v>
      </c>
      <c r="D108" s="388">
        <v>42003</v>
      </c>
      <c r="E108" s="389" t="s">
        <v>774</v>
      </c>
      <c r="F108" s="389"/>
      <c r="G108" s="390" t="s">
        <v>355</v>
      </c>
      <c r="H108" s="162">
        <v>933040000</v>
      </c>
      <c r="I108" s="162"/>
      <c r="J108" s="163">
        <f t="shared" si="8"/>
        <v>953983336</v>
      </c>
      <c r="K108" s="163"/>
    </row>
    <row r="109" spans="1:11" s="143" customFormat="1" ht="18" customHeight="1">
      <c r="A109" s="143">
        <f t="shared" si="9"/>
        <v>12</v>
      </c>
      <c r="B109" s="388">
        <f t="shared" si="6"/>
        <v>42003</v>
      </c>
      <c r="C109" s="389" t="s">
        <v>160</v>
      </c>
      <c r="D109" s="388">
        <v>42003</v>
      </c>
      <c r="E109" s="389" t="s">
        <v>220</v>
      </c>
      <c r="F109" s="389"/>
      <c r="G109" s="390" t="s">
        <v>36</v>
      </c>
      <c r="H109" s="162"/>
      <c r="I109" s="162">
        <v>933000000</v>
      </c>
      <c r="J109" s="163">
        <f t="shared" si="8"/>
        <v>20983336</v>
      </c>
      <c r="K109" s="163"/>
    </row>
    <row r="110" spans="1:11" s="143" customFormat="1" ht="18" customHeight="1">
      <c r="A110" s="143">
        <f t="shared" si="9"/>
        <v>12</v>
      </c>
      <c r="B110" s="388">
        <f t="shared" si="6"/>
        <v>41990</v>
      </c>
      <c r="C110" s="389" t="s">
        <v>160</v>
      </c>
      <c r="D110" s="388">
        <v>41990</v>
      </c>
      <c r="E110" s="389" t="s">
        <v>768</v>
      </c>
      <c r="F110" s="389"/>
      <c r="G110" s="390" t="s">
        <v>166</v>
      </c>
      <c r="H110" s="162"/>
      <c r="I110" s="162">
        <v>8714513</v>
      </c>
      <c r="J110" s="163">
        <f t="shared" si="8"/>
        <v>12268823</v>
      </c>
      <c r="K110" s="163"/>
    </row>
    <row r="111" spans="1:11" s="143" customFormat="1" ht="18" customHeight="1">
      <c r="A111" s="143">
        <f t="shared" si="9"/>
        <v>12</v>
      </c>
      <c r="B111" s="388">
        <f t="shared" si="6"/>
        <v>41990</v>
      </c>
      <c r="C111" s="389" t="s">
        <v>160</v>
      </c>
      <c r="D111" s="388">
        <v>41990</v>
      </c>
      <c r="E111" s="389" t="s">
        <v>775</v>
      </c>
      <c r="F111" s="389"/>
      <c r="G111" s="390" t="s">
        <v>166</v>
      </c>
      <c r="H111" s="162"/>
      <c r="I111" s="162">
        <v>856800</v>
      </c>
      <c r="J111" s="163">
        <f t="shared" si="8"/>
        <v>11412023</v>
      </c>
      <c r="K111" s="163"/>
    </row>
    <row r="112" spans="1:11" s="143" customFormat="1" ht="18" customHeight="1">
      <c r="A112" s="143">
        <f t="shared" si="9"/>
        <v>12</v>
      </c>
      <c r="B112" s="388">
        <f t="shared" si="6"/>
        <v>41990</v>
      </c>
      <c r="C112" s="389" t="s">
        <v>160</v>
      </c>
      <c r="D112" s="388">
        <v>41990</v>
      </c>
      <c r="E112" s="389" t="s">
        <v>771</v>
      </c>
      <c r="F112" s="389"/>
      <c r="G112" s="390" t="s">
        <v>166</v>
      </c>
      <c r="H112" s="162"/>
      <c r="I112" s="162">
        <v>3893085</v>
      </c>
      <c r="J112" s="163">
        <f t="shared" si="8"/>
        <v>7518938</v>
      </c>
      <c r="K112" s="163"/>
    </row>
    <row r="113" spans="1:13" s="143" customFormat="1" ht="18" customHeight="1">
      <c r="A113" s="143">
        <f t="shared" si="9"/>
        <v>12</v>
      </c>
      <c r="B113" s="388">
        <f t="shared" si="6"/>
        <v>41991</v>
      </c>
      <c r="C113" s="389" t="s">
        <v>160</v>
      </c>
      <c r="D113" s="388">
        <v>41991</v>
      </c>
      <c r="E113" s="389" t="s">
        <v>201</v>
      </c>
      <c r="F113" s="389"/>
      <c r="G113" s="390" t="s">
        <v>166</v>
      </c>
      <c r="H113" s="162"/>
      <c r="I113" s="162">
        <v>4910674</v>
      </c>
      <c r="J113" s="163">
        <f t="shared" si="8"/>
        <v>2608264</v>
      </c>
      <c r="K113" s="163"/>
    </row>
    <row r="114" spans="1:13" s="143" customFormat="1" ht="18" customHeight="1">
      <c r="A114" s="143">
        <f t="shared" si="9"/>
        <v>12</v>
      </c>
      <c r="B114" s="388">
        <f t="shared" si="6"/>
        <v>42002</v>
      </c>
      <c r="C114" s="389" t="s">
        <v>160</v>
      </c>
      <c r="D114" s="388">
        <v>42002</v>
      </c>
      <c r="E114" s="389" t="s">
        <v>776</v>
      </c>
      <c r="F114" s="389"/>
      <c r="G114" s="390" t="s">
        <v>166</v>
      </c>
      <c r="H114" s="162"/>
      <c r="I114" s="162">
        <v>1816412</v>
      </c>
      <c r="J114" s="163">
        <f t="shared" si="8"/>
        <v>791852</v>
      </c>
      <c r="K114" s="163"/>
    </row>
    <row r="115" spans="1:13" s="187" customFormat="1" ht="18" customHeight="1">
      <c r="A115" s="143" t="str">
        <f t="shared" si="9"/>
        <v/>
      </c>
      <c r="B115" s="245"/>
      <c r="C115" s="246"/>
      <c r="D115" s="245"/>
      <c r="E115" s="247"/>
      <c r="F115" s="247"/>
      <c r="G115" s="246"/>
      <c r="H115" s="248"/>
      <c r="I115" s="248"/>
      <c r="J115" s="249"/>
      <c r="K115" s="163"/>
    </row>
    <row r="116" spans="1:13" s="195" customFormat="1" ht="18" customHeight="1">
      <c r="B116" s="216"/>
      <c r="C116" s="217"/>
      <c r="D116" s="216"/>
      <c r="E116" s="201" t="s">
        <v>29</v>
      </c>
      <c r="F116" s="201"/>
      <c r="G116" s="218"/>
      <c r="H116" s="250">
        <f>SUM(H12:H115)</f>
        <v>11937952362</v>
      </c>
      <c r="I116" s="250">
        <f>SUM(I12:I115)</f>
        <v>11937161027</v>
      </c>
      <c r="J116" s="250">
        <f>J11+H116-I116</f>
        <v>791852</v>
      </c>
      <c r="K116" s="218"/>
    </row>
    <row r="117" spans="1:13" s="195" customFormat="1" ht="18" customHeight="1">
      <c r="B117" s="216"/>
      <c r="C117" s="217"/>
      <c r="D117" s="216"/>
      <c r="E117" s="201" t="s">
        <v>183</v>
      </c>
      <c r="F117" s="201"/>
      <c r="G117" s="218"/>
      <c r="H117" s="201"/>
      <c r="I117" s="201"/>
      <c r="J117" s="250">
        <f>J116</f>
        <v>791852</v>
      </c>
      <c r="K117" s="218"/>
    </row>
    <row r="118" spans="1:13" s="195" customFormat="1" ht="22.5" customHeight="1">
      <c r="B118" s="251" t="s">
        <v>184</v>
      </c>
      <c r="C118" s="252"/>
      <c r="H118" s="253"/>
      <c r="K118" s="254"/>
    </row>
    <row r="119" spans="1:13" s="195" customFormat="1" ht="12.75">
      <c r="B119" s="255" t="s">
        <v>198</v>
      </c>
      <c r="C119" s="256"/>
      <c r="H119" s="253"/>
      <c r="K119" s="254"/>
    </row>
    <row r="120" spans="1:13" s="195" customFormat="1" ht="12.75">
      <c r="B120" s="257"/>
      <c r="C120" s="258"/>
      <c r="D120" s="259"/>
      <c r="H120" s="253"/>
      <c r="I120" s="432" t="s">
        <v>199</v>
      </c>
      <c r="J120" s="432"/>
      <c r="K120" s="432"/>
    </row>
    <row r="121" spans="1:13" s="195" customFormat="1" ht="17.25" customHeight="1">
      <c r="B121" s="436" t="s">
        <v>33</v>
      </c>
      <c r="C121" s="436"/>
      <c r="D121" s="258"/>
      <c r="G121" s="260" t="s">
        <v>13</v>
      </c>
      <c r="H121" s="261"/>
      <c r="I121" s="437" t="s">
        <v>14</v>
      </c>
      <c r="J121" s="437"/>
      <c r="K121" s="437"/>
      <c r="L121" s="262"/>
      <c r="M121" s="257"/>
    </row>
    <row r="122" spans="1:13" s="195" customFormat="1" ht="12.75">
      <c r="B122" s="433" t="s">
        <v>15</v>
      </c>
      <c r="C122" s="433"/>
      <c r="D122" s="264"/>
      <c r="G122" s="263" t="s">
        <v>15</v>
      </c>
      <c r="H122" s="265"/>
      <c r="I122" s="432" t="s">
        <v>16</v>
      </c>
      <c r="J122" s="432"/>
      <c r="K122" s="432"/>
      <c r="M122" s="266"/>
    </row>
  </sheetData>
  <autoFilter ref="A10:M119">
    <filterColumn colId="0"/>
    <filterColumn colId="6"/>
  </autoFilter>
  <mergeCells count="19">
    <mergeCell ref="B122:C122"/>
    <mergeCell ref="I122:K122"/>
    <mergeCell ref="B4:K4"/>
    <mergeCell ref="B5:K5"/>
    <mergeCell ref="B6:K6"/>
    <mergeCell ref="B8:B9"/>
    <mergeCell ref="B121:C121"/>
    <mergeCell ref="I121:K121"/>
    <mergeCell ref="K8:K9"/>
    <mergeCell ref="A8:A9"/>
    <mergeCell ref="I120:K120"/>
    <mergeCell ref="B2:E3"/>
    <mergeCell ref="I1:K1"/>
    <mergeCell ref="I2:K2"/>
    <mergeCell ref="I3:K3"/>
    <mergeCell ref="G8:G9"/>
    <mergeCell ref="C8:D8"/>
    <mergeCell ref="E8:E9"/>
    <mergeCell ref="H8:J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98"/>
  <sheetViews>
    <sheetView topLeftCell="A8" workbookViewId="0">
      <pane ySplit="4" topLeftCell="A78" activePane="bottomLeft" state="frozen"/>
      <selection activeCell="E186" sqref="E186"/>
      <selection pane="bottomLeft" activeCell="I26" sqref="I26"/>
    </sheetView>
  </sheetViews>
  <sheetFormatPr defaultRowHeight="15.75"/>
  <cols>
    <col min="1" max="1" width="4.28515625" style="236" customWidth="1"/>
    <col min="2" max="2" width="9.5703125" style="236" customWidth="1"/>
    <col min="3" max="3" width="5.42578125" style="237" customWidth="1"/>
    <col min="4" max="4" width="9.28515625" style="236" customWidth="1"/>
    <col min="5" max="5" width="35" style="236" customWidth="1"/>
    <col min="6" max="6" width="14.140625" style="236" customWidth="1"/>
    <col min="7" max="7" width="6.42578125" style="236" customWidth="1"/>
    <col min="8" max="8" width="6.7109375" style="238" customWidth="1"/>
    <col min="9" max="10" width="14.5703125" style="236" customWidth="1"/>
    <col min="11" max="11" width="14.5703125" style="239" customWidth="1"/>
    <col min="12" max="12" width="7.42578125" style="236" customWidth="1"/>
    <col min="13" max="16384" width="9.140625" style="236"/>
  </cols>
  <sheetData>
    <row r="1" spans="1:14" s="187" customFormat="1" ht="16.5" customHeight="1">
      <c r="B1" s="188" t="s">
        <v>142</v>
      </c>
      <c r="C1" s="136"/>
      <c r="H1" s="189"/>
      <c r="J1" s="429" t="s">
        <v>143</v>
      </c>
      <c r="K1" s="429"/>
      <c r="L1" s="429"/>
      <c r="M1" s="139"/>
      <c r="N1" s="139"/>
    </row>
    <row r="2" spans="1:14" s="187" customFormat="1" ht="16.5" customHeight="1">
      <c r="B2" s="430" t="s">
        <v>144</v>
      </c>
      <c r="C2" s="430"/>
      <c r="D2" s="430"/>
      <c r="E2" s="430"/>
      <c r="F2" s="140"/>
      <c r="H2" s="189"/>
      <c r="J2" s="428" t="s">
        <v>145</v>
      </c>
      <c r="K2" s="428"/>
      <c r="L2" s="428"/>
      <c r="M2" s="137"/>
      <c r="N2" s="137"/>
    </row>
    <row r="3" spans="1:14" s="187" customFormat="1" ht="16.5" customHeight="1">
      <c r="B3" s="430"/>
      <c r="C3" s="430"/>
      <c r="D3" s="430"/>
      <c r="E3" s="430"/>
      <c r="F3" s="140"/>
      <c r="H3" s="189"/>
      <c r="J3" s="428" t="s">
        <v>146</v>
      </c>
      <c r="K3" s="428"/>
      <c r="L3" s="428"/>
    </row>
    <row r="4" spans="1:14" s="187" customFormat="1" ht="19.5" customHeight="1">
      <c r="B4" s="431" t="s">
        <v>147</v>
      </c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4" s="187" customFormat="1" ht="15">
      <c r="B5" s="416" t="s">
        <v>195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</row>
    <row r="6" spans="1:14" s="187" customFormat="1" ht="15">
      <c r="B6" s="416" t="s">
        <v>200</v>
      </c>
      <c r="C6" s="416"/>
      <c r="D6" s="416"/>
      <c r="E6" s="416"/>
      <c r="F6" s="416"/>
      <c r="G6" s="416"/>
      <c r="H6" s="416"/>
      <c r="I6" s="416"/>
      <c r="J6" s="416"/>
      <c r="K6" s="416"/>
      <c r="L6" s="416"/>
    </row>
    <row r="7" spans="1:14" s="187" customFormat="1" ht="6.75" customHeight="1">
      <c r="B7" s="138"/>
      <c r="C7" s="138"/>
      <c r="D7" s="138"/>
      <c r="E7" s="138"/>
      <c r="F7" s="138"/>
      <c r="G7" s="138"/>
      <c r="H7" s="191"/>
      <c r="I7" s="138"/>
      <c r="J7" s="138"/>
      <c r="K7" s="192"/>
      <c r="L7" s="138"/>
    </row>
    <row r="8" spans="1:14" s="195" customFormat="1" ht="20.25" customHeight="1">
      <c r="A8" s="401" t="s">
        <v>126</v>
      </c>
      <c r="B8" s="438" t="s">
        <v>150</v>
      </c>
      <c r="C8" s="438" t="s">
        <v>151</v>
      </c>
      <c r="D8" s="438"/>
      <c r="E8" s="438" t="s">
        <v>3</v>
      </c>
      <c r="F8" s="217"/>
      <c r="G8" s="438" t="s">
        <v>22</v>
      </c>
      <c r="H8" s="439" t="s">
        <v>188</v>
      </c>
      <c r="I8" s="438" t="s">
        <v>78</v>
      </c>
      <c r="J8" s="438"/>
      <c r="K8" s="438"/>
      <c r="L8" s="438" t="s">
        <v>4</v>
      </c>
    </row>
    <row r="9" spans="1:14" s="195" customFormat="1" ht="22.5" customHeight="1">
      <c r="A9" s="402"/>
      <c r="B9" s="438"/>
      <c r="C9" s="217" t="s">
        <v>152</v>
      </c>
      <c r="D9" s="217" t="s">
        <v>153</v>
      </c>
      <c r="E9" s="438"/>
      <c r="F9" s="217"/>
      <c r="G9" s="438"/>
      <c r="H9" s="439"/>
      <c r="I9" s="217" t="s">
        <v>154</v>
      </c>
      <c r="J9" s="217" t="s">
        <v>155</v>
      </c>
      <c r="K9" s="268" t="s">
        <v>156</v>
      </c>
      <c r="L9" s="438"/>
    </row>
    <row r="10" spans="1:14" s="200" customFormat="1" ht="12">
      <c r="A10" s="146"/>
      <c r="B10" s="269" t="s">
        <v>7</v>
      </c>
      <c r="C10" s="269" t="s">
        <v>8</v>
      </c>
      <c r="D10" s="269" t="s">
        <v>9</v>
      </c>
      <c r="E10" s="269" t="s">
        <v>10</v>
      </c>
      <c r="F10" s="269"/>
      <c r="G10" s="269" t="s">
        <v>11</v>
      </c>
      <c r="H10" s="270"/>
      <c r="I10" s="269">
        <v>1</v>
      </c>
      <c r="J10" s="269">
        <v>2</v>
      </c>
      <c r="K10" s="269">
        <v>3</v>
      </c>
      <c r="L10" s="269" t="s">
        <v>27</v>
      </c>
    </row>
    <row r="11" spans="1:14" s="195" customFormat="1" ht="18.75" customHeight="1">
      <c r="A11" s="150"/>
      <c r="B11" s="201"/>
      <c r="C11" s="202"/>
      <c r="D11" s="201"/>
      <c r="E11" s="201" t="s">
        <v>157</v>
      </c>
      <c r="F11" s="201"/>
      <c r="G11" s="201"/>
      <c r="H11" s="203"/>
      <c r="I11" s="203"/>
      <c r="J11" s="201"/>
      <c r="K11" s="204">
        <v>17.190000000000001</v>
      </c>
      <c r="L11" s="201"/>
    </row>
    <row r="12" spans="1:14" s="143" customFormat="1" ht="18.75" customHeight="1">
      <c r="A12" s="143">
        <f t="shared" ref="A12:A43" si="0">IF(B12&lt;&gt;"",MONTH(B12),"")</f>
        <v>1</v>
      </c>
      <c r="B12" s="158">
        <v>41663</v>
      </c>
      <c r="C12" s="159" t="s">
        <v>163</v>
      </c>
      <c r="D12" s="158">
        <v>41663</v>
      </c>
      <c r="E12" s="160" t="s">
        <v>714</v>
      </c>
      <c r="F12" s="163">
        <f t="shared" ref="F12:F75" si="1">(I12+J12)*H12</f>
        <v>420905160</v>
      </c>
      <c r="G12" s="159" t="s">
        <v>190</v>
      </c>
      <c r="H12" s="206">
        <v>21060</v>
      </c>
      <c r="I12" s="208">
        <v>19986</v>
      </c>
      <c r="J12" s="208"/>
      <c r="K12" s="209">
        <f>IF(B12&lt;&gt;"",K11+I12-J12,0)</f>
        <v>20003.189999999999</v>
      </c>
      <c r="L12" s="163"/>
    </row>
    <row r="13" spans="1:14" s="143" customFormat="1" ht="18.75" customHeight="1">
      <c r="A13" s="143">
        <f t="shared" si="0"/>
        <v>1</v>
      </c>
      <c r="B13" s="158">
        <v>41663</v>
      </c>
      <c r="C13" s="159" t="s">
        <v>160</v>
      </c>
      <c r="D13" s="158">
        <v>41663</v>
      </c>
      <c r="E13" s="160" t="s">
        <v>682</v>
      </c>
      <c r="F13" s="163">
        <f t="shared" si="1"/>
        <v>421500000</v>
      </c>
      <c r="G13" s="159" t="s">
        <v>36</v>
      </c>
      <c r="H13" s="206">
        <v>21075</v>
      </c>
      <c r="I13" s="208"/>
      <c r="J13" s="208">
        <v>20000</v>
      </c>
      <c r="K13" s="209">
        <f t="shared" ref="K13:K76" si="2">IF(B13&lt;&gt;"",K12+I13-J13,0)</f>
        <v>3.1899999999986903</v>
      </c>
      <c r="L13" s="163"/>
    </row>
    <row r="14" spans="1:14" s="143" customFormat="1" ht="18.75" customHeight="1">
      <c r="A14" s="143">
        <f t="shared" si="0"/>
        <v>2</v>
      </c>
      <c r="B14" s="158">
        <v>41682</v>
      </c>
      <c r="C14" s="159" t="s">
        <v>163</v>
      </c>
      <c r="D14" s="158">
        <v>41682</v>
      </c>
      <c r="E14" s="160" t="s">
        <v>714</v>
      </c>
      <c r="F14" s="163">
        <f t="shared" si="1"/>
        <v>631988940</v>
      </c>
      <c r="G14" s="159" t="s">
        <v>190</v>
      </c>
      <c r="H14" s="206">
        <v>21080</v>
      </c>
      <c r="I14" s="208">
        <v>29980.5</v>
      </c>
      <c r="J14" s="208"/>
      <c r="K14" s="209">
        <f t="shared" si="2"/>
        <v>29983.69</v>
      </c>
      <c r="L14" s="163"/>
    </row>
    <row r="15" spans="1:14" s="143" customFormat="1" ht="18.75" customHeight="1">
      <c r="A15" s="143">
        <f t="shared" si="0"/>
        <v>2</v>
      </c>
      <c r="B15" s="158">
        <v>41690</v>
      </c>
      <c r="C15" s="159" t="s">
        <v>160</v>
      </c>
      <c r="D15" s="158">
        <v>41690</v>
      </c>
      <c r="E15" s="160" t="s">
        <v>700</v>
      </c>
      <c r="F15" s="163">
        <f t="shared" si="1"/>
        <v>632578000</v>
      </c>
      <c r="G15" s="159" t="s">
        <v>162</v>
      </c>
      <c r="H15" s="206">
        <v>21100</v>
      </c>
      <c r="I15" s="208"/>
      <c r="J15" s="208">
        <v>29980</v>
      </c>
      <c r="K15" s="209">
        <f t="shared" si="2"/>
        <v>3.6899999999986903</v>
      </c>
      <c r="L15" s="163"/>
    </row>
    <row r="16" spans="1:14" s="143" customFormat="1" ht="18.75" customHeight="1">
      <c r="A16" s="143">
        <f t="shared" si="0"/>
        <v>2</v>
      </c>
      <c r="B16" s="158">
        <v>41694</v>
      </c>
      <c r="C16" s="159" t="s">
        <v>163</v>
      </c>
      <c r="D16" s="158">
        <v>41694</v>
      </c>
      <c r="E16" s="160" t="s">
        <v>175</v>
      </c>
      <c r="F16" s="163">
        <f t="shared" si="1"/>
        <v>14137</v>
      </c>
      <c r="G16" s="159" t="s">
        <v>176</v>
      </c>
      <c r="H16" s="206">
        <v>21100</v>
      </c>
      <c r="I16" s="208">
        <v>0.67</v>
      </c>
      <c r="J16" s="208"/>
      <c r="K16" s="209">
        <f t="shared" si="2"/>
        <v>4.3599999999986903</v>
      </c>
      <c r="L16" s="163"/>
    </row>
    <row r="17" spans="1:13" s="143" customFormat="1" ht="18.75" customHeight="1">
      <c r="A17" s="143">
        <f t="shared" si="0"/>
        <v>2</v>
      </c>
      <c r="B17" s="158">
        <v>41696</v>
      </c>
      <c r="C17" s="159" t="s">
        <v>163</v>
      </c>
      <c r="D17" s="158">
        <v>41696</v>
      </c>
      <c r="E17" s="160" t="s">
        <v>714</v>
      </c>
      <c r="F17" s="163">
        <f t="shared" si="1"/>
        <v>653057346</v>
      </c>
      <c r="G17" s="159" t="s">
        <v>190</v>
      </c>
      <c r="H17" s="206">
        <v>21080</v>
      </c>
      <c r="I17" s="208">
        <v>30979.95</v>
      </c>
      <c r="J17" s="208"/>
      <c r="K17" s="209">
        <f t="shared" si="2"/>
        <v>30984.309999999998</v>
      </c>
      <c r="L17" s="163"/>
    </row>
    <row r="18" spans="1:13" s="143" customFormat="1" ht="18.75" customHeight="1">
      <c r="A18" s="143">
        <f t="shared" si="0"/>
        <v>2</v>
      </c>
      <c r="B18" s="158">
        <v>41696</v>
      </c>
      <c r="C18" s="159" t="s">
        <v>163</v>
      </c>
      <c r="D18" s="158">
        <v>41696</v>
      </c>
      <c r="E18" s="160" t="s">
        <v>700</v>
      </c>
      <c r="F18" s="163">
        <f t="shared" si="1"/>
        <v>653430160</v>
      </c>
      <c r="G18" s="159" t="s">
        <v>162</v>
      </c>
      <c r="H18" s="206">
        <v>21092</v>
      </c>
      <c r="I18" s="208"/>
      <c r="J18" s="208">
        <v>30980</v>
      </c>
      <c r="K18" s="209">
        <f t="shared" si="2"/>
        <v>4.3099999999976717</v>
      </c>
      <c r="L18" s="163"/>
    </row>
    <row r="19" spans="1:13" s="143" customFormat="1" ht="18.75" customHeight="1">
      <c r="A19" s="143">
        <f t="shared" si="0"/>
        <v>5</v>
      </c>
      <c r="B19" s="158">
        <v>41767</v>
      </c>
      <c r="C19" s="159" t="s">
        <v>160</v>
      </c>
      <c r="D19" s="158">
        <v>41767</v>
      </c>
      <c r="E19" s="160" t="s">
        <v>710</v>
      </c>
      <c r="F19" s="163">
        <f t="shared" si="1"/>
        <v>49947.75</v>
      </c>
      <c r="G19" s="161" t="s">
        <v>247</v>
      </c>
      <c r="H19" s="206">
        <v>21075</v>
      </c>
      <c r="I19" s="208"/>
      <c r="J19" s="208">
        <v>2.37</v>
      </c>
      <c r="K19" s="209">
        <f t="shared" si="2"/>
        <v>1.9399999999976716</v>
      </c>
      <c r="L19" s="163"/>
    </row>
    <row r="20" spans="1:13" s="143" customFormat="1" ht="18.75" customHeight="1">
      <c r="A20" s="143">
        <f t="shared" si="0"/>
        <v>5</v>
      </c>
      <c r="B20" s="158">
        <v>41767</v>
      </c>
      <c r="C20" s="159" t="s">
        <v>160</v>
      </c>
      <c r="D20" s="158">
        <v>41767</v>
      </c>
      <c r="E20" s="160" t="s">
        <v>711</v>
      </c>
      <c r="F20" s="163">
        <f t="shared" si="1"/>
        <v>5058</v>
      </c>
      <c r="G20" s="159" t="s">
        <v>35</v>
      </c>
      <c r="H20" s="206">
        <v>21075</v>
      </c>
      <c r="I20" s="208"/>
      <c r="J20" s="208">
        <v>0.24</v>
      </c>
      <c r="K20" s="209">
        <f t="shared" si="2"/>
        <v>1.6999999999976716</v>
      </c>
      <c r="L20" s="163"/>
    </row>
    <row r="21" spans="1:13" s="143" customFormat="1" ht="18.75" customHeight="1">
      <c r="A21" s="143">
        <f t="shared" si="0"/>
        <v>5</v>
      </c>
      <c r="B21" s="158">
        <v>41772</v>
      </c>
      <c r="C21" s="159" t="s">
        <v>163</v>
      </c>
      <c r="D21" s="158">
        <v>41772</v>
      </c>
      <c r="E21" s="160" t="s">
        <v>777</v>
      </c>
      <c r="F21" s="163">
        <f t="shared" si="1"/>
        <v>304901963.20000005</v>
      </c>
      <c r="G21" s="159" t="s">
        <v>190</v>
      </c>
      <c r="H21" s="206">
        <v>21080</v>
      </c>
      <c r="I21" s="208">
        <v>14464.04</v>
      </c>
      <c r="J21" s="208"/>
      <c r="K21" s="209">
        <f t="shared" si="2"/>
        <v>14465.739999999998</v>
      </c>
      <c r="L21" s="163"/>
    </row>
    <row r="22" spans="1:13" s="143" customFormat="1" ht="18.75" customHeight="1">
      <c r="A22" s="143">
        <f t="shared" si="0"/>
        <v>5</v>
      </c>
      <c r="B22" s="158">
        <v>41773</v>
      </c>
      <c r="C22" s="159" t="s">
        <v>163</v>
      </c>
      <c r="D22" s="158">
        <v>41773</v>
      </c>
      <c r="E22" s="160" t="s">
        <v>778</v>
      </c>
      <c r="F22" s="163">
        <f t="shared" si="1"/>
        <v>189299664.79999998</v>
      </c>
      <c r="G22" s="159" t="s">
        <v>190</v>
      </c>
      <c r="H22" s="206">
        <v>21080</v>
      </c>
      <c r="I22" s="208">
        <v>8980.06</v>
      </c>
      <c r="J22" s="208"/>
      <c r="K22" s="209">
        <f t="shared" si="2"/>
        <v>23445.799999999996</v>
      </c>
      <c r="L22" s="163"/>
    </row>
    <row r="23" spans="1:13" s="143" customFormat="1" ht="18.75" customHeight="1">
      <c r="A23" s="143">
        <f t="shared" si="0"/>
        <v>5</v>
      </c>
      <c r="B23" s="158">
        <v>41773</v>
      </c>
      <c r="C23" s="159" t="s">
        <v>163</v>
      </c>
      <c r="D23" s="158">
        <v>41773</v>
      </c>
      <c r="E23" s="160" t="s">
        <v>714</v>
      </c>
      <c r="F23" s="163">
        <f t="shared" si="1"/>
        <v>526646910</v>
      </c>
      <c r="G23" s="159" t="s">
        <v>190</v>
      </c>
      <c r="H23" s="206">
        <v>21080</v>
      </c>
      <c r="I23" s="208">
        <v>24983.25</v>
      </c>
      <c r="J23" s="208"/>
      <c r="K23" s="209">
        <f t="shared" si="2"/>
        <v>48429.049999999996</v>
      </c>
      <c r="L23" s="163"/>
    </row>
    <row r="24" spans="1:13" s="143" customFormat="1" ht="18.75" customHeight="1">
      <c r="A24" s="143">
        <f t="shared" si="0"/>
        <v>5</v>
      </c>
      <c r="B24" s="158">
        <v>41773</v>
      </c>
      <c r="C24" s="159" t="s">
        <v>163</v>
      </c>
      <c r="D24" s="158">
        <v>41773</v>
      </c>
      <c r="E24" s="160" t="s">
        <v>714</v>
      </c>
      <c r="F24" s="163">
        <f t="shared" si="1"/>
        <v>632052180</v>
      </c>
      <c r="G24" s="159" t="s">
        <v>190</v>
      </c>
      <c r="H24" s="206">
        <v>21080</v>
      </c>
      <c r="I24" s="208">
        <v>29983.5</v>
      </c>
      <c r="J24" s="208"/>
      <c r="K24" s="209">
        <f t="shared" si="2"/>
        <v>78412.549999999988</v>
      </c>
      <c r="L24" s="163"/>
    </row>
    <row r="25" spans="1:13" s="143" customFormat="1" ht="18.75" customHeight="1">
      <c r="A25" s="143">
        <f t="shared" si="0"/>
        <v>5</v>
      </c>
      <c r="B25" s="158">
        <v>41773</v>
      </c>
      <c r="C25" s="159" t="s">
        <v>160</v>
      </c>
      <c r="D25" s="158">
        <v>41773</v>
      </c>
      <c r="E25" s="160" t="s">
        <v>682</v>
      </c>
      <c r="F25" s="163">
        <f t="shared" si="1"/>
        <v>831537000</v>
      </c>
      <c r="G25" s="159" t="s">
        <v>36</v>
      </c>
      <c r="H25" s="206">
        <v>21105</v>
      </c>
      <c r="I25" s="208"/>
      <c r="J25" s="208">
        <v>39400</v>
      </c>
      <c r="K25" s="209">
        <f t="shared" si="2"/>
        <v>39012.549999999988</v>
      </c>
      <c r="L25" s="163"/>
      <c r="M25" s="271"/>
    </row>
    <row r="26" spans="1:13" s="143" customFormat="1" ht="18.75" customHeight="1">
      <c r="A26" s="143">
        <f t="shared" si="0"/>
        <v>5</v>
      </c>
      <c r="B26" s="158">
        <v>41778</v>
      </c>
      <c r="C26" s="159" t="s">
        <v>160</v>
      </c>
      <c r="D26" s="158">
        <v>41778</v>
      </c>
      <c r="E26" s="160" t="s">
        <v>700</v>
      </c>
      <c r="F26" s="163">
        <f t="shared" si="1"/>
        <v>189675000</v>
      </c>
      <c r="G26" s="159" t="s">
        <v>162</v>
      </c>
      <c r="H26" s="206">
        <v>21075</v>
      </c>
      <c r="I26" s="208"/>
      <c r="J26" s="208">
        <v>9000</v>
      </c>
      <c r="K26" s="209">
        <f t="shared" si="2"/>
        <v>30012.549999999988</v>
      </c>
      <c r="L26" s="163"/>
    </row>
    <row r="27" spans="1:13" s="143" customFormat="1" ht="18.75" customHeight="1">
      <c r="A27" s="143">
        <f t="shared" si="0"/>
        <v>5</v>
      </c>
      <c r="B27" s="158">
        <v>41785</v>
      </c>
      <c r="C27" s="159" t="s">
        <v>163</v>
      </c>
      <c r="D27" s="158">
        <v>41785</v>
      </c>
      <c r="E27" s="160" t="s">
        <v>175</v>
      </c>
      <c r="F27" s="163">
        <f t="shared" si="1"/>
        <v>8854.02</v>
      </c>
      <c r="G27" s="159" t="s">
        <v>176</v>
      </c>
      <c r="H27" s="206">
        <v>21081</v>
      </c>
      <c r="I27" s="208">
        <v>0.42</v>
      </c>
      <c r="J27" s="208"/>
      <c r="K27" s="209">
        <f t="shared" si="2"/>
        <v>30012.969999999987</v>
      </c>
      <c r="L27" s="163"/>
    </row>
    <row r="28" spans="1:13" s="143" customFormat="1" ht="18.75" customHeight="1">
      <c r="A28" s="143">
        <f t="shared" si="0"/>
        <v>5</v>
      </c>
      <c r="B28" s="158">
        <v>41787</v>
      </c>
      <c r="C28" s="159" t="s">
        <v>160</v>
      </c>
      <c r="D28" s="158">
        <v>41787</v>
      </c>
      <c r="E28" s="160" t="s">
        <v>682</v>
      </c>
      <c r="F28" s="163">
        <f t="shared" si="1"/>
        <v>634200000</v>
      </c>
      <c r="G28" s="161" t="s">
        <v>36</v>
      </c>
      <c r="H28" s="206">
        <v>21140</v>
      </c>
      <c r="I28" s="208"/>
      <c r="J28" s="208">
        <v>30000</v>
      </c>
      <c r="K28" s="209">
        <f t="shared" si="2"/>
        <v>12.969999999986612</v>
      </c>
      <c r="L28" s="163"/>
    </row>
    <row r="29" spans="1:13" s="143" customFormat="1" ht="18.75" customHeight="1">
      <c r="A29" s="143">
        <f t="shared" si="0"/>
        <v>6</v>
      </c>
      <c r="B29" s="158">
        <v>41793</v>
      </c>
      <c r="C29" s="159" t="s">
        <v>163</v>
      </c>
      <c r="D29" s="158">
        <v>41793</v>
      </c>
      <c r="E29" s="160" t="s">
        <v>777</v>
      </c>
      <c r="F29" s="163">
        <f t="shared" si="1"/>
        <v>674466086.39999998</v>
      </c>
      <c r="G29" s="159" t="s">
        <v>190</v>
      </c>
      <c r="H29" s="206">
        <v>21180</v>
      </c>
      <c r="I29" s="208">
        <v>31844.48</v>
      </c>
      <c r="J29" s="208"/>
      <c r="K29" s="209">
        <f t="shared" si="2"/>
        <v>31857.449999999986</v>
      </c>
      <c r="L29" s="163"/>
      <c r="M29" s="271"/>
    </row>
    <row r="30" spans="1:13" s="143" customFormat="1" ht="18.75" customHeight="1">
      <c r="A30" s="143">
        <f t="shared" si="0"/>
        <v>6</v>
      </c>
      <c r="B30" s="158">
        <v>41793</v>
      </c>
      <c r="C30" s="159" t="s">
        <v>163</v>
      </c>
      <c r="D30" s="158">
        <v>41793</v>
      </c>
      <c r="E30" s="160" t="s">
        <v>714</v>
      </c>
      <c r="F30" s="163">
        <f t="shared" si="1"/>
        <v>1057930621.8000001</v>
      </c>
      <c r="G30" s="161" t="s">
        <v>190</v>
      </c>
      <c r="H30" s="206">
        <v>21180</v>
      </c>
      <c r="I30" s="208">
        <v>49949.51</v>
      </c>
      <c r="J30" s="208"/>
      <c r="K30" s="209">
        <f t="shared" si="2"/>
        <v>81806.959999999992</v>
      </c>
      <c r="L30" s="163"/>
    </row>
    <row r="31" spans="1:13" s="143" customFormat="1" ht="18.75" customHeight="1">
      <c r="A31" s="143">
        <f t="shared" si="0"/>
        <v>6</v>
      </c>
      <c r="B31" s="158">
        <v>41794</v>
      </c>
      <c r="C31" s="159" t="s">
        <v>160</v>
      </c>
      <c r="D31" s="158">
        <v>41794</v>
      </c>
      <c r="E31" s="160" t="s">
        <v>682</v>
      </c>
      <c r="F31" s="163">
        <f t="shared" si="1"/>
        <v>1273200000</v>
      </c>
      <c r="G31" s="161" t="s">
        <v>36</v>
      </c>
      <c r="H31" s="206">
        <v>21220</v>
      </c>
      <c r="I31" s="208"/>
      <c r="J31" s="208">
        <v>60000</v>
      </c>
      <c r="K31" s="209">
        <f t="shared" si="2"/>
        <v>21806.959999999992</v>
      </c>
      <c r="L31" s="163"/>
    </row>
    <row r="32" spans="1:13" s="143" customFormat="1" ht="18.75" customHeight="1">
      <c r="A32" s="143">
        <f t="shared" si="0"/>
        <v>6</v>
      </c>
      <c r="B32" s="158">
        <v>41802</v>
      </c>
      <c r="C32" s="159" t="s">
        <v>163</v>
      </c>
      <c r="D32" s="158">
        <v>41802</v>
      </c>
      <c r="E32" s="160" t="s">
        <v>683</v>
      </c>
      <c r="F32" s="163">
        <f t="shared" si="1"/>
        <v>233547492.09999999</v>
      </c>
      <c r="G32" s="161" t="s">
        <v>190</v>
      </c>
      <c r="H32" s="206">
        <v>21190</v>
      </c>
      <c r="I32" s="208">
        <v>11021.59</v>
      </c>
      <c r="J32" s="208"/>
      <c r="K32" s="209">
        <f t="shared" si="2"/>
        <v>32828.549999999988</v>
      </c>
      <c r="L32" s="163"/>
    </row>
    <row r="33" spans="1:12" s="143" customFormat="1" ht="18.75" customHeight="1">
      <c r="A33" s="143">
        <f t="shared" si="0"/>
        <v>6</v>
      </c>
      <c r="B33" s="158">
        <v>41802</v>
      </c>
      <c r="C33" s="159" t="s">
        <v>163</v>
      </c>
      <c r="D33" s="158">
        <v>41802</v>
      </c>
      <c r="E33" s="160" t="s">
        <v>714</v>
      </c>
      <c r="F33" s="163">
        <f t="shared" si="1"/>
        <v>1164321844.4000001</v>
      </c>
      <c r="G33" s="161" t="s">
        <v>190</v>
      </c>
      <c r="H33" s="206">
        <v>21190</v>
      </c>
      <c r="I33" s="208">
        <v>54946.76</v>
      </c>
      <c r="J33" s="208"/>
      <c r="K33" s="209">
        <f t="shared" si="2"/>
        <v>87775.31</v>
      </c>
      <c r="L33" s="163"/>
    </row>
    <row r="34" spans="1:12" s="143" customFormat="1" ht="18.75" customHeight="1">
      <c r="A34" s="143">
        <f t="shared" si="0"/>
        <v>6</v>
      </c>
      <c r="B34" s="158">
        <v>41802</v>
      </c>
      <c r="C34" s="159" t="s">
        <v>160</v>
      </c>
      <c r="D34" s="158">
        <v>41802</v>
      </c>
      <c r="E34" s="160" t="s">
        <v>682</v>
      </c>
      <c r="F34" s="163">
        <f t="shared" si="1"/>
        <v>1613860000</v>
      </c>
      <c r="G34" s="161" t="s">
        <v>36</v>
      </c>
      <c r="H34" s="206">
        <v>21235</v>
      </c>
      <c r="I34" s="208"/>
      <c r="J34" s="208">
        <v>76000</v>
      </c>
      <c r="K34" s="209">
        <f t="shared" si="2"/>
        <v>11775.309999999998</v>
      </c>
      <c r="L34" s="163"/>
    </row>
    <row r="35" spans="1:12" s="143" customFormat="1" ht="18.75" customHeight="1">
      <c r="A35" s="143">
        <f t="shared" si="0"/>
        <v>6</v>
      </c>
      <c r="B35" s="158">
        <v>41803</v>
      </c>
      <c r="C35" s="159" t="s">
        <v>160</v>
      </c>
      <c r="D35" s="158">
        <v>41803</v>
      </c>
      <c r="E35" s="160" t="s">
        <v>682</v>
      </c>
      <c r="F35" s="163">
        <f t="shared" si="1"/>
        <v>248274000</v>
      </c>
      <c r="G35" s="159" t="s">
        <v>36</v>
      </c>
      <c r="H35" s="206">
        <v>21220</v>
      </c>
      <c r="I35" s="208"/>
      <c r="J35" s="208">
        <v>11700</v>
      </c>
      <c r="K35" s="209">
        <f t="shared" si="2"/>
        <v>75.309999999997672</v>
      </c>
      <c r="L35" s="163"/>
    </row>
    <row r="36" spans="1:12" s="143" customFormat="1" ht="18.75" customHeight="1">
      <c r="A36" s="143">
        <f t="shared" si="0"/>
        <v>6</v>
      </c>
      <c r="B36" s="158">
        <v>41810</v>
      </c>
      <c r="C36" s="159" t="s">
        <v>163</v>
      </c>
      <c r="D36" s="158">
        <v>41810</v>
      </c>
      <c r="E36" s="160" t="s">
        <v>714</v>
      </c>
      <c r="F36" s="163">
        <f t="shared" si="1"/>
        <v>1275608532.8</v>
      </c>
      <c r="G36" s="161" t="s">
        <v>190</v>
      </c>
      <c r="H36" s="206">
        <v>21280</v>
      </c>
      <c r="I36" s="208">
        <v>59944.01</v>
      </c>
      <c r="J36" s="208"/>
      <c r="K36" s="209">
        <f t="shared" si="2"/>
        <v>60019.32</v>
      </c>
      <c r="L36" s="163"/>
    </row>
    <row r="37" spans="1:12" s="143" customFormat="1" ht="18.75" customHeight="1">
      <c r="A37" s="143">
        <f t="shared" si="0"/>
        <v>6</v>
      </c>
      <c r="B37" s="158">
        <v>41814</v>
      </c>
      <c r="C37" s="159" t="s">
        <v>163</v>
      </c>
      <c r="D37" s="158">
        <v>41814</v>
      </c>
      <c r="E37" s="160" t="s">
        <v>588</v>
      </c>
      <c r="F37" s="163">
        <f t="shared" si="1"/>
        <v>38942.400000000001</v>
      </c>
      <c r="G37" s="161" t="s">
        <v>176</v>
      </c>
      <c r="H37" s="206">
        <v>21280</v>
      </c>
      <c r="I37" s="208">
        <v>1.83</v>
      </c>
      <c r="J37" s="208"/>
      <c r="K37" s="209">
        <f t="shared" si="2"/>
        <v>60021.15</v>
      </c>
      <c r="L37" s="163"/>
    </row>
    <row r="38" spans="1:12" s="143" customFormat="1" ht="18.75" customHeight="1">
      <c r="A38" s="143">
        <f t="shared" si="0"/>
        <v>6</v>
      </c>
      <c r="B38" s="158">
        <v>41816</v>
      </c>
      <c r="C38" s="159" t="s">
        <v>160</v>
      </c>
      <c r="D38" s="158">
        <v>41816</v>
      </c>
      <c r="E38" s="160" t="s">
        <v>715</v>
      </c>
      <c r="F38" s="163">
        <f t="shared" si="1"/>
        <v>1276800000</v>
      </c>
      <c r="G38" s="161" t="s">
        <v>162</v>
      </c>
      <c r="H38" s="206">
        <v>21280</v>
      </c>
      <c r="I38" s="208"/>
      <c r="J38" s="208">
        <v>60000</v>
      </c>
      <c r="K38" s="209">
        <f t="shared" si="2"/>
        <v>21.150000000001455</v>
      </c>
      <c r="L38" s="163"/>
    </row>
    <row r="39" spans="1:12" s="143" customFormat="1" ht="18.75" customHeight="1">
      <c r="A39" s="143">
        <f t="shared" si="0"/>
        <v>7</v>
      </c>
      <c r="B39" s="158">
        <v>41828</v>
      </c>
      <c r="C39" s="159" t="s">
        <v>163</v>
      </c>
      <c r="D39" s="158">
        <v>41828</v>
      </c>
      <c r="E39" s="160" t="s">
        <v>714</v>
      </c>
      <c r="F39" s="163">
        <f t="shared" si="1"/>
        <v>930480987.69999993</v>
      </c>
      <c r="G39" s="161" t="s">
        <v>190</v>
      </c>
      <c r="H39" s="206">
        <v>21170</v>
      </c>
      <c r="I39" s="208">
        <v>43952.81</v>
      </c>
      <c r="J39" s="208"/>
      <c r="K39" s="209">
        <f t="shared" si="2"/>
        <v>43973.96</v>
      </c>
      <c r="L39" s="163"/>
    </row>
    <row r="40" spans="1:12" s="143" customFormat="1" ht="18.75" customHeight="1">
      <c r="A40" s="143">
        <f t="shared" si="0"/>
        <v>7</v>
      </c>
      <c r="B40" s="158">
        <v>41828</v>
      </c>
      <c r="C40" s="159" t="s">
        <v>160</v>
      </c>
      <c r="D40" s="158">
        <v>41828</v>
      </c>
      <c r="E40" s="160" t="s">
        <v>682</v>
      </c>
      <c r="F40" s="163">
        <f t="shared" si="1"/>
        <v>933314000</v>
      </c>
      <c r="G40" s="159" t="s">
        <v>36</v>
      </c>
      <c r="H40" s="206">
        <v>21260</v>
      </c>
      <c r="I40" s="208"/>
      <c r="J40" s="208">
        <v>43900</v>
      </c>
      <c r="K40" s="209">
        <f t="shared" si="2"/>
        <v>73.959999999999127</v>
      </c>
      <c r="L40" s="163"/>
    </row>
    <row r="41" spans="1:12" s="143" customFormat="1" ht="18.75" customHeight="1">
      <c r="A41" s="143">
        <f t="shared" si="0"/>
        <v>7</v>
      </c>
      <c r="B41" s="158">
        <v>41842</v>
      </c>
      <c r="C41" s="159" t="s">
        <v>163</v>
      </c>
      <c r="D41" s="158">
        <v>41842</v>
      </c>
      <c r="E41" s="160" t="s">
        <v>683</v>
      </c>
      <c r="F41" s="163">
        <f t="shared" si="1"/>
        <v>460257000</v>
      </c>
      <c r="G41" s="159" t="s">
        <v>190</v>
      </c>
      <c r="H41" s="206">
        <v>21210</v>
      </c>
      <c r="I41" s="208">
        <v>21700</v>
      </c>
      <c r="J41" s="208"/>
      <c r="K41" s="209">
        <f t="shared" si="2"/>
        <v>21773.96</v>
      </c>
      <c r="L41" s="163"/>
    </row>
    <row r="42" spans="1:12" s="143" customFormat="1" ht="18.75" customHeight="1">
      <c r="A42" s="143">
        <f t="shared" si="0"/>
        <v>7</v>
      </c>
      <c r="B42" s="158">
        <v>41842</v>
      </c>
      <c r="C42" s="159" t="s">
        <v>163</v>
      </c>
      <c r="D42" s="158">
        <v>41842</v>
      </c>
      <c r="E42" s="160" t="s">
        <v>700</v>
      </c>
      <c r="F42" s="163">
        <f t="shared" si="1"/>
        <v>460040000</v>
      </c>
      <c r="G42" s="161" t="s">
        <v>162</v>
      </c>
      <c r="H42" s="206">
        <v>21200</v>
      </c>
      <c r="I42" s="208"/>
      <c r="J42" s="208">
        <v>21700</v>
      </c>
      <c r="K42" s="209">
        <f t="shared" si="2"/>
        <v>73.959999999999127</v>
      </c>
      <c r="L42" s="163"/>
    </row>
    <row r="43" spans="1:12" s="143" customFormat="1" ht="18.75" customHeight="1">
      <c r="A43" s="143">
        <f t="shared" si="0"/>
        <v>7</v>
      </c>
      <c r="B43" s="158">
        <v>41850</v>
      </c>
      <c r="C43" s="159" t="s">
        <v>163</v>
      </c>
      <c r="D43" s="158">
        <v>41850</v>
      </c>
      <c r="E43" s="160" t="s">
        <v>683</v>
      </c>
      <c r="F43" s="163">
        <f t="shared" si="1"/>
        <v>19881829.800000001</v>
      </c>
      <c r="G43" s="161" t="s">
        <v>190</v>
      </c>
      <c r="H43" s="206">
        <v>21210</v>
      </c>
      <c r="I43" s="208">
        <v>937.38</v>
      </c>
      <c r="J43" s="208"/>
      <c r="K43" s="209">
        <f t="shared" si="2"/>
        <v>1011.3399999999991</v>
      </c>
      <c r="L43" s="163"/>
    </row>
    <row r="44" spans="1:12" s="143" customFormat="1" ht="18.75" customHeight="1">
      <c r="A44" s="143">
        <f t="shared" ref="A44:A75" si="3">IF(B44&lt;&gt;"",MONTH(B44),"")</f>
        <v>7</v>
      </c>
      <c r="B44" s="158">
        <v>41850</v>
      </c>
      <c r="C44" s="159" t="s">
        <v>163</v>
      </c>
      <c r="D44" s="158">
        <v>41850</v>
      </c>
      <c r="E44" s="160" t="s">
        <v>779</v>
      </c>
      <c r="F44" s="163">
        <f t="shared" si="1"/>
        <v>358024.8</v>
      </c>
      <c r="G44" s="161" t="s">
        <v>166</v>
      </c>
      <c r="H44" s="206">
        <v>21210</v>
      </c>
      <c r="I44" s="208"/>
      <c r="J44" s="208">
        <v>16.88</v>
      </c>
      <c r="K44" s="209">
        <f t="shared" si="2"/>
        <v>994.45999999999913</v>
      </c>
      <c r="L44" s="163"/>
    </row>
    <row r="45" spans="1:12" s="143" customFormat="1" ht="18.75" customHeight="1">
      <c r="A45" s="143">
        <f t="shared" si="3"/>
        <v>8</v>
      </c>
      <c r="B45" s="158">
        <v>41859</v>
      </c>
      <c r="C45" s="159" t="s">
        <v>160</v>
      </c>
      <c r="D45" s="158">
        <v>41859</v>
      </c>
      <c r="E45" s="160" t="s">
        <v>682</v>
      </c>
      <c r="F45" s="163">
        <f t="shared" si="1"/>
        <v>20968200</v>
      </c>
      <c r="G45" s="161" t="s">
        <v>36</v>
      </c>
      <c r="H45" s="206">
        <v>21180</v>
      </c>
      <c r="I45" s="208"/>
      <c r="J45" s="208">
        <v>990</v>
      </c>
      <c r="K45" s="209">
        <f t="shared" si="2"/>
        <v>4.4599999999991269</v>
      </c>
      <c r="L45" s="163"/>
    </row>
    <row r="46" spans="1:12" s="143" customFormat="1" ht="18.75" customHeight="1">
      <c r="A46" s="143">
        <f t="shared" si="3"/>
        <v>8</v>
      </c>
      <c r="B46" s="158">
        <v>41879</v>
      </c>
      <c r="C46" s="159" t="s">
        <v>163</v>
      </c>
      <c r="D46" s="158">
        <v>41879</v>
      </c>
      <c r="E46" s="160" t="s">
        <v>777</v>
      </c>
      <c r="F46" s="163">
        <f t="shared" si="1"/>
        <v>365055094.25</v>
      </c>
      <c r="G46" s="161" t="s">
        <v>190</v>
      </c>
      <c r="H46" s="206">
        <v>21175</v>
      </c>
      <c r="I46" s="208">
        <v>17239.91</v>
      </c>
      <c r="J46" s="208"/>
      <c r="K46" s="209">
        <f t="shared" si="2"/>
        <v>17244.37</v>
      </c>
      <c r="L46" s="163"/>
    </row>
    <row r="47" spans="1:12" s="143" customFormat="1" ht="18.75" customHeight="1">
      <c r="A47" s="143">
        <f t="shared" si="3"/>
        <v>8</v>
      </c>
      <c r="B47" s="158">
        <v>41879</v>
      </c>
      <c r="C47" s="159" t="s">
        <v>160</v>
      </c>
      <c r="D47" s="158">
        <v>41879</v>
      </c>
      <c r="E47" s="160" t="s">
        <v>682</v>
      </c>
      <c r="F47" s="163">
        <f t="shared" si="1"/>
        <v>364468000</v>
      </c>
      <c r="G47" s="161" t="s">
        <v>36</v>
      </c>
      <c r="H47" s="206">
        <v>21190</v>
      </c>
      <c r="I47" s="208"/>
      <c r="J47" s="208">
        <v>17200</v>
      </c>
      <c r="K47" s="209">
        <f t="shared" si="2"/>
        <v>44.369999999998981</v>
      </c>
      <c r="L47" s="163"/>
    </row>
    <row r="48" spans="1:12" s="143" customFormat="1" ht="18.75" customHeight="1">
      <c r="A48" s="143">
        <f t="shared" si="3"/>
        <v>9</v>
      </c>
      <c r="B48" s="158">
        <v>41890</v>
      </c>
      <c r="C48" s="159" t="s">
        <v>163</v>
      </c>
      <c r="D48" s="158">
        <v>41890</v>
      </c>
      <c r="E48" s="160" t="s">
        <v>683</v>
      </c>
      <c r="F48" s="163">
        <f t="shared" si="1"/>
        <v>249865000</v>
      </c>
      <c r="G48" s="161" t="s">
        <v>190</v>
      </c>
      <c r="H48" s="206">
        <v>21175</v>
      </c>
      <c r="I48" s="208">
        <v>11800</v>
      </c>
      <c r="J48" s="208"/>
      <c r="K48" s="209">
        <f t="shared" si="2"/>
        <v>11844.369999999999</v>
      </c>
      <c r="L48" s="163"/>
    </row>
    <row r="49" spans="1:12" s="143" customFormat="1" ht="18.75" customHeight="1">
      <c r="A49" s="143">
        <f t="shared" si="3"/>
        <v>9</v>
      </c>
      <c r="B49" s="158">
        <v>41890</v>
      </c>
      <c r="C49" s="159" t="s">
        <v>163</v>
      </c>
      <c r="D49" s="158">
        <v>41890</v>
      </c>
      <c r="E49" s="160" t="s">
        <v>683</v>
      </c>
      <c r="F49" s="163">
        <f t="shared" si="1"/>
        <v>182105000</v>
      </c>
      <c r="G49" s="161" t="s">
        <v>190</v>
      </c>
      <c r="H49" s="206">
        <v>21175</v>
      </c>
      <c r="I49" s="208">
        <v>8600</v>
      </c>
      <c r="J49" s="208"/>
      <c r="K49" s="209">
        <f t="shared" si="2"/>
        <v>20444.37</v>
      </c>
      <c r="L49" s="163"/>
    </row>
    <row r="50" spans="1:12" s="143" customFormat="1" ht="18.75" customHeight="1">
      <c r="A50" s="143">
        <f t="shared" si="3"/>
        <v>9</v>
      </c>
      <c r="B50" s="158">
        <v>41898</v>
      </c>
      <c r="C50" s="159" t="s">
        <v>163</v>
      </c>
      <c r="D50" s="158">
        <v>41898</v>
      </c>
      <c r="E50" s="160" t="s">
        <v>683</v>
      </c>
      <c r="F50" s="163">
        <f t="shared" si="1"/>
        <v>8786354.5</v>
      </c>
      <c r="G50" s="159" t="s">
        <v>190</v>
      </c>
      <c r="H50" s="206">
        <v>21175</v>
      </c>
      <c r="I50" s="208">
        <v>414.94</v>
      </c>
      <c r="J50" s="208"/>
      <c r="K50" s="209">
        <f t="shared" si="2"/>
        <v>20859.309999999998</v>
      </c>
      <c r="L50" s="163"/>
    </row>
    <row r="51" spans="1:12" s="143" customFormat="1" ht="18.75" customHeight="1">
      <c r="A51" s="143">
        <f t="shared" si="3"/>
        <v>9</v>
      </c>
      <c r="B51" s="158">
        <v>41898</v>
      </c>
      <c r="C51" s="159" t="s">
        <v>163</v>
      </c>
      <c r="D51" s="158">
        <v>41898</v>
      </c>
      <c r="E51" s="160" t="s">
        <v>683</v>
      </c>
      <c r="F51" s="163">
        <f t="shared" si="1"/>
        <v>9635895.5</v>
      </c>
      <c r="G51" s="159" t="s">
        <v>190</v>
      </c>
      <c r="H51" s="206">
        <v>21175</v>
      </c>
      <c r="I51" s="208">
        <v>455.06</v>
      </c>
      <c r="J51" s="208"/>
      <c r="K51" s="209">
        <f t="shared" si="2"/>
        <v>21314.37</v>
      </c>
      <c r="L51" s="163"/>
    </row>
    <row r="52" spans="1:12" s="143" customFormat="1" ht="18.75" customHeight="1">
      <c r="A52" s="143">
        <f t="shared" si="3"/>
        <v>9</v>
      </c>
      <c r="B52" s="158">
        <v>41906</v>
      </c>
      <c r="C52" s="159" t="s">
        <v>163</v>
      </c>
      <c r="D52" s="158">
        <v>41906</v>
      </c>
      <c r="E52" s="160" t="s">
        <v>777</v>
      </c>
      <c r="F52" s="163">
        <f t="shared" si="1"/>
        <v>871291902.1500001</v>
      </c>
      <c r="G52" s="159" t="s">
        <v>190</v>
      </c>
      <c r="H52" s="206">
        <v>21195</v>
      </c>
      <c r="I52" s="208">
        <v>41108.370000000003</v>
      </c>
      <c r="J52" s="208"/>
      <c r="K52" s="209">
        <f t="shared" si="2"/>
        <v>62422.740000000005</v>
      </c>
      <c r="L52" s="163"/>
    </row>
    <row r="53" spans="1:12" s="143" customFormat="1" ht="18.75" customHeight="1">
      <c r="A53" s="143">
        <f t="shared" si="3"/>
        <v>9</v>
      </c>
      <c r="B53" s="158">
        <v>41892</v>
      </c>
      <c r="C53" s="159" t="s">
        <v>163</v>
      </c>
      <c r="D53" s="158">
        <v>41892</v>
      </c>
      <c r="E53" s="160" t="s">
        <v>700</v>
      </c>
      <c r="F53" s="163">
        <f t="shared" si="1"/>
        <v>432378000</v>
      </c>
      <c r="G53" s="159" t="s">
        <v>162</v>
      </c>
      <c r="H53" s="206">
        <v>21195</v>
      </c>
      <c r="I53" s="208"/>
      <c r="J53" s="208">
        <v>20400</v>
      </c>
      <c r="K53" s="209">
        <f t="shared" si="2"/>
        <v>42022.740000000005</v>
      </c>
      <c r="L53" s="163"/>
    </row>
    <row r="54" spans="1:12" s="143" customFormat="1" ht="18.75" customHeight="1">
      <c r="A54" s="143">
        <f t="shared" si="3"/>
        <v>9</v>
      </c>
      <c r="B54" s="158">
        <v>41899</v>
      </c>
      <c r="C54" s="159" t="s">
        <v>163</v>
      </c>
      <c r="D54" s="158">
        <v>41899</v>
      </c>
      <c r="E54" s="160" t="s">
        <v>700</v>
      </c>
      <c r="F54" s="163">
        <f t="shared" si="1"/>
        <v>16940000</v>
      </c>
      <c r="G54" s="159" t="s">
        <v>162</v>
      </c>
      <c r="H54" s="206">
        <v>21175</v>
      </c>
      <c r="I54" s="208"/>
      <c r="J54" s="208">
        <v>800</v>
      </c>
      <c r="K54" s="209">
        <f t="shared" si="2"/>
        <v>41222.740000000005</v>
      </c>
      <c r="L54" s="163"/>
    </row>
    <row r="55" spans="1:12" s="143" customFormat="1" ht="18.75" customHeight="1">
      <c r="A55" s="143">
        <f t="shared" si="3"/>
        <v>9</v>
      </c>
      <c r="B55" s="158">
        <v>41906</v>
      </c>
      <c r="C55" s="159" t="s">
        <v>163</v>
      </c>
      <c r="D55" s="158">
        <v>41906</v>
      </c>
      <c r="E55" s="160" t="s">
        <v>700</v>
      </c>
      <c r="F55" s="163">
        <f t="shared" si="1"/>
        <v>868995000</v>
      </c>
      <c r="G55" s="159" t="s">
        <v>162</v>
      </c>
      <c r="H55" s="206">
        <v>21195</v>
      </c>
      <c r="I55" s="208"/>
      <c r="J55" s="208">
        <v>41000</v>
      </c>
      <c r="K55" s="209">
        <f t="shared" si="2"/>
        <v>222.74000000000524</v>
      </c>
      <c r="L55" s="163"/>
    </row>
    <row r="56" spans="1:12" s="143" customFormat="1" ht="18.75" customHeight="1">
      <c r="A56" s="143">
        <f t="shared" si="3"/>
        <v>9</v>
      </c>
      <c r="B56" s="158">
        <v>41898</v>
      </c>
      <c r="C56" s="159" t="s">
        <v>160</v>
      </c>
      <c r="D56" s="158">
        <v>41898</v>
      </c>
      <c r="E56" s="160" t="s">
        <v>779</v>
      </c>
      <c r="F56" s="163">
        <f t="shared" si="1"/>
        <v>194386.5</v>
      </c>
      <c r="G56" s="159" t="s">
        <v>166</v>
      </c>
      <c r="H56" s="206">
        <v>21175</v>
      </c>
      <c r="I56" s="208"/>
      <c r="J56" s="208">
        <v>9.18</v>
      </c>
      <c r="K56" s="209">
        <f t="shared" si="2"/>
        <v>213.56000000000523</v>
      </c>
      <c r="L56" s="163"/>
    </row>
    <row r="57" spans="1:12" s="143" customFormat="1" ht="18.75" customHeight="1">
      <c r="A57" s="143">
        <f t="shared" si="3"/>
        <v>9</v>
      </c>
      <c r="B57" s="158">
        <v>41898</v>
      </c>
      <c r="C57" s="159" t="s">
        <v>160</v>
      </c>
      <c r="D57" s="158">
        <v>41898</v>
      </c>
      <c r="E57" s="160" t="s">
        <v>779</v>
      </c>
      <c r="F57" s="163">
        <f t="shared" si="1"/>
        <v>141660.75</v>
      </c>
      <c r="G57" s="159" t="s">
        <v>166</v>
      </c>
      <c r="H57" s="206">
        <v>21175</v>
      </c>
      <c r="I57" s="208"/>
      <c r="J57" s="208">
        <v>6.69</v>
      </c>
      <c r="K57" s="209">
        <f t="shared" si="2"/>
        <v>206.87000000000523</v>
      </c>
      <c r="L57" s="163"/>
    </row>
    <row r="58" spans="1:12" s="143" customFormat="1" ht="18.75" customHeight="1">
      <c r="A58" s="143">
        <f t="shared" si="3"/>
        <v>10</v>
      </c>
      <c r="B58" s="158">
        <v>41930</v>
      </c>
      <c r="C58" s="159" t="s">
        <v>163</v>
      </c>
      <c r="D58" s="158">
        <v>41930</v>
      </c>
      <c r="E58" s="160" t="s">
        <v>683</v>
      </c>
      <c r="F58" s="163">
        <f t="shared" si="1"/>
        <v>99969000</v>
      </c>
      <c r="G58" s="159" t="s">
        <v>190</v>
      </c>
      <c r="H58" s="206">
        <v>21270</v>
      </c>
      <c r="I58" s="208">
        <v>4700</v>
      </c>
      <c r="J58" s="208"/>
      <c r="K58" s="209">
        <f t="shared" si="2"/>
        <v>4906.8700000000053</v>
      </c>
      <c r="L58" s="163"/>
    </row>
    <row r="59" spans="1:12" s="143" customFormat="1" ht="18.75" customHeight="1">
      <c r="A59" s="143">
        <f t="shared" si="3"/>
        <v>10</v>
      </c>
      <c r="B59" s="158">
        <v>41930</v>
      </c>
      <c r="C59" s="159" t="s">
        <v>163</v>
      </c>
      <c r="D59" s="158">
        <v>41930</v>
      </c>
      <c r="E59" s="160" t="s">
        <v>683</v>
      </c>
      <c r="F59" s="163">
        <f t="shared" si="1"/>
        <v>327558000</v>
      </c>
      <c r="G59" s="159" t="s">
        <v>190</v>
      </c>
      <c r="H59" s="206">
        <v>21270</v>
      </c>
      <c r="I59" s="208">
        <v>15400</v>
      </c>
      <c r="J59" s="208"/>
      <c r="K59" s="209">
        <f t="shared" si="2"/>
        <v>20306.870000000006</v>
      </c>
      <c r="L59" s="163"/>
    </row>
    <row r="60" spans="1:12" s="143" customFormat="1" ht="18.75" customHeight="1">
      <c r="A60" s="143">
        <f t="shared" si="3"/>
        <v>10</v>
      </c>
      <c r="B60" s="158">
        <v>41930</v>
      </c>
      <c r="C60" s="159" t="s">
        <v>160</v>
      </c>
      <c r="D60" s="158">
        <v>41930</v>
      </c>
      <c r="E60" s="160" t="s">
        <v>201</v>
      </c>
      <c r="F60" s="163">
        <f t="shared" si="1"/>
        <v>4254000</v>
      </c>
      <c r="G60" s="159" t="s">
        <v>166</v>
      </c>
      <c r="H60" s="206">
        <v>21270</v>
      </c>
      <c r="I60" s="208"/>
      <c r="J60" s="208">
        <v>200</v>
      </c>
      <c r="K60" s="209">
        <f t="shared" si="2"/>
        <v>20106.870000000006</v>
      </c>
      <c r="L60" s="163"/>
    </row>
    <row r="61" spans="1:12" s="143" customFormat="1" ht="18.75" customHeight="1">
      <c r="A61" s="143">
        <f t="shared" si="3"/>
        <v>10</v>
      </c>
      <c r="B61" s="158">
        <v>41936</v>
      </c>
      <c r="C61" s="159" t="s">
        <v>163</v>
      </c>
      <c r="D61" s="158">
        <v>41936</v>
      </c>
      <c r="E61" s="160" t="s">
        <v>700</v>
      </c>
      <c r="F61" s="163">
        <f t="shared" si="1"/>
        <v>892710000</v>
      </c>
      <c r="G61" s="159" t="s">
        <v>162</v>
      </c>
      <c r="H61" s="206">
        <v>21255</v>
      </c>
      <c r="I61" s="208">
        <v>42000</v>
      </c>
      <c r="J61" s="208"/>
      <c r="K61" s="209">
        <f t="shared" si="2"/>
        <v>62106.87000000001</v>
      </c>
      <c r="L61" s="163"/>
    </row>
    <row r="62" spans="1:12" s="143" customFormat="1" ht="18.75" customHeight="1">
      <c r="A62" s="143">
        <f t="shared" si="3"/>
        <v>10</v>
      </c>
      <c r="B62" s="158">
        <v>41936</v>
      </c>
      <c r="C62" s="159" t="s">
        <v>160</v>
      </c>
      <c r="D62" s="158">
        <v>41936</v>
      </c>
      <c r="E62" s="160" t="s">
        <v>682</v>
      </c>
      <c r="F62" s="163">
        <f t="shared" si="1"/>
        <v>1317810000</v>
      </c>
      <c r="G62" s="159" t="s">
        <v>36</v>
      </c>
      <c r="H62" s="206">
        <v>21255</v>
      </c>
      <c r="I62" s="208"/>
      <c r="J62" s="208">
        <v>62000</v>
      </c>
      <c r="K62" s="209">
        <f t="shared" si="2"/>
        <v>106.8700000000099</v>
      </c>
      <c r="L62" s="163"/>
    </row>
    <row r="63" spans="1:12" s="143" customFormat="1" ht="18.75" customHeight="1">
      <c r="A63" s="143">
        <f t="shared" si="3"/>
        <v>10</v>
      </c>
      <c r="B63" s="158">
        <v>41937</v>
      </c>
      <c r="C63" s="159" t="s">
        <v>163</v>
      </c>
      <c r="D63" s="158">
        <v>41937</v>
      </c>
      <c r="E63" s="160" t="s">
        <v>588</v>
      </c>
      <c r="F63" s="163">
        <f t="shared" si="1"/>
        <v>7439.2499999999991</v>
      </c>
      <c r="G63" s="159" t="s">
        <v>176</v>
      </c>
      <c r="H63" s="206">
        <v>21255</v>
      </c>
      <c r="I63" s="208">
        <v>0.35</v>
      </c>
      <c r="J63" s="208"/>
      <c r="K63" s="209">
        <f t="shared" si="2"/>
        <v>107.22000000000989</v>
      </c>
      <c r="L63" s="163"/>
    </row>
    <row r="64" spans="1:12" s="143" customFormat="1" ht="18.75" customHeight="1">
      <c r="A64" s="143">
        <f t="shared" si="3"/>
        <v>10</v>
      </c>
      <c r="B64" s="158">
        <v>41940</v>
      </c>
      <c r="C64" s="159" t="s">
        <v>163</v>
      </c>
      <c r="D64" s="158">
        <v>41940</v>
      </c>
      <c r="E64" s="160" t="s">
        <v>683</v>
      </c>
      <c r="F64" s="163">
        <f t="shared" si="1"/>
        <v>7231800</v>
      </c>
      <c r="G64" s="159" t="s">
        <v>190</v>
      </c>
      <c r="H64" s="206">
        <v>21270</v>
      </c>
      <c r="I64" s="208">
        <v>340</v>
      </c>
      <c r="J64" s="208"/>
      <c r="K64" s="209">
        <f t="shared" si="2"/>
        <v>447.22000000000992</v>
      </c>
      <c r="L64" s="163"/>
    </row>
    <row r="65" spans="1:12" s="143" customFormat="1" ht="18.75" customHeight="1">
      <c r="A65" s="143">
        <f t="shared" si="3"/>
        <v>10</v>
      </c>
      <c r="B65" s="158">
        <v>41940</v>
      </c>
      <c r="C65" s="159" t="s">
        <v>163</v>
      </c>
      <c r="D65" s="158">
        <v>41940</v>
      </c>
      <c r="E65" s="160" t="s">
        <v>683</v>
      </c>
      <c r="F65" s="163">
        <f t="shared" si="1"/>
        <v>17526480</v>
      </c>
      <c r="G65" s="159" t="s">
        <v>190</v>
      </c>
      <c r="H65" s="206">
        <v>21270</v>
      </c>
      <c r="I65" s="208">
        <v>824</v>
      </c>
      <c r="J65" s="208"/>
      <c r="K65" s="209">
        <f t="shared" si="2"/>
        <v>1271.2200000000098</v>
      </c>
      <c r="L65" s="163"/>
    </row>
    <row r="66" spans="1:12" s="143" customFormat="1" ht="18.75" customHeight="1">
      <c r="A66" s="143">
        <f t="shared" si="3"/>
        <v>10</v>
      </c>
      <c r="B66" s="158">
        <v>41940</v>
      </c>
      <c r="C66" s="159" t="s">
        <v>160</v>
      </c>
      <c r="D66" s="158">
        <v>41940</v>
      </c>
      <c r="E66" s="160" t="s">
        <v>670</v>
      </c>
      <c r="F66" s="163">
        <f t="shared" si="1"/>
        <v>4282289.1000000006</v>
      </c>
      <c r="G66" s="161" t="s">
        <v>247</v>
      </c>
      <c r="H66" s="206">
        <v>21270</v>
      </c>
      <c r="I66" s="208"/>
      <c r="J66" s="208">
        <v>201.33</v>
      </c>
      <c r="K66" s="209">
        <f t="shared" si="2"/>
        <v>1069.8900000000099</v>
      </c>
      <c r="L66" s="163"/>
    </row>
    <row r="67" spans="1:12" s="143" customFormat="1" ht="18.75" customHeight="1">
      <c r="A67" s="143">
        <f t="shared" si="3"/>
        <v>10</v>
      </c>
      <c r="B67" s="158">
        <v>41940</v>
      </c>
      <c r="C67" s="159" t="s">
        <v>160</v>
      </c>
      <c r="D67" s="158">
        <v>41940</v>
      </c>
      <c r="E67" s="160" t="s">
        <v>779</v>
      </c>
      <c r="F67" s="163">
        <f t="shared" si="1"/>
        <v>318411.90000000002</v>
      </c>
      <c r="G67" s="159" t="s">
        <v>166</v>
      </c>
      <c r="H67" s="206">
        <v>21270</v>
      </c>
      <c r="I67" s="208"/>
      <c r="J67" s="208">
        <v>14.97</v>
      </c>
      <c r="K67" s="209">
        <f t="shared" si="2"/>
        <v>1054.9200000000098</v>
      </c>
      <c r="L67" s="163"/>
    </row>
    <row r="68" spans="1:12" s="143" customFormat="1" ht="18.75" customHeight="1">
      <c r="A68" s="143">
        <f t="shared" si="3"/>
        <v>10</v>
      </c>
      <c r="B68" s="158">
        <v>41940</v>
      </c>
      <c r="C68" s="159" t="s">
        <v>160</v>
      </c>
      <c r="D68" s="158">
        <v>41940</v>
      </c>
      <c r="E68" s="160" t="s">
        <v>670</v>
      </c>
      <c r="F68" s="163">
        <f t="shared" si="1"/>
        <v>2339700</v>
      </c>
      <c r="G68" s="161" t="s">
        <v>247</v>
      </c>
      <c r="H68" s="206">
        <v>21270</v>
      </c>
      <c r="I68" s="208"/>
      <c r="J68" s="208">
        <v>110</v>
      </c>
      <c r="K68" s="209">
        <f t="shared" si="2"/>
        <v>944.92000000000985</v>
      </c>
      <c r="L68" s="163"/>
    </row>
    <row r="69" spans="1:12" s="143" customFormat="1" ht="18.75" customHeight="1">
      <c r="A69" s="143">
        <f t="shared" si="3"/>
        <v>10</v>
      </c>
      <c r="B69" s="158">
        <v>41940</v>
      </c>
      <c r="C69" s="159" t="s">
        <v>160</v>
      </c>
      <c r="D69" s="158">
        <v>41940</v>
      </c>
      <c r="E69" s="160" t="s">
        <v>779</v>
      </c>
      <c r="F69" s="163">
        <f t="shared" si="1"/>
        <v>97203.900000000009</v>
      </c>
      <c r="G69" s="159" t="s">
        <v>166</v>
      </c>
      <c r="H69" s="206">
        <v>21270</v>
      </c>
      <c r="I69" s="208"/>
      <c r="J69" s="208">
        <v>4.57</v>
      </c>
      <c r="K69" s="209">
        <f t="shared" si="2"/>
        <v>940.3500000000098</v>
      </c>
      <c r="L69" s="163"/>
    </row>
    <row r="70" spans="1:12" s="143" customFormat="1" ht="18.75" customHeight="1">
      <c r="A70" s="143">
        <f t="shared" si="3"/>
        <v>11</v>
      </c>
      <c r="B70" s="158">
        <v>41962</v>
      </c>
      <c r="C70" s="159" t="s">
        <v>160</v>
      </c>
      <c r="D70" s="158">
        <v>41962</v>
      </c>
      <c r="E70" s="160" t="s">
        <v>161</v>
      </c>
      <c r="F70" s="163">
        <f t="shared" si="1"/>
        <v>491740000</v>
      </c>
      <c r="G70" s="161" t="s">
        <v>36</v>
      </c>
      <c r="H70" s="206">
        <v>21380</v>
      </c>
      <c r="I70" s="208">
        <v>23000</v>
      </c>
      <c r="J70" s="208"/>
      <c r="K70" s="209">
        <f t="shared" si="2"/>
        <v>23940.350000000009</v>
      </c>
      <c r="L70" s="163"/>
    </row>
    <row r="71" spans="1:12" s="143" customFormat="1" ht="18.75" customHeight="1">
      <c r="A71" s="143">
        <f t="shared" si="3"/>
        <v>11</v>
      </c>
      <c r="B71" s="158">
        <v>41962</v>
      </c>
      <c r="C71" s="159" t="s">
        <v>160</v>
      </c>
      <c r="D71" s="158">
        <v>41962</v>
      </c>
      <c r="E71" s="160" t="s">
        <v>780</v>
      </c>
      <c r="F71" s="163">
        <f t="shared" si="1"/>
        <v>1277029000</v>
      </c>
      <c r="G71" s="161" t="s">
        <v>162</v>
      </c>
      <c r="H71" s="206">
        <v>21355</v>
      </c>
      <c r="I71" s="208">
        <v>59800</v>
      </c>
      <c r="J71" s="208"/>
      <c r="K71" s="209">
        <f t="shared" si="2"/>
        <v>83740.350000000006</v>
      </c>
      <c r="L71" s="163"/>
    </row>
    <row r="72" spans="1:12" s="143" customFormat="1" ht="18.75" customHeight="1">
      <c r="A72" s="143">
        <f t="shared" si="3"/>
        <v>11</v>
      </c>
      <c r="B72" s="158">
        <v>41962</v>
      </c>
      <c r="C72" s="159" t="s">
        <v>160</v>
      </c>
      <c r="D72" s="158">
        <v>41962</v>
      </c>
      <c r="E72" s="160" t="s">
        <v>781</v>
      </c>
      <c r="F72" s="163">
        <f t="shared" si="1"/>
        <v>1774540000</v>
      </c>
      <c r="G72" s="161" t="s">
        <v>355</v>
      </c>
      <c r="H72" s="206">
        <v>21380</v>
      </c>
      <c r="I72" s="208"/>
      <c r="J72" s="208">
        <v>83000</v>
      </c>
      <c r="K72" s="209">
        <f t="shared" si="2"/>
        <v>740.35000000000582</v>
      </c>
      <c r="L72" s="163"/>
    </row>
    <row r="73" spans="1:12" s="143" customFormat="1" ht="18.75" customHeight="1">
      <c r="A73" s="143">
        <f t="shared" si="3"/>
        <v>11</v>
      </c>
      <c r="B73" s="158">
        <v>41962</v>
      </c>
      <c r="C73" s="159" t="s">
        <v>160</v>
      </c>
      <c r="D73" s="158">
        <v>41962</v>
      </c>
      <c r="E73" s="160" t="s">
        <v>780</v>
      </c>
      <c r="F73" s="163">
        <f t="shared" si="1"/>
        <v>15843400</v>
      </c>
      <c r="G73" s="161" t="s">
        <v>162</v>
      </c>
      <c r="H73" s="206">
        <v>21410</v>
      </c>
      <c r="I73" s="208"/>
      <c r="J73" s="208">
        <v>740</v>
      </c>
      <c r="K73" s="209">
        <f t="shared" si="2"/>
        <v>0.35000000000582077</v>
      </c>
      <c r="L73" s="163"/>
    </row>
    <row r="74" spans="1:12" s="143" customFormat="1" ht="18.75" customHeight="1">
      <c r="A74" s="143">
        <f t="shared" si="3"/>
        <v>12</v>
      </c>
      <c r="B74" s="158">
        <v>41990</v>
      </c>
      <c r="C74" s="159" t="s">
        <v>160</v>
      </c>
      <c r="D74" s="158">
        <v>41990</v>
      </c>
      <c r="E74" s="160" t="s">
        <v>161</v>
      </c>
      <c r="F74" s="163">
        <f t="shared" si="1"/>
        <v>132804000</v>
      </c>
      <c r="G74" s="159" t="s">
        <v>36</v>
      </c>
      <c r="H74" s="206">
        <v>21420</v>
      </c>
      <c r="I74" s="208">
        <v>6200</v>
      </c>
      <c r="J74" s="208"/>
      <c r="K74" s="209">
        <f t="shared" si="2"/>
        <v>6200.3500000000058</v>
      </c>
      <c r="L74" s="163"/>
    </row>
    <row r="75" spans="1:12" s="143" customFormat="1" ht="18.75" customHeight="1">
      <c r="A75" s="143">
        <f t="shared" si="3"/>
        <v>12</v>
      </c>
      <c r="B75" s="158">
        <v>41978</v>
      </c>
      <c r="C75" s="159" t="s">
        <v>160</v>
      </c>
      <c r="D75" s="158">
        <v>41978</v>
      </c>
      <c r="E75" s="160" t="s">
        <v>189</v>
      </c>
      <c r="F75" s="163">
        <f t="shared" si="1"/>
        <v>46755360</v>
      </c>
      <c r="G75" s="159" t="s">
        <v>162</v>
      </c>
      <c r="H75" s="206">
        <v>21330</v>
      </c>
      <c r="I75" s="208">
        <v>2192</v>
      </c>
      <c r="J75" s="208"/>
      <c r="K75" s="209">
        <f t="shared" si="2"/>
        <v>8392.3500000000058</v>
      </c>
      <c r="L75" s="163"/>
    </row>
    <row r="76" spans="1:12" s="143" customFormat="1" ht="18.75" customHeight="1">
      <c r="A76" s="143">
        <f t="shared" ref="A76:A91" si="4">IF(B76&lt;&gt;"",MONTH(B76),"")</f>
        <v>12</v>
      </c>
      <c r="B76" s="158">
        <v>41990</v>
      </c>
      <c r="C76" s="159" t="s">
        <v>160</v>
      </c>
      <c r="D76" s="158">
        <v>41990</v>
      </c>
      <c r="E76" s="160" t="s">
        <v>189</v>
      </c>
      <c r="F76" s="163">
        <f t="shared" ref="F76:F90" si="5">(I76+J76)*H76</f>
        <v>1919710200</v>
      </c>
      <c r="G76" s="159" t="s">
        <v>162</v>
      </c>
      <c r="H76" s="206">
        <v>21380</v>
      </c>
      <c r="I76" s="208">
        <v>89790</v>
      </c>
      <c r="J76" s="208"/>
      <c r="K76" s="209">
        <f t="shared" si="2"/>
        <v>98182.35</v>
      </c>
      <c r="L76" s="163"/>
    </row>
    <row r="77" spans="1:12" s="143" customFormat="1" ht="18.75" customHeight="1">
      <c r="A77" s="143">
        <f t="shared" si="4"/>
        <v>12</v>
      </c>
      <c r="B77" s="158">
        <v>42002</v>
      </c>
      <c r="C77" s="159" t="s">
        <v>160</v>
      </c>
      <c r="D77" s="158">
        <v>42002</v>
      </c>
      <c r="E77" s="160" t="s">
        <v>189</v>
      </c>
      <c r="F77" s="163">
        <f t="shared" si="5"/>
        <v>853062000</v>
      </c>
      <c r="G77" s="159" t="s">
        <v>162</v>
      </c>
      <c r="H77" s="206">
        <v>21380</v>
      </c>
      <c r="I77" s="208">
        <v>39900</v>
      </c>
      <c r="J77" s="208"/>
      <c r="K77" s="209">
        <f t="shared" ref="K77:K90" si="6">IF(B77&lt;&gt;"",K76+I77-J77,0)</f>
        <v>138082.35</v>
      </c>
      <c r="L77" s="163"/>
    </row>
    <row r="78" spans="1:12" s="143" customFormat="1" ht="18.75" customHeight="1">
      <c r="A78" s="143">
        <f t="shared" si="4"/>
        <v>12</v>
      </c>
      <c r="B78" s="158">
        <v>41978</v>
      </c>
      <c r="C78" s="159" t="s">
        <v>163</v>
      </c>
      <c r="D78" s="158">
        <v>41978</v>
      </c>
      <c r="E78" s="160" t="s">
        <v>683</v>
      </c>
      <c r="F78" s="163">
        <f t="shared" si="5"/>
        <v>481050000</v>
      </c>
      <c r="G78" s="159" t="s">
        <v>190</v>
      </c>
      <c r="H78" s="206">
        <v>21380</v>
      </c>
      <c r="I78" s="208">
        <v>22500</v>
      </c>
      <c r="J78" s="208"/>
      <c r="K78" s="209">
        <f t="shared" si="6"/>
        <v>160582.35</v>
      </c>
      <c r="L78" s="163"/>
    </row>
    <row r="79" spans="1:12" s="143" customFormat="1" ht="18.75" customHeight="1">
      <c r="A79" s="143">
        <f t="shared" si="4"/>
        <v>12</v>
      </c>
      <c r="B79" s="158">
        <v>41978</v>
      </c>
      <c r="C79" s="159" t="s">
        <v>163</v>
      </c>
      <c r="D79" s="158">
        <v>41978</v>
      </c>
      <c r="E79" s="160" t="s">
        <v>777</v>
      </c>
      <c r="F79" s="163">
        <f t="shared" si="5"/>
        <v>330254722</v>
      </c>
      <c r="G79" s="159" t="s">
        <v>190</v>
      </c>
      <c r="H79" s="206">
        <v>21380</v>
      </c>
      <c r="I79" s="208">
        <v>15446.9</v>
      </c>
      <c r="J79" s="208"/>
      <c r="K79" s="209">
        <f t="shared" si="6"/>
        <v>176029.25</v>
      </c>
      <c r="L79" s="163"/>
    </row>
    <row r="80" spans="1:12" s="143" customFormat="1" ht="18.75" customHeight="1">
      <c r="A80" s="143">
        <f t="shared" si="4"/>
        <v>12</v>
      </c>
      <c r="B80" s="158">
        <v>41998</v>
      </c>
      <c r="C80" s="159" t="s">
        <v>163</v>
      </c>
      <c r="D80" s="158">
        <v>41998</v>
      </c>
      <c r="E80" s="160" t="s">
        <v>683</v>
      </c>
      <c r="F80" s="163">
        <f t="shared" si="5"/>
        <v>22339534.400000002</v>
      </c>
      <c r="G80" s="159" t="s">
        <v>190</v>
      </c>
      <c r="H80" s="206">
        <v>21380</v>
      </c>
      <c r="I80" s="208">
        <v>1044.8800000000001</v>
      </c>
      <c r="J80" s="208"/>
      <c r="K80" s="209">
        <f t="shared" si="6"/>
        <v>177074.13</v>
      </c>
      <c r="L80" s="163"/>
    </row>
    <row r="81" spans="1:12" s="143" customFormat="1" ht="18.75" customHeight="1">
      <c r="A81" s="143">
        <f t="shared" si="4"/>
        <v>12</v>
      </c>
      <c r="B81" s="158">
        <v>41998</v>
      </c>
      <c r="C81" s="159" t="s">
        <v>163</v>
      </c>
      <c r="D81" s="158">
        <v>41998</v>
      </c>
      <c r="E81" s="160" t="s">
        <v>683</v>
      </c>
      <c r="F81" s="163">
        <f t="shared" si="5"/>
        <v>448980000</v>
      </c>
      <c r="G81" s="159" t="s">
        <v>190</v>
      </c>
      <c r="H81" s="206">
        <v>21380</v>
      </c>
      <c r="I81" s="208">
        <v>21000</v>
      </c>
      <c r="J81" s="208"/>
      <c r="K81" s="209">
        <f t="shared" si="6"/>
        <v>198074.13</v>
      </c>
      <c r="L81" s="163"/>
    </row>
    <row r="82" spans="1:12" s="143" customFormat="1" ht="18.75" customHeight="1">
      <c r="A82" s="143">
        <f t="shared" si="4"/>
        <v>12</v>
      </c>
      <c r="B82" s="158">
        <v>42002</v>
      </c>
      <c r="C82" s="159" t="s">
        <v>163</v>
      </c>
      <c r="D82" s="158">
        <v>42002</v>
      </c>
      <c r="E82" s="160" t="s">
        <v>161</v>
      </c>
      <c r="F82" s="163">
        <f t="shared" si="5"/>
        <v>79106000</v>
      </c>
      <c r="G82" s="159" t="s">
        <v>36</v>
      </c>
      <c r="H82" s="206">
        <v>21380</v>
      </c>
      <c r="I82" s="208">
        <v>3700</v>
      </c>
      <c r="J82" s="208"/>
      <c r="K82" s="209">
        <f t="shared" si="6"/>
        <v>201774.13</v>
      </c>
      <c r="L82" s="163"/>
    </row>
    <row r="83" spans="1:12" s="143" customFormat="1" ht="18.75" customHeight="1">
      <c r="A83" s="143">
        <f t="shared" si="4"/>
        <v>12</v>
      </c>
      <c r="B83" s="158">
        <v>42004</v>
      </c>
      <c r="C83" s="159" t="s">
        <v>163</v>
      </c>
      <c r="D83" s="158">
        <v>42004</v>
      </c>
      <c r="E83" s="160" t="s">
        <v>683</v>
      </c>
      <c r="F83" s="163">
        <f t="shared" si="5"/>
        <v>41186859.600000001</v>
      </c>
      <c r="G83" s="159" t="s">
        <v>190</v>
      </c>
      <c r="H83" s="206">
        <v>21380</v>
      </c>
      <c r="I83" s="208">
        <v>1926.42</v>
      </c>
      <c r="J83" s="208"/>
      <c r="K83" s="209">
        <f t="shared" si="6"/>
        <v>203700.55000000002</v>
      </c>
      <c r="L83" s="163"/>
    </row>
    <row r="84" spans="1:12" s="143" customFormat="1" ht="18.75" customHeight="1">
      <c r="A84" s="143">
        <f t="shared" si="4"/>
        <v>12</v>
      </c>
      <c r="B84" s="158">
        <v>41978</v>
      </c>
      <c r="C84" s="159" t="s">
        <v>160</v>
      </c>
      <c r="D84" s="158">
        <v>41978</v>
      </c>
      <c r="E84" s="160" t="s">
        <v>682</v>
      </c>
      <c r="F84" s="163">
        <f t="shared" si="5"/>
        <v>524841000</v>
      </c>
      <c r="G84" s="159" t="s">
        <v>36</v>
      </c>
      <c r="H84" s="206">
        <v>21335</v>
      </c>
      <c r="I84" s="208"/>
      <c r="J84" s="208">
        <v>24600</v>
      </c>
      <c r="K84" s="209">
        <f t="shared" si="6"/>
        <v>179100.55000000002</v>
      </c>
      <c r="L84" s="163"/>
    </row>
    <row r="85" spans="1:12" s="143" customFormat="1" ht="18.75" customHeight="1">
      <c r="A85" s="143">
        <f t="shared" si="4"/>
        <v>12</v>
      </c>
      <c r="B85" s="158">
        <v>41984</v>
      </c>
      <c r="C85" s="159" t="s">
        <v>160</v>
      </c>
      <c r="D85" s="158">
        <v>41984</v>
      </c>
      <c r="E85" s="160" t="s">
        <v>682</v>
      </c>
      <c r="F85" s="163">
        <f t="shared" si="5"/>
        <v>331080000</v>
      </c>
      <c r="G85" s="159" t="s">
        <v>36</v>
      </c>
      <c r="H85" s="206">
        <v>21360</v>
      </c>
      <c r="I85" s="208"/>
      <c r="J85" s="208">
        <v>15500</v>
      </c>
      <c r="K85" s="209">
        <f t="shared" si="6"/>
        <v>163600.55000000002</v>
      </c>
      <c r="L85" s="163"/>
    </row>
    <row r="86" spans="1:12" s="143" customFormat="1" ht="18.75" customHeight="1">
      <c r="A86" s="143">
        <f t="shared" si="4"/>
        <v>12</v>
      </c>
      <c r="B86" s="158">
        <v>41999</v>
      </c>
      <c r="C86" s="159" t="s">
        <v>160</v>
      </c>
      <c r="D86" s="158">
        <v>41999</v>
      </c>
      <c r="E86" s="160" t="s">
        <v>189</v>
      </c>
      <c r="F86" s="163">
        <f t="shared" si="5"/>
        <v>470800000</v>
      </c>
      <c r="G86" s="159" t="s">
        <v>162</v>
      </c>
      <c r="H86" s="206">
        <v>21400</v>
      </c>
      <c r="I86" s="208"/>
      <c r="J86" s="208">
        <v>22000</v>
      </c>
      <c r="K86" s="209">
        <f t="shared" si="6"/>
        <v>141600.55000000002</v>
      </c>
      <c r="L86" s="163"/>
    </row>
    <row r="87" spans="1:12" s="143" customFormat="1" ht="18.75" customHeight="1">
      <c r="A87" s="143">
        <f t="shared" si="4"/>
        <v>12</v>
      </c>
      <c r="B87" s="158">
        <v>41990</v>
      </c>
      <c r="C87" s="159" t="s">
        <v>160</v>
      </c>
      <c r="D87" s="158">
        <v>41990</v>
      </c>
      <c r="E87" s="160" t="s">
        <v>782</v>
      </c>
      <c r="F87" s="163">
        <f t="shared" si="5"/>
        <v>2052480000</v>
      </c>
      <c r="G87" s="159" t="s">
        <v>355</v>
      </c>
      <c r="H87" s="206">
        <v>21380</v>
      </c>
      <c r="I87" s="208"/>
      <c r="J87" s="208">
        <v>96000</v>
      </c>
      <c r="K87" s="209">
        <f t="shared" si="6"/>
        <v>45600.550000000017</v>
      </c>
      <c r="L87" s="163"/>
    </row>
    <row r="88" spans="1:12" s="143" customFormat="1" ht="18.75" customHeight="1">
      <c r="A88" s="143">
        <f t="shared" si="4"/>
        <v>12</v>
      </c>
      <c r="B88" s="158">
        <v>41998</v>
      </c>
      <c r="C88" s="159" t="s">
        <v>163</v>
      </c>
      <c r="D88" s="158">
        <v>41998</v>
      </c>
      <c r="E88" s="160" t="s">
        <v>779</v>
      </c>
      <c r="F88" s="163">
        <f t="shared" si="5"/>
        <v>935375</v>
      </c>
      <c r="G88" s="159" t="s">
        <v>166</v>
      </c>
      <c r="H88" s="206">
        <v>21380</v>
      </c>
      <c r="I88" s="208"/>
      <c r="J88" s="208">
        <v>43.75</v>
      </c>
      <c r="K88" s="209">
        <f t="shared" si="6"/>
        <v>45556.800000000017</v>
      </c>
      <c r="L88" s="163"/>
    </row>
    <row r="89" spans="1:12" s="143" customFormat="1" ht="18.75" customHeight="1">
      <c r="A89" s="143">
        <f t="shared" si="4"/>
        <v>12</v>
      </c>
      <c r="B89" s="158">
        <v>42002</v>
      </c>
      <c r="C89" s="159" t="s">
        <v>163</v>
      </c>
      <c r="D89" s="158">
        <v>42002</v>
      </c>
      <c r="E89" s="160" t="s">
        <v>783</v>
      </c>
      <c r="F89" s="163">
        <f t="shared" si="5"/>
        <v>932168000</v>
      </c>
      <c r="G89" s="159" t="s">
        <v>355</v>
      </c>
      <c r="H89" s="206">
        <v>21380</v>
      </c>
      <c r="I89" s="208"/>
      <c r="J89" s="208">
        <v>43600</v>
      </c>
      <c r="K89" s="209">
        <f t="shared" si="6"/>
        <v>1956.8000000000175</v>
      </c>
      <c r="L89" s="163"/>
    </row>
    <row r="90" spans="1:12" s="143" customFormat="1" ht="18.75" customHeight="1">
      <c r="A90" s="143">
        <f t="shared" si="4"/>
        <v>12</v>
      </c>
      <c r="B90" s="158">
        <v>42004</v>
      </c>
      <c r="C90" s="159" t="s">
        <v>163</v>
      </c>
      <c r="D90" s="158">
        <v>42004</v>
      </c>
      <c r="E90" s="160" t="s">
        <v>779</v>
      </c>
      <c r="F90" s="163">
        <f t="shared" si="5"/>
        <v>261905</v>
      </c>
      <c r="G90" s="159" t="s">
        <v>166</v>
      </c>
      <c r="H90" s="206">
        <v>21380</v>
      </c>
      <c r="I90" s="208"/>
      <c r="J90" s="208">
        <v>12.25</v>
      </c>
      <c r="K90" s="209">
        <f t="shared" si="6"/>
        <v>1944.5500000000175</v>
      </c>
      <c r="L90" s="163"/>
    </row>
    <row r="91" spans="1:12" s="187" customFormat="1" ht="18.75" customHeight="1">
      <c r="A91" s="143" t="str">
        <f t="shared" si="4"/>
        <v/>
      </c>
      <c r="B91" s="211"/>
      <c r="C91" s="210"/>
      <c r="D91" s="211"/>
      <c r="E91" s="212"/>
      <c r="F91" s="212"/>
      <c r="G91" s="210"/>
      <c r="H91" s="213"/>
      <c r="I91" s="272"/>
      <c r="J91" s="272"/>
      <c r="K91" s="215"/>
      <c r="L91" s="273"/>
    </row>
    <row r="92" spans="1:12" s="195" customFormat="1" ht="18.75" customHeight="1">
      <c r="B92" s="216"/>
      <c r="C92" s="217"/>
      <c r="D92" s="218"/>
      <c r="E92" s="201" t="s">
        <v>29</v>
      </c>
      <c r="F92" s="201"/>
      <c r="G92" s="218"/>
      <c r="H92" s="219"/>
      <c r="I92" s="250">
        <f>SUM(I12:I91)</f>
        <v>863039.59000000008</v>
      </c>
      <c r="J92" s="250">
        <f>SUM(J12:J91)</f>
        <v>861112.22999999986</v>
      </c>
      <c r="K92" s="204">
        <f>K11+I92-J92</f>
        <v>1944.550000000163</v>
      </c>
      <c r="L92" s="218"/>
    </row>
    <row r="93" spans="1:12" s="195" customFormat="1" ht="18.75" customHeight="1">
      <c r="B93" s="216"/>
      <c r="C93" s="217"/>
      <c r="D93" s="218"/>
      <c r="E93" s="201" t="s">
        <v>183</v>
      </c>
      <c r="F93" s="201"/>
      <c r="G93" s="218"/>
      <c r="H93" s="219"/>
      <c r="I93" s="201"/>
      <c r="J93" s="201"/>
      <c r="K93" s="204">
        <f>K92</f>
        <v>1944.550000000163</v>
      </c>
      <c r="L93" s="218"/>
    </row>
    <row r="94" spans="1:12" s="195" customFormat="1" ht="22.5" customHeight="1">
      <c r="B94" s="251" t="s">
        <v>184</v>
      </c>
      <c r="C94" s="252"/>
      <c r="H94" s="253"/>
      <c r="K94" s="254"/>
    </row>
    <row r="95" spans="1:12" s="195" customFormat="1" ht="12.75">
      <c r="B95" s="255" t="s">
        <v>202</v>
      </c>
      <c r="C95" s="256"/>
      <c r="H95" s="253"/>
      <c r="K95" s="254"/>
    </row>
    <row r="96" spans="1:12" s="195" customFormat="1" ht="12.75">
      <c r="B96" s="257"/>
      <c r="C96" s="258"/>
      <c r="D96" s="259"/>
      <c r="H96" s="253"/>
      <c r="J96" s="432" t="s">
        <v>203</v>
      </c>
      <c r="K96" s="432"/>
      <c r="L96" s="432"/>
    </row>
    <row r="97" spans="2:13" s="195" customFormat="1" ht="17.25" customHeight="1">
      <c r="B97" s="436" t="s">
        <v>33</v>
      </c>
      <c r="C97" s="436"/>
      <c r="D97" s="258"/>
      <c r="G97" s="260" t="s">
        <v>13</v>
      </c>
      <c r="H97" s="261"/>
      <c r="I97" s="260"/>
      <c r="J97" s="258"/>
      <c r="K97" s="274" t="s">
        <v>14</v>
      </c>
      <c r="L97" s="262"/>
      <c r="M97" s="257"/>
    </row>
    <row r="98" spans="2:13" s="195" customFormat="1" ht="12.75">
      <c r="B98" s="433" t="s">
        <v>15</v>
      </c>
      <c r="C98" s="433"/>
      <c r="D98" s="264"/>
      <c r="G98" s="263" t="s">
        <v>15</v>
      </c>
      <c r="H98" s="265"/>
      <c r="I98" s="263"/>
      <c r="J98" s="432" t="s">
        <v>16</v>
      </c>
      <c r="K98" s="432"/>
      <c r="L98" s="432"/>
      <c r="M98" s="266"/>
    </row>
  </sheetData>
  <autoFilter ref="B10:N90"/>
  <mergeCells count="19"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  <mergeCell ref="B97:C97"/>
    <mergeCell ref="B98:C98"/>
    <mergeCell ref="J98:L98"/>
    <mergeCell ref="G8:G9"/>
    <mergeCell ref="J1:L1"/>
    <mergeCell ref="B2:E3"/>
    <mergeCell ref="J2:L2"/>
    <mergeCell ref="J3:L3"/>
    <mergeCell ref="J96:L96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19"/>
  <sheetViews>
    <sheetView topLeftCell="A4" zoomScale="90" workbookViewId="0">
      <pane ySplit="8" topLeftCell="A84" activePane="bottomLeft" state="frozen"/>
      <selection activeCell="A4" sqref="A4"/>
      <selection pane="bottomLeft" activeCell="G12" sqref="G12:G76"/>
    </sheetView>
  </sheetViews>
  <sheetFormatPr defaultRowHeight="15.75"/>
  <cols>
    <col min="1" max="1" width="8.5703125" style="328" customWidth="1"/>
    <col min="2" max="2" width="6" style="329" customWidth="1"/>
    <col min="3" max="3" width="8.85546875" style="328" customWidth="1"/>
    <col min="4" max="4" width="47.85546875" style="330" customWidth="1"/>
    <col min="5" max="5" width="6.42578125" style="331" customWidth="1"/>
    <col min="6" max="6" width="14.5703125" style="332" customWidth="1"/>
    <col min="7" max="7" width="14.28515625" style="332" customWidth="1"/>
    <col min="8" max="8" width="13.42578125" style="332" customWidth="1"/>
    <col min="9" max="9" width="6.42578125" style="332" customWidth="1"/>
    <col min="10" max="10" width="1.42578125" style="332" customWidth="1"/>
    <col min="11" max="11" width="5.7109375" style="332" customWidth="1"/>
    <col min="12" max="12" width="2.85546875" style="332" customWidth="1"/>
    <col min="13" max="13" width="10.5703125" style="332" customWidth="1"/>
    <col min="14" max="14" width="3.140625" style="332" customWidth="1"/>
    <col min="15" max="16384" width="9.140625" style="332"/>
  </cols>
  <sheetData>
    <row r="1" spans="1:13" s="281" customFormat="1" ht="16.5" customHeight="1">
      <c r="A1" s="275" t="s">
        <v>142</v>
      </c>
      <c r="B1" s="276"/>
      <c r="C1" s="277"/>
      <c r="D1" s="278"/>
      <c r="E1" s="279"/>
      <c r="F1" s="441" t="s">
        <v>204</v>
      </c>
      <c r="G1" s="441"/>
      <c r="H1" s="441"/>
      <c r="I1" s="441"/>
      <c r="J1" s="280"/>
    </row>
    <row r="2" spans="1:13" s="281" customFormat="1" ht="16.5" customHeight="1">
      <c r="A2" s="440" t="s">
        <v>144</v>
      </c>
      <c r="B2" s="440"/>
      <c r="C2" s="440"/>
      <c r="D2" s="440"/>
      <c r="E2" s="279"/>
      <c r="F2" s="442" t="s">
        <v>205</v>
      </c>
      <c r="G2" s="442"/>
      <c r="H2" s="442"/>
      <c r="I2" s="442"/>
      <c r="J2" s="282"/>
    </row>
    <row r="3" spans="1:13" s="281" customFormat="1" ht="16.5" customHeight="1">
      <c r="A3" s="440"/>
      <c r="B3" s="440"/>
      <c r="C3" s="440"/>
      <c r="D3" s="440"/>
      <c r="E3" s="279"/>
      <c r="F3" s="442" t="s">
        <v>125</v>
      </c>
      <c r="G3" s="442"/>
      <c r="H3" s="442"/>
      <c r="I3" s="442"/>
      <c r="J3" s="282"/>
    </row>
    <row r="4" spans="1:13" s="281" customFormat="1" ht="19.5" customHeight="1">
      <c r="A4" s="444" t="s">
        <v>147</v>
      </c>
      <c r="B4" s="444"/>
      <c r="C4" s="444"/>
      <c r="D4" s="444"/>
      <c r="E4" s="444"/>
      <c r="F4" s="444"/>
      <c r="G4" s="444"/>
      <c r="H4" s="444"/>
      <c r="I4" s="444"/>
      <c r="J4" s="303"/>
    </row>
    <row r="5" spans="1:13" s="281" customFormat="1" ht="15">
      <c r="A5" s="442" t="s">
        <v>148</v>
      </c>
      <c r="B5" s="442"/>
      <c r="C5" s="442"/>
      <c r="D5" s="442"/>
      <c r="E5" s="442"/>
      <c r="F5" s="442"/>
      <c r="G5" s="442"/>
      <c r="H5" s="442"/>
      <c r="I5" s="442"/>
      <c r="J5" s="282"/>
      <c r="K5" s="280" t="s">
        <v>126</v>
      </c>
    </row>
    <row r="6" spans="1:13" s="281" customFormat="1" ht="15">
      <c r="A6" s="455" t="s">
        <v>206</v>
      </c>
      <c r="B6" s="455"/>
      <c r="C6" s="455"/>
      <c r="D6" s="455"/>
      <c r="E6" s="442" t="str">
        <f>IF($M$6="Q11","1015 148 5100 9180",IF($M$6="Q4","1402 148 5100 9465",""))</f>
        <v/>
      </c>
      <c r="F6" s="442"/>
      <c r="G6" s="283" t="s">
        <v>129</v>
      </c>
      <c r="I6" s="284"/>
      <c r="J6" s="284"/>
      <c r="K6" s="285">
        <v>7</v>
      </c>
      <c r="L6" s="286"/>
      <c r="M6" s="287" t="s">
        <v>221</v>
      </c>
    </row>
    <row r="7" spans="1:13" s="281" customFormat="1" ht="5.25" customHeight="1">
      <c r="A7" s="288"/>
      <c r="B7" s="282"/>
      <c r="C7" s="288"/>
      <c r="D7" s="289"/>
      <c r="E7" s="290"/>
      <c r="F7" s="282"/>
      <c r="G7" s="282"/>
      <c r="H7" s="282"/>
      <c r="I7" s="282"/>
      <c r="J7" s="282"/>
    </row>
    <row r="8" spans="1:13" s="293" customFormat="1" ht="17.25" customHeight="1">
      <c r="A8" s="445" t="s">
        <v>150</v>
      </c>
      <c r="B8" s="447" t="s">
        <v>151</v>
      </c>
      <c r="C8" s="448"/>
      <c r="D8" s="451" t="s">
        <v>3</v>
      </c>
      <c r="E8" s="453" t="s">
        <v>22</v>
      </c>
      <c r="F8" s="450" t="s">
        <v>78</v>
      </c>
      <c r="G8" s="447"/>
      <c r="H8" s="448"/>
      <c r="I8" s="451" t="s">
        <v>4</v>
      </c>
      <c r="J8" s="339"/>
    </row>
    <row r="9" spans="1:13" s="293" customFormat="1" ht="21.75" customHeight="1">
      <c r="A9" s="446"/>
      <c r="B9" s="291" t="s">
        <v>152</v>
      </c>
      <c r="C9" s="294" t="s">
        <v>153</v>
      </c>
      <c r="D9" s="452"/>
      <c r="E9" s="454"/>
      <c r="F9" s="292" t="s">
        <v>154</v>
      </c>
      <c r="G9" s="292" t="s">
        <v>155</v>
      </c>
      <c r="H9" s="292" t="s">
        <v>156</v>
      </c>
      <c r="I9" s="452"/>
      <c r="J9" s="339"/>
    </row>
    <row r="10" spans="1:13" s="298" customFormat="1" ht="12">
      <c r="A10" s="345" t="s">
        <v>7</v>
      </c>
      <c r="B10" s="346" t="s">
        <v>8</v>
      </c>
      <c r="C10" s="345" t="s">
        <v>9</v>
      </c>
      <c r="D10" s="346" t="s">
        <v>10</v>
      </c>
      <c r="E10" s="347" t="s">
        <v>11</v>
      </c>
      <c r="F10" s="346">
        <v>1</v>
      </c>
      <c r="G10" s="346">
        <v>2</v>
      </c>
      <c r="H10" s="346">
        <v>3</v>
      </c>
      <c r="I10" s="346" t="s">
        <v>27</v>
      </c>
      <c r="J10" s="340"/>
    </row>
    <row r="11" spans="1:13" s="293" customFormat="1" ht="15" customHeight="1">
      <c r="A11" s="299"/>
      <c r="B11" s="300"/>
      <c r="C11" s="299"/>
      <c r="D11" s="301" t="s">
        <v>157</v>
      </c>
      <c r="E11" s="302"/>
      <c r="F11" s="304"/>
      <c r="G11" s="305"/>
      <c r="H11" s="304">
        <f ca="1">IF($M$6="Q11",funtion3,IF($M$6="Q4",funtion4,(funtion3+funtion4+109992)))</f>
        <v>9366812</v>
      </c>
      <c r="I11" s="305"/>
      <c r="J11" s="341"/>
    </row>
    <row r="12" spans="1:13" s="293" customFormat="1" ht="17.25" customHeight="1">
      <c r="A12" s="306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41821</v>
      </c>
      <c r="B12" s="306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306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41821</v>
      </c>
      <c r="D12" s="307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Nộp tiền vào TK</v>
      </c>
      <c r="E12" s="308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1111</v>
      </c>
      <c r="F12" s="309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800000000</v>
      </c>
      <c r="G12" s="309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310">
        <f t="shared" ref="H12:H43" ca="1" si="0">IF(A12&lt;&gt;"",ROUND(H11+F12-G12,0),"")</f>
        <v>809366812</v>
      </c>
      <c r="I12" s="310"/>
      <c r="J12" s="342"/>
    </row>
    <row r="13" spans="1:13" s="293" customFormat="1" ht="17.25" customHeight="1">
      <c r="A13" s="306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41821</v>
      </c>
      <c r="B13" s="306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GBC</v>
      </c>
      <c r="C13" s="306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41821</v>
      </c>
      <c r="D13" s="307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Mua ngoại tệ</v>
      </c>
      <c r="E13" s="308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1122</v>
      </c>
      <c r="F13" s="309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309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781044000</v>
      </c>
      <c r="H13" s="310">
        <f t="shared" ca="1" si="0"/>
        <v>28322812</v>
      </c>
      <c r="I13" s="310"/>
      <c r="J13" s="342"/>
    </row>
    <row r="14" spans="1:13" s="293" customFormat="1" ht="17.25" customHeight="1">
      <c r="A14" s="306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41821</v>
      </c>
      <c r="B14" s="306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GBN</v>
      </c>
      <c r="C14" s="306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41821</v>
      </c>
      <c r="D14" s="307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Trả lãi tất toán KU 1015LDS201400123</v>
      </c>
      <c r="E14" s="308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635</v>
      </c>
      <c r="F14" s="309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309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4760837</v>
      </c>
      <c r="H14" s="310">
        <f t="shared" ca="1" si="0"/>
        <v>23561975</v>
      </c>
      <c r="I14" s="310"/>
      <c r="J14" s="342"/>
    </row>
    <row r="15" spans="1:13" s="293" customFormat="1" ht="17.25" customHeight="1">
      <c r="A15" s="306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41822</v>
      </c>
      <c r="B15" s="306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GBC</v>
      </c>
      <c r="C15" s="306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41822</v>
      </c>
      <c r="D15" s="307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Q11 - Nộp tiền vào TK</v>
      </c>
      <c r="E15" s="308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1111</v>
      </c>
      <c r="F15" s="309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300000000</v>
      </c>
      <c r="G15" s="309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310">
        <f t="shared" ca="1" si="0"/>
        <v>323561975</v>
      </c>
      <c r="I15" s="310"/>
      <c r="J15" s="342"/>
    </row>
    <row r="16" spans="1:13" s="293" customFormat="1" ht="17.25" customHeight="1">
      <c r="A16" s="306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41822</v>
      </c>
      <c r="B16" s="306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306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41822</v>
      </c>
      <c r="D16" s="307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Bán ngoại tệ chuyển TK VNĐ</v>
      </c>
      <c r="E16" s="308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1122</v>
      </c>
      <c r="F16" s="309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2024925000</v>
      </c>
      <c r="G16" s="309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0</v>
      </c>
      <c r="H16" s="310">
        <f t="shared" ca="1" si="0"/>
        <v>2348486975</v>
      </c>
      <c r="I16" s="310"/>
      <c r="J16" s="342"/>
    </row>
    <row r="17" spans="1:10" s="293" customFormat="1" ht="17.25" customHeight="1">
      <c r="A17" s="306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41822</v>
      </c>
      <c r="B17" s="306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GBN</v>
      </c>
      <c r="C17" s="306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41822</v>
      </c>
      <c r="D17" s="307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Rút tiền VNĐ</v>
      </c>
      <c r="E17" s="308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1111</v>
      </c>
      <c r="F17" s="309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0</v>
      </c>
      <c r="G17" s="309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2025000000</v>
      </c>
      <c r="H17" s="310">
        <f t="shared" ca="1" si="0"/>
        <v>323486975</v>
      </c>
      <c r="I17" s="310"/>
      <c r="J17" s="342"/>
    </row>
    <row r="18" spans="1:10" s="293" customFormat="1" ht="17.25" customHeight="1">
      <c r="A18" s="306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41823</v>
      </c>
      <c r="B18" s="306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306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41823</v>
      </c>
      <c r="D18" s="307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Thanh toán cước tàu - Song Tân</v>
      </c>
      <c r="E18" s="308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331</v>
      </c>
      <c r="F18" s="309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309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140000000</v>
      </c>
      <c r="H18" s="310">
        <f t="shared" ca="1" si="0"/>
        <v>183486975</v>
      </c>
      <c r="I18" s="310"/>
      <c r="J18" s="342"/>
    </row>
    <row r="19" spans="1:10" s="293" customFormat="1" ht="17.25" customHeight="1">
      <c r="A19" s="306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41823</v>
      </c>
      <c r="B19" s="306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306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41823</v>
      </c>
      <c r="D19" s="307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Phí thanh toán, dịch vụ ngân quỹ</v>
      </c>
      <c r="E19" s="308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6422</v>
      </c>
      <c r="F19" s="309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309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79673</v>
      </c>
      <c r="H19" s="310">
        <f t="shared" ca="1" si="0"/>
        <v>183407302</v>
      </c>
      <c r="I19" s="310"/>
      <c r="J19" s="342"/>
    </row>
    <row r="20" spans="1:10" s="293" customFormat="1" ht="17.25" customHeight="1">
      <c r="A20" s="306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41823</v>
      </c>
      <c r="B20" s="306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GBN</v>
      </c>
      <c r="C20" s="306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41823</v>
      </c>
      <c r="D20" s="307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VAT Phí thanh toán, dịch vụ ngân quỹ</v>
      </c>
      <c r="E20" s="308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1331</v>
      </c>
      <c r="F20" s="309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0</v>
      </c>
      <c r="G20" s="309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7967</v>
      </c>
      <c r="H20" s="310">
        <f t="shared" ca="1" si="0"/>
        <v>183399335</v>
      </c>
      <c r="I20" s="310"/>
      <c r="J20" s="342"/>
    </row>
    <row r="21" spans="1:10" s="293" customFormat="1" ht="17.25" customHeight="1">
      <c r="A21" s="306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41823</v>
      </c>
      <c r="B21" s="306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306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41823</v>
      </c>
      <c r="D21" s="307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Ứng/Hoàn vốn - An Lạc TP</v>
      </c>
      <c r="E21" s="308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1388</v>
      </c>
      <c r="F21" s="309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309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25000000</v>
      </c>
      <c r="H21" s="310">
        <f t="shared" ca="1" si="0"/>
        <v>158399335</v>
      </c>
      <c r="I21" s="310"/>
      <c r="J21" s="342"/>
    </row>
    <row r="22" spans="1:10" s="293" customFormat="1" ht="17.25" customHeight="1">
      <c r="A22" s="306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41823</v>
      </c>
      <c r="B22" s="306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GBN</v>
      </c>
      <c r="C22" s="306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41823</v>
      </c>
      <c r="D22" s="307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Phí thu về dịch vụ ngân quỹ</v>
      </c>
      <c r="E22" s="308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6422</v>
      </c>
      <c r="F22" s="309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0</v>
      </c>
      <c r="G22" s="309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20000</v>
      </c>
      <c r="H22" s="310">
        <f t="shared" ca="1" si="0"/>
        <v>158379335</v>
      </c>
      <c r="I22" s="310"/>
      <c r="J22" s="342"/>
    </row>
    <row r="23" spans="1:10" s="293" customFormat="1" ht="17.25" customHeight="1">
      <c r="A23" s="306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41823</v>
      </c>
      <c r="B23" s="306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306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41823</v>
      </c>
      <c r="D23" s="307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VAT Phí thu về dịch vụ ngân quỹ</v>
      </c>
      <c r="E23" s="308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1331</v>
      </c>
      <c r="F23" s="309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309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2000</v>
      </c>
      <c r="H23" s="310">
        <f t="shared" ca="1" si="0"/>
        <v>158377335</v>
      </c>
      <c r="I23" s="310"/>
      <c r="J23" s="342"/>
    </row>
    <row r="24" spans="1:10" s="293" customFormat="1" ht="17.25" customHeight="1">
      <c r="A24" s="306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41823</v>
      </c>
      <c r="B24" s="306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GBN</v>
      </c>
      <c r="C24" s="306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41823</v>
      </c>
      <c r="D24" s="307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Thanh toán tiền bảo hiểm - Bến Tre</v>
      </c>
      <c r="E24" s="308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331</v>
      </c>
      <c r="F24" s="309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309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4945946</v>
      </c>
      <c r="H24" s="310">
        <f t="shared" ca="1" si="0"/>
        <v>153431389</v>
      </c>
      <c r="I24" s="310"/>
      <c r="J24" s="342"/>
    </row>
    <row r="25" spans="1:10" s="293" customFormat="1" ht="17.25" customHeight="1">
      <c r="A25" s="306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41823</v>
      </c>
      <c r="B25" s="306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306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41823</v>
      </c>
      <c r="D25" s="307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Phí thanh toán, dịch vụ ngân quỹ</v>
      </c>
      <c r="E25" s="308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6422</v>
      </c>
      <c r="F25" s="309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309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45000</v>
      </c>
      <c r="H25" s="310">
        <f t="shared" ca="1" si="0"/>
        <v>153386389</v>
      </c>
      <c r="I25" s="310"/>
      <c r="J25" s="342"/>
    </row>
    <row r="26" spans="1:10" s="293" customFormat="1" ht="17.25" customHeight="1">
      <c r="A26" s="306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41823</v>
      </c>
      <c r="B26" s="306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306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41823</v>
      </c>
      <c r="D26" s="307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VAT Phí thanh toán, dịch vụ ngân quỹ</v>
      </c>
      <c r="E26" s="308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1331</v>
      </c>
      <c r="F26" s="309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309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4500</v>
      </c>
      <c r="H26" s="310">
        <f t="shared" ca="1" si="0"/>
        <v>153381889</v>
      </c>
      <c r="I26" s="310"/>
      <c r="J26" s="342"/>
    </row>
    <row r="27" spans="1:10" s="293" customFormat="1" ht="17.25" customHeight="1">
      <c r="A27" s="306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41823</v>
      </c>
      <c r="B27" s="306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306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41823</v>
      </c>
      <c r="D27" s="307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Nộp tiền BHXH</v>
      </c>
      <c r="E27" s="308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3383</v>
      </c>
      <c r="F27" s="309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309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50331390</v>
      </c>
      <c r="H27" s="310">
        <f t="shared" ca="1" si="0"/>
        <v>103050499</v>
      </c>
      <c r="I27" s="310"/>
      <c r="J27" s="342"/>
    </row>
    <row r="28" spans="1:10" s="293" customFormat="1" ht="17.25" customHeight="1">
      <c r="A28" s="306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41823</v>
      </c>
      <c r="B28" s="306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GBN</v>
      </c>
      <c r="C28" s="306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41823</v>
      </c>
      <c r="D28" s="307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Nộp tiền BHYT hết T06/2014</v>
      </c>
      <c r="E28" s="308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3384</v>
      </c>
      <c r="F28" s="309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309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6691270</v>
      </c>
      <c r="H28" s="310">
        <f t="shared" ca="1" si="0"/>
        <v>96359229</v>
      </c>
      <c r="I28" s="310"/>
      <c r="J28" s="342"/>
    </row>
    <row r="29" spans="1:10" s="293" customFormat="1" ht="17.25" customHeight="1">
      <c r="A29" s="306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41823</v>
      </c>
      <c r="B29" s="306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306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41823</v>
      </c>
      <c r="D29" s="307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Nộp tiền BHTN</v>
      </c>
      <c r="E29" s="308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3389</v>
      </c>
      <c r="F29" s="309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309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2977340</v>
      </c>
      <c r="H29" s="310">
        <f t="shared" ca="1" si="0"/>
        <v>93381889</v>
      </c>
      <c r="I29" s="310"/>
      <c r="J29" s="342"/>
    </row>
    <row r="30" spans="1:10" s="293" customFormat="1" ht="17.25" customHeight="1">
      <c r="A30" s="306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41823</v>
      </c>
      <c r="B30" s="306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306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41823</v>
      </c>
      <c r="D30" s="307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Phí thanh toán, dịch vụ ngân quỹ</v>
      </c>
      <c r="E30" s="308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6422</v>
      </c>
      <c r="F30" s="309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309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50000</v>
      </c>
      <c r="H30" s="310">
        <f t="shared" ca="1" si="0"/>
        <v>93331889</v>
      </c>
      <c r="I30" s="310"/>
      <c r="J30" s="342"/>
    </row>
    <row r="31" spans="1:10" s="293" customFormat="1" ht="17.25" customHeight="1">
      <c r="A31" s="306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41823</v>
      </c>
      <c r="B31" s="306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306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41823</v>
      </c>
      <c r="D31" s="307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VAT Phí thanh toán, dịch vụ ngân quỹ</v>
      </c>
      <c r="E31" s="308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1331</v>
      </c>
      <c r="F31" s="309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309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5000</v>
      </c>
      <c r="H31" s="310">
        <f t="shared" ca="1" si="0"/>
        <v>93326889</v>
      </c>
      <c r="I31" s="310"/>
      <c r="J31" s="342"/>
    </row>
    <row r="32" spans="1:10" s="293" customFormat="1" ht="17.25" customHeight="1">
      <c r="A32" s="306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41823</v>
      </c>
      <c r="B32" s="306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306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41823</v>
      </c>
      <c r="D32" s="307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Thanh toán tiền chiếu xạ - An Phú</v>
      </c>
      <c r="E32" s="308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331</v>
      </c>
      <c r="F32" s="309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309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24740100</v>
      </c>
      <c r="H32" s="310">
        <f t="shared" ca="1" si="0"/>
        <v>68586789</v>
      </c>
      <c r="I32" s="310"/>
      <c r="J32" s="342"/>
    </row>
    <row r="33" spans="1:10" s="293" customFormat="1" ht="17.25" customHeight="1">
      <c r="A33" s="306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41823</v>
      </c>
      <c r="B33" s="306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306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41823</v>
      </c>
      <c r="D33" s="307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Phí thanh toán, dịch vụ ngân quỹ</v>
      </c>
      <c r="E33" s="308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6422</v>
      </c>
      <c r="F33" s="309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309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45000</v>
      </c>
      <c r="H33" s="310">
        <f t="shared" ca="1" si="0"/>
        <v>68541789</v>
      </c>
      <c r="I33" s="310"/>
      <c r="J33" s="342"/>
    </row>
    <row r="34" spans="1:10" s="293" customFormat="1" ht="17.25" customHeight="1">
      <c r="A34" s="306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41823</v>
      </c>
      <c r="B34" s="306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306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41823</v>
      </c>
      <c r="D34" s="307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VAT Phí thanh toán, dịch vụ ngân quỹ</v>
      </c>
      <c r="E34" s="308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1331</v>
      </c>
      <c r="F34" s="309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309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4500</v>
      </c>
      <c r="H34" s="310">
        <f t="shared" ca="1" si="0"/>
        <v>68537289</v>
      </c>
      <c r="I34" s="310"/>
      <c r="J34" s="342"/>
    </row>
    <row r="35" spans="1:10" s="293" customFormat="1" ht="17.25" customHeight="1">
      <c r="A35" s="306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41823</v>
      </c>
      <c r="B35" s="306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306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41823</v>
      </c>
      <c r="D35" s="307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Thanh toán tiền điện - Điện Lực LA</v>
      </c>
      <c r="E35" s="308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331</v>
      </c>
      <c r="F35" s="309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309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49108180</v>
      </c>
      <c r="H35" s="310">
        <f t="shared" ca="1" si="0"/>
        <v>19429109</v>
      </c>
      <c r="I35" s="310"/>
      <c r="J35" s="342"/>
    </row>
    <row r="36" spans="1:10" s="293" customFormat="1" ht="17.25" customHeight="1">
      <c r="A36" s="306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41823</v>
      </c>
      <c r="B36" s="306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GBN</v>
      </c>
      <c r="C36" s="306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41823</v>
      </c>
      <c r="D36" s="307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Phí thanh toán, dịch vụ ngân quỹ</v>
      </c>
      <c r="E36" s="308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6422</v>
      </c>
      <c r="F36" s="309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0</v>
      </c>
      <c r="G36" s="309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45000</v>
      </c>
      <c r="H36" s="310">
        <f t="shared" ca="1" si="0"/>
        <v>19384109</v>
      </c>
      <c r="I36" s="310"/>
      <c r="J36" s="342"/>
    </row>
    <row r="37" spans="1:10" s="293" customFormat="1" ht="17.25" customHeight="1">
      <c r="A37" s="306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41823</v>
      </c>
      <c r="B37" s="306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306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41823</v>
      </c>
      <c r="D37" s="307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VAT Phí thanh toán, dịch vụ ngân quỹ</v>
      </c>
      <c r="E37" s="308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1331</v>
      </c>
      <c r="F37" s="309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309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4500</v>
      </c>
      <c r="H37" s="310">
        <f t="shared" ca="1" si="0"/>
        <v>19379609</v>
      </c>
      <c r="I37" s="310"/>
      <c r="J37" s="342"/>
    </row>
    <row r="38" spans="1:10" s="293" customFormat="1" ht="17.25" customHeight="1">
      <c r="A38" s="306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41828</v>
      </c>
      <c r="B38" s="306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306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41828</v>
      </c>
      <c r="D38" s="307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Ban ngoại tệ chuyển TK VNĐ</v>
      </c>
      <c r="E38" s="308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1122</v>
      </c>
      <c r="F38" s="309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933314000</v>
      </c>
      <c r="G38" s="309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0</v>
      </c>
      <c r="H38" s="310">
        <f t="shared" ca="1" si="0"/>
        <v>952693609</v>
      </c>
      <c r="I38" s="310"/>
      <c r="J38" s="342"/>
    </row>
    <row r="39" spans="1:10" s="293" customFormat="1" ht="17.25" customHeight="1">
      <c r="A39" s="306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41828</v>
      </c>
      <c r="B39" s="306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306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41828</v>
      </c>
      <c r="D39" s="307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Bán ngoại tệ chuyển TK VNĐ</v>
      </c>
      <c r="E39" s="308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1122</v>
      </c>
      <c r="F39" s="309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1487850000</v>
      </c>
      <c r="G39" s="309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0</v>
      </c>
      <c r="H39" s="310">
        <f t="shared" ca="1" si="0"/>
        <v>2440543609</v>
      </c>
      <c r="I39" s="310"/>
      <c r="J39" s="342"/>
    </row>
    <row r="40" spans="1:10" s="293" customFormat="1" ht="17.25" customHeight="1">
      <c r="A40" s="306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41829</v>
      </c>
      <c r="B40" s="306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GBN</v>
      </c>
      <c r="C40" s="306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41829</v>
      </c>
      <c r="D40" s="307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Rút tiền VNĐ</v>
      </c>
      <c r="E40" s="308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1111</v>
      </c>
      <c r="F40" s="309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0</v>
      </c>
      <c r="G40" s="309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2430000000</v>
      </c>
      <c r="H40" s="310">
        <f t="shared" ca="1" si="0"/>
        <v>10543609</v>
      </c>
      <c r="I40" s="310"/>
      <c r="J40" s="342"/>
    </row>
    <row r="41" spans="1:10" s="293" customFormat="1" ht="17.25" customHeight="1">
      <c r="A41" s="306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41831</v>
      </c>
      <c r="B41" s="306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GBC</v>
      </c>
      <c r="C41" s="306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41831</v>
      </c>
      <c r="D41" s="307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Nộp tiền vào TK</v>
      </c>
      <c r="E41" s="308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1111</v>
      </c>
      <c r="F41" s="309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120000000</v>
      </c>
      <c r="G41" s="309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0</v>
      </c>
      <c r="H41" s="310">
        <f t="shared" ca="1" si="0"/>
        <v>130543609</v>
      </c>
      <c r="I41" s="310"/>
      <c r="J41" s="342"/>
    </row>
    <row r="42" spans="1:10" s="293" customFormat="1" ht="17.25" customHeight="1">
      <c r="A42" s="306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41831</v>
      </c>
      <c r="B42" s="306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306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41831</v>
      </c>
      <c r="D42" s="307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Thanh toán tiền bao bì - Thành Phú</v>
      </c>
      <c r="E42" s="308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331</v>
      </c>
      <c r="F42" s="309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309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118690000</v>
      </c>
      <c r="H42" s="310">
        <f t="shared" ca="1" si="0"/>
        <v>11853609</v>
      </c>
      <c r="I42" s="310"/>
      <c r="J42" s="342"/>
    </row>
    <row r="43" spans="1:10" s="293" customFormat="1" ht="17.25" customHeight="1">
      <c r="A43" s="306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41831</v>
      </c>
      <c r="B43" s="306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306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41831</v>
      </c>
      <c r="D43" s="307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Phí thanh toán, dịch vụ ngân quỹ</v>
      </c>
      <c r="E43" s="308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6422</v>
      </c>
      <c r="F43" s="309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309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70770</v>
      </c>
      <c r="H43" s="310">
        <f t="shared" ca="1" si="0"/>
        <v>11782839</v>
      </c>
      <c r="I43" s="310"/>
      <c r="J43" s="342"/>
    </row>
    <row r="44" spans="1:10" s="293" customFormat="1" ht="17.25" customHeight="1">
      <c r="A44" s="306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41831</v>
      </c>
      <c r="B44" s="306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306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41831</v>
      </c>
      <c r="D44" s="307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VAT Phí thanh toán, dịch vụ ngân quỹ</v>
      </c>
      <c r="E44" s="308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1331</v>
      </c>
      <c r="F44" s="309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309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7077</v>
      </c>
      <c r="H44" s="310">
        <f t="shared" ref="H44:H75" ca="1" si="1">IF(A44&lt;&gt;"",ROUND(H43+F44-G44,0),"")</f>
        <v>11775762</v>
      </c>
      <c r="I44" s="310"/>
      <c r="J44" s="342"/>
    </row>
    <row r="45" spans="1:10" s="293" customFormat="1" ht="17.25" customHeight="1">
      <c r="A45" s="306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41836</v>
      </c>
      <c r="B45" s="306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306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41836</v>
      </c>
      <c r="D45" s="307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Bán ngoại tệ chuyển TK VNĐ</v>
      </c>
      <c r="E45" s="308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1122</v>
      </c>
      <c r="F45" s="309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1059500000</v>
      </c>
      <c r="G45" s="309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0</v>
      </c>
      <c r="H45" s="310">
        <f t="shared" ca="1" si="1"/>
        <v>1071275762</v>
      </c>
      <c r="I45" s="310"/>
      <c r="J45" s="342"/>
    </row>
    <row r="46" spans="1:10" s="293" customFormat="1" ht="17.25" customHeight="1">
      <c r="A46" s="306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41837</v>
      </c>
      <c r="B46" s="306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GBC</v>
      </c>
      <c r="C46" s="306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41837</v>
      </c>
      <c r="D46" s="307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Ứng/Hoàn vốn - An Lạc TP</v>
      </c>
      <c r="E46" s="308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1388</v>
      </c>
      <c r="F46" s="309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100000000</v>
      </c>
      <c r="G46" s="309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310">
        <f t="shared" ca="1" si="1"/>
        <v>1171275762</v>
      </c>
      <c r="I46" s="310"/>
      <c r="J46" s="342"/>
    </row>
    <row r="47" spans="1:10" s="293" customFormat="1" ht="17.25" customHeight="1">
      <c r="A47" s="306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41837</v>
      </c>
      <c r="B47" s="306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GBC</v>
      </c>
      <c r="C47" s="306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41837</v>
      </c>
      <c r="D47" s="307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Ứng/Hoàn vốn - An Lạc TP</v>
      </c>
      <c r="E47" s="308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1388</v>
      </c>
      <c r="F47" s="309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200000000</v>
      </c>
      <c r="G47" s="309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0</v>
      </c>
      <c r="H47" s="310">
        <f t="shared" ca="1" si="1"/>
        <v>1371275762</v>
      </c>
      <c r="I47" s="310"/>
      <c r="J47" s="342"/>
    </row>
    <row r="48" spans="1:10" s="293" customFormat="1" ht="17.25" customHeight="1">
      <c r="A48" s="306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41837</v>
      </c>
      <c r="B48" s="306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306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41837</v>
      </c>
      <c r="D48" s="307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Thanh toán tiền bao bì - Tấn Dũng</v>
      </c>
      <c r="E48" s="308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331</v>
      </c>
      <c r="F48" s="309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309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50000000</v>
      </c>
      <c r="H48" s="310">
        <f t="shared" ca="1" si="1"/>
        <v>1321275762</v>
      </c>
      <c r="I48" s="310"/>
      <c r="J48" s="342"/>
    </row>
    <row r="49" spans="1:10" s="293" customFormat="1" ht="17.25" customHeight="1">
      <c r="A49" s="306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41837</v>
      </c>
      <c r="B49" s="306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306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41837</v>
      </c>
      <c r="D49" s="307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Phí thanh toán</v>
      </c>
      <c r="E49" s="308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6422</v>
      </c>
      <c r="F49" s="309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309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25000</v>
      </c>
      <c r="H49" s="310">
        <f t="shared" ca="1" si="1"/>
        <v>1321250762</v>
      </c>
      <c r="I49" s="310"/>
      <c r="J49" s="342"/>
    </row>
    <row r="50" spans="1:10" s="293" customFormat="1" ht="17.25" customHeight="1">
      <c r="A50" s="306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41837</v>
      </c>
      <c r="B50" s="306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306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41837</v>
      </c>
      <c r="D50" s="307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VAT Phí thanh toán</v>
      </c>
      <c r="E50" s="308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1331</v>
      </c>
      <c r="F50" s="309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309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2500</v>
      </c>
      <c r="H50" s="310">
        <f t="shared" ca="1" si="1"/>
        <v>1321248262</v>
      </c>
      <c r="I50" s="310"/>
      <c r="J50" s="342"/>
    </row>
    <row r="51" spans="1:10" s="293" customFormat="1" ht="17.25" customHeight="1">
      <c r="A51" s="306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41837</v>
      </c>
      <c r="B51" s="306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306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41837</v>
      </c>
      <c r="D51" s="307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Thanh toán tiền thuốc - CH Xuân Thu</v>
      </c>
      <c r="E51" s="308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331</v>
      </c>
      <c r="F51" s="309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309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12000000</v>
      </c>
      <c r="H51" s="310">
        <f t="shared" ca="1" si="1"/>
        <v>1309248262</v>
      </c>
      <c r="I51" s="310"/>
      <c r="J51" s="342"/>
    </row>
    <row r="52" spans="1:10" s="293" customFormat="1" ht="17.25" customHeight="1">
      <c r="A52" s="306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41837</v>
      </c>
      <c r="B52" s="306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GBN</v>
      </c>
      <c r="C52" s="306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41837</v>
      </c>
      <c r="D52" s="307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Q11 - Phí thanh toán</v>
      </c>
      <c r="E52" s="308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6422</v>
      </c>
      <c r="F52" s="309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309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20000</v>
      </c>
      <c r="H52" s="310">
        <f t="shared" ca="1" si="1"/>
        <v>1309228262</v>
      </c>
      <c r="I52" s="310"/>
      <c r="J52" s="342"/>
    </row>
    <row r="53" spans="1:10" s="293" customFormat="1" ht="17.25" customHeight="1">
      <c r="A53" s="306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41837</v>
      </c>
      <c r="B53" s="306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306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41837</v>
      </c>
      <c r="D53" s="307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Q11 - VAT Phí thanh toán</v>
      </c>
      <c r="E53" s="308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1331</v>
      </c>
      <c r="F53" s="309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309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2000</v>
      </c>
      <c r="H53" s="310">
        <f t="shared" ca="1" si="1"/>
        <v>1309226262</v>
      </c>
      <c r="I53" s="310"/>
      <c r="J53" s="342"/>
    </row>
    <row r="54" spans="1:10" s="293" customFormat="1" ht="17.25" customHeight="1">
      <c r="A54" s="306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41837</v>
      </c>
      <c r="B54" s="306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GBN</v>
      </c>
      <c r="C54" s="306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41837</v>
      </c>
      <c r="D54" s="307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Q11 - Thanh toán tiền chiếu xạ - An Phú</v>
      </c>
      <c r="E54" s="308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331</v>
      </c>
      <c r="F54" s="309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309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1599840</v>
      </c>
      <c r="H54" s="310">
        <f t="shared" ca="1" si="1"/>
        <v>1307626422</v>
      </c>
      <c r="I54" s="310"/>
      <c r="J54" s="342"/>
    </row>
    <row r="55" spans="1:10" s="293" customFormat="1" ht="17.25" customHeight="1">
      <c r="A55" s="306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41837</v>
      </c>
      <c r="B55" s="306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306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41837</v>
      </c>
      <c r="D55" s="307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Q11 - Phí thanh toán</v>
      </c>
      <c r="E55" s="308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6422</v>
      </c>
      <c r="F55" s="309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309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25000</v>
      </c>
      <c r="H55" s="310">
        <f t="shared" ca="1" si="1"/>
        <v>1307601422</v>
      </c>
      <c r="I55" s="310"/>
      <c r="J55" s="342"/>
    </row>
    <row r="56" spans="1:10" s="293" customFormat="1" ht="17.25" customHeight="1">
      <c r="A56" s="306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41837</v>
      </c>
      <c r="B56" s="306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306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41837</v>
      </c>
      <c r="D56" s="307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Q11 - VAT Phí thanh toán</v>
      </c>
      <c r="E56" s="308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1331</v>
      </c>
      <c r="F56" s="309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309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2500</v>
      </c>
      <c r="H56" s="310">
        <f t="shared" ca="1" si="1"/>
        <v>1307598922</v>
      </c>
      <c r="I56" s="310"/>
      <c r="J56" s="342"/>
    </row>
    <row r="57" spans="1:10" s="293" customFormat="1" ht="17.25" customHeight="1">
      <c r="A57" s="306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41837</v>
      </c>
      <c r="B57" s="306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306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41837</v>
      </c>
      <c r="D57" s="307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Q11 - Thanh toán tiền điện - Điện Lực LA</v>
      </c>
      <c r="E57" s="308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331</v>
      </c>
      <c r="F57" s="309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309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30917370</v>
      </c>
      <c r="H57" s="310">
        <f t="shared" ca="1" si="1"/>
        <v>1276681552</v>
      </c>
      <c r="I57" s="310"/>
      <c r="J57" s="342"/>
    </row>
    <row r="58" spans="1:10" s="293" customFormat="1" ht="17.25" customHeight="1">
      <c r="A58" s="306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41837</v>
      </c>
      <c r="B58" s="306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306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41837</v>
      </c>
      <c r="D58" s="307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Q11 - Phí thanh toán</v>
      </c>
      <c r="E58" s="308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6422</v>
      </c>
      <c r="F58" s="309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309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25000</v>
      </c>
      <c r="H58" s="310">
        <f t="shared" ca="1" si="1"/>
        <v>1276656552</v>
      </c>
      <c r="I58" s="310"/>
      <c r="J58" s="342"/>
    </row>
    <row r="59" spans="1:10" s="293" customFormat="1" ht="17.25" customHeight="1">
      <c r="A59" s="306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41837</v>
      </c>
      <c r="B59" s="306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GBN</v>
      </c>
      <c r="C59" s="306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41837</v>
      </c>
      <c r="D59" s="307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Q11 - VAT Phí thanh toán</v>
      </c>
      <c r="E59" s="308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1331</v>
      </c>
      <c r="F59" s="309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309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2500</v>
      </c>
      <c r="H59" s="310">
        <f t="shared" ca="1" si="1"/>
        <v>1276654052</v>
      </c>
      <c r="I59" s="310"/>
      <c r="J59" s="342"/>
    </row>
    <row r="60" spans="1:10" s="293" customFormat="1" ht="17.25" customHeight="1">
      <c r="A60" s="306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41837</v>
      </c>
      <c r="B60" s="306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GBN</v>
      </c>
      <c r="C60" s="306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41837</v>
      </c>
      <c r="D60" s="307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Q11 - Rút tiền VNĐ</v>
      </c>
      <c r="E60" s="308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1111</v>
      </c>
      <c r="F60" s="309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309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1260000000</v>
      </c>
      <c r="H60" s="310">
        <f t="shared" ca="1" si="1"/>
        <v>16654052</v>
      </c>
      <c r="I60" s="310"/>
      <c r="J60" s="342"/>
    </row>
    <row r="61" spans="1:10" s="293" customFormat="1" ht="17.25" customHeight="1">
      <c r="A61" s="306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41842</v>
      </c>
      <c r="B61" s="306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GBN</v>
      </c>
      <c r="C61" s="306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41842</v>
      </c>
      <c r="D61" s="307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Q11 - Bán ngoại tệ chuyển TK VNĐ</v>
      </c>
      <c r="E61" s="308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1122</v>
      </c>
      <c r="F61" s="309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712992000</v>
      </c>
      <c r="G61" s="309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310">
        <f t="shared" ca="1" si="1"/>
        <v>729646052</v>
      </c>
      <c r="I61" s="310"/>
      <c r="J61" s="342"/>
    </row>
    <row r="62" spans="1:10" s="293" customFormat="1" ht="17.25" customHeight="1">
      <c r="A62" s="306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41842</v>
      </c>
      <c r="B62" s="306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GBN</v>
      </c>
      <c r="C62" s="306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41842</v>
      </c>
      <c r="D62" s="307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Q11 - Thanh toán phí kiểm nghiệm Nafi4</v>
      </c>
      <c r="E62" s="308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331</v>
      </c>
      <c r="F62" s="309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0</v>
      </c>
      <c r="G62" s="309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1622000</v>
      </c>
      <c r="H62" s="310">
        <f t="shared" ca="1" si="1"/>
        <v>728024052</v>
      </c>
      <c r="I62" s="310"/>
      <c r="J62" s="342"/>
    </row>
    <row r="63" spans="1:10" s="293" customFormat="1" ht="17.25" customHeight="1">
      <c r="A63" s="306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41842</v>
      </c>
      <c r="B63" s="306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306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41842</v>
      </c>
      <c r="D63" s="307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Q11 - Phí thanh toán</v>
      </c>
      <c r="E63" s="308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6422</v>
      </c>
      <c r="F63" s="309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309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20000</v>
      </c>
      <c r="H63" s="310">
        <f t="shared" ca="1" si="1"/>
        <v>728004052</v>
      </c>
      <c r="I63" s="310"/>
      <c r="J63" s="342"/>
    </row>
    <row r="64" spans="1:10" s="293" customFormat="1" ht="17.25" customHeight="1">
      <c r="A64" s="306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41842</v>
      </c>
      <c r="B64" s="306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GBN</v>
      </c>
      <c r="C64" s="306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41842</v>
      </c>
      <c r="D64" s="307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Q11 - VAT Phí thanh toán</v>
      </c>
      <c r="E64" s="308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1331</v>
      </c>
      <c r="F64" s="309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309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2000</v>
      </c>
      <c r="H64" s="310">
        <f t="shared" ca="1" si="1"/>
        <v>728002052</v>
      </c>
      <c r="I64" s="310"/>
      <c r="J64" s="342"/>
    </row>
    <row r="65" spans="1:10" s="293" customFormat="1" ht="17.25" customHeight="1">
      <c r="A65" s="306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>41842</v>
      </c>
      <c r="B65" s="306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>GBN</v>
      </c>
      <c r="C65" s="306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>41842</v>
      </c>
      <c r="D65" s="307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>Q11 - Tiền bảo hiểm BIDV số: 02142519</v>
      </c>
      <c r="E65" s="308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>331</v>
      </c>
      <c r="F65" s="309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309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5004375</v>
      </c>
      <c r="H65" s="310">
        <f t="shared" ca="1" si="1"/>
        <v>722997677</v>
      </c>
      <c r="I65" s="310"/>
      <c r="J65" s="342"/>
    </row>
    <row r="66" spans="1:10" s="293" customFormat="1" ht="17.25" customHeight="1">
      <c r="A66" s="306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>41842</v>
      </c>
      <c r="B66" s="306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>GBN</v>
      </c>
      <c r="C66" s="306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>41842</v>
      </c>
      <c r="D66" s="307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>Q11 - Phí thanh toán</v>
      </c>
      <c r="E66" s="308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>6422</v>
      </c>
      <c r="F66" s="309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309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20000</v>
      </c>
      <c r="H66" s="310">
        <f t="shared" ca="1" si="1"/>
        <v>722977677</v>
      </c>
      <c r="I66" s="310"/>
      <c r="J66" s="342"/>
    </row>
    <row r="67" spans="1:10" s="293" customFormat="1" ht="17.25" customHeight="1">
      <c r="A67" s="306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>41842</v>
      </c>
      <c r="B67" s="306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>GBN</v>
      </c>
      <c r="C67" s="306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>41842</v>
      </c>
      <c r="D67" s="307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>Q11 - VAT Phí thanh toán</v>
      </c>
      <c r="E67" s="308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>1331</v>
      </c>
      <c r="F67" s="309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309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2000</v>
      </c>
      <c r="H67" s="310">
        <f t="shared" ca="1" si="1"/>
        <v>722975677</v>
      </c>
      <c r="I67" s="310"/>
      <c r="J67" s="342"/>
    </row>
    <row r="68" spans="1:10" s="293" customFormat="1" ht="17.25" customHeight="1">
      <c r="A68" s="306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>41843</v>
      </c>
      <c r="B68" s="306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>GBN</v>
      </c>
      <c r="C68" s="306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>41843</v>
      </c>
      <c r="D68" s="307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>Q11 - Rút tiền VNĐ</v>
      </c>
      <c r="E68" s="308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>1111</v>
      </c>
      <c r="F68" s="309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309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710000000</v>
      </c>
      <c r="H68" s="310">
        <f t="shared" ca="1" si="1"/>
        <v>12975677</v>
      </c>
      <c r="I68" s="310"/>
      <c r="J68" s="342"/>
    </row>
    <row r="69" spans="1:10" s="293" customFormat="1" ht="17.25" customHeight="1">
      <c r="A69" s="306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>41845</v>
      </c>
      <c r="B69" s="306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>GBC</v>
      </c>
      <c r="C69" s="306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>41845</v>
      </c>
      <c r="D69" s="307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>Q11 - Lãi TGNH</v>
      </c>
      <c r="E69" s="308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>515</v>
      </c>
      <c r="F69" s="309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144996</v>
      </c>
      <c r="G69" s="309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0</v>
      </c>
      <c r="H69" s="310">
        <f t="shared" ca="1" si="1"/>
        <v>13120673</v>
      </c>
      <c r="I69" s="310"/>
      <c r="J69" s="342"/>
    </row>
    <row r="70" spans="1:10" s="293" customFormat="1" ht="17.25" customHeight="1">
      <c r="A70" s="306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>41849</v>
      </c>
      <c r="B70" s="306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>GBN</v>
      </c>
      <c r="C70" s="306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>41849</v>
      </c>
      <c r="D70" s="307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>Q11 - Bán ngoại tệ chuyển TK VNĐ</v>
      </c>
      <c r="E70" s="308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>1122</v>
      </c>
      <c r="F70" s="309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936022500</v>
      </c>
      <c r="G70" s="309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0</v>
      </c>
      <c r="H70" s="310">
        <f t="shared" ca="1" si="1"/>
        <v>949143173</v>
      </c>
      <c r="I70" s="310"/>
      <c r="J70" s="342"/>
    </row>
    <row r="71" spans="1:10" s="293" customFormat="1" ht="17.25" customHeight="1">
      <c r="A71" s="306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>41849</v>
      </c>
      <c r="B71" s="306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>GBN</v>
      </c>
      <c r="C71" s="306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>41849</v>
      </c>
      <c r="D71" s="307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>Q11 - Tiền phí sử dụng phần mềm khai HQ</v>
      </c>
      <c r="E71" s="308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>331</v>
      </c>
      <c r="F71" s="309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309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300000</v>
      </c>
      <c r="H71" s="310">
        <f t="shared" ca="1" si="1"/>
        <v>948843173</v>
      </c>
      <c r="I71" s="310"/>
      <c r="J71" s="342"/>
    </row>
    <row r="72" spans="1:10" s="293" customFormat="1" ht="17.25" customHeight="1">
      <c r="A72" s="306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>41849</v>
      </c>
      <c r="B72" s="306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>GBN</v>
      </c>
      <c r="C72" s="306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>41849</v>
      </c>
      <c r="D72" s="307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>Q11 - Phí thanh toán</v>
      </c>
      <c r="E72" s="308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>6422</v>
      </c>
      <c r="F72" s="309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309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20000</v>
      </c>
      <c r="H72" s="310">
        <f t="shared" ca="1" si="1"/>
        <v>948823173</v>
      </c>
      <c r="I72" s="310"/>
      <c r="J72" s="342"/>
    </row>
    <row r="73" spans="1:10" s="293" customFormat="1" ht="17.25" customHeight="1">
      <c r="A73" s="306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>41849</v>
      </c>
      <c r="B73" s="306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>GBN</v>
      </c>
      <c r="C73" s="306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>41849</v>
      </c>
      <c r="D73" s="307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>Q11 - VAT Phí thanh toán</v>
      </c>
      <c r="E73" s="308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>1331</v>
      </c>
      <c r="F73" s="309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309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2000</v>
      </c>
      <c r="H73" s="310">
        <f t="shared" ca="1" si="1"/>
        <v>948821173</v>
      </c>
      <c r="I73" s="310"/>
      <c r="J73" s="342"/>
    </row>
    <row r="74" spans="1:10" s="293" customFormat="1" ht="17.25" customHeight="1">
      <c r="A74" s="306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>41850</v>
      </c>
      <c r="B74" s="306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>GBN</v>
      </c>
      <c r="C74" s="306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>41850</v>
      </c>
      <c r="D74" s="307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>Q11 - Rút tiền VNĐ</v>
      </c>
      <c r="E74" s="308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>1111</v>
      </c>
      <c r="F74" s="309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309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935000000</v>
      </c>
      <c r="H74" s="310">
        <f t="shared" ca="1" si="1"/>
        <v>13821173</v>
      </c>
      <c r="I74" s="310"/>
      <c r="J74" s="342"/>
    </row>
    <row r="75" spans="1:10" s="293" customFormat="1" ht="17.25" customHeight="1">
      <c r="A75" s="306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>41851</v>
      </c>
      <c r="B75" s="306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>GBN</v>
      </c>
      <c r="C75" s="306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>41851</v>
      </c>
      <c r="D75" s="307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>Q11 - Bán ngoại tệ chuyển TK VNĐ</v>
      </c>
      <c r="E75" s="308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>1122</v>
      </c>
      <c r="F75" s="309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106100000</v>
      </c>
      <c r="G75" s="309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310">
        <f t="shared" ca="1" si="1"/>
        <v>119921173</v>
      </c>
      <c r="I75" s="310"/>
      <c r="J75" s="342"/>
    </row>
    <row r="76" spans="1:10" s="293" customFormat="1" ht="17.25" customHeight="1">
      <c r="A76" s="306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>41851</v>
      </c>
      <c r="B76" s="306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>GBN</v>
      </c>
      <c r="C76" s="306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>41851</v>
      </c>
      <c r="D76" s="307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>Q11 - Ứng vốn - Trà Vinh</v>
      </c>
      <c r="E76" s="308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>1388</v>
      </c>
      <c r="F76" s="309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309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50000000</v>
      </c>
      <c r="H76" s="310">
        <f t="shared" ref="H76:H90" ca="1" si="2">IF(A76&lt;&gt;"",ROUND(H75+F76-G76,0),"")</f>
        <v>69921173</v>
      </c>
      <c r="I76" s="310"/>
      <c r="J76" s="342"/>
    </row>
    <row r="77" spans="1:10" s="293" customFormat="1" ht="17.25" customHeight="1">
      <c r="A77" s="306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>41851</v>
      </c>
      <c r="B77" s="306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>GBN</v>
      </c>
      <c r="C77" s="306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>41851</v>
      </c>
      <c r="D77" s="307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>Q11 - Thanh toán tiền điện - Điện Lực LA</v>
      </c>
      <c r="E77" s="308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>331</v>
      </c>
      <c r="F77" s="309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309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31294120</v>
      </c>
      <c r="H77" s="310">
        <f t="shared" ca="1" si="2"/>
        <v>38627053</v>
      </c>
      <c r="I77" s="310"/>
      <c r="J77" s="342"/>
    </row>
    <row r="78" spans="1:10" s="293" customFormat="1" ht="17.25" customHeight="1">
      <c r="A78" s="306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>41851</v>
      </c>
      <c r="B78" s="306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>GBN</v>
      </c>
      <c r="C78" s="306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>41851</v>
      </c>
      <c r="D78" s="307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>Q11 - Phí thanh toán</v>
      </c>
      <c r="E78" s="308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>6422</v>
      </c>
      <c r="F78" s="309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309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25000</v>
      </c>
      <c r="H78" s="310">
        <f t="shared" ca="1" si="2"/>
        <v>38602053</v>
      </c>
      <c r="I78" s="310"/>
      <c r="J78" s="342"/>
    </row>
    <row r="79" spans="1:10" s="293" customFormat="1" ht="17.25" customHeight="1">
      <c r="A79" s="306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>41851</v>
      </c>
      <c r="B79" s="306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>GBN</v>
      </c>
      <c r="C79" s="306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>41851</v>
      </c>
      <c r="D79" s="307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>Q11 - VAT Phí thanh toán</v>
      </c>
      <c r="E79" s="308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>1331</v>
      </c>
      <c r="F79" s="309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309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2500</v>
      </c>
      <c r="H79" s="310">
        <f t="shared" ca="1" si="2"/>
        <v>38599553</v>
      </c>
      <c r="I79" s="310"/>
      <c r="J79" s="342"/>
    </row>
    <row r="80" spans="1:10" s="293" customFormat="1" ht="17.25" customHeight="1">
      <c r="A80" s="306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>41821</v>
      </c>
      <c r="B80" s="306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>GBC</v>
      </c>
      <c r="C80" s="306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>41821</v>
      </c>
      <c r="D80" s="307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>Q4 - Vay KU 1402LDS201401189</v>
      </c>
      <c r="E80" s="308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>311</v>
      </c>
      <c r="F80" s="309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929988000</v>
      </c>
      <c r="G80" s="309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310">
        <f t="shared" ca="1" si="2"/>
        <v>968587553</v>
      </c>
      <c r="I80" s="310"/>
      <c r="J80" s="342"/>
    </row>
    <row r="81" spans="1:10" s="293" customFormat="1" ht="17.25" customHeight="1">
      <c r="A81" s="306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>41821</v>
      </c>
      <c r="B81" s="306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>GBN</v>
      </c>
      <c r="C81" s="306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>41821</v>
      </c>
      <c r="D81" s="307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>Q4 - Phí dịch vụ Internet banking</v>
      </c>
      <c r="E81" s="308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>6422</v>
      </c>
      <c r="F81" s="309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309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110000</v>
      </c>
      <c r="H81" s="310">
        <f t="shared" ca="1" si="2"/>
        <v>968477553</v>
      </c>
      <c r="I81" s="310"/>
      <c r="J81" s="342"/>
    </row>
    <row r="82" spans="1:10" s="293" customFormat="1" ht="17.25" customHeight="1">
      <c r="A82" s="306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>41821</v>
      </c>
      <c r="B82" s="306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>GBN</v>
      </c>
      <c r="C82" s="306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>41821</v>
      </c>
      <c r="D82" s="307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>Q4 - Rút tiền VNĐ</v>
      </c>
      <c r="E82" s="308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>1111</v>
      </c>
      <c r="F82" s="309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309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930000000</v>
      </c>
      <c r="H82" s="310">
        <f t="shared" ca="1" si="2"/>
        <v>38477553</v>
      </c>
      <c r="I82" s="310"/>
      <c r="J82" s="342"/>
    </row>
    <row r="83" spans="1:10" s="293" customFormat="1" ht="17.25" customHeight="1">
      <c r="A83" s="306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>41836</v>
      </c>
      <c r="B83" s="306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>GBC</v>
      </c>
      <c r="C83" s="306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>41836</v>
      </c>
      <c r="D83" s="307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>Q4 - Ứng/Hoàn vốn - An Lạc TP</v>
      </c>
      <c r="E83" s="308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>1388</v>
      </c>
      <c r="F83" s="309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30000000</v>
      </c>
      <c r="G83" s="309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310">
        <f t="shared" ca="1" si="2"/>
        <v>68477553</v>
      </c>
      <c r="I83" s="310"/>
      <c r="J83" s="342"/>
    </row>
    <row r="84" spans="1:10" s="293" customFormat="1" ht="17.25" customHeight="1">
      <c r="A84" s="306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>41836</v>
      </c>
      <c r="B84" s="306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>GBN</v>
      </c>
      <c r="C84" s="306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>41836</v>
      </c>
      <c r="D84" s="307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>Q4 - Trả lãi KU 1402LDS201400889</v>
      </c>
      <c r="E84" s="308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>635</v>
      </c>
      <c r="F84" s="309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309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17821524</v>
      </c>
      <c r="H84" s="310">
        <f t="shared" ca="1" si="2"/>
        <v>50656029</v>
      </c>
      <c r="I84" s="310"/>
      <c r="J84" s="342"/>
    </row>
    <row r="85" spans="1:10" s="293" customFormat="1" ht="17.25" customHeight="1">
      <c r="A85" s="306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>41836</v>
      </c>
      <c r="B85" s="306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>GBN</v>
      </c>
      <c r="C85" s="306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>41836</v>
      </c>
      <c r="D85" s="307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>Q4 - Trả lãi KU 1402LDS201401052</v>
      </c>
      <c r="E85" s="308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>635</v>
      </c>
      <c r="F85" s="309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309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11778829</v>
      </c>
      <c r="H85" s="310">
        <f t="shared" ca="1" si="2"/>
        <v>38877200</v>
      </c>
      <c r="I85" s="310"/>
      <c r="J85" s="342"/>
    </row>
    <row r="86" spans="1:10" s="293" customFormat="1" ht="17.25" customHeight="1">
      <c r="A86" s="306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>41842</v>
      </c>
      <c r="B86" s="306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>GBN</v>
      </c>
      <c r="C86" s="306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>41842</v>
      </c>
      <c r="D86" s="307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>Q4 - Thanh toán tiền bảo hiểm - Bến Tre</v>
      </c>
      <c r="E86" s="308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>331</v>
      </c>
      <c r="F86" s="309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309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3989966</v>
      </c>
      <c r="H86" s="310">
        <f t="shared" ca="1" si="2"/>
        <v>34887234</v>
      </c>
      <c r="I86" s="310"/>
      <c r="J86" s="342"/>
    </row>
    <row r="87" spans="1:10" s="293" customFormat="1" ht="17.25" customHeight="1">
      <c r="A87" s="306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>41842</v>
      </c>
      <c r="B87" s="306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>GBN</v>
      </c>
      <c r="C87" s="306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>41842</v>
      </c>
      <c r="D87" s="307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>Q4 - Phí thanh toán</v>
      </c>
      <c r="E87" s="308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>6422</v>
      </c>
      <c r="F87" s="309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309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25000</v>
      </c>
      <c r="H87" s="310">
        <f t="shared" ca="1" si="2"/>
        <v>34862234</v>
      </c>
      <c r="I87" s="310"/>
      <c r="J87" s="342"/>
    </row>
    <row r="88" spans="1:10" s="293" customFormat="1" ht="17.25" customHeight="1">
      <c r="A88" s="306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>41842</v>
      </c>
      <c r="B88" s="306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>GBN</v>
      </c>
      <c r="C88" s="306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>41842</v>
      </c>
      <c r="D88" s="307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>Q4 - VAT Phí thanh toán</v>
      </c>
      <c r="E88" s="308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>1331</v>
      </c>
      <c r="F88" s="309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309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2500</v>
      </c>
      <c r="H88" s="310">
        <f t="shared" ca="1" si="2"/>
        <v>34859734</v>
      </c>
      <c r="I88" s="310"/>
      <c r="J88" s="342"/>
    </row>
    <row r="89" spans="1:10" s="293" customFormat="1" ht="17.25" customHeight="1">
      <c r="A89" s="306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306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306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307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308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309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309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310" t="str">
        <f t="shared" ca="1" si="2"/>
        <v/>
      </c>
      <c r="I89" s="310"/>
      <c r="J89" s="342"/>
    </row>
    <row r="90" spans="1:10" s="293" customFormat="1" ht="17.25" customHeight="1">
      <c r="A90" s="306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306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306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307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308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309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309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310" t="str">
        <f t="shared" ca="1" si="2"/>
        <v/>
      </c>
      <c r="I90" s="310"/>
      <c r="J90" s="342"/>
    </row>
    <row r="91" spans="1:10" s="293" customFormat="1" ht="17.25" customHeight="1">
      <c r="A91" s="306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306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306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307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308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309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309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310" t="str">
        <f t="shared" ref="H91:H100" ca="1" si="3">IF(A91&lt;&gt;"",ROUND(H90+F91-G91,0),"")</f>
        <v/>
      </c>
      <c r="I91" s="310"/>
      <c r="J91" s="342"/>
    </row>
    <row r="92" spans="1:10" s="293" customFormat="1" ht="17.25" customHeight="1">
      <c r="A92" s="306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306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306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307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308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309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309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310" t="str">
        <f t="shared" ca="1" si="3"/>
        <v/>
      </c>
      <c r="I92" s="310"/>
      <c r="J92" s="342"/>
    </row>
    <row r="93" spans="1:10" s="293" customFormat="1" ht="17.25" customHeight="1">
      <c r="A93" s="306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306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306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307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308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309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309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310" t="str">
        <f t="shared" ca="1" si="3"/>
        <v/>
      </c>
      <c r="I93" s="310"/>
      <c r="J93" s="342"/>
    </row>
    <row r="94" spans="1:10" s="293" customFormat="1" ht="17.25" customHeight="1">
      <c r="A94" s="306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306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306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307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308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309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309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310" t="str">
        <f t="shared" ca="1" si="3"/>
        <v/>
      </c>
      <c r="I94" s="310"/>
      <c r="J94" s="342"/>
    </row>
    <row r="95" spans="1:10" s="293" customFormat="1" ht="17.25" customHeight="1">
      <c r="A95" s="306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306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306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307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308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309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309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310" t="str">
        <f t="shared" ca="1" si="3"/>
        <v/>
      </c>
      <c r="I95" s="310"/>
      <c r="J95" s="342"/>
    </row>
    <row r="96" spans="1:10" s="293" customFormat="1" ht="17.25" customHeight="1">
      <c r="A96" s="306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306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306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307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308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309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309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310" t="str">
        <f t="shared" ca="1" si="3"/>
        <v/>
      </c>
      <c r="I96" s="310"/>
      <c r="J96" s="342"/>
    </row>
    <row r="97" spans="1:10" s="293" customFormat="1" ht="17.25" customHeight="1">
      <c r="A97" s="306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306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306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307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308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309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309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310" t="str">
        <f t="shared" ca="1" si="3"/>
        <v/>
      </c>
      <c r="I97" s="310"/>
      <c r="J97" s="342"/>
    </row>
    <row r="98" spans="1:10" s="293" customFormat="1" ht="17.25" customHeight="1">
      <c r="A98" s="306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306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306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307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308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309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309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310" t="str">
        <f t="shared" ca="1" si="3"/>
        <v/>
      </c>
      <c r="I98" s="310"/>
      <c r="J98" s="342"/>
    </row>
    <row r="99" spans="1:10" s="293" customFormat="1" ht="17.25" customHeight="1">
      <c r="A99" s="306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306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306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307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308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309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309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310" t="str">
        <f t="shared" ca="1" si="3"/>
        <v/>
      </c>
      <c r="I99" s="310"/>
      <c r="J99" s="342"/>
    </row>
    <row r="100" spans="1:10" s="293" customFormat="1" ht="17.25" customHeight="1">
      <c r="A100" s="306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306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306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307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308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309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309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310" t="str">
        <f t="shared" ca="1" si="3"/>
        <v/>
      </c>
      <c r="I100" s="310"/>
      <c r="J100" s="342"/>
    </row>
    <row r="101" spans="1:10" s="281" customFormat="1" ht="17.25" customHeight="1">
      <c r="A101" s="306"/>
      <c r="B101" s="306"/>
      <c r="C101" s="306"/>
      <c r="D101" s="307"/>
      <c r="E101" s="308"/>
      <c r="F101" s="309"/>
      <c r="G101" s="309"/>
      <c r="H101" s="311"/>
      <c r="I101" s="310"/>
      <c r="J101" s="342"/>
    </row>
    <row r="102" spans="1:10" s="293" customFormat="1" ht="17.25" customHeight="1">
      <c r="A102" s="312"/>
      <c r="B102" s="313"/>
      <c r="C102" s="312"/>
      <c r="D102" s="305" t="s">
        <v>29</v>
      </c>
      <c r="E102" s="314"/>
      <c r="F102" s="315">
        <f ca="1">SUM(F12:F101)</f>
        <v>9740836496</v>
      </c>
      <c r="G102" s="315">
        <f ca="1">SUM(G12:G101)</f>
        <v>9715343574</v>
      </c>
      <c r="H102" s="315">
        <f ca="1">H11+F102-G102</f>
        <v>34859734</v>
      </c>
      <c r="I102" s="316"/>
      <c r="J102" s="343"/>
    </row>
    <row r="103" spans="1:10" s="293" customFormat="1" ht="17.25" customHeight="1">
      <c r="A103" s="312"/>
      <c r="B103" s="313"/>
      <c r="C103" s="312"/>
      <c r="D103" s="305" t="s">
        <v>183</v>
      </c>
      <c r="E103" s="314"/>
      <c r="F103" s="305"/>
      <c r="G103" s="305"/>
      <c r="H103" s="315">
        <f ca="1">H102</f>
        <v>34859734</v>
      </c>
      <c r="I103" s="316"/>
      <c r="J103" s="343"/>
    </row>
    <row r="104" spans="1:10" s="281" customFormat="1" ht="22.5" customHeight="1">
      <c r="A104" s="317" t="s">
        <v>184</v>
      </c>
      <c r="B104" s="318"/>
      <c r="C104" s="277"/>
      <c r="D104" s="278"/>
      <c r="E104" s="279"/>
      <c r="F104" s="319"/>
      <c r="G104" s="319"/>
    </row>
    <row r="105" spans="1:10" s="281" customFormat="1" ht="15">
      <c r="A105" s="320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7 năm 2014</v>
      </c>
      <c r="B105" s="282"/>
      <c r="C105" s="277"/>
      <c r="D105" s="278"/>
      <c r="E105" s="279"/>
    </row>
    <row r="106" spans="1:10" s="281" customFormat="1" ht="15">
      <c r="A106" s="321"/>
      <c r="B106" s="276"/>
      <c r="C106" s="322"/>
      <c r="D106" s="278"/>
      <c r="E106" s="279"/>
      <c r="G106" s="443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31  tháng  7  năm 2015</v>
      </c>
      <c r="H106" s="443"/>
      <c r="I106" s="443"/>
      <c r="J106" s="338"/>
    </row>
    <row r="107" spans="1:10" s="281" customFormat="1" ht="17.25" customHeight="1">
      <c r="A107" s="449" t="s">
        <v>33</v>
      </c>
      <c r="B107" s="449"/>
      <c r="C107" s="323"/>
      <c r="D107" s="278"/>
      <c r="E107" s="324" t="s">
        <v>13</v>
      </c>
      <c r="F107" s="280"/>
      <c r="G107" s="276"/>
      <c r="H107" s="325" t="s">
        <v>14</v>
      </c>
      <c r="I107" s="325"/>
      <c r="J107" s="325"/>
    </row>
    <row r="108" spans="1:10" s="281" customFormat="1" ht="15">
      <c r="A108" s="442" t="s">
        <v>15</v>
      </c>
      <c r="B108" s="442"/>
      <c r="C108" s="326"/>
      <c r="D108" s="278"/>
      <c r="E108" s="327" t="s">
        <v>15</v>
      </c>
      <c r="F108" s="282"/>
      <c r="G108" s="442" t="s">
        <v>16</v>
      </c>
      <c r="H108" s="442"/>
      <c r="I108" s="442"/>
      <c r="J108" s="282"/>
    </row>
    <row r="119" spans="6:6">
      <c r="F119" s="332">
        <f>ROWS($1:41)</f>
        <v>41</v>
      </c>
    </row>
  </sheetData>
  <sheetProtection autoFilter="0"/>
  <autoFilter ref="A10:I100">
    <filterColumn colId="4"/>
    <filterColumn colId="6"/>
  </autoFilter>
  <mergeCells count="18">
    <mergeCell ref="G108:I108"/>
    <mergeCell ref="A4:I4"/>
    <mergeCell ref="A5:I5"/>
    <mergeCell ref="A8:A9"/>
    <mergeCell ref="B8:C8"/>
    <mergeCell ref="A107:B107"/>
    <mergeCell ref="A108:B108"/>
    <mergeCell ref="F8:H8"/>
    <mergeCell ref="I8:I9"/>
    <mergeCell ref="E8:E9"/>
    <mergeCell ref="A6:D6"/>
    <mergeCell ref="E6:F6"/>
    <mergeCell ref="D8:D9"/>
    <mergeCell ref="A2:D3"/>
    <mergeCell ref="F1:I1"/>
    <mergeCell ref="F2:I2"/>
    <mergeCell ref="F3:I3"/>
    <mergeCell ref="G106:I106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12" activePane="bottomLeft" state="frozen"/>
      <selection activeCell="A4" sqref="A4"/>
      <selection pane="bottomLeft" activeCell="A4" sqref="A1:XFD1048576"/>
    </sheetView>
  </sheetViews>
  <sheetFormatPr defaultRowHeight="15.75"/>
  <cols>
    <col min="1" max="1" width="8.140625" style="328" customWidth="1"/>
    <col min="2" max="2" width="6" style="329" customWidth="1"/>
    <col min="3" max="3" width="8.5703125" style="328" customWidth="1"/>
    <col min="4" max="4" width="34.85546875" style="330" customWidth="1"/>
    <col min="5" max="5" width="6.42578125" style="331" customWidth="1"/>
    <col min="6" max="6" width="7.85546875" style="331" customWidth="1"/>
    <col min="7" max="7" width="14" style="331" customWidth="1"/>
    <col min="8" max="10" width="13.140625" style="332" customWidth="1"/>
    <col min="11" max="11" width="6.42578125" style="332" customWidth="1"/>
    <col min="12" max="12" width="2" style="332" customWidth="1"/>
    <col min="13" max="13" width="5.7109375" style="332" customWidth="1"/>
    <col min="14" max="14" width="1.7109375" style="332" customWidth="1"/>
    <col min="15" max="15" width="7.28515625" style="332" customWidth="1"/>
    <col min="16" max="16" width="3.140625" style="332" customWidth="1"/>
    <col min="17" max="16384" width="9.140625" style="332"/>
  </cols>
  <sheetData>
    <row r="1" spans="1:15" s="281" customFormat="1" ht="16.5" customHeight="1">
      <c r="A1" s="275" t="s">
        <v>142</v>
      </c>
      <c r="B1" s="276"/>
      <c r="C1" s="277"/>
      <c r="D1" s="278"/>
      <c r="E1" s="279"/>
      <c r="F1" s="279"/>
      <c r="G1" s="279"/>
      <c r="H1" s="441" t="s">
        <v>204</v>
      </c>
      <c r="I1" s="441"/>
      <c r="J1" s="441"/>
      <c r="K1" s="441"/>
      <c r="L1" s="280"/>
    </row>
    <row r="2" spans="1:15" s="281" customFormat="1" ht="16.5" customHeight="1">
      <c r="A2" s="440" t="s">
        <v>144</v>
      </c>
      <c r="B2" s="440"/>
      <c r="C2" s="440"/>
      <c r="D2" s="440"/>
      <c r="E2" s="279"/>
      <c r="F2" s="279"/>
      <c r="G2" s="279"/>
      <c r="H2" s="442" t="s">
        <v>205</v>
      </c>
      <c r="I2" s="442"/>
      <c r="J2" s="442"/>
      <c r="K2" s="442"/>
      <c r="L2" s="282"/>
    </row>
    <row r="3" spans="1:15" s="281" customFormat="1" ht="16.5" customHeight="1">
      <c r="A3" s="440"/>
      <c r="B3" s="440"/>
      <c r="C3" s="440"/>
      <c r="D3" s="440"/>
      <c r="E3" s="279"/>
      <c r="F3" s="279"/>
      <c r="G3" s="279"/>
      <c r="H3" s="442" t="s">
        <v>125</v>
      </c>
      <c r="I3" s="442"/>
      <c r="J3" s="442"/>
      <c r="K3" s="442"/>
      <c r="L3" s="282"/>
    </row>
    <row r="4" spans="1:15" s="281" customFormat="1" ht="19.5" customHeight="1">
      <c r="A4" s="444" t="s">
        <v>147</v>
      </c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303"/>
    </row>
    <row r="5" spans="1:15" s="281" customFormat="1" ht="15">
      <c r="A5" s="442" t="s">
        <v>148</v>
      </c>
      <c r="B5" s="442"/>
      <c r="C5" s="442"/>
      <c r="D5" s="442"/>
      <c r="E5" s="442"/>
      <c r="F5" s="442"/>
      <c r="G5" s="442"/>
      <c r="H5" s="442"/>
      <c r="I5" s="442"/>
      <c r="J5" s="442"/>
      <c r="K5" s="442"/>
      <c r="L5" s="282"/>
      <c r="M5" s="280" t="s">
        <v>126</v>
      </c>
    </row>
    <row r="6" spans="1:15" s="281" customFormat="1" ht="15">
      <c r="A6" s="455" t="s">
        <v>206</v>
      </c>
      <c r="B6" s="455"/>
      <c r="C6" s="455"/>
      <c r="D6" s="455"/>
      <c r="E6" s="442" t="str">
        <f>IF($O$6="Q11","1015 148 5100 9193",IF($O$6="Q4","1402 148 5100 9479",""))</f>
        <v/>
      </c>
      <c r="F6" s="442"/>
      <c r="G6" s="442"/>
      <c r="H6" s="442"/>
      <c r="I6" s="283" t="s">
        <v>207</v>
      </c>
      <c r="K6" s="344"/>
      <c r="L6" s="284"/>
      <c r="M6" s="285">
        <v>7</v>
      </c>
      <c r="N6" s="286"/>
      <c r="O6" s="287" t="s">
        <v>221</v>
      </c>
    </row>
    <row r="7" spans="1:15" s="281" customFormat="1" ht="5.25" customHeight="1">
      <c r="A7" s="288"/>
      <c r="B7" s="282"/>
      <c r="C7" s="288"/>
      <c r="D7" s="289"/>
      <c r="E7" s="290"/>
      <c r="F7" s="290"/>
      <c r="G7" s="290"/>
      <c r="H7" s="282"/>
      <c r="I7" s="282"/>
      <c r="J7" s="282"/>
      <c r="K7" s="282"/>
      <c r="L7" s="282"/>
    </row>
    <row r="8" spans="1:15" s="293" customFormat="1" ht="17.25" customHeight="1">
      <c r="A8" s="445" t="s">
        <v>150</v>
      </c>
      <c r="B8" s="447" t="s">
        <v>151</v>
      </c>
      <c r="C8" s="448"/>
      <c r="D8" s="451" t="s">
        <v>3</v>
      </c>
      <c r="E8" s="453" t="s">
        <v>22</v>
      </c>
      <c r="F8" s="456" t="s">
        <v>188</v>
      </c>
      <c r="G8" s="457" t="s">
        <v>208</v>
      </c>
      <c r="H8" s="450" t="s">
        <v>78</v>
      </c>
      <c r="I8" s="447"/>
      <c r="J8" s="448"/>
      <c r="K8" s="451" t="s">
        <v>4</v>
      </c>
      <c r="L8" s="339"/>
    </row>
    <row r="9" spans="1:15" s="293" customFormat="1" ht="21.75" customHeight="1">
      <c r="A9" s="446"/>
      <c r="B9" s="291" t="s">
        <v>152</v>
      </c>
      <c r="C9" s="294" t="s">
        <v>153</v>
      </c>
      <c r="D9" s="452"/>
      <c r="E9" s="454"/>
      <c r="F9" s="456"/>
      <c r="G9" s="458"/>
      <c r="H9" s="292" t="s">
        <v>154</v>
      </c>
      <c r="I9" s="292" t="s">
        <v>155</v>
      </c>
      <c r="J9" s="292" t="s">
        <v>156</v>
      </c>
      <c r="K9" s="452"/>
      <c r="L9" s="339"/>
    </row>
    <row r="10" spans="1:15" s="298" customFormat="1" ht="12">
      <c r="A10" s="295" t="s">
        <v>7</v>
      </c>
      <c r="B10" s="296" t="s">
        <v>8</v>
      </c>
      <c r="C10" s="295" t="s">
        <v>9</v>
      </c>
      <c r="D10" s="296" t="s">
        <v>10</v>
      </c>
      <c r="E10" s="297" t="s">
        <v>11</v>
      </c>
      <c r="F10" s="297"/>
      <c r="G10" s="297"/>
      <c r="H10" s="296">
        <v>1</v>
      </c>
      <c r="I10" s="296">
        <v>2</v>
      </c>
      <c r="J10" s="296">
        <v>3</v>
      </c>
      <c r="K10" s="296" t="s">
        <v>27</v>
      </c>
      <c r="L10" s="340"/>
    </row>
    <row r="11" spans="1:15" s="293" customFormat="1" ht="15" customHeight="1">
      <c r="A11" s="299"/>
      <c r="B11" s="300"/>
      <c r="C11" s="299"/>
      <c r="D11" s="301" t="s">
        <v>157</v>
      </c>
      <c r="E11" s="302"/>
      <c r="F11" s="302"/>
      <c r="G11" s="302"/>
      <c r="H11" s="304"/>
      <c r="I11" s="305"/>
      <c r="J11" s="333">
        <f ca="1">IF($O$6="Q11",funtion1,IF($O$6="Q4",funtion2,funtion1+funtion2))</f>
        <v>58485.090000000062</v>
      </c>
      <c r="K11" s="305"/>
      <c r="L11" s="341"/>
    </row>
    <row r="12" spans="1:15" s="293" customFormat="1" ht="17.25" customHeight="1">
      <c r="A12" s="306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41821</v>
      </c>
      <c r="B12" s="306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306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41821</v>
      </c>
      <c r="D12" s="307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Mua ngoại tệ</v>
      </c>
      <c r="E12" s="308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1121</v>
      </c>
      <c r="F12" s="309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21340</v>
      </c>
      <c r="G12" s="309">
        <f t="shared" ref="G12:G50" ca="1" si="0">IF(D12="","",ROUND(F12*(H12+I12),0))</f>
        <v>781044000</v>
      </c>
      <c r="H12" s="334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36600</v>
      </c>
      <c r="I12" s="334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335">
        <f t="shared" ref="J12:J50" ca="1" si="1">IF(A12&lt;&gt;"",ROUND(J11+H12-I12,2),"")</f>
        <v>95085.09</v>
      </c>
      <c r="K12" s="310"/>
      <c r="L12" s="342"/>
    </row>
    <row r="13" spans="1:15" s="293" customFormat="1" ht="17.25" customHeight="1">
      <c r="A13" s="306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41821</v>
      </c>
      <c r="B13" s="306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306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41821</v>
      </c>
      <c r="D13" s="307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Tất toán KU 1015LDS201400123</v>
      </c>
      <c r="E13" s="308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311</v>
      </c>
      <c r="F13" s="309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21340</v>
      </c>
      <c r="G13" s="309">
        <f t="shared" ca="1" si="0"/>
        <v>2027300000</v>
      </c>
      <c r="H13" s="334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334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95000</v>
      </c>
      <c r="J13" s="335">
        <f t="shared" ca="1" si="1"/>
        <v>85.09</v>
      </c>
      <c r="K13" s="310"/>
      <c r="L13" s="342"/>
    </row>
    <row r="14" spans="1:15" s="293" customFormat="1" ht="17.25" customHeight="1">
      <c r="A14" s="306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41822</v>
      </c>
      <c r="B14" s="306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GBC</v>
      </c>
      <c r="C14" s="306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41822</v>
      </c>
      <c r="D14" s="307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Vay KU 1015LDS201401292</v>
      </c>
      <c r="E14" s="308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311</v>
      </c>
      <c r="F14" s="309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21315</v>
      </c>
      <c r="G14" s="309">
        <f t="shared" ca="1" si="0"/>
        <v>2024925000</v>
      </c>
      <c r="H14" s="334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95000</v>
      </c>
      <c r="I14" s="334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0</v>
      </c>
      <c r="J14" s="335">
        <f t="shared" ca="1" si="1"/>
        <v>95085.09</v>
      </c>
      <c r="K14" s="310"/>
      <c r="L14" s="342"/>
    </row>
    <row r="15" spans="1:15" s="293" customFormat="1" ht="17.25" customHeight="1">
      <c r="A15" s="306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41822</v>
      </c>
      <c r="B15" s="306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306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41822</v>
      </c>
      <c r="D15" s="307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Bán ngoại tệ</v>
      </c>
      <c r="E15" s="308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1121</v>
      </c>
      <c r="F15" s="309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21315</v>
      </c>
      <c r="G15" s="309">
        <f t="shared" ca="1" si="0"/>
        <v>2024925000</v>
      </c>
      <c r="H15" s="334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334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95000</v>
      </c>
      <c r="J15" s="335">
        <f t="shared" ca="1" si="1"/>
        <v>85.09</v>
      </c>
      <c r="K15" s="310"/>
      <c r="L15" s="342"/>
    </row>
    <row r="16" spans="1:15" s="293" customFormat="1" ht="17.25" customHeight="1">
      <c r="A16" s="306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41827</v>
      </c>
      <c r="B16" s="306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GBC</v>
      </c>
      <c r="C16" s="306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41827</v>
      </c>
      <c r="D16" s="307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Thu tiền hàng Tokai</v>
      </c>
      <c r="E16" s="308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131</v>
      </c>
      <c r="F16" s="309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21300</v>
      </c>
      <c r="G16" s="309">
        <f t="shared" ca="1" si="0"/>
        <v>1574070000</v>
      </c>
      <c r="H16" s="334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73900</v>
      </c>
      <c r="I16" s="334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0</v>
      </c>
      <c r="J16" s="335">
        <f t="shared" ca="1" si="1"/>
        <v>73985.09</v>
      </c>
      <c r="K16" s="310"/>
      <c r="L16" s="342"/>
    </row>
    <row r="17" spans="1:12" s="293" customFormat="1" ht="17.25" customHeight="1">
      <c r="A17" s="306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41827</v>
      </c>
      <c r="B17" s="306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306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41827</v>
      </c>
      <c r="D17" s="307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Trả lãi KU 1015LDS201000102</v>
      </c>
      <c r="E17" s="308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635</v>
      </c>
      <c r="F17" s="309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21300</v>
      </c>
      <c r="G17" s="309">
        <f t="shared" ca="1" si="0"/>
        <v>5258544</v>
      </c>
      <c r="H17" s="334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334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246.88</v>
      </c>
      <c r="J17" s="335">
        <f t="shared" ca="1" si="1"/>
        <v>73738.210000000006</v>
      </c>
      <c r="K17" s="310"/>
      <c r="L17" s="342"/>
    </row>
    <row r="18" spans="1:12" s="293" customFormat="1" ht="17.25" customHeight="1">
      <c r="A18" s="306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41827</v>
      </c>
      <c r="B18" s="306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GBN</v>
      </c>
      <c r="C18" s="306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41827</v>
      </c>
      <c r="D18" s="307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Phí xử lý bộ chứng từ</v>
      </c>
      <c r="E18" s="308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6422</v>
      </c>
      <c r="F18" s="309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21250</v>
      </c>
      <c r="G18" s="309">
        <f t="shared" ca="1" si="0"/>
        <v>212500</v>
      </c>
      <c r="H18" s="334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0</v>
      </c>
      <c r="I18" s="334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10</v>
      </c>
      <c r="J18" s="335">
        <f t="shared" ca="1" si="1"/>
        <v>73728.210000000006</v>
      </c>
      <c r="K18" s="310"/>
      <c r="L18" s="342"/>
    </row>
    <row r="19" spans="1:12" s="293" customFormat="1" ht="17.25" customHeight="1">
      <c r="A19" s="306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41827</v>
      </c>
      <c r="B19" s="306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306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41827</v>
      </c>
      <c r="D19" s="307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VAT Phí xử lý bộ chứng từ</v>
      </c>
      <c r="E19" s="308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1331</v>
      </c>
      <c r="F19" s="309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21250</v>
      </c>
      <c r="G19" s="309">
        <f t="shared" ca="1" si="0"/>
        <v>21250</v>
      </c>
      <c r="H19" s="334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334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1</v>
      </c>
      <c r="J19" s="335">
        <f t="shared" ca="1" si="1"/>
        <v>73727.210000000006</v>
      </c>
      <c r="K19" s="310"/>
      <c r="L19" s="342"/>
    </row>
    <row r="20" spans="1:12" s="293" customFormat="1" ht="17.25" customHeight="1">
      <c r="A20" s="306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41827</v>
      </c>
      <c r="B20" s="306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GBN</v>
      </c>
      <c r="C20" s="306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41827</v>
      </c>
      <c r="D20" s="307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Phí DHL</v>
      </c>
      <c r="E20" s="308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6422</v>
      </c>
      <c r="F20" s="309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21250</v>
      </c>
      <c r="G20" s="309">
        <f t="shared" ca="1" si="0"/>
        <v>586925</v>
      </c>
      <c r="H20" s="334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0</v>
      </c>
      <c r="I20" s="334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27.62</v>
      </c>
      <c r="J20" s="335">
        <f t="shared" ca="1" si="1"/>
        <v>73699.59</v>
      </c>
      <c r="K20" s="310"/>
      <c r="L20" s="342"/>
    </row>
    <row r="21" spans="1:12" s="293" customFormat="1" ht="17.25" customHeight="1">
      <c r="A21" s="306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41827</v>
      </c>
      <c r="B21" s="306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306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41827</v>
      </c>
      <c r="D21" s="307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VAT Phí DHL</v>
      </c>
      <c r="E21" s="308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1331</v>
      </c>
      <c r="F21" s="309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21250</v>
      </c>
      <c r="G21" s="309">
        <f t="shared" ca="1" si="0"/>
        <v>58650</v>
      </c>
      <c r="H21" s="334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334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2.76</v>
      </c>
      <c r="J21" s="335">
        <f t="shared" ca="1" si="1"/>
        <v>73696.83</v>
      </c>
      <c r="K21" s="310"/>
      <c r="L21" s="342"/>
    </row>
    <row r="22" spans="1:12" s="293" customFormat="1" ht="17.25" customHeight="1">
      <c r="A22" s="306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41827</v>
      </c>
      <c r="B22" s="306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GBN</v>
      </c>
      <c r="C22" s="306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41827</v>
      </c>
      <c r="D22" s="307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Trả lãi KU 1015LDS201100376</v>
      </c>
      <c r="E22" s="308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635</v>
      </c>
      <c r="F22" s="309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21250</v>
      </c>
      <c r="G22" s="309">
        <f t="shared" ca="1" si="0"/>
        <v>13693925</v>
      </c>
      <c r="H22" s="334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0</v>
      </c>
      <c r="I22" s="334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644.41999999999996</v>
      </c>
      <c r="J22" s="335">
        <f t="shared" ca="1" si="1"/>
        <v>73052.41</v>
      </c>
      <c r="K22" s="310"/>
      <c r="L22" s="342"/>
    </row>
    <row r="23" spans="1:12" s="293" customFormat="1" ht="17.25" customHeight="1">
      <c r="A23" s="306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41827</v>
      </c>
      <c r="B23" s="306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306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41827</v>
      </c>
      <c r="D23" s="307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Trả lãi KU 1015LDS201100377</v>
      </c>
      <c r="E23" s="308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635</v>
      </c>
      <c r="F23" s="309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21250</v>
      </c>
      <c r="G23" s="309">
        <f t="shared" ca="1" si="0"/>
        <v>8540588</v>
      </c>
      <c r="H23" s="334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334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401.91</v>
      </c>
      <c r="J23" s="335">
        <f t="shared" ca="1" si="1"/>
        <v>72650.5</v>
      </c>
      <c r="K23" s="310"/>
      <c r="L23" s="342"/>
    </row>
    <row r="24" spans="1:12" s="293" customFormat="1" ht="17.25" customHeight="1">
      <c r="A24" s="306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41827</v>
      </c>
      <c r="B24" s="306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306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41827</v>
      </c>
      <c r="D24" s="307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Trả lãi KU 1015LDS201100378</v>
      </c>
      <c r="E24" s="308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635</v>
      </c>
      <c r="F24" s="309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21250</v>
      </c>
      <c r="G24" s="309">
        <f t="shared" ca="1" si="0"/>
        <v>11956100</v>
      </c>
      <c r="H24" s="334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0</v>
      </c>
      <c r="I24" s="334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562.64</v>
      </c>
      <c r="J24" s="335">
        <f t="shared" ca="1" si="1"/>
        <v>72087.86</v>
      </c>
      <c r="K24" s="310"/>
      <c r="L24" s="342"/>
    </row>
    <row r="25" spans="1:12" s="293" customFormat="1" ht="17.25" customHeight="1">
      <c r="A25" s="306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41828</v>
      </c>
      <c r="B25" s="306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GBN</v>
      </c>
      <c r="C25" s="306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41828</v>
      </c>
      <c r="D25" s="307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Bán ngoại tệ</v>
      </c>
      <c r="E25" s="308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1121</v>
      </c>
      <c r="F25" s="309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21255</v>
      </c>
      <c r="G25" s="309">
        <f t="shared" ca="1" si="0"/>
        <v>1487850000</v>
      </c>
      <c r="H25" s="334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0</v>
      </c>
      <c r="I25" s="334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70000</v>
      </c>
      <c r="J25" s="335">
        <f t="shared" ca="1" si="1"/>
        <v>2087.86</v>
      </c>
      <c r="K25" s="310"/>
      <c r="L25" s="342"/>
    </row>
    <row r="26" spans="1:12" s="293" customFormat="1" ht="17.25" customHeight="1">
      <c r="A26" s="306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41835</v>
      </c>
      <c r="B26" s="306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GBC</v>
      </c>
      <c r="C26" s="306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41835</v>
      </c>
      <c r="D26" s="307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Thu tiền hàng Tokai</v>
      </c>
      <c r="E26" s="308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131</v>
      </c>
      <c r="F26" s="309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21170</v>
      </c>
      <c r="G26" s="309">
        <f t="shared" ca="1" si="0"/>
        <v>77332952</v>
      </c>
      <c r="H26" s="334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3652.95</v>
      </c>
      <c r="I26" s="334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0</v>
      </c>
      <c r="J26" s="335">
        <f t="shared" ca="1" si="1"/>
        <v>5740.81</v>
      </c>
      <c r="K26" s="310"/>
      <c r="L26" s="342"/>
    </row>
    <row r="27" spans="1:12" s="293" customFormat="1" ht="17.25" customHeight="1">
      <c r="A27" s="306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41835</v>
      </c>
      <c r="B27" s="306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GBC</v>
      </c>
      <c r="C27" s="306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41835</v>
      </c>
      <c r="D27" s="307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Thu tiền hàng Ukraina</v>
      </c>
      <c r="E27" s="308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131</v>
      </c>
      <c r="F27" s="309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21170</v>
      </c>
      <c r="G27" s="309">
        <f t="shared" ca="1" si="0"/>
        <v>952092171</v>
      </c>
      <c r="H27" s="334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44973.65</v>
      </c>
      <c r="I27" s="334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0</v>
      </c>
      <c r="J27" s="335">
        <f t="shared" ca="1" si="1"/>
        <v>50714.46</v>
      </c>
      <c r="K27" s="310"/>
      <c r="L27" s="342"/>
    </row>
    <row r="28" spans="1:12" s="293" customFormat="1" ht="17.25" customHeight="1">
      <c r="A28" s="306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41836</v>
      </c>
      <c r="B28" s="306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GBC</v>
      </c>
      <c r="C28" s="306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41836</v>
      </c>
      <c r="D28" s="307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Thu tiền hàng Jintatsu</v>
      </c>
      <c r="E28" s="308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131</v>
      </c>
      <c r="F28" s="309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21230</v>
      </c>
      <c r="G28" s="309">
        <f t="shared" ca="1" si="0"/>
        <v>273888230</v>
      </c>
      <c r="H28" s="334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12901</v>
      </c>
      <c r="I28" s="334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0</v>
      </c>
      <c r="J28" s="335">
        <f t="shared" ca="1" si="1"/>
        <v>63615.46</v>
      </c>
      <c r="K28" s="310"/>
      <c r="L28" s="342"/>
    </row>
    <row r="29" spans="1:12" s="293" customFormat="1" ht="17.25" customHeight="1">
      <c r="A29" s="306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41836</v>
      </c>
      <c r="B29" s="306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306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41836</v>
      </c>
      <c r="D29" s="307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Bán ngoại tệ</v>
      </c>
      <c r="E29" s="308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1121</v>
      </c>
      <c r="F29" s="309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21190</v>
      </c>
      <c r="G29" s="309">
        <f t="shared" ca="1" si="0"/>
        <v>1059500000</v>
      </c>
      <c r="H29" s="334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334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50000</v>
      </c>
      <c r="J29" s="335">
        <f t="shared" ca="1" si="1"/>
        <v>13615.46</v>
      </c>
      <c r="K29" s="310"/>
      <c r="L29" s="342"/>
    </row>
    <row r="30" spans="1:12" s="293" customFormat="1" ht="17.25" customHeight="1">
      <c r="A30" s="306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41836</v>
      </c>
      <c r="B30" s="306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GBN</v>
      </c>
      <c r="C30" s="306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41836</v>
      </c>
      <c r="D30" s="307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Phí xử lý bộ chứng từ</v>
      </c>
      <c r="E30" s="308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6422</v>
      </c>
      <c r="F30" s="309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21230</v>
      </c>
      <c r="G30" s="309">
        <f t="shared" ca="1" si="0"/>
        <v>212300</v>
      </c>
      <c r="H30" s="334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0</v>
      </c>
      <c r="I30" s="334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10</v>
      </c>
      <c r="J30" s="335">
        <f t="shared" ca="1" si="1"/>
        <v>13605.46</v>
      </c>
      <c r="K30" s="310"/>
      <c r="L30" s="342"/>
    </row>
    <row r="31" spans="1:12" s="293" customFormat="1" ht="17.25" customHeight="1">
      <c r="A31" s="306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41836</v>
      </c>
      <c r="B31" s="306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306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41836</v>
      </c>
      <c r="D31" s="307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Q11 - VAT Phí xử lý bộ chứng từ</v>
      </c>
      <c r="E31" s="308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1331</v>
      </c>
      <c r="F31" s="309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21230</v>
      </c>
      <c r="G31" s="309">
        <f t="shared" ca="1" si="0"/>
        <v>21230</v>
      </c>
      <c r="H31" s="334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0</v>
      </c>
      <c r="I31" s="334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1</v>
      </c>
      <c r="J31" s="335">
        <f t="shared" ca="1" si="1"/>
        <v>13604.46</v>
      </c>
      <c r="K31" s="310"/>
      <c r="L31" s="342"/>
    </row>
    <row r="32" spans="1:12" s="293" customFormat="1" ht="17.25" customHeight="1">
      <c r="A32" s="306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41836</v>
      </c>
      <c r="B32" s="306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GBN</v>
      </c>
      <c r="C32" s="306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41836</v>
      </c>
      <c r="D32" s="307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Q11 - Phí DHL</v>
      </c>
      <c r="E32" s="308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6422</v>
      </c>
      <c r="F32" s="309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21230</v>
      </c>
      <c r="G32" s="309">
        <f t="shared" ca="1" si="0"/>
        <v>586373</v>
      </c>
      <c r="H32" s="334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0</v>
      </c>
      <c r="I32" s="334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27.62</v>
      </c>
      <c r="J32" s="335">
        <f t="shared" ca="1" si="1"/>
        <v>13576.84</v>
      </c>
      <c r="K32" s="310"/>
      <c r="L32" s="342"/>
    </row>
    <row r="33" spans="1:12" s="293" customFormat="1" ht="17.25" customHeight="1">
      <c r="A33" s="306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41836</v>
      </c>
      <c r="B33" s="306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306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41836</v>
      </c>
      <c r="D33" s="307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Q11 - VAT Phí DHL</v>
      </c>
      <c r="E33" s="308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1331</v>
      </c>
      <c r="F33" s="309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21230</v>
      </c>
      <c r="G33" s="309">
        <f t="shared" ca="1" si="0"/>
        <v>58595</v>
      </c>
      <c r="H33" s="334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334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2.76</v>
      </c>
      <c r="J33" s="335">
        <f t="shared" ca="1" si="1"/>
        <v>13574.08</v>
      </c>
      <c r="K33" s="310"/>
      <c r="L33" s="342"/>
    </row>
    <row r="34" spans="1:12" s="293" customFormat="1" ht="17.25" customHeight="1">
      <c r="A34" s="306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41836</v>
      </c>
      <c r="B34" s="306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GBN</v>
      </c>
      <c r="C34" s="306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41836</v>
      </c>
      <c r="D34" s="307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Q11 - Phí DHL</v>
      </c>
      <c r="E34" s="308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6422</v>
      </c>
      <c r="F34" s="309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21230</v>
      </c>
      <c r="G34" s="309">
        <f t="shared" ca="1" si="0"/>
        <v>758760</v>
      </c>
      <c r="H34" s="334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0</v>
      </c>
      <c r="I34" s="334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35.74</v>
      </c>
      <c r="J34" s="335">
        <f t="shared" ca="1" si="1"/>
        <v>13538.34</v>
      </c>
      <c r="K34" s="310"/>
      <c r="L34" s="342"/>
    </row>
    <row r="35" spans="1:12" s="293" customFormat="1" ht="17.25" customHeight="1">
      <c r="A35" s="306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41836</v>
      </c>
      <c r="B35" s="306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GBN</v>
      </c>
      <c r="C35" s="306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41836</v>
      </c>
      <c r="D35" s="307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Q11 - VAT Phí DHL</v>
      </c>
      <c r="E35" s="308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1331</v>
      </c>
      <c r="F35" s="309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21230</v>
      </c>
      <c r="G35" s="309">
        <f t="shared" ca="1" si="0"/>
        <v>75791</v>
      </c>
      <c r="H35" s="334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0</v>
      </c>
      <c r="I35" s="334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3.57</v>
      </c>
      <c r="J35" s="335">
        <f t="shared" ca="1" si="1"/>
        <v>13534.77</v>
      </c>
      <c r="K35" s="310"/>
      <c r="L35" s="342"/>
    </row>
    <row r="36" spans="1:12" s="293" customFormat="1" ht="17.25" customHeight="1">
      <c r="A36" s="306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>41838</v>
      </c>
      <c r="B36" s="306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>GBN</v>
      </c>
      <c r="C36" s="306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>41838</v>
      </c>
      <c r="D36" s="307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>Q11 - Trả lãi KU 1015LDS201400256</v>
      </c>
      <c r="E36" s="308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>635</v>
      </c>
      <c r="F36" s="309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>21230</v>
      </c>
      <c r="G36" s="309">
        <f t="shared" ca="1" si="0"/>
        <v>11269521</v>
      </c>
      <c r="H36" s="334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>0</v>
      </c>
      <c r="I36" s="334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>530.83000000000004</v>
      </c>
      <c r="J36" s="335">
        <f t="shared" ca="1" si="1"/>
        <v>13003.94</v>
      </c>
      <c r="K36" s="310"/>
      <c r="L36" s="342"/>
    </row>
    <row r="37" spans="1:12" s="293" customFormat="1" ht="17.25" customHeight="1">
      <c r="A37" s="306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>41838</v>
      </c>
      <c r="B37" s="306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>GBN</v>
      </c>
      <c r="C37" s="306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>41838</v>
      </c>
      <c r="D37" s="307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>Q11 - Trả lãi KU 1015LDS201400441</v>
      </c>
      <c r="E37" s="308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>635</v>
      </c>
      <c r="F37" s="309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>21230</v>
      </c>
      <c r="G37" s="309">
        <f t="shared" ca="1" si="0"/>
        <v>10967206</v>
      </c>
      <c r="H37" s="334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>0</v>
      </c>
      <c r="I37" s="334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>516.59</v>
      </c>
      <c r="J37" s="335">
        <f t="shared" ca="1" si="1"/>
        <v>12487.35</v>
      </c>
      <c r="K37" s="310"/>
      <c r="L37" s="342"/>
    </row>
    <row r="38" spans="1:12" s="293" customFormat="1" ht="17.25" customHeight="1">
      <c r="A38" s="306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>41838</v>
      </c>
      <c r="B38" s="306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>GBN</v>
      </c>
      <c r="C38" s="306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>41838</v>
      </c>
      <c r="D38" s="307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>Q11 - Trả lãi KU 1015LDS201400651</v>
      </c>
      <c r="E38" s="308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>635</v>
      </c>
      <c r="F38" s="309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>21230</v>
      </c>
      <c r="G38" s="309">
        <f t="shared" ca="1" si="0"/>
        <v>10407158</v>
      </c>
      <c r="H38" s="334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>0</v>
      </c>
      <c r="I38" s="334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>490.21</v>
      </c>
      <c r="J38" s="335">
        <f t="shared" ca="1" si="1"/>
        <v>11997.14</v>
      </c>
      <c r="K38" s="310"/>
      <c r="L38" s="342"/>
    </row>
    <row r="39" spans="1:12" s="293" customFormat="1" ht="17.25" customHeight="1">
      <c r="A39" s="306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>41841</v>
      </c>
      <c r="B39" s="306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>GBN</v>
      </c>
      <c r="C39" s="306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>41841</v>
      </c>
      <c r="D39" s="307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>Q11 - Phí thông báo L/C</v>
      </c>
      <c r="E39" s="308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>6422</v>
      </c>
      <c r="F39" s="309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>21190</v>
      </c>
      <c r="G39" s="309">
        <f t="shared" ca="1" si="0"/>
        <v>317850</v>
      </c>
      <c r="H39" s="334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>0</v>
      </c>
      <c r="I39" s="334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>15</v>
      </c>
      <c r="J39" s="335">
        <f t="shared" ca="1" si="1"/>
        <v>11982.14</v>
      </c>
      <c r="K39" s="310"/>
      <c r="L39" s="342"/>
    </row>
    <row r="40" spans="1:12" s="293" customFormat="1" ht="17.25" customHeight="1">
      <c r="A40" s="306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>41841</v>
      </c>
      <c r="B40" s="306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>GBN</v>
      </c>
      <c r="C40" s="306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>41841</v>
      </c>
      <c r="D40" s="307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>Q11 - VAT phí thông báo L/C</v>
      </c>
      <c r="E40" s="308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>1331</v>
      </c>
      <c r="F40" s="309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>21190</v>
      </c>
      <c r="G40" s="309">
        <f t="shared" ca="1" si="0"/>
        <v>31785</v>
      </c>
      <c r="H40" s="334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>0</v>
      </c>
      <c r="I40" s="334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>1.5</v>
      </c>
      <c r="J40" s="335">
        <f t="shared" ca="1" si="1"/>
        <v>11980.64</v>
      </c>
      <c r="K40" s="310"/>
      <c r="L40" s="342"/>
    </row>
    <row r="41" spans="1:12" s="293" customFormat="1" ht="17.25" customHeight="1">
      <c r="A41" s="306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>41842</v>
      </c>
      <c r="B41" s="306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>GBC</v>
      </c>
      <c r="C41" s="306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>41842</v>
      </c>
      <c r="D41" s="307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>Q11 - Chuyển ngoại tệ</v>
      </c>
      <c r="E41" s="308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>1122</v>
      </c>
      <c r="F41" s="309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>21200</v>
      </c>
      <c r="G41" s="309">
        <f t="shared" ca="1" si="0"/>
        <v>460040000</v>
      </c>
      <c r="H41" s="334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>21700</v>
      </c>
      <c r="I41" s="334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>0</v>
      </c>
      <c r="J41" s="335">
        <f t="shared" ca="1" si="1"/>
        <v>33680.639999999999</v>
      </c>
      <c r="K41" s="310"/>
      <c r="L41" s="342"/>
    </row>
    <row r="42" spans="1:12" s="293" customFormat="1" ht="17.25" customHeight="1">
      <c r="A42" s="306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>41842</v>
      </c>
      <c r="B42" s="306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>GBN</v>
      </c>
      <c r="C42" s="306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>41842</v>
      </c>
      <c r="D42" s="307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>Q11 - Bán ngoại tệ</v>
      </c>
      <c r="E42" s="308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>1121</v>
      </c>
      <c r="F42" s="309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>21220</v>
      </c>
      <c r="G42" s="309">
        <f t="shared" ca="1" si="0"/>
        <v>712992000</v>
      </c>
      <c r="H42" s="334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>0</v>
      </c>
      <c r="I42" s="334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>33600</v>
      </c>
      <c r="J42" s="335">
        <f ca="1">IF(A42&lt;&gt;"",ROUND(J41+H42-I42,2),"")</f>
        <v>80.64</v>
      </c>
      <c r="K42" s="310"/>
      <c r="L42" s="342"/>
    </row>
    <row r="43" spans="1:12" s="293" customFormat="1" ht="17.25" customHeight="1">
      <c r="A43" s="306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>41843</v>
      </c>
      <c r="B43" s="306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>GBC</v>
      </c>
      <c r="C43" s="306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>41843</v>
      </c>
      <c r="D43" s="307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>Q11 - Thu tiền hàng Jintatsu</v>
      </c>
      <c r="E43" s="308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>131</v>
      </c>
      <c r="F43" s="309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>21205</v>
      </c>
      <c r="G43" s="309">
        <f t="shared" ca="1" si="0"/>
        <v>12753111</v>
      </c>
      <c r="H43" s="334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>601.41999999999996</v>
      </c>
      <c r="I43" s="334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>0</v>
      </c>
      <c r="J43" s="335">
        <f t="shared" ca="1" si="1"/>
        <v>682.06</v>
      </c>
      <c r="K43" s="310"/>
      <c r="L43" s="342"/>
    </row>
    <row r="44" spans="1:12" s="293" customFormat="1" ht="17.25" customHeight="1">
      <c r="A44" s="306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>41845</v>
      </c>
      <c r="B44" s="306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>GBC</v>
      </c>
      <c r="C44" s="306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>41845</v>
      </c>
      <c r="D44" s="307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>Q11 - Lãi tiền gửi</v>
      </c>
      <c r="E44" s="308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>515</v>
      </c>
      <c r="F44" s="309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>21205</v>
      </c>
      <c r="G44" s="309">
        <f t="shared" ca="1" si="0"/>
        <v>27142</v>
      </c>
      <c r="H44" s="334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>1.28</v>
      </c>
      <c r="I44" s="334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>0</v>
      </c>
      <c r="J44" s="335">
        <f t="shared" ca="1" si="1"/>
        <v>683.34</v>
      </c>
      <c r="K44" s="310"/>
      <c r="L44" s="342"/>
    </row>
    <row r="45" spans="1:12" s="293" customFormat="1" ht="17.25" customHeight="1">
      <c r="A45" s="306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>41849</v>
      </c>
      <c r="B45" s="306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>GBC</v>
      </c>
      <c r="C45" s="306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>41849</v>
      </c>
      <c r="D45" s="307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>Q11 - Thu tiền hàng Trade House</v>
      </c>
      <c r="E45" s="308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>131</v>
      </c>
      <c r="F45" s="309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>21195</v>
      </c>
      <c r="G45" s="309">
        <f t="shared" ca="1" si="0"/>
        <v>2404530572</v>
      </c>
      <c r="H45" s="334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>113448.01</v>
      </c>
      <c r="I45" s="334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>0</v>
      </c>
      <c r="J45" s="335">
        <f t="shared" ca="1" si="1"/>
        <v>114131.35</v>
      </c>
      <c r="K45" s="310"/>
      <c r="L45" s="342"/>
    </row>
    <row r="46" spans="1:12" s="293" customFormat="1" ht="17.25" customHeight="1">
      <c r="A46" s="306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>41849</v>
      </c>
      <c r="B46" s="306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>GBN</v>
      </c>
      <c r="C46" s="306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>41849</v>
      </c>
      <c r="D46" s="307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>Q11 - Phí tu chỉnh L/C</v>
      </c>
      <c r="E46" s="308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>6422</v>
      </c>
      <c r="F46" s="309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>21195</v>
      </c>
      <c r="G46" s="309">
        <f t="shared" ca="1" si="0"/>
        <v>105975</v>
      </c>
      <c r="H46" s="334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>0</v>
      </c>
      <c r="I46" s="334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>5</v>
      </c>
      <c r="J46" s="335">
        <f t="shared" ca="1" si="1"/>
        <v>114126.35</v>
      </c>
      <c r="K46" s="310"/>
      <c r="L46" s="342"/>
    </row>
    <row r="47" spans="1:12" s="293" customFormat="1" ht="17.25" customHeight="1">
      <c r="A47" s="306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>41849</v>
      </c>
      <c r="B47" s="306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>GBN</v>
      </c>
      <c r="C47" s="306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>41849</v>
      </c>
      <c r="D47" s="307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>Q11 - VAT Phí tu chỉnh L/C</v>
      </c>
      <c r="E47" s="308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>1331</v>
      </c>
      <c r="F47" s="309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>21195</v>
      </c>
      <c r="G47" s="309">
        <f t="shared" ca="1" si="0"/>
        <v>10598</v>
      </c>
      <c r="H47" s="334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>0</v>
      </c>
      <c r="I47" s="334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>0.5</v>
      </c>
      <c r="J47" s="335">
        <f t="shared" ca="1" si="1"/>
        <v>114125.85</v>
      </c>
      <c r="K47" s="310"/>
      <c r="L47" s="342"/>
    </row>
    <row r="48" spans="1:12" s="293" customFormat="1" ht="17.25" customHeight="1">
      <c r="A48" s="306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>41849</v>
      </c>
      <c r="B48" s="306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>GBN</v>
      </c>
      <c r="C48" s="306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>41849</v>
      </c>
      <c r="D48" s="307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>Q11 - Bán ngoại tệ</v>
      </c>
      <c r="E48" s="308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>1121</v>
      </c>
      <c r="F48" s="309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>21225</v>
      </c>
      <c r="G48" s="309">
        <f t="shared" ca="1" si="0"/>
        <v>936022500</v>
      </c>
      <c r="H48" s="334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>0</v>
      </c>
      <c r="I48" s="334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>44100</v>
      </c>
      <c r="J48" s="335">
        <f t="shared" ca="1" si="1"/>
        <v>70025.850000000006</v>
      </c>
      <c r="K48" s="310"/>
      <c r="L48" s="342"/>
    </row>
    <row r="49" spans="1:12" s="293" customFormat="1" ht="17.25" customHeight="1">
      <c r="A49" s="306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>41851</v>
      </c>
      <c r="B49" s="306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>GBN</v>
      </c>
      <c r="C49" s="306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>41851</v>
      </c>
      <c r="D49" s="307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>Q11 - Bán ngoại tệ</v>
      </c>
      <c r="E49" s="308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>1121</v>
      </c>
      <c r="F49" s="309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>21220</v>
      </c>
      <c r="G49" s="309">
        <f t="shared" ca="1" si="0"/>
        <v>106100000</v>
      </c>
      <c r="H49" s="334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>0</v>
      </c>
      <c r="I49" s="334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>5000</v>
      </c>
      <c r="J49" s="335">
        <f t="shared" ca="1" si="1"/>
        <v>65025.85</v>
      </c>
      <c r="K49" s="310"/>
      <c r="L49" s="342"/>
    </row>
    <row r="50" spans="1:12" s="293" customFormat="1" ht="17.25" customHeight="1">
      <c r="A50" s="306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>41828</v>
      </c>
      <c r="B50" s="306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>GBC</v>
      </c>
      <c r="C50" s="306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>41828</v>
      </c>
      <c r="D50" s="307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>Q4 - Thu tiền hàng Ukraina</v>
      </c>
      <c r="E50" s="308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>131</v>
      </c>
      <c r="F50" s="309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>21170</v>
      </c>
      <c r="G50" s="309">
        <f t="shared" ca="1" si="0"/>
        <v>930480988</v>
      </c>
      <c r="H50" s="334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>43952.81</v>
      </c>
      <c r="I50" s="334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>0</v>
      </c>
      <c r="J50" s="335">
        <f t="shared" ca="1" si="1"/>
        <v>108978.66</v>
      </c>
      <c r="K50" s="310"/>
      <c r="L50" s="342"/>
    </row>
    <row r="51" spans="1:12" s="293" customFormat="1" ht="17.25" customHeight="1">
      <c r="A51" s="306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>41828</v>
      </c>
      <c r="B51" s="306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>GBN</v>
      </c>
      <c r="C51" s="306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>41828</v>
      </c>
      <c r="D51" s="307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>Q4 - Bán ngoại tệ</v>
      </c>
      <c r="E51" s="308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>1121</v>
      </c>
      <c r="F51" s="309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>21260</v>
      </c>
      <c r="G51" s="309">
        <f t="shared" ref="G51:G58" ca="1" si="2">IF(D51="","",ROUND(F51*(H51+I51),0))</f>
        <v>933314000</v>
      </c>
      <c r="H51" s="334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>0</v>
      </c>
      <c r="I51" s="334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>43900</v>
      </c>
      <c r="J51" s="335">
        <f t="shared" ref="J51:J58" ca="1" si="3">IF(A51&lt;&gt;"",ROUND(J50+H51-I51,2),"")</f>
        <v>65078.66</v>
      </c>
      <c r="K51" s="310"/>
      <c r="L51" s="342"/>
    </row>
    <row r="52" spans="1:12" s="293" customFormat="1" ht="17.25" customHeight="1">
      <c r="A52" s="306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>41842</v>
      </c>
      <c r="B52" s="306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>GBC</v>
      </c>
      <c r="C52" s="306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>41842</v>
      </c>
      <c r="D52" s="307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>Q4 - Thu tiền hàng Jintatsu</v>
      </c>
      <c r="E52" s="308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>131</v>
      </c>
      <c r="F52" s="309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>21210</v>
      </c>
      <c r="G52" s="309">
        <f t="shared" ca="1" si="2"/>
        <v>460257000</v>
      </c>
      <c r="H52" s="334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>21700</v>
      </c>
      <c r="I52" s="334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>0</v>
      </c>
      <c r="J52" s="335">
        <f t="shared" ca="1" si="3"/>
        <v>86778.66</v>
      </c>
      <c r="K52" s="310"/>
      <c r="L52" s="342"/>
    </row>
    <row r="53" spans="1:12" s="293" customFormat="1" ht="17.25" customHeight="1">
      <c r="A53" s="306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>41842</v>
      </c>
      <c r="B53" s="306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>GBC</v>
      </c>
      <c r="C53" s="306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>41842</v>
      </c>
      <c r="D53" s="307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>Q4 - Chuyển ngoại tệ</v>
      </c>
      <c r="E53" s="308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>1122</v>
      </c>
      <c r="F53" s="309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>21200</v>
      </c>
      <c r="G53" s="309">
        <f t="shared" ca="1" si="2"/>
        <v>460040000</v>
      </c>
      <c r="H53" s="334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>0</v>
      </c>
      <c r="I53" s="334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>21700</v>
      </c>
      <c r="J53" s="335">
        <f t="shared" ca="1" si="3"/>
        <v>65078.66</v>
      </c>
      <c r="K53" s="310"/>
      <c r="L53" s="342"/>
    </row>
    <row r="54" spans="1:12" s="293" customFormat="1" ht="17.25" customHeight="1">
      <c r="A54" s="306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>41850</v>
      </c>
      <c r="B54" s="306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>GBC</v>
      </c>
      <c r="C54" s="306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>41850</v>
      </c>
      <c r="D54" s="307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>Q4 - Thu tiền hàng Jintatsu</v>
      </c>
      <c r="E54" s="308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>131</v>
      </c>
      <c r="F54" s="309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>21210</v>
      </c>
      <c r="G54" s="309">
        <f t="shared" ca="1" si="2"/>
        <v>19881830</v>
      </c>
      <c r="H54" s="334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>937.38</v>
      </c>
      <c r="I54" s="334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>0</v>
      </c>
      <c r="J54" s="335">
        <f t="shared" ca="1" si="3"/>
        <v>66016.039999999994</v>
      </c>
      <c r="K54" s="310"/>
      <c r="L54" s="342"/>
    </row>
    <row r="55" spans="1:12" s="293" customFormat="1" ht="17.25" customHeight="1">
      <c r="A55" s="306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>41850</v>
      </c>
      <c r="B55" s="306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>GBC</v>
      </c>
      <c r="C55" s="306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>41850</v>
      </c>
      <c r="D55" s="307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>Q4 - Lãi suất CK L/C</v>
      </c>
      <c r="E55" s="308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>635</v>
      </c>
      <c r="F55" s="309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>21210</v>
      </c>
      <c r="G55" s="309">
        <f t="shared" ca="1" si="2"/>
        <v>358025</v>
      </c>
      <c r="H55" s="334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>0</v>
      </c>
      <c r="I55" s="334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>16.88</v>
      </c>
      <c r="J55" s="335">
        <f t="shared" ca="1" si="3"/>
        <v>65999.16</v>
      </c>
      <c r="K55" s="310"/>
      <c r="L55" s="342"/>
    </row>
    <row r="56" spans="1:12" s="293" customFormat="1" ht="17.25" customHeight="1">
      <c r="A56" s="306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306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306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307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308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309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309" t="str">
        <f t="shared" ca="1" si="2"/>
        <v/>
      </c>
      <c r="H56" s="334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334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335" t="str">
        <f t="shared" ca="1" si="3"/>
        <v/>
      </c>
      <c r="K56" s="310"/>
      <c r="L56" s="342"/>
    </row>
    <row r="57" spans="1:12" s="293" customFormat="1" ht="17.25" customHeight="1">
      <c r="A57" s="306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306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306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307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308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309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309" t="str">
        <f t="shared" ca="1" si="2"/>
        <v/>
      </c>
      <c r="H57" s="334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334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335" t="str">
        <f t="shared" ca="1" si="3"/>
        <v/>
      </c>
      <c r="K57" s="310"/>
      <c r="L57" s="342"/>
    </row>
    <row r="58" spans="1:12" s="293" customFormat="1" ht="17.25" customHeight="1">
      <c r="A58" s="306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306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306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307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308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309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309" t="str">
        <f t="shared" ca="1" si="2"/>
        <v/>
      </c>
      <c r="H58" s="334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334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335" t="str">
        <f t="shared" ca="1" si="3"/>
        <v/>
      </c>
      <c r="K58" s="310"/>
      <c r="L58" s="342"/>
    </row>
    <row r="59" spans="1:12" s="293" customFormat="1" ht="17.25" customHeight="1">
      <c r="A59" s="306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306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306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307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308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309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309" t="str">
        <f t="shared" ref="G59:G78" ca="1" si="4">IF(D59="","",ROUND(F59*(H59+I59),0))</f>
        <v/>
      </c>
      <c r="H59" s="334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334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335" t="str">
        <f t="shared" ref="J59:J78" ca="1" si="5">IF(A59&lt;&gt;"",ROUND(J58+H59-I59,2),"")</f>
        <v/>
      </c>
      <c r="K59" s="310"/>
      <c r="L59" s="342"/>
    </row>
    <row r="60" spans="1:12" s="293" customFormat="1" ht="17.25" customHeight="1">
      <c r="A60" s="306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306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306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307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308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309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309" t="str">
        <f t="shared" ca="1" si="4"/>
        <v/>
      </c>
      <c r="H60" s="334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334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335" t="str">
        <f t="shared" ca="1" si="5"/>
        <v/>
      </c>
      <c r="K60" s="310"/>
      <c r="L60" s="342"/>
    </row>
    <row r="61" spans="1:12" s="293" customFormat="1" ht="17.25" customHeight="1">
      <c r="A61" s="306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306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306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307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308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309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309" t="str">
        <f t="shared" ca="1" si="4"/>
        <v/>
      </c>
      <c r="H61" s="334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334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335" t="str">
        <f t="shared" ca="1" si="5"/>
        <v/>
      </c>
      <c r="K61" s="310"/>
      <c r="L61" s="342"/>
    </row>
    <row r="62" spans="1:12" s="293" customFormat="1" ht="17.25" customHeight="1">
      <c r="A62" s="306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306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306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307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308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309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309" t="str">
        <f t="shared" ca="1" si="4"/>
        <v/>
      </c>
      <c r="H62" s="334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334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335" t="str">
        <f t="shared" ca="1" si="5"/>
        <v/>
      </c>
      <c r="K62" s="310"/>
      <c r="L62" s="342"/>
    </row>
    <row r="63" spans="1:12" s="293" customFormat="1" ht="17.25" customHeight="1">
      <c r="A63" s="306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306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306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307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308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309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309" t="str">
        <f t="shared" ca="1" si="4"/>
        <v/>
      </c>
      <c r="H63" s="334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334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335" t="str">
        <f t="shared" ca="1" si="5"/>
        <v/>
      </c>
      <c r="K63" s="310"/>
      <c r="L63" s="342"/>
    </row>
    <row r="64" spans="1:12" s="293" customFormat="1" ht="17.25" customHeight="1">
      <c r="A64" s="306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306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306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307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308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309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309" t="str">
        <f t="shared" ca="1" si="4"/>
        <v/>
      </c>
      <c r="H64" s="334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334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335" t="str">
        <f t="shared" ca="1" si="5"/>
        <v/>
      </c>
      <c r="K64" s="310"/>
      <c r="L64" s="342"/>
    </row>
    <row r="65" spans="1:12" s="293" customFormat="1" ht="17.25" customHeight="1">
      <c r="A65" s="306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306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306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307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308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309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309" t="str">
        <f t="shared" ca="1" si="4"/>
        <v/>
      </c>
      <c r="H65" s="334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334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335" t="str">
        <f t="shared" ca="1" si="5"/>
        <v/>
      </c>
      <c r="K65" s="310"/>
      <c r="L65" s="342"/>
    </row>
    <row r="66" spans="1:12" s="293" customFormat="1" ht="17.25" customHeight="1">
      <c r="A66" s="306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306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306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307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308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309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309" t="str">
        <f t="shared" ca="1" si="4"/>
        <v/>
      </c>
      <c r="H66" s="334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334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335" t="str">
        <f t="shared" ca="1" si="5"/>
        <v/>
      </c>
      <c r="K66" s="310"/>
      <c r="L66" s="342"/>
    </row>
    <row r="67" spans="1:12" s="293" customFormat="1" ht="17.25" customHeight="1">
      <c r="A67" s="306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306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306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307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308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309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309" t="str">
        <f t="shared" ca="1" si="4"/>
        <v/>
      </c>
      <c r="H67" s="334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334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335" t="str">
        <f t="shared" ca="1" si="5"/>
        <v/>
      </c>
      <c r="K67" s="310"/>
      <c r="L67" s="342"/>
    </row>
    <row r="68" spans="1:12" s="293" customFormat="1" ht="17.25" customHeight="1">
      <c r="A68" s="306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306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306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307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308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309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309" t="str">
        <f t="shared" ca="1" si="4"/>
        <v/>
      </c>
      <c r="H68" s="334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334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335" t="str">
        <f t="shared" ca="1" si="5"/>
        <v/>
      </c>
      <c r="K68" s="310"/>
      <c r="L68" s="342"/>
    </row>
    <row r="69" spans="1:12" s="293" customFormat="1" ht="17.25" customHeight="1">
      <c r="A69" s="306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306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306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307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308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309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309" t="str">
        <f t="shared" ca="1" si="4"/>
        <v/>
      </c>
      <c r="H69" s="334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334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335" t="str">
        <f t="shared" ca="1" si="5"/>
        <v/>
      </c>
      <c r="K69" s="310"/>
      <c r="L69" s="342"/>
    </row>
    <row r="70" spans="1:12" s="293" customFormat="1" ht="17.25" customHeight="1">
      <c r="A70" s="306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306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306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307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308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309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309" t="str">
        <f t="shared" ca="1" si="4"/>
        <v/>
      </c>
      <c r="H70" s="334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334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335" t="str">
        <f t="shared" ca="1" si="5"/>
        <v/>
      </c>
      <c r="K70" s="310"/>
      <c r="L70" s="342"/>
    </row>
    <row r="71" spans="1:12" s="293" customFormat="1" ht="17.25" customHeight="1">
      <c r="A71" s="306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306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306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307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308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309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309" t="str">
        <f t="shared" ca="1" si="4"/>
        <v/>
      </c>
      <c r="H71" s="334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334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335" t="str">
        <f t="shared" ca="1" si="5"/>
        <v/>
      </c>
      <c r="K71" s="310"/>
      <c r="L71" s="342"/>
    </row>
    <row r="72" spans="1:12" s="293" customFormat="1" ht="17.25" customHeight="1">
      <c r="A72" s="306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306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306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307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308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309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309" t="str">
        <f t="shared" ca="1" si="4"/>
        <v/>
      </c>
      <c r="H72" s="334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334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335" t="str">
        <f t="shared" ca="1" si="5"/>
        <v/>
      </c>
      <c r="K72" s="310"/>
      <c r="L72" s="342"/>
    </row>
    <row r="73" spans="1:12" s="293" customFormat="1" ht="17.25" customHeight="1">
      <c r="A73" s="306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306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306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307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308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309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309" t="str">
        <f t="shared" ca="1" si="4"/>
        <v/>
      </c>
      <c r="H73" s="334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334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335" t="str">
        <f t="shared" ca="1" si="5"/>
        <v/>
      </c>
      <c r="K73" s="310"/>
      <c r="L73" s="342"/>
    </row>
    <row r="74" spans="1:12" s="293" customFormat="1" ht="17.25" customHeight="1">
      <c r="A74" s="306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306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306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307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308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309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309" t="str">
        <f t="shared" ca="1" si="4"/>
        <v/>
      </c>
      <c r="H74" s="334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334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335" t="str">
        <f t="shared" ca="1" si="5"/>
        <v/>
      </c>
      <c r="K74" s="310"/>
      <c r="L74" s="342"/>
    </row>
    <row r="75" spans="1:12" s="293" customFormat="1" ht="17.25" customHeight="1">
      <c r="A75" s="306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306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306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307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308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309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309" t="str">
        <f t="shared" ca="1" si="4"/>
        <v/>
      </c>
      <c r="H75" s="334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334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335" t="str">
        <f t="shared" ca="1" si="5"/>
        <v/>
      </c>
      <c r="K75" s="310"/>
      <c r="L75" s="342"/>
    </row>
    <row r="76" spans="1:12" s="293" customFormat="1" ht="17.25" customHeight="1">
      <c r="A76" s="306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306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306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307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308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309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309" t="str">
        <f t="shared" ca="1" si="4"/>
        <v/>
      </c>
      <c r="H76" s="334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334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335" t="str">
        <f t="shared" ca="1" si="5"/>
        <v/>
      </c>
      <c r="K76" s="310"/>
      <c r="L76" s="342"/>
    </row>
    <row r="77" spans="1:12" s="293" customFormat="1" ht="17.25" customHeight="1">
      <c r="A77" s="306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306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306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307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308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309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309" t="str">
        <f t="shared" ca="1" si="4"/>
        <v/>
      </c>
      <c r="H77" s="334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334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335" t="str">
        <f t="shared" ca="1" si="5"/>
        <v/>
      </c>
      <c r="K77" s="310"/>
      <c r="L77" s="342"/>
    </row>
    <row r="78" spans="1:12" s="293" customFormat="1" ht="17.25" customHeight="1">
      <c r="A78" s="306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306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306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307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308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309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309" t="str">
        <f t="shared" ca="1" si="4"/>
        <v/>
      </c>
      <c r="H78" s="334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334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335" t="str">
        <f t="shared" ca="1" si="5"/>
        <v/>
      </c>
      <c r="K78" s="310"/>
      <c r="L78" s="342"/>
    </row>
    <row r="79" spans="1:12" s="281" customFormat="1" ht="17.25" customHeight="1">
      <c r="A79" s="306"/>
      <c r="B79" s="306"/>
      <c r="C79" s="306"/>
      <c r="D79" s="307"/>
      <c r="E79" s="308"/>
      <c r="F79" s="306"/>
      <c r="G79" s="306"/>
      <c r="H79" s="309"/>
      <c r="I79" s="309"/>
      <c r="J79" s="336"/>
      <c r="K79" s="310"/>
      <c r="L79" s="342"/>
    </row>
    <row r="80" spans="1:12" s="293" customFormat="1" ht="17.25" customHeight="1">
      <c r="A80" s="312"/>
      <c r="B80" s="313"/>
      <c r="C80" s="312"/>
      <c r="D80" s="305" t="s">
        <v>29</v>
      </c>
      <c r="E80" s="314"/>
      <c r="F80" s="314"/>
      <c r="G80" s="314"/>
      <c r="H80" s="337">
        <f ca="1">SUM(H12:H79)</f>
        <v>469368.5</v>
      </c>
      <c r="I80" s="337">
        <f ca="1">SUM(I12:I79)</f>
        <v>461854.43000000011</v>
      </c>
      <c r="J80" s="333">
        <f ca="1">J11+H80-I80</f>
        <v>65999.159999999974</v>
      </c>
      <c r="K80" s="316"/>
      <c r="L80" s="343"/>
    </row>
    <row r="81" spans="1:12" s="293" customFormat="1" ht="17.25" customHeight="1">
      <c r="A81" s="312"/>
      <c r="B81" s="313"/>
      <c r="C81" s="312"/>
      <c r="D81" s="305" t="s">
        <v>183</v>
      </c>
      <c r="E81" s="314"/>
      <c r="F81" s="314"/>
      <c r="G81" s="314"/>
      <c r="H81" s="305"/>
      <c r="I81" s="305"/>
      <c r="J81" s="333">
        <f ca="1">J80</f>
        <v>65999.159999999974</v>
      </c>
      <c r="K81" s="316"/>
      <c r="L81" s="343"/>
    </row>
    <row r="82" spans="1:12" s="281" customFormat="1" ht="22.5" customHeight="1">
      <c r="A82" s="317" t="s">
        <v>184</v>
      </c>
      <c r="B82" s="318"/>
      <c r="C82" s="277"/>
      <c r="D82" s="278"/>
      <c r="E82" s="279"/>
      <c r="F82" s="279"/>
      <c r="G82" s="279"/>
      <c r="H82" s="319"/>
      <c r="I82" s="319"/>
    </row>
    <row r="83" spans="1:12" s="281" customFormat="1" ht="15">
      <c r="A83" s="320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7 năm 2014</v>
      </c>
      <c r="B83" s="282"/>
      <c r="C83" s="277"/>
      <c r="D83" s="278"/>
      <c r="E83" s="279"/>
      <c r="F83" s="279"/>
      <c r="G83" s="279"/>
    </row>
    <row r="84" spans="1:12" s="281" customFormat="1" ht="15">
      <c r="A84" s="321"/>
      <c r="B84" s="276"/>
      <c r="C84" s="322"/>
      <c r="D84" s="278"/>
      <c r="E84" s="279"/>
      <c r="F84" s="279"/>
      <c r="G84" s="279"/>
      <c r="I84" s="443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31  tháng  7  năm 2015</v>
      </c>
      <c r="J84" s="443"/>
      <c r="K84" s="443"/>
      <c r="L84" s="338"/>
    </row>
    <row r="85" spans="1:12" s="281" customFormat="1" ht="17.25" customHeight="1">
      <c r="A85" s="449" t="s">
        <v>33</v>
      </c>
      <c r="B85" s="449"/>
      <c r="C85" s="323"/>
      <c r="D85" s="278"/>
      <c r="E85" s="324" t="s">
        <v>13</v>
      </c>
      <c r="F85" s="324"/>
      <c r="G85" s="324"/>
      <c r="H85" s="280"/>
      <c r="I85" s="276"/>
      <c r="J85" s="325" t="s">
        <v>14</v>
      </c>
      <c r="K85" s="325"/>
      <c r="L85" s="325"/>
    </row>
    <row r="86" spans="1:12" s="281" customFormat="1" ht="15">
      <c r="A86" s="442" t="s">
        <v>15</v>
      </c>
      <c r="B86" s="442"/>
      <c r="C86" s="326"/>
      <c r="D86" s="278"/>
      <c r="E86" s="327" t="s">
        <v>15</v>
      </c>
      <c r="F86" s="327"/>
      <c r="G86" s="327"/>
      <c r="H86" s="282"/>
      <c r="I86" s="442" t="s">
        <v>16</v>
      </c>
      <c r="J86" s="442"/>
      <c r="K86" s="442"/>
      <c r="L86" s="282"/>
    </row>
    <row r="97" spans="8:8">
      <c r="H97" s="332">
        <f>ROWS($1:41)</f>
        <v>41</v>
      </c>
    </row>
  </sheetData>
  <sheetProtection sheet="1" objects="1" scenarios="1" insertRows="0" deleteRows="0" autoFilter="0"/>
  <autoFilter ref="A10:K78">
    <filterColumn colId="4"/>
    <filterColumn colId="7"/>
  </autoFilter>
  <dataConsolidate/>
  <mergeCells count="20"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  <mergeCell ref="H1:K1"/>
    <mergeCell ref="H2:K2"/>
    <mergeCell ref="H3:K3"/>
    <mergeCell ref="A4:K4"/>
    <mergeCell ref="A5:K5"/>
    <mergeCell ref="A2:D3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97"/>
  <sheetViews>
    <sheetView topLeftCell="B1" zoomScale="90" workbookViewId="0">
      <selection activeCell="J1" sqref="J1:M3"/>
    </sheetView>
  </sheetViews>
  <sheetFormatPr defaultRowHeight="15"/>
  <cols>
    <col min="1" max="1" width="5.140625" style="6" hidden="1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6.7109375" style="6" hidden="1" customWidth="1"/>
    <col min="8" max="8" width="34.855468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">
        <v>49</v>
      </c>
      <c r="C2" s="379"/>
      <c r="D2" s="379"/>
      <c r="E2" s="379"/>
      <c r="F2" s="379"/>
      <c r="G2" s="379"/>
      <c r="H2" s="379"/>
      <c r="J2" s="393" t="s">
        <v>785</v>
      </c>
      <c r="K2" s="393"/>
      <c r="L2" s="393"/>
      <c r="M2" s="393"/>
    </row>
    <row r="3" spans="1:13" s="11" customFormat="1" ht="16.5" customHeight="1">
      <c r="B3" s="9"/>
      <c r="C3" s="379"/>
      <c r="D3" s="14"/>
      <c r="E3" s="14"/>
      <c r="F3" s="379"/>
      <c r="G3" s="379"/>
      <c r="H3" s="379"/>
      <c r="J3" s="393"/>
      <c r="K3" s="393"/>
      <c r="L3" s="393"/>
      <c r="M3" s="393"/>
    </row>
    <row r="4" spans="1:13" s="11" customFormat="1" ht="6.75" customHeight="1">
      <c r="B4" s="379"/>
      <c r="C4" s="379"/>
      <c r="D4" s="379"/>
      <c r="E4" s="379"/>
      <c r="F4" s="379"/>
      <c r="G4" s="379"/>
      <c r="H4" s="379"/>
      <c r="J4" s="380"/>
      <c r="K4" s="380"/>
      <c r="L4" s="380"/>
      <c r="M4" s="380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27.75" customHeight="1">
      <c r="B9" s="396" t="s">
        <v>20</v>
      </c>
      <c r="C9" s="396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6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4" customHeight="1">
      <c r="B10" s="397"/>
      <c r="C10" s="397"/>
      <c r="D10" s="382" t="s">
        <v>5</v>
      </c>
      <c r="E10" s="382" t="s">
        <v>6</v>
      </c>
      <c r="F10" s="395"/>
      <c r="G10" s="397"/>
      <c r="H10" s="397"/>
      <c r="I10" s="397"/>
      <c r="J10" s="382" t="s">
        <v>25</v>
      </c>
      <c r="K10" s="382" t="s">
        <v>26</v>
      </c>
      <c r="L10" s="395"/>
      <c r="M10" s="395"/>
    </row>
    <row r="11" spans="1:13" s="18" customFormat="1" ht="11.25" customHeight="1">
      <c r="B11" s="17" t="s">
        <v>7</v>
      </c>
      <c r="C11" s="17" t="s">
        <v>8</v>
      </c>
      <c r="D11" s="17" t="s">
        <v>9</v>
      </c>
      <c r="E11" s="17" t="s">
        <v>10</v>
      </c>
      <c r="F11" s="17" t="s">
        <v>11</v>
      </c>
      <c r="G11" s="17"/>
      <c r="H11" s="17"/>
      <c r="I11" s="17" t="s">
        <v>27</v>
      </c>
      <c r="J11" s="17">
        <v>1</v>
      </c>
      <c r="K11" s="17">
        <v>2</v>
      </c>
      <c r="L11" s="17">
        <v>3</v>
      </c>
      <c r="M11" s="17" t="s">
        <v>12</v>
      </c>
    </row>
    <row r="12" spans="1:13" s="44" customFormat="1" ht="17.25" customHeight="1">
      <c r="B12" s="42"/>
      <c r="C12" s="42"/>
      <c r="D12" s="42"/>
      <c r="E12" s="42"/>
      <c r="F12" s="42" t="s">
        <v>28</v>
      </c>
      <c r="G12" s="42"/>
      <c r="H12" s="42"/>
      <c r="I12" s="47"/>
      <c r="J12" s="35"/>
      <c r="K12" s="42"/>
      <c r="L12" s="49">
        <v>811693630</v>
      </c>
      <c r="M12" s="42"/>
    </row>
    <row r="13" spans="1:13" ht="17.25" customHeight="1">
      <c r="A13" s="6" t="str">
        <f t="shared" ref="A13:A79" si="0">D13&amp;E13</f>
        <v>C01</v>
      </c>
      <c r="B13" s="3">
        <v>41641</v>
      </c>
      <c r="C13" s="3">
        <v>41638</v>
      </c>
      <c r="D13" s="4"/>
      <c r="E13" s="22" t="s">
        <v>87</v>
      </c>
      <c r="F13" s="5" t="s">
        <v>226</v>
      </c>
      <c r="G13" s="124"/>
      <c r="H13" s="5"/>
      <c r="I13" s="28" t="s">
        <v>54</v>
      </c>
      <c r="J13" s="21"/>
      <c r="K13" s="5">
        <v>15869850</v>
      </c>
      <c r="L13" s="4">
        <v>795823780</v>
      </c>
      <c r="M13" s="19"/>
    </row>
    <row r="14" spans="1:13" ht="17.25" customHeight="1">
      <c r="A14" s="6" t="str">
        <f t="shared" si="0"/>
        <v>C01</v>
      </c>
      <c r="B14" s="3">
        <v>41641</v>
      </c>
      <c r="C14" s="3">
        <v>41638</v>
      </c>
      <c r="D14" s="4"/>
      <c r="E14" s="22" t="s">
        <v>87</v>
      </c>
      <c r="F14" s="5" t="s">
        <v>55</v>
      </c>
      <c r="G14" s="124"/>
      <c r="H14" s="5"/>
      <c r="I14" s="28" t="s">
        <v>35</v>
      </c>
      <c r="J14" s="21"/>
      <c r="K14" s="5">
        <v>577800</v>
      </c>
      <c r="L14" s="4">
        <v>795245980</v>
      </c>
      <c r="M14" s="19"/>
    </row>
    <row r="15" spans="1:13" ht="17.25" customHeight="1">
      <c r="A15" s="6" t="str">
        <f t="shared" si="0"/>
        <v>C01</v>
      </c>
      <c r="B15" s="3">
        <v>41641</v>
      </c>
      <c r="C15" s="3">
        <v>41638</v>
      </c>
      <c r="D15" s="4"/>
      <c r="E15" s="22" t="s">
        <v>87</v>
      </c>
      <c r="F15" s="5" t="s">
        <v>245</v>
      </c>
      <c r="G15" s="124"/>
      <c r="H15" s="5"/>
      <c r="I15" s="28" t="s">
        <v>35</v>
      </c>
      <c r="J15" s="21"/>
      <c r="K15" s="5">
        <v>243225</v>
      </c>
      <c r="L15" s="4">
        <v>795002755</v>
      </c>
      <c r="M15" s="19"/>
    </row>
    <row r="16" spans="1:13" ht="17.25" customHeight="1">
      <c r="A16" s="6" t="str">
        <f t="shared" si="0"/>
        <v>C02</v>
      </c>
      <c r="B16" s="3">
        <v>41641</v>
      </c>
      <c r="C16" s="3">
        <v>41639</v>
      </c>
      <c r="D16" s="4"/>
      <c r="E16" s="22" t="s">
        <v>88</v>
      </c>
      <c r="F16" s="5" t="s">
        <v>246</v>
      </c>
      <c r="G16" s="124"/>
      <c r="H16" s="5"/>
      <c r="I16" s="28" t="s">
        <v>247</v>
      </c>
      <c r="J16" s="21"/>
      <c r="K16" s="5">
        <v>2244902</v>
      </c>
      <c r="L16" s="4">
        <v>792757853</v>
      </c>
      <c r="M16" s="19"/>
    </row>
    <row r="17" spans="1:13" ht="17.25" customHeight="1">
      <c r="A17" s="6" t="str">
        <f t="shared" si="0"/>
        <v>C02</v>
      </c>
      <c r="B17" s="3">
        <v>41641</v>
      </c>
      <c r="C17" s="3">
        <v>41639</v>
      </c>
      <c r="D17" s="4"/>
      <c r="E17" s="22" t="s">
        <v>88</v>
      </c>
      <c r="F17" s="5" t="s">
        <v>248</v>
      </c>
      <c r="G17" s="124"/>
      <c r="H17" s="5"/>
      <c r="I17" s="28" t="s">
        <v>35</v>
      </c>
      <c r="J17" s="21"/>
      <c r="K17" s="5">
        <v>224490</v>
      </c>
      <c r="L17" s="4">
        <v>792533363</v>
      </c>
      <c r="M17" s="19"/>
    </row>
    <row r="18" spans="1:13" ht="17.25" customHeight="1">
      <c r="A18" s="6" t="str">
        <f t="shared" si="0"/>
        <v>C03</v>
      </c>
      <c r="B18" s="3">
        <v>41641</v>
      </c>
      <c r="C18" s="3">
        <v>41639</v>
      </c>
      <c r="D18" s="4"/>
      <c r="E18" s="22" t="s">
        <v>89</v>
      </c>
      <c r="F18" s="5" t="s">
        <v>249</v>
      </c>
      <c r="G18" s="124"/>
      <c r="H18" s="5"/>
      <c r="I18" s="28" t="s">
        <v>247</v>
      </c>
      <c r="J18" s="21"/>
      <c r="K18" s="5">
        <v>110400</v>
      </c>
      <c r="L18" s="4">
        <v>792422963</v>
      </c>
      <c r="M18" s="19"/>
    </row>
    <row r="19" spans="1:13" ht="17.25" customHeight="1">
      <c r="A19" s="6" t="str">
        <f t="shared" si="0"/>
        <v>C03</v>
      </c>
      <c r="B19" s="3">
        <v>41641</v>
      </c>
      <c r="C19" s="3">
        <v>41639</v>
      </c>
      <c r="D19" s="4"/>
      <c r="E19" s="22" t="s">
        <v>89</v>
      </c>
      <c r="F19" s="5" t="s">
        <v>250</v>
      </c>
      <c r="G19" s="124"/>
      <c r="H19" s="5"/>
      <c r="I19" s="28" t="s">
        <v>35</v>
      </c>
      <c r="J19" s="21"/>
      <c r="K19" s="5">
        <v>11040</v>
      </c>
      <c r="L19" s="4">
        <v>792411923</v>
      </c>
      <c r="M19" s="19"/>
    </row>
    <row r="20" spans="1:13" ht="17.25" customHeight="1">
      <c r="A20" s="6" t="str">
        <f t="shared" si="0"/>
        <v>C04</v>
      </c>
      <c r="B20" s="3">
        <v>41641</v>
      </c>
      <c r="C20" s="3">
        <v>41641</v>
      </c>
      <c r="D20" s="4"/>
      <c r="E20" s="22" t="s">
        <v>90</v>
      </c>
      <c r="F20" s="5" t="s">
        <v>251</v>
      </c>
      <c r="G20" s="124"/>
      <c r="H20" s="5"/>
      <c r="I20" s="28" t="s">
        <v>54</v>
      </c>
      <c r="J20" s="21"/>
      <c r="K20" s="5">
        <v>1920000</v>
      </c>
      <c r="L20" s="4">
        <v>790491923</v>
      </c>
      <c r="M20" s="19"/>
    </row>
    <row r="21" spans="1:13" ht="17.25" customHeight="1">
      <c r="A21" s="6" t="str">
        <f t="shared" si="0"/>
        <v>C04</v>
      </c>
      <c r="B21" s="3">
        <v>41641</v>
      </c>
      <c r="C21" s="3">
        <v>41641</v>
      </c>
      <c r="D21" s="4"/>
      <c r="E21" s="22" t="s">
        <v>90</v>
      </c>
      <c r="F21" s="5" t="s">
        <v>252</v>
      </c>
      <c r="G21" s="5"/>
      <c r="H21" s="5"/>
      <c r="I21" s="28" t="s">
        <v>35</v>
      </c>
      <c r="J21" s="21"/>
      <c r="K21" s="5">
        <v>192000</v>
      </c>
      <c r="L21" s="4">
        <v>790299923</v>
      </c>
      <c r="M21" s="19"/>
    </row>
    <row r="22" spans="1:13" ht="17.25" customHeight="1">
      <c r="A22" s="6" t="str">
        <f t="shared" si="0"/>
        <v>T01</v>
      </c>
      <c r="B22" s="3">
        <v>41642</v>
      </c>
      <c r="C22" s="3">
        <v>41642</v>
      </c>
      <c r="D22" s="4" t="s">
        <v>39</v>
      </c>
      <c r="E22" s="22"/>
      <c r="F22" s="30" t="s">
        <v>253</v>
      </c>
      <c r="G22" s="30"/>
      <c r="H22" s="5"/>
      <c r="I22" s="28" t="s">
        <v>36</v>
      </c>
      <c r="J22" s="21">
        <v>106000000</v>
      </c>
      <c r="K22" s="5"/>
      <c r="L22" s="4">
        <v>896299923</v>
      </c>
      <c r="M22" s="19"/>
    </row>
    <row r="23" spans="1:13" ht="17.25" customHeight="1">
      <c r="B23" s="3">
        <v>41642</v>
      </c>
      <c r="C23" s="3">
        <v>41642</v>
      </c>
      <c r="D23" s="19"/>
      <c r="E23" s="22" t="s">
        <v>91</v>
      </c>
      <c r="F23" s="19" t="s">
        <v>254</v>
      </c>
      <c r="G23" s="19"/>
      <c r="H23" s="19"/>
      <c r="I23" s="28" t="s">
        <v>247</v>
      </c>
      <c r="J23" s="19"/>
      <c r="K23" s="19">
        <v>500000</v>
      </c>
      <c r="L23" s="4">
        <v>895799923</v>
      </c>
      <c r="M23" s="19"/>
    </row>
    <row r="24" spans="1:13" ht="17.25" customHeight="1">
      <c r="A24" s="6" t="str">
        <f t="shared" si="0"/>
        <v>C06</v>
      </c>
      <c r="B24" s="3">
        <v>41642</v>
      </c>
      <c r="C24" s="3">
        <v>41642</v>
      </c>
      <c r="D24" s="4"/>
      <c r="E24" s="22" t="s">
        <v>92</v>
      </c>
      <c r="F24" s="5" t="s">
        <v>255</v>
      </c>
      <c r="G24" s="5"/>
      <c r="H24" s="5"/>
      <c r="I24" s="28" t="s">
        <v>256</v>
      </c>
      <c r="J24" s="21"/>
      <c r="K24" s="5">
        <v>4984320</v>
      </c>
      <c r="L24" s="4">
        <v>890815603</v>
      </c>
      <c r="M24" s="19"/>
    </row>
    <row r="25" spans="1:13" ht="17.25" customHeight="1">
      <c r="A25" s="6" t="str">
        <f t="shared" si="0"/>
        <v>C06</v>
      </c>
      <c r="B25" s="3">
        <v>41642</v>
      </c>
      <c r="C25" s="3">
        <v>41642</v>
      </c>
      <c r="D25" s="4"/>
      <c r="E25" s="22" t="s">
        <v>92</v>
      </c>
      <c r="F25" s="5" t="s">
        <v>257</v>
      </c>
      <c r="G25" s="124"/>
      <c r="H25" s="5"/>
      <c r="I25" s="28" t="s">
        <v>35</v>
      </c>
      <c r="J25" s="21"/>
      <c r="K25" s="5">
        <v>498432</v>
      </c>
      <c r="L25" s="4">
        <v>890317171</v>
      </c>
      <c r="M25" s="19"/>
    </row>
    <row r="26" spans="1:13" ht="17.25" customHeight="1">
      <c r="A26" s="6" t="str">
        <f t="shared" si="0"/>
        <v>C07</v>
      </c>
      <c r="B26" s="3">
        <v>41642</v>
      </c>
      <c r="C26" s="3">
        <v>41642</v>
      </c>
      <c r="D26" s="4"/>
      <c r="E26" s="22" t="s">
        <v>93</v>
      </c>
      <c r="F26" s="5" t="s">
        <v>255</v>
      </c>
      <c r="G26" s="124"/>
      <c r="H26" s="5"/>
      <c r="I26" s="28" t="s">
        <v>256</v>
      </c>
      <c r="J26" s="21"/>
      <c r="K26" s="5">
        <v>4984320</v>
      </c>
      <c r="L26" s="4">
        <v>885332851</v>
      </c>
      <c r="M26" s="19"/>
    </row>
    <row r="27" spans="1:13" ht="17.25" customHeight="1">
      <c r="A27" s="6" t="str">
        <f t="shared" si="0"/>
        <v>C07</v>
      </c>
      <c r="B27" s="3">
        <v>41642</v>
      </c>
      <c r="C27" s="3">
        <v>41642</v>
      </c>
      <c r="D27" s="4"/>
      <c r="E27" s="22" t="s">
        <v>93</v>
      </c>
      <c r="F27" s="5" t="s">
        <v>257</v>
      </c>
      <c r="G27" s="124"/>
      <c r="H27" s="5"/>
      <c r="I27" s="28" t="s">
        <v>35</v>
      </c>
      <c r="J27" s="21"/>
      <c r="K27" s="5">
        <v>498432</v>
      </c>
      <c r="L27" s="4">
        <v>884834419</v>
      </c>
      <c r="M27" s="19"/>
    </row>
    <row r="28" spans="1:13" ht="17.25" customHeight="1">
      <c r="A28" s="6" t="str">
        <f t="shared" si="0"/>
        <v>C08</v>
      </c>
      <c r="B28" s="3">
        <v>41648</v>
      </c>
      <c r="C28" s="3">
        <v>41648</v>
      </c>
      <c r="D28" s="4"/>
      <c r="E28" s="22" t="s">
        <v>94</v>
      </c>
      <c r="F28" s="30" t="s">
        <v>258</v>
      </c>
      <c r="G28" s="124"/>
      <c r="H28" s="5"/>
      <c r="I28" s="28" t="s">
        <v>34</v>
      </c>
      <c r="J28" s="21"/>
      <c r="K28" s="5">
        <v>5610000</v>
      </c>
      <c r="L28" s="4">
        <v>879224419</v>
      </c>
      <c r="M28" s="19"/>
    </row>
    <row r="29" spans="1:13" ht="17.25" customHeight="1">
      <c r="A29" s="6" t="str">
        <f t="shared" si="0"/>
        <v>C09</v>
      </c>
      <c r="B29" s="3">
        <v>41648</v>
      </c>
      <c r="C29" s="3">
        <v>41648</v>
      </c>
      <c r="D29" s="4"/>
      <c r="E29" s="22" t="s">
        <v>95</v>
      </c>
      <c r="F29" s="5" t="s">
        <v>259</v>
      </c>
      <c r="G29" s="124"/>
      <c r="H29" s="5"/>
      <c r="I29" s="28" t="s">
        <v>134</v>
      </c>
      <c r="J29" s="21"/>
      <c r="K29" s="5">
        <v>450000000</v>
      </c>
      <c r="L29" s="4">
        <v>429224419</v>
      </c>
      <c r="M29" s="19"/>
    </row>
    <row r="30" spans="1:13" ht="17.25" customHeight="1">
      <c r="A30" s="6" t="str">
        <f t="shared" si="0"/>
        <v>C10</v>
      </c>
      <c r="B30" s="3">
        <v>41649</v>
      </c>
      <c r="C30" s="3">
        <v>41649</v>
      </c>
      <c r="D30" s="4"/>
      <c r="E30" s="22" t="s">
        <v>96</v>
      </c>
      <c r="F30" s="30" t="s">
        <v>50</v>
      </c>
      <c r="G30" s="124"/>
      <c r="H30" s="5"/>
      <c r="I30" s="28" t="s">
        <v>247</v>
      </c>
      <c r="J30" s="21"/>
      <c r="K30" s="5">
        <v>3208400</v>
      </c>
      <c r="L30" s="4">
        <v>426016019</v>
      </c>
      <c r="M30" s="19"/>
    </row>
    <row r="31" spans="1:13" ht="17.25" customHeight="1">
      <c r="A31" s="6" t="str">
        <f t="shared" si="0"/>
        <v>C10</v>
      </c>
      <c r="B31" s="3">
        <v>41649</v>
      </c>
      <c r="C31" s="3">
        <v>41649</v>
      </c>
      <c r="D31" s="4"/>
      <c r="E31" s="22" t="s">
        <v>96</v>
      </c>
      <c r="F31" s="30" t="s">
        <v>56</v>
      </c>
      <c r="G31" s="125"/>
      <c r="H31" s="50"/>
      <c r="I31" s="28" t="s">
        <v>35</v>
      </c>
      <c r="J31" s="21"/>
      <c r="K31" s="5">
        <v>320840</v>
      </c>
      <c r="L31" s="4">
        <v>425695179</v>
      </c>
      <c r="M31" s="19"/>
    </row>
    <row r="32" spans="1:13" ht="17.25" customHeight="1">
      <c r="A32" s="6" t="str">
        <f t="shared" si="0"/>
        <v>T02</v>
      </c>
      <c r="B32" s="3">
        <v>41650</v>
      </c>
      <c r="C32" s="3">
        <v>41650</v>
      </c>
      <c r="D32" s="4" t="s">
        <v>40</v>
      </c>
      <c r="E32" s="22"/>
      <c r="F32" s="5" t="s">
        <v>253</v>
      </c>
      <c r="G32" s="125"/>
      <c r="H32" s="50"/>
      <c r="I32" s="28" t="s">
        <v>36</v>
      </c>
      <c r="J32" s="21">
        <v>530000000</v>
      </c>
      <c r="K32" s="5"/>
      <c r="L32" s="4">
        <v>955695179</v>
      </c>
      <c r="M32" s="19"/>
    </row>
    <row r="33" spans="1:13" ht="17.25" customHeight="1">
      <c r="A33" s="6" t="str">
        <f t="shared" si="0"/>
        <v>C11</v>
      </c>
      <c r="B33" s="3">
        <v>41650</v>
      </c>
      <c r="C33" s="3">
        <v>41650</v>
      </c>
      <c r="D33" s="4"/>
      <c r="E33" s="22" t="s">
        <v>97</v>
      </c>
      <c r="F33" s="5" t="s">
        <v>260</v>
      </c>
      <c r="G33" s="124"/>
      <c r="H33" s="5"/>
      <c r="I33" s="28" t="s">
        <v>134</v>
      </c>
      <c r="J33" s="21"/>
      <c r="K33" s="5">
        <v>450000000</v>
      </c>
      <c r="L33" s="4">
        <v>505695179</v>
      </c>
      <c r="M33" s="19"/>
    </row>
    <row r="34" spans="1:13" ht="17.25" customHeight="1">
      <c r="A34" s="6" t="str">
        <f t="shared" si="0"/>
        <v>T03</v>
      </c>
      <c r="B34" s="3">
        <v>41653</v>
      </c>
      <c r="C34" s="3">
        <v>41653</v>
      </c>
      <c r="D34" s="4" t="s">
        <v>41</v>
      </c>
      <c r="E34" s="22"/>
      <c r="F34" s="5" t="s">
        <v>253</v>
      </c>
      <c r="G34" s="5"/>
      <c r="H34" s="5"/>
      <c r="I34" s="28" t="s">
        <v>36</v>
      </c>
      <c r="J34" s="21">
        <v>2500000000</v>
      </c>
      <c r="K34" s="5"/>
      <c r="L34" s="4">
        <v>3005695179</v>
      </c>
      <c r="M34" s="19"/>
    </row>
    <row r="35" spans="1:13" ht="17.25" customHeight="1">
      <c r="A35" s="6" t="str">
        <f t="shared" si="0"/>
        <v>C12</v>
      </c>
      <c r="B35" s="3">
        <v>41653</v>
      </c>
      <c r="C35" s="3">
        <v>41653</v>
      </c>
      <c r="D35" s="4"/>
      <c r="E35" s="22" t="s">
        <v>98</v>
      </c>
      <c r="F35" s="5" t="s">
        <v>259</v>
      </c>
      <c r="G35" s="124"/>
      <c r="H35" s="5"/>
      <c r="I35" s="28" t="s">
        <v>134</v>
      </c>
      <c r="J35" s="21"/>
      <c r="K35" s="5">
        <v>800000000</v>
      </c>
      <c r="L35" s="4">
        <v>2205695179</v>
      </c>
      <c r="M35" s="19"/>
    </row>
    <row r="36" spans="1:13" ht="17.25" customHeight="1">
      <c r="A36" s="6" t="str">
        <f t="shared" si="0"/>
        <v>C13</v>
      </c>
      <c r="B36" s="3">
        <v>41653</v>
      </c>
      <c r="C36" s="3">
        <v>41653</v>
      </c>
      <c r="D36" s="4"/>
      <c r="E36" s="22" t="s">
        <v>99</v>
      </c>
      <c r="F36" s="5" t="s">
        <v>260</v>
      </c>
      <c r="G36" s="124"/>
      <c r="H36" s="5"/>
      <c r="I36" s="28" t="s">
        <v>134</v>
      </c>
      <c r="J36" s="21"/>
      <c r="K36" s="5">
        <v>500000000</v>
      </c>
      <c r="L36" s="4">
        <v>1705695179</v>
      </c>
      <c r="M36" s="19"/>
    </row>
    <row r="37" spans="1:13" ht="17.25" customHeight="1">
      <c r="A37" s="6" t="str">
        <f t="shared" si="0"/>
        <v>C14</v>
      </c>
      <c r="B37" s="3">
        <v>41653</v>
      </c>
      <c r="C37" s="3">
        <v>41653</v>
      </c>
      <c r="D37" s="4"/>
      <c r="E37" s="22" t="s">
        <v>100</v>
      </c>
      <c r="F37" s="5" t="s">
        <v>261</v>
      </c>
      <c r="G37" s="124"/>
      <c r="H37" s="5"/>
      <c r="I37" s="28" t="s">
        <v>36</v>
      </c>
      <c r="J37" s="21"/>
      <c r="K37" s="5">
        <v>25000000</v>
      </c>
      <c r="L37" s="4">
        <v>1680695179</v>
      </c>
      <c r="M37" s="19"/>
    </row>
    <row r="38" spans="1:13" ht="17.25" customHeight="1">
      <c r="A38" s="6" t="str">
        <f t="shared" si="0"/>
        <v>C15</v>
      </c>
      <c r="B38" s="3">
        <v>41653</v>
      </c>
      <c r="C38" s="3">
        <v>41653</v>
      </c>
      <c r="D38" s="4"/>
      <c r="E38" s="22" t="s">
        <v>101</v>
      </c>
      <c r="F38" s="5" t="s">
        <v>262</v>
      </c>
      <c r="G38" s="124"/>
      <c r="H38" s="5"/>
      <c r="I38" s="28" t="s">
        <v>247</v>
      </c>
      <c r="J38" s="21"/>
      <c r="K38" s="5">
        <v>840000</v>
      </c>
      <c r="L38" s="4">
        <v>1679855179</v>
      </c>
      <c r="M38" s="19"/>
    </row>
    <row r="39" spans="1:13" ht="17.25" customHeight="1">
      <c r="A39" s="6" t="str">
        <f t="shared" si="0"/>
        <v>C16</v>
      </c>
      <c r="B39" s="3">
        <v>41653</v>
      </c>
      <c r="C39" s="3">
        <v>41653</v>
      </c>
      <c r="D39" s="4"/>
      <c r="E39" s="22" t="s">
        <v>102</v>
      </c>
      <c r="F39" s="5" t="s">
        <v>263</v>
      </c>
      <c r="G39" s="124"/>
      <c r="H39" s="5"/>
      <c r="I39" s="28" t="s">
        <v>247</v>
      </c>
      <c r="J39" s="21"/>
      <c r="K39" s="5">
        <v>3182000</v>
      </c>
      <c r="L39" s="4">
        <v>1676673179</v>
      </c>
      <c r="M39" s="19"/>
    </row>
    <row r="40" spans="1:13" ht="17.25" customHeight="1">
      <c r="A40" s="6" t="str">
        <f t="shared" si="0"/>
        <v>C16</v>
      </c>
      <c r="B40" s="3">
        <v>41653</v>
      </c>
      <c r="C40" s="3">
        <v>41653</v>
      </c>
      <c r="D40" s="4"/>
      <c r="E40" s="22" t="s">
        <v>102</v>
      </c>
      <c r="F40" s="5" t="s">
        <v>264</v>
      </c>
      <c r="G40" s="124"/>
      <c r="H40" s="5"/>
      <c r="I40" s="28" t="s">
        <v>35</v>
      </c>
      <c r="J40" s="21"/>
      <c r="K40" s="5">
        <v>318200</v>
      </c>
      <c r="L40" s="4">
        <v>1676354979</v>
      </c>
      <c r="M40" s="19"/>
    </row>
    <row r="41" spans="1:13" ht="17.25" customHeight="1">
      <c r="A41" s="6" t="str">
        <f t="shared" si="0"/>
        <v>T04</v>
      </c>
      <c r="B41" s="3">
        <v>41654</v>
      </c>
      <c r="C41" s="3">
        <v>41654</v>
      </c>
      <c r="D41" s="4" t="s">
        <v>42</v>
      </c>
      <c r="E41" s="22"/>
      <c r="F41" s="5" t="s">
        <v>253</v>
      </c>
      <c r="G41" s="124"/>
      <c r="H41" s="5"/>
      <c r="I41" s="28" t="s">
        <v>36</v>
      </c>
      <c r="J41" s="21">
        <v>1700000000</v>
      </c>
      <c r="K41" s="5"/>
      <c r="L41" s="4">
        <v>3376354979</v>
      </c>
      <c r="M41" s="19"/>
    </row>
    <row r="42" spans="1:13" ht="17.25" customHeight="1">
      <c r="A42" s="6" t="str">
        <f t="shared" si="0"/>
        <v>C17</v>
      </c>
      <c r="B42" s="3">
        <v>41654</v>
      </c>
      <c r="C42" s="3">
        <v>41654</v>
      </c>
      <c r="D42" s="4"/>
      <c r="E42" s="22" t="s">
        <v>103</v>
      </c>
      <c r="F42" s="30" t="s">
        <v>50</v>
      </c>
      <c r="G42" s="124"/>
      <c r="H42" s="5"/>
      <c r="I42" s="28" t="s">
        <v>247</v>
      </c>
      <c r="J42" s="21"/>
      <c r="K42" s="5">
        <v>704291</v>
      </c>
      <c r="L42" s="4">
        <v>3375650688</v>
      </c>
      <c r="M42" s="19"/>
    </row>
    <row r="43" spans="1:13" ht="17.25" customHeight="1">
      <c r="A43" s="6" t="str">
        <f t="shared" si="0"/>
        <v>C17</v>
      </c>
      <c r="B43" s="3">
        <v>41654</v>
      </c>
      <c r="C43" s="3">
        <v>41654</v>
      </c>
      <c r="D43" s="4"/>
      <c r="E43" s="22" t="s">
        <v>103</v>
      </c>
      <c r="F43" s="5" t="s">
        <v>53</v>
      </c>
      <c r="G43" s="124"/>
      <c r="H43" s="5"/>
      <c r="I43" s="28" t="s">
        <v>54</v>
      </c>
      <c r="J43" s="21"/>
      <c r="K43" s="5">
        <v>4790273</v>
      </c>
      <c r="L43" s="4">
        <v>3370860415</v>
      </c>
      <c r="M43" s="19"/>
    </row>
    <row r="44" spans="1:13" ht="17.25" customHeight="1">
      <c r="A44" s="6" t="str">
        <f t="shared" si="0"/>
        <v>C17</v>
      </c>
      <c r="B44" s="3">
        <v>41654</v>
      </c>
      <c r="C44" s="3">
        <v>41654</v>
      </c>
      <c r="D44" s="4"/>
      <c r="E44" s="22" t="s">
        <v>103</v>
      </c>
      <c r="F44" s="5" t="s">
        <v>211</v>
      </c>
      <c r="G44" s="124"/>
      <c r="H44" s="5"/>
      <c r="I44" s="28" t="s">
        <v>35</v>
      </c>
      <c r="J44" s="21"/>
      <c r="K44" s="5">
        <v>549456</v>
      </c>
      <c r="L44" s="4">
        <v>3370310959</v>
      </c>
      <c r="M44" s="19"/>
    </row>
    <row r="45" spans="1:13" ht="17.25" customHeight="1">
      <c r="A45" s="6" t="str">
        <f t="shared" si="0"/>
        <v>C18</v>
      </c>
      <c r="B45" s="3">
        <v>41654</v>
      </c>
      <c r="C45" s="3">
        <v>41654</v>
      </c>
      <c r="D45" s="4"/>
      <c r="E45" s="22" t="s">
        <v>104</v>
      </c>
      <c r="F45" s="5" t="s">
        <v>260</v>
      </c>
      <c r="G45" s="124"/>
      <c r="H45" s="5"/>
      <c r="I45" s="28" t="s">
        <v>134</v>
      </c>
      <c r="J45" s="21"/>
      <c r="K45" s="5">
        <v>450000000</v>
      </c>
      <c r="L45" s="4">
        <v>2920310959</v>
      </c>
      <c r="M45" s="19"/>
    </row>
    <row r="46" spans="1:13" ht="17.25" customHeight="1">
      <c r="A46" s="6" t="str">
        <f t="shared" si="0"/>
        <v>C19</v>
      </c>
      <c r="B46" s="3">
        <v>41654</v>
      </c>
      <c r="C46" s="3">
        <v>41654</v>
      </c>
      <c r="D46" s="4"/>
      <c r="E46" s="22" t="s">
        <v>105</v>
      </c>
      <c r="F46" s="5" t="s">
        <v>265</v>
      </c>
      <c r="G46" s="124"/>
      <c r="H46" s="5"/>
      <c r="I46" s="28" t="s">
        <v>34</v>
      </c>
      <c r="J46" s="21"/>
      <c r="K46" s="5">
        <v>7299080</v>
      </c>
      <c r="L46" s="4">
        <v>2913011879</v>
      </c>
      <c r="M46" s="19"/>
    </row>
    <row r="47" spans="1:13" ht="17.25" customHeight="1">
      <c r="A47" s="6" t="str">
        <f t="shared" si="0"/>
        <v>C20</v>
      </c>
      <c r="B47" s="3">
        <v>41655</v>
      </c>
      <c r="C47" s="3">
        <v>41655</v>
      </c>
      <c r="D47" s="4"/>
      <c r="E47" s="22" t="s">
        <v>106</v>
      </c>
      <c r="F47" s="30" t="s">
        <v>266</v>
      </c>
      <c r="G47" s="124"/>
      <c r="H47" s="5"/>
      <c r="I47" s="28" t="s">
        <v>247</v>
      </c>
      <c r="J47" s="21"/>
      <c r="K47" s="5">
        <v>140000</v>
      </c>
      <c r="L47" s="4">
        <v>2912871879</v>
      </c>
      <c r="M47" s="19"/>
    </row>
    <row r="48" spans="1:13" ht="17.25" customHeight="1">
      <c r="A48" s="6" t="str">
        <f t="shared" si="0"/>
        <v>C21</v>
      </c>
      <c r="B48" s="3">
        <v>41655</v>
      </c>
      <c r="C48" s="3">
        <v>41655</v>
      </c>
      <c r="D48" s="4"/>
      <c r="E48" s="22" t="s">
        <v>107</v>
      </c>
      <c r="F48" s="30" t="s">
        <v>267</v>
      </c>
      <c r="G48" s="30"/>
      <c r="H48" s="30"/>
      <c r="I48" s="28" t="s">
        <v>247</v>
      </c>
      <c r="J48" s="21"/>
      <c r="K48" s="5">
        <v>250000</v>
      </c>
      <c r="L48" s="4">
        <v>2912621879</v>
      </c>
      <c r="M48" s="19"/>
    </row>
    <row r="49" spans="1:13" ht="17.25" customHeight="1">
      <c r="B49" s="3">
        <v>41655</v>
      </c>
      <c r="C49" s="3">
        <v>41655</v>
      </c>
      <c r="D49" s="19"/>
      <c r="E49" s="22" t="s">
        <v>108</v>
      </c>
      <c r="F49" s="19" t="s">
        <v>259</v>
      </c>
      <c r="G49" s="19"/>
      <c r="H49" s="19"/>
      <c r="I49" s="28" t="s">
        <v>134</v>
      </c>
      <c r="J49" s="19"/>
      <c r="K49" s="19">
        <v>900000000</v>
      </c>
      <c r="L49" s="4">
        <v>2012621879</v>
      </c>
      <c r="M49" s="19"/>
    </row>
    <row r="50" spans="1:13" ht="17.25" customHeight="1">
      <c r="B50" s="3">
        <v>41655</v>
      </c>
      <c r="C50" s="3">
        <v>41655</v>
      </c>
      <c r="D50" s="19"/>
      <c r="E50" s="22" t="s">
        <v>109</v>
      </c>
      <c r="F50" s="19" t="s">
        <v>260</v>
      </c>
      <c r="G50" s="19"/>
      <c r="H50" s="19"/>
      <c r="I50" s="28" t="s">
        <v>134</v>
      </c>
      <c r="J50" s="19"/>
      <c r="K50" s="19">
        <v>450000000</v>
      </c>
      <c r="L50" s="4">
        <v>1562621879</v>
      </c>
      <c r="M50" s="19"/>
    </row>
    <row r="51" spans="1:13" ht="17.25" customHeight="1">
      <c r="A51" s="6" t="str">
        <f t="shared" si="0"/>
        <v>T05</v>
      </c>
      <c r="B51" s="3">
        <v>41656</v>
      </c>
      <c r="C51" s="3">
        <v>41656</v>
      </c>
      <c r="D51" s="4" t="s">
        <v>43</v>
      </c>
      <c r="E51" s="22"/>
      <c r="F51" s="30" t="s">
        <v>253</v>
      </c>
      <c r="G51" s="125"/>
      <c r="H51" s="5"/>
      <c r="I51" s="28" t="s">
        <v>36</v>
      </c>
      <c r="J51" s="21">
        <v>2000000000</v>
      </c>
      <c r="K51" s="5"/>
      <c r="L51" s="4">
        <v>3562621879</v>
      </c>
      <c r="M51" s="19"/>
    </row>
    <row r="52" spans="1:13" ht="17.25" customHeight="1">
      <c r="A52" s="6" t="str">
        <f t="shared" si="0"/>
        <v>C24</v>
      </c>
      <c r="B52" s="3">
        <v>41656</v>
      </c>
      <c r="C52" s="3">
        <v>41656</v>
      </c>
      <c r="D52" s="4"/>
      <c r="E52" s="22" t="s">
        <v>110</v>
      </c>
      <c r="F52" s="5" t="s">
        <v>268</v>
      </c>
      <c r="G52" s="125"/>
      <c r="H52" s="5"/>
      <c r="I52" s="28" t="s">
        <v>256</v>
      </c>
      <c r="J52" s="21"/>
      <c r="K52" s="5">
        <v>14339850</v>
      </c>
      <c r="L52" s="4">
        <v>3548282029</v>
      </c>
      <c r="M52" s="19"/>
    </row>
    <row r="53" spans="1:13" ht="17.25" customHeight="1">
      <c r="A53" s="6" t="str">
        <f t="shared" si="0"/>
        <v>C24</v>
      </c>
      <c r="B53" s="3">
        <v>41656</v>
      </c>
      <c r="C53" s="3">
        <v>41656</v>
      </c>
      <c r="D53" s="4"/>
      <c r="E53" s="22" t="s">
        <v>110</v>
      </c>
      <c r="F53" s="5" t="s">
        <v>269</v>
      </c>
      <c r="G53" s="5"/>
      <c r="H53" s="5"/>
      <c r="I53" s="28" t="s">
        <v>35</v>
      </c>
      <c r="J53" s="21"/>
      <c r="K53" s="5">
        <v>1433985</v>
      </c>
      <c r="L53" s="4">
        <v>3546848044</v>
      </c>
      <c r="M53" s="19"/>
    </row>
    <row r="54" spans="1:13" ht="17.25" customHeight="1">
      <c r="A54" s="6" t="str">
        <f t="shared" si="0"/>
        <v>C25</v>
      </c>
      <c r="B54" s="3">
        <v>41656</v>
      </c>
      <c r="C54" s="3">
        <v>41656</v>
      </c>
      <c r="D54" s="4"/>
      <c r="E54" s="22" t="s">
        <v>111</v>
      </c>
      <c r="F54" s="5" t="s">
        <v>260</v>
      </c>
      <c r="G54" s="124"/>
      <c r="H54" s="50"/>
      <c r="I54" s="28" t="s">
        <v>134</v>
      </c>
      <c r="J54" s="21"/>
      <c r="K54" s="5">
        <v>450000000</v>
      </c>
      <c r="L54" s="4">
        <v>3096848044</v>
      </c>
      <c r="M54" s="19"/>
    </row>
    <row r="55" spans="1:13" ht="17.25" customHeight="1">
      <c r="A55" s="6" t="str">
        <f t="shared" si="0"/>
        <v>C26</v>
      </c>
      <c r="B55" s="3">
        <v>41659</v>
      </c>
      <c r="C55" s="3">
        <v>41659</v>
      </c>
      <c r="D55" s="4"/>
      <c r="E55" s="22" t="s">
        <v>112</v>
      </c>
      <c r="F55" s="5" t="s">
        <v>50</v>
      </c>
      <c r="G55" s="124"/>
      <c r="H55" s="50"/>
      <c r="I55" s="28" t="s">
        <v>247</v>
      </c>
      <c r="J55" s="21"/>
      <c r="K55" s="5">
        <v>3522509</v>
      </c>
      <c r="L55" s="4">
        <v>3093325535</v>
      </c>
      <c r="M55" s="19"/>
    </row>
    <row r="56" spans="1:13" ht="17.25" customHeight="1">
      <c r="A56" s="6" t="str">
        <f t="shared" si="0"/>
        <v>C26</v>
      </c>
      <c r="B56" s="3">
        <v>41659</v>
      </c>
      <c r="C56" s="3">
        <v>41659</v>
      </c>
      <c r="D56" s="4"/>
      <c r="E56" s="22" t="s">
        <v>112</v>
      </c>
      <c r="F56" s="5" t="s">
        <v>56</v>
      </c>
      <c r="G56" s="124"/>
      <c r="H56" s="50"/>
      <c r="I56" s="28" t="s">
        <v>35</v>
      </c>
      <c r="J56" s="21"/>
      <c r="K56" s="5">
        <v>352251</v>
      </c>
      <c r="L56" s="4">
        <v>3092973284</v>
      </c>
      <c r="M56" s="19"/>
    </row>
    <row r="57" spans="1:13" ht="17.25" customHeight="1">
      <c r="A57" s="6" t="str">
        <f t="shared" si="0"/>
        <v>C27</v>
      </c>
      <c r="B57" s="3">
        <v>41659</v>
      </c>
      <c r="C57" s="3">
        <v>41659</v>
      </c>
      <c r="D57" s="4"/>
      <c r="E57" s="22" t="s">
        <v>113</v>
      </c>
      <c r="F57" s="30" t="s">
        <v>270</v>
      </c>
      <c r="G57" s="30"/>
      <c r="H57" s="30"/>
      <c r="I57" s="28" t="s">
        <v>247</v>
      </c>
      <c r="J57" s="21"/>
      <c r="K57" s="5">
        <v>33812299</v>
      </c>
      <c r="L57" s="4">
        <v>3059160985</v>
      </c>
      <c r="M57" s="19"/>
    </row>
    <row r="58" spans="1:13" ht="17.25" customHeight="1">
      <c r="A58" s="6" t="str">
        <f t="shared" si="0"/>
        <v>C28</v>
      </c>
      <c r="B58" s="3">
        <v>41659</v>
      </c>
      <c r="C58" s="3">
        <v>41659</v>
      </c>
      <c r="D58" s="4"/>
      <c r="E58" s="22" t="s">
        <v>114</v>
      </c>
      <c r="F58" s="30" t="s">
        <v>271</v>
      </c>
      <c r="G58" s="30"/>
      <c r="H58" s="30"/>
      <c r="I58" s="28" t="s">
        <v>247</v>
      </c>
      <c r="J58" s="21"/>
      <c r="K58" s="5">
        <v>120000</v>
      </c>
      <c r="L58" s="4">
        <v>3059040985</v>
      </c>
      <c r="M58" s="19"/>
    </row>
    <row r="59" spans="1:13" ht="17.25" customHeight="1">
      <c r="B59" s="3">
        <v>41659</v>
      </c>
      <c r="C59" s="3">
        <v>41659</v>
      </c>
      <c r="D59" s="19"/>
      <c r="E59" s="22" t="s">
        <v>115</v>
      </c>
      <c r="F59" s="19" t="s">
        <v>259</v>
      </c>
      <c r="G59" s="19"/>
      <c r="H59" s="19"/>
      <c r="I59" s="28" t="s">
        <v>134</v>
      </c>
      <c r="J59" s="19"/>
      <c r="K59" s="19">
        <v>800000000</v>
      </c>
      <c r="L59" s="4">
        <v>2259040985</v>
      </c>
      <c r="M59" s="19"/>
    </row>
    <row r="60" spans="1:13" ht="17.25" customHeight="1">
      <c r="B60" s="3">
        <v>41659</v>
      </c>
      <c r="C60" s="3">
        <v>41659</v>
      </c>
      <c r="D60" s="19"/>
      <c r="E60" s="22" t="s">
        <v>116</v>
      </c>
      <c r="F60" s="19" t="s">
        <v>260</v>
      </c>
      <c r="G60" s="19"/>
      <c r="H60" s="19"/>
      <c r="I60" s="28" t="s">
        <v>134</v>
      </c>
      <c r="J60" s="19"/>
      <c r="K60" s="19">
        <v>500000000</v>
      </c>
      <c r="L60" s="4">
        <v>1759040985</v>
      </c>
      <c r="M60" s="19"/>
    </row>
    <row r="61" spans="1:13" ht="17.25" customHeight="1">
      <c r="A61" s="6" t="str">
        <f t="shared" si="0"/>
        <v>T06</v>
      </c>
      <c r="B61" s="3">
        <v>41660</v>
      </c>
      <c r="C61" s="3">
        <v>41660</v>
      </c>
      <c r="D61" s="4" t="s">
        <v>44</v>
      </c>
      <c r="E61" s="22"/>
      <c r="F61" s="5" t="s">
        <v>272</v>
      </c>
      <c r="G61" s="124"/>
      <c r="H61" s="5"/>
      <c r="I61" s="28" t="s">
        <v>57</v>
      </c>
      <c r="J61" s="21">
        <v>59500000</v>
      </c>
      <c r="K61" s="5"/>
      <c r="L61" s="4">
        <v>1818540985</v>
      </c>
      <c r="M61" s="19"/>
    </row>
    <row r="62" spans="1:13" ht="17.25" customHeight="1">
      <c r="A62" s="6" t="str">
        <f t="shared" si="0"/>
        <v>C31</v>
      </c>
      <c r="B62" s="3">
        <v>41660</v>
      </c>
      <c r="C62" s="3">
        <v>41660</v>
      </c>
      <c r="D62" s="4"/>
      <c r="E62" s="22" t="s">
        <v>117</v>
      </c>
      <c r="F62" s="30" t="s">
        <v>273</v>
      </c>
      <c r="G62" s="124"/>
      <c r="H62" s="5"/>
      <c r="I62" s="28" t="s">
        <v>247</v>
      </c>
      <c r="J62" s="21"/>
      <c r="K62" s="5">
        <v>20000</v>
      </c>
      <c r="L62" s="4">
        <v>1818520985</v>
      </c>
      <c r="M62" s="19"/>
    </row>
    <row r="63" spans="1:13" ht="17.25" customHeight="1">
      <c r="A63" s="6" t="str">
        <f t="shared" si="0"/>
        <v>C32</v>
      </c>
      <c r="B63" s="3">
        <v>41661</v>
      </c>
      <c r="C63" s="3">
        <v>41661</v>
      </c>
      <c r="D63" s="4"/>
      <c r="E63" s="22" t="s">
        <v>118</v>
      </c>
      <c r="F63" s="5" t="s">
        <v>274</v>
      </c>
      <c r="G63" s="124"/>
      <c r="H63" s="5"/>
      <c r="I63" s="28" t="s">
        <v>247</v>
      </c>
      <c r="J63" s="21"/>
      <c r="K63" s="5">
        <v>17200000</v>
      </c>
      <c r="L63" s="4">
        <v>1801320985</v>
      </c>
      <c r="M63" s="19"/>
    </row>
    <row r="64" spans="1:13" ht="17.25" customHeight="1">
      <c r="A64" s="6" t="str">
        <f t="shared" si="0"/>
        <v>C32</v>
      </c>
      <c r="B64" s="3">
        <v>41661</v>
      </c>
      <c r="C64" s="3">
        <v>41661</v>
      </c>
      <c r="D64" s="4"/>
      <c r="E64" s="22" t="s">
        <v>118</v>
      </c>
      <c r="F64" s="5" t="s">
        <v>275</v>
      </c>
      <c r="G64" s="124"/>
      <c r="H64" s="5"/>
      <c r="I64" s="28" t="s">
        <v>35</v>
      </c>
      <c r="J64" s="21"/>
      <c r="K64" s="5">
        <v>1720000</v>
      </c>
      <c r="L64" s="4">
        <v>1799600985</v>
      </c>
      <c r="M64" s="19"/>
    </row>
    <row r="65" spans="1:13" ht="17.25" customHeight="1">
      <c r="A65" s="6" t="str">
        <f t="shared" si="0"/>
        <v>T07</v>
      </c>
      <c r="B65" s="3">
        <v>41663</v>
      </c>
      <c r="C65" s="3">
        <v>41663</v>
      </c>
      <c r="D65" s="4" t="s">
        <v>58</v>
      </c>
      <c r="E65" s="22"/>
      <c r="F65" s="5" t="s">
        <v>253</v>
      </c>
      <c r="G65" s="124"/>
      <c r="H65" s="5"/>
      <c r="I65" s="28" t="s">
        <v>36</v>
      </c>
      <c r="J65" s="21">
        <v>421000000</v>
      </c>
      <c r="K65" s="5"/>
      <c r="L65" s="4">
        <v>2220600985</v>
      </c>
      <c r="M65" s="19"/>
    </row>
    <row r="66" spans="1:13" ht="17.25" customHeight="1">
      <c r="A66" s="6" t="str">
        <f t="shared" si="0"/>
        <v>C33</v>
      </c>
      <c r="B66" s="3">
        <v>41663</v>
      </c>
      <c r="C66" s="3">
        <v>41663</v>
      </c>
      <c r="D66" s="4"/>
      <c r="E66" s="22" t="s">
        <v>119</v>
      </c>
      <c r="F66" s="5" t="s">
        <v>268</v>
      </c>
      <c r="G66" s="124"/>
      <c r="H66" s="5"/>
      <c r="I66" s="28" t="s">
        <v>256</v>
      </c>
      <c r="J66" s="21"/>
      <c r="K66" s="5">
        <v>2269580</v>
      </c>
      <c r="L66" s="4">
        <v>2218331405</v>
      </c>
      <c r="M66" s="19"/>
    </row>
    <row r="67" spans="1:13" ht="17.25" customHeight="1">
      <c r="A67" s="6" t="str">
        <f t="shared" si="0"/>
        <v>C33</v>
      </c>
      <c r="B67" s="3">
        <v>41663</v>
      </c>
      <c r="C67" s="3">
        <v>41663</v>
      </c>
      <c r="D67" s="4"/>
      <c r="E67" s="22" t="s">
        <v>119</v>
      </c>
      <c r="F67" s="30" t="s">
        <v>269</v>
      </c>
      <c r="G67" s="125"/>
      <c r="H67" s="5"/>
      <c r="I67" s="28" t="s">
        <v>35</v>
      </c>
      <c r="J67" s="21"/>
      <c r="K67" s="5">
        <v>86120</v>
      </c>
      <c r="L67" s="4">
        <v>2218245285</v>
      </c>
      <c r="M67" s="19"/>
    </row>
    <row r="68" spans="1:13" ht="17.25" customHeight="1">
      <c r="A68" s="6" t="str">
        <f t="shared" si="0"/>
        <v>C34</v>
      </c>
      <c r="B68" s="3">
        <v>41663</v>
      </c>
      <c r="C68" s="3">
        <v>41663</v>
      </c>
      <c r="D68" s="4"/>
      <c r="E68" s="22" t="s">
        <v>120</v>
      </c>
      <c r="F68" s="30" t="s">
        <v>276</v>
      </c>
      <c r="G68" s="125"/>
      <c r="H68" s="5"/>
      <c r="I68" s="28" t="s">
        <v>256</v>
      </c>
      <c r="J68" s="21"/>
      <c r="K68" s="5">
        <v>2585455</v>
      </c>
      <c r="L68" s="4">
        <v>2215659830</v>
      </c>
      <c r="M68" s="19"/>
    </row>
    <row r="69" spans="1:13" ht="17.25" customHeight="1">
      <c r="A69" s="6" t="str">
        <f t="shared" si="0"/>
        <v>C34</v>
      </c>
      <c r="B69" s="3">
        <v>41663</v>
      </c>
      <c r="C69" s="3">
        <v>41663</v>
      </c>
      <c r="D69" s="4"/>
      <c r="E69" s="22" t="s">
        <v>120</v>
      </c>
      <c r="F69" s="5" t="s">
        <v>277</v>
      </c>
      <c r="G69" s="124"/>
      <c r="H69" s="5"/>
      <c r="I69" s="28" t="s">
        <v>35</v>
      </c>
      <c r="J69" s="21"/>
      <c r="K69" s="5">
        <v>258545</v>
      </c>
      <c r="L69" s="4">
        <v>2215401285</v>
      </c>
      <c r="M69" s="19"/>
    </row>
    <row r="70" spans="1:13" ht="17.25" customHeight="1">
      <c r="A70" s="6" t="str">
        <f t="shared" si="0"/>
        <v>C35</v>
      </c>
      <c r="B70" s="3">
        <v>41663</v>
      </c>
      <c r="C70" s="3">
        <v>41663</v>
      </c>
      <c r="D70" s="4"/>
      <c r="E70" s="22" t="s">
        <v>121</v>
      </c>
      <c r="F70" s="5" t="s">
        <v>260</v>
      </c>
      <c r="G70" s="124"/>
      <c r="H70" s="5"/>
      <c r="I70" s="28" t="s">
        <v>134</v>
      </c>
      <c r="J70" s="21"/>
      <c r="K70" s="5">
        <v>500000000</v>
      </c>
      <c r="L70" s="4">
        <v>1715401285</v>
      </c>
      <c r="M70" s="19"/>
    </row>
    <row r="71" spans="1:13" ht="17.25" customHeight="1">
      <c r="A71" s="6" t="str">
        <f t="shared" si="0"/>
        <v>C36</v>
      </c>
      <c r="B71" s="3">
        <v>41664</v>
      </c>
      <c r="C71" s="3">
        <v>41664</v>
      </c>
      <c r="D71" s="4"/>
      <c r="E71" s="22" t="s">
        <v>122</v>
      </c>
      <c r="F71" s="5" t="s">
        <v>278</v>
      </c>
      <c r="G71" s="124"/>
      <c r="H71" s="5"/>
      <c r="I71" s="28" t="s">
        <v>247</v>
      </c>
      <c r="J71" s="21"/>
      <c r="K71" s="5">
        <v>1000000</v>
      </c>
      <c r="L71" s="4">
        <v>1714401285</v>
      </c>
      <c r="M71" s="19"/>
    </row>
    <row r="72" spans="1:13" ht="17.25" customHeight="1">
      <c r="A72" s="6" t="str">
        <f t="shared" si="0"/>
        <v>C37</v>
      </c>
      <c r="B72" s="3">
        <v>41664</v>
      </c>
      <c r="C72" s="3">
        <v>41664</v>
      </c>
      <c r="D72" s="4"/>
      <c r="E72" s="22" t="s">
        <v>123</v>
      </c>
      <c r="F72" s="30" t="s">
        <v>261</v>
      </c>
      <c r="G72" s="30"/>
      <c r="H72" s="30"/>
      <c r="I72" s="28" t="s">
        <v>36</v>
      </c>
      <c r="J72" s="21"/>
      <c r="K72" s="5">
        <v>12000000</v>
      </c>
      <c r="L72" s="4">
        <v>1702401285</v>
      </c>
      <c r="M72" s="19"/>
    </row>
    <row r="73" spans="1:13" ht="17.25" customHeight="1">
      <c r="B73" s="3">
        <v>41664</v>
      </c>
      <c r="C73" s="3">
        <v>41664</v>
      </c>
      <c r="D73" s="19"/>
      <c r="E73" s="22" t="s">
        <v>135</v>
      </c>
      <c r="F73" s="19" t="s">
        <v>279</v>
      </c>
      <c r="G73" s="19"/>
      <c r="H73" s="19"/>
      <c r="I73" s="28" t="s">
        <v>280</v>
      </c>
      <c r="J73" s="19"/>
      <c r="K73" s="19">
        <v>55021762</v>
      </c>
      <c r="L73" s="4">
        <v>1647379523</v>
      </c>
      <c r="M73" s="19"/>
    </row>
    <row r="74" spans="1:13" ht="17.25" customHeight="1">
      <c r="B74" s="3">
        <v>41666</v>
      </c>
      <c r="C74" s="3">
        <v>41666</v>
      </c>
      <c r="D74" s="19"/>
      <c r="E74" s="22" t="s">
        <v>136</v>
      </c>
      <c r="F74" s="19" t="s">
        <v>273</v>
      </c>
      <c r="G74" s="19"/>
      <c r="H74" s="19"/>
      <c r="I74" s="28" t="s">
        <v>247</v>
      </c>
      <c r="J74" s="19"/>
      <c r="K74" s="19">
        <v>20000</v>
      </c>
      <c r="L74" s="4">
        <v>1647359523</v>
      </c>
      <c r="M74" s="19"/>
    </row>
    <row r="75" spans="1:13" ht="17.25" customHeight="1">
      <c r="A75" s="6" t="str">
        <f t="shared" si="0"/>
        <v>C40</v>
      </c>
      <c r="B75" s="3">
        <v>41666</v>
      </c>
      <c r="C75" s="3">
        <v>41666</v>
      </c>
      <c r="D75" s="4"/>
      <c r="E75" s="22" t="s">
        <v>137</v>
      </c>
      <c r="F75" s="30" t="s">
        <v>276</v>
      </c>
      <c r="G75" s="30"/>
      <c r="H75" s="30"/>
      <c r="I75" s="28" t="s">
        <v>256</v>
      </c>
      <c r="J75" s="21"/>
      <c r="K75" s="5">
        <v>1723636</v>
      </c>
      <c r="L75" s="4">
        <v>1645635887</v>
      </c>
      <c r="M75" s="19"/>
    </row>
    <row r="76" spans="1:13" ht="17.25" customHeight="1">
      <c r="A76" s="6" t="str">
        <f t="shared" si="0"/>
        <v>C40</v>
      </c>
      <c r="B76" s="3">
        <v>41666</v>
      </c>
      <c r="C76" s="3">
        <v>41666</v>
      </c>
      <c r="D76" s="4"/>
      <c r="E76" s="22" t="s">
        <v>137</v>
      </c>
      <c r="F76" s="5" t="s">
        <v>277</v>
      </c>
      <c r="G76" s="124"/>
      <c r="H76" s="50"/>
      <c r="I76" s="28" t="s">
        <v>35</v>
      </c>
      <c r="J76" s="21"/>
      <c r="K76" s="5">
        <v>172364</v>
      </c>
      <c r="L76" s="4">
        <v>1645463523</v>
      </c>
      <c r="M76" s="19"/>
    </row>
    <row r="77" spans="1:13" ht="17.25" customHeight="1">
      <c r="A77" s="6" t="str">
        <f t="shared" si="0"/>
        <v>C41</v>
      </c>
      <c r="B77" s="3">
        <v>41666</v>
      </c>
      <c r="C77" s="3">
        <v>41666</v>
      </c>
      <c r="D77" s="4"/>
      <c r="E77" s="22" t="s">
        <v>138</v>
      </c>
      <c r="F77" s="5" t="s">
        <v>50</v>
      </c>
      <c r="G77" s="124"/>
      <c r="H77" s="50"/>
      <c r="I77" s="28" t="s">
        <v>247</v>
      </c>
      <c r="J77" s="21"/>
      <c r="K77" s="5">
        <v>726300</v>
      </c>
      <c r="L77" s="4">
        <v>1644737223</v>
      </c>
      <c r="M77" s="19"/>
    </row>
    <row r="78" spans="1:13" ht="17.25" customHeight="1">
      <c r="A78" s="6" t="str">
        <f t="shared" si="0"/>
        <v>C41</v>
      </c>
      <c r="B78" s="3">
        <v>41666</v>
      </c>
      <c r="C78" s="3">
        <v>41666</v>
      </c>
      <c r="D78" s="4"/>
      <c r="E78" s="22" t="s">
        <v>138</v>
      </c>
      <c r="F78" s="5" t="s">
        <v>53</v>
      </c>
      <c r="G78" s="124"/>
      <c r="H78" s="50"/>
      <c r="I78" s="28" t="s">
        <v>54</v>
      </c>
      <c r="J78" s="21"/>
      <c r="K78" s="5">
        <v>2291000</v>
      </c>
      <c r="L78" s="4">
        <v>1642446223</v>
      </c>
      <c r="M78" s="19"/>
    </row>
    <row r="79" spans="1:13" ht="17.25" customHeight="1">
      <c r="A79" s="6" t="str">
        <f t="shared" si="0"/>
        <v>C41</v>
      </c>
      <c r="B79" s="3">
        <v>41666</v>
      </c>
      <c r="C79" s="3">
        <v>41666</v>
      </c>
      <c r="D79" s="4"/>
      <c r="E79" s="22" t="s">
        <v>138</v>
      </c>
      <c r="F79" s="5" t="s">
        <v>211</v>
      </c>
      <c r="G79" s="5"/>
      <c r="H79" s="30"/>
      <c r="I79" s="28" t="s">
        <v>35</v>
      </c>
      <c r="J79" s="21"/>
      <c r="K79" s="5">
        <v>301730</v>
      </c>
      <c r="L79" s="4">
        <v>1642144493</v>
      </c>
      <c r="M79" s="19"/>
    </row>
    <row r="80" spans="1:13" ht="17.25" customHeight="1">
      <c r="B80" s="3">
        <v>41666</v>
      </c>
      <c r="C80" s="3">
        <v>41666</v>
      </c>
      <c r="D80" s="19"/>
      <c r="E80" s="22" t="s">
        <v>139</v>
      </c>
      <c r="F80" s="19" t="s">
        <v>281</v>
      </c>
      <c r="G80" s="19"/>
      <c r="H80" s="19"/>
      <c r="I80" s="28" t="s">
        <v>37</v>
      </c>
      <c r="J80" s="19"/>
      <c r="K80" s="19">
        <v>124628395</v>
      </c>
      <c r="L80" s="4">
        <v>1517516098</v>
      </c>
      <c r="M80" s="19"/>
    </row>
    <row r="81" spans="1:13" ht="17.25" customHeight="1">
      <c r="A81" s="6" t="str">
        <f>D81&amp;E81</f>
        <v/>
      </c>
      <c r="B81" s="23"/>
      <c r="C81" s="19"/>
      <c r="D81" s="19"/>
      <c r="E81" s="19"/>
      <c r="F81" s="19"/>
      <c r="G81" s="19"/>
      <c r="H81" s="19"/>
      <c r="I81" s="24"/>
      <c r="J81" s="19"/>
      <c r="K81" s="19"/>
      <c r="L81" s="4"/>
      <c r="M81" s="19"/>
    </row>
    <row r="82" spans="1:13" s="44" customFormat="1" ht="17.25" customHeight="1">
      <c r="B82" s="42"/>
      <c r="C82" s="42"/>
      <c r="D82" s="42"/>
      <c r="E82" s="42"/>
      <c r="F82" s="42" t="s">
        <v>29</v>
      </c>
      <c r="G82" s="42"/>
      <c r="H82" s="42"/>
      <c r="I82" s="43" t="s">
        <v>30</v>
      </c>
      <c r="J82" s="42">
        <f>SUM(J13:J81)</f>
        <v>7316500000</v>
      </c>
      <c r="K82" s="42">
        <f>SUM(K13:K81)</f>
        <v>6610677532</v>
      </c>
      <c r="L82" s="43" t="s">
        <v>30</v>
      </c>
      <c r="M82" s="43" t="s">
        <v>30</v>
      </c>
    </row>
    <row r="83" spans="1:13" s="44" customFormat="1" ht="17.25" customHeight="1">
      <c r="B83" s="45"/>
      <c r="C83" s="45"/>
      <c r="D83" s="45"/>
      <c r="E83" s="45"/>
      <c r="F83" s="45" t="s">
        <v>31</v>
      </c>
      <c r="G83" s="45"/>
      <c r="H83" s="45"/>
      <c r="I83" s="46" t="s">
        <v>30</v>
      </c>
      <c r="J83" s="46" t="s">
        <v>30</v>
      </c>
      <c r="K83" s="46" t="s">
        <v>30</v>
      </c>
      <c r="L83" s="25">
        <f>L12+J82-K82</f>
        <v>1517516098</v>
      </c>
      <c r="M83" s="46" t="s">
        <v>30</v>
      </c>
    </row>
    <row r="85" spans="1:13">
      <c r="B85" s="27" t="s">
        <v>32</v>
      </c>
    </row>
    <row r="86" spans="1:13">
      <c r="B86" s="27" t="s">
        <v>70</v>
      </c>
    </row>
    <row r="87" spans="1:13">
      <c r="L87" s="8" t="s">
        <v>71</v>
      </c>
    </row>
    <row r="88" spans="1:13" s="7" customFormat="1" ht="14.25">
      <c r="C88" s="7" t="s">
        <v>33</v>
      </c>
      <c r="F88" s="7" t="s">
        <v>13</v>
      </c>
      <c r="L88" s="7" t="s">
        <v>14</v>
      </c>
    </row>
    <row r="89" spans="1:13" s="2" customFormat="1">
      <c r="C89" s="2" t="s">
        <v>15</v>
      </c>
      <c r="F89" s="2" t="s">
        <v>15</v>
      </c>
      <c r="L89" s="2" t="s">
        <v>16</v>
      </c>
    </row>
    <row r="90" spans="1:13" s="2" customFormat="1"/>
    <row r="94" spans="1:13">
      <c r="F94" s="6">
        <f>SUMIF($E$13:$E$80,#REF!,K13:K80)</f>
        <v>0</v>
      </c>
    </row>
    <row r="97" spans="2:13">
      <c r="B97" s="6">
        <v>2</v>
      </c>
      <c r="C97" s="6">
        <v>3</v>
      </c>
      <c r="D97" s="6">
        <v>4</v>
      </c>
      <c r="E97" s="6">
        <v>5</v>
      </c>
      <c r="F97" s="6">
        <v>6</v>
      </c>
      <c r="G97" s="6">
        <v>7</v>
      </c>
      <c r="H97" s="6">
        <v>8</v>
      </c>
      <c r="I97" s="6">
        <v>9</v>
      </c>
      <c r="J97" s="6">
        <v>10</v>
      </c>
      <c r="K97" s="6">
        <v>11</v>
      </c>
      <c r="L97" s="6">
        <v>12</v>
      </c>
      <c r="M97" s="6">
        <v>13</v>
      </c>
    </row>
  </sheetData>
  <autoFilter ref="B11:M83">
    <filterColumn colId="8"/>
  </autoFilter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80">
    <cfRule type="expression" dxfId="5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86"/>
  <sheetViews>
    <sheetView topLeftCell="B1" zoomScale="90" workbookViewId="0">
      <selection activeCell="J1" sqref="J1:M3"/>
    </sheetView>
  </sheetViews>
  <sheetFormatPr defaultRowHeight="15"/>
  <cols>
    <col min="1" max="1" width="5.42578125" style="6" hidden="1" customWidth="1"/>
    <col min="2" max="3" width="10.5703125" style="6" customWidth="1"/>
    <col min="4" max="5" width="6.85546875" style="6" customWidth="1"/>
    <col min="6" max="6" width="34.140625" style="6" customWidth="1"/>
    <col min="7" max="7" width="0.28515625" style="6" hidden="1" customWidth="1"/>
    <col min="8" max="8" width="35.140625" style="6" hidden="1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379"/>
      <c r="D2" s="379"/>
      <c r="E2" s="379"/>
      <c r="F2" s="379"/>
      <c r="G2" s="379"/>
      <c r="H2" s="379"/>
      <c r="J2" s="393" t="s">
        <v>785</v>
      </c>
      <c r="K2" s="393"/>
      <c r="L2" s="393"/>
      <c r="M2" s="393"/>
    </row>
    <row r="3" spans="1:13" s="11" customFormat="1" ht="16.5" customHeight="1">
      <c r="B3" s="9"/>
      <c r="C3" s="379"/>
      <c r="D3" s="14"/>
      <c r="E3" s="14"/>
      <c r="F3" s="379"/>
      <c r="G3" s="379"/>
      <c r="H3" s="379"/>
      <c r="J3" s="393"/>
      <c r="K3" s="393"/>
      <c r="L3" s="393"/>
      <c r="M3" s="393"/>
    </row>
    <row r="4" spans="1:13" s="11" customFormat="1" ht="6.75" customHeight="1">
      <c r="B4" s="379"/>
      <c r="C4" s="379"/>
      <c r="D4" s="379"/>
      <c r="E4" s="379"/>
      <c r="F4" s="379"/>
      <c r="G4" s="379"/>
      <c r="H4" s="379"/>
      <c r="J4" s="380"/>
      <c r="K4" s="380"/>
      <c r="L4" s="380"/>
      <c r="M4" s="380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382" t="s">
        <v>5</v>
      </c>
      <c r="E10" s="382" t="s">
        <v>6</v>
      </c>
      <c r="F10" s="395"/>
      <c r="G10" s="397"/>
      <c r="H10" s="397"/>
      <c r="I10" s="395"/>
      <c r="J10" s="382" t="s">
        <v>25</v>
      </c>
      <c r="K10" s="382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48">
        <f>'01'!L83</f>
        <v>1517516098</v>
      </c>
      <c r="M12" s="36"/>
    </row>
    <row r="13" spans="1:13" ht="18" customHeight="1">
      <c r="A13" s="6" t="str">
        <f t="shared" ref="A13:A31" si="0">D13&amp;E13</f>
        <v>C01</v>
      </c>
      <c r="B13" s="3">
        <v>41671</v>
      </c>
      <c r="C13" s="3">
        <v>41645</v>
      </c>
      <c r="D13" s="4"/>
      <c r="E13" s="22" t="s">
        <v>87</v>
      </c>
      <c r="F13" s="5" t="s">
        <v>282</v>
      </c>
      <c r="G13" s="5"/>
      <c r="H13" s="5"/>
      <c r="I13" s="28" t="s">
        <v>54</v>
      </c>
      <c r="J13" s="21"/>
      <c r="K13" s="5">
        <v>11360000</v>
      </c>
      <c r="L13" s="4">
        <f t="shared" ref="L13:L44" si="1">IF(F13&lt;&gt;"",L12+J13-K13,0)</f>
        <v>1506156098</v>
      </c>
      <c r="M13" s="19"/>
    </row>
    <row r="14" spans="1:13" ht="18" customHeight="1">
      <c r="A14" s="6" t="str">
        <f t="shared" si="0"/>
        <v>C01</v>
      </c>
      <c r="B14" s="3">
        <v>41671</v>
      </c>
      <c r="C14" s="3">
        <v>41645</v>
      </c>
      <c r="D14" s="4"/>
      <c r="E14" s="22" t="s">
        <v>87</v>
      </c>
      <c r="F14" s="5" t="s">
        <v>283</v>
      </c>
      <c r="G14" s="5"/>
      <c r="H14" s="5"/>
      <c r="I14" s="28" t="s">
        <v>35</v>
      </c>
      <c r="J14" s="21"/>
      <c r="K14" s="5">
        <v>1136000</v>
      </c>
      <c r="L14" s="4">
        <f t="shared" si="1"/>
        <v>1505020098</v>
      </c>
      <c r="M14" s="19"/>
    </row>
    <row r="15" spans="1:13" ht="17.25" customHeight="1">
      <c r="A15" s="6" t="str">
        <f t="shared" si="0"/>
        <v>C02</v>
      </c>
      <c r="B15" s="3">
        <v>41671</v>
      </c>
      <c r="C15" s="3">
        <v>41663</v>
      </c>
      <c r="D15" s="4"/>
      <c r="E15" s="22" t="s">
        <v>88</v>
      </c>
      <c r="F15" s="5" t="s">
        <v>284</v>
      </c>
      <c r="G15" s="5"/>
      <c r="H15" s="5"/>
      <c r="I15" s="28" t="s">
        <v>256</v>
      </c>
      <c r="J15" s="21"/>
      <c r="K15" s="5">
        <v>931818</v>
      </c>
      <c r="L15" s="4">
        <f t="shared" si="1"/>
        <v>1504088280</v>
      </c>
      <c r="M15" s="19"/>
    </row>
    <row r="16" spans="1:13" ht="17.25" customHeight="1">
      <c r="A16" s="6" t="str">
        <f t="shared" si="0"/>
        <v>C02</v>
      </c>
      <c r="B16" s="3">
        <v>41671</v>
      </c>
      <c r="C16" s="3">
        <v>41663</v>
      </c>
      <c r="D16" s="4"/>
      <c r="E16" s="22" t="s">
        <v>88</v>
      </c>
      <c r="F16" s="5" t="s">
        <v>285</v>
      </c>
      <c r="G16" s="5"/>
      <c r="H16" s="5"/>
      <c r="I16" s="28" t="s">
        <v>35</v>
      </c>
      <c r="J16" s="21"/>
      <c r="K16" s="5">
        <v>93182</v>
      </c>
      <c r="L16" s="4">
        <f t="shared" si="1"/>
        <v>1503995098</v>
      </c>
      <c r="M16" s="19"/>
    </row>
    <row r="17" spans="1:13" ht="16.5" customHeight="1">
      <c r="A17" s="6" t="str">
        <f t="shared" si="0"/>
        <v>C03</v>
      </c>
      <c r="B17" s="3">
        <v>41671</v>
      </c>
      <c r="C17" s="3">
        <v>41668</v>
      </c>
      <c r="D17" s="4"/>
      <c r="E17" s="22" t="s">
        <v>89</v>
      </c>
      <c r="F17" s="5" t="s">
        <v>286</v>
      </c>
      <c r="G17" s="5"/>
      <c r="H17" s="5"/>
      <c r="I17" s="28" t="s">
        <v>54</v>
      </c>
      <c r="J17" s="21"/>
      <c r="K17" s="5">
        <v>14984250</v>
      </c>
      <c r="L17" s="4">
        <f t="shared" si="1"/>
        <v>1489010848</v>
      </c>
      <c r="M17" s="19"/>
    </row>
    <row r="18" spans="1:13" ht="16.5" customHeight="1">
      <c r="A18" s="6" t="str">
        <f t="shared" si="0"/>
        <v>C03</v>
      </c>
      <c r="B18" s="3">
        <v>41671</v>
      </c>
      <c r="C18" s="3">
        <v>41668</v>
      </c>
      <c r="D18" s="4"/>
      <c r="E18" s="22" t="s">
        <v>89</v>
      </c>
      <c r="F18" s="5" t="s">
        <v>52</v>
      </c>
      <c r="G18" s="5"/>
      <c r="H18" s="5"/>
      <c r="I18" s="28" t="s">
        <v>35</v>
      </c>
      <c r="J18" s="21"/>
      <c r="K18" s="5">
        <v>627600</v>
      </c>
      <c r="L18" s="4">
        <f t="shared" si="1"/>
        <v>1488383248</v>
      </c>
      <c r="M18" s="19"/>
    </row>
    <row r="19" spans="1:13" ht="16.5" customHeight="1">
      <c r="A19" s="6" t="str">
        <f t="shared" si="0"/>
        <v>C03</v>
      </c>
      <c r="B19" s="3">
        <v>41671</v>
      </c>
      <c r="C19" s="3">
        <v>41668</v>
      </c>
      <c r="D19" s="4"/>
      <c r="E19" s="22" t="s">
        <v>89</v>
      </c>
      <c r="F19" s="5" t="s">
        <v>287</v>
      </c>
      <c r="G19" s="5"/>
      <c r="H19" s="5"/>
      <c r="I19" s="28" t="s">
        <v>35</v>
      </c>
      <c r="J19" s="21"/>
      <c r="K19" s="5">
        <v>243225</v>
      </c>
      <c r="L19" s="4">
        <f t="shared" si="1"/>
        <v>1488140023</v>
      </c>
      <c r="M19" s="19"/>
    </row>
    <row r="20" spans="1:13" ht="16.5" customHeight="1">
      <c r="A20" s="6" t="str">
        <f t="shared" si="0"/>
        <v>C04</v>
      </c>
      <c r="B20" s="3">
        <v>41671</v>
      </c>
      <c r="C20" s="3">
        <v>41669</v>
      </c>
      <c r="D20" s="4"/>
      <c r="E20" s="22" t="s">
        <v>90</v>
      </c>
      <c r="F20" s="5" t="s">
        <v>288</v>
      </c>
      <c r="G20" s="5"/>
      <c r="H20" s="5"/>
      <c r="I20" s="28" t="s">
        <v>256</v>
      </c>
      <c r="J20" s="21"/>
      <c r="K20" s="5">
        <v>14139448</v>
      </c>
      <c r="L20" s="4">
        <f t="shared" si="1"/>
        <v>1474000575</v>
      </c>
      <c r="M20" s="19"/>
    </row>
    <row r="21" spans="1:13" ht="16.5" customHeight="1">
      <c r="A21" s="6" t="str">
        <f t="shared" si="0"/>
        <v>C04</v>
      </c>
      <c r="B21" s="3">
        <v>41671</v>
      </c>
      <c r="C21" s="3">
        <v>41669</v>
      </c>
      <c r="D21" s="4"/>
      <c r="E21" s="22" t="s">
        <v>90</v>
      </c>
      <c r="F21" s="5" t="s">
        <v>289</v>
      </c>
      <c r="G21" s="5"/>
      <c r="H21" s="5"/>
      <c r="I21" s="28" t="s">
        <v>35</v>
      </c>
      <c r="J21" s="21"/>
      <c r="K21" s="5">
        <v>1413945</v>
      </c>
      <c r="L21" s="4">
        <f t="shared" si="1"/>
        <v>1472586630</v>
      </c>
      <c r="M21" s="19"/>
    </row>
    <row r="22" spans="1:13" ht="16.5" customHeight="1">
      <c r="A22" s="6" t="str">
        <f t="shared" si="0"/>
        <v>C05</v>
      </c>
      <c r="B22" s="3">
        <v>41671</v>
      </c>
      <c r="C22" s="3">
        <v>41670</v>
      </c>
      <c r="D22" s="4"/>
      <c r="E22" s="22" t="s">
        <v>91</v>
      </c>
      <c r="F22" s="5" t="s">
        <v>50</v>
      </c>
      <c r="G22" s="5"/>
      <c r="H22" s="5"/>
      <c r="I22" s="28" t="s">
        <v>247</v>
      </c>
      <c r="J22" s="21"/>
      <c r="K22" s="5">
        <v>3702000</v>
      </c>
      <c r="L22" s="4">
        <f t="shared" si="1"/>
        <v>1468884630</v>
      </c>
      <c r="M22" s="19"/>
    </row>
    <row r="23" spans="1:13" ht="18" customHeight="1">
      <c r="A23" s="6" t="str">
        <f t="shared" si="0"/>
        <v>C05</v>
      </c>
      <c r="B23" s="3">
        <v>41671</v>
      </c>
      <c r="C23" s="3">
        <v>41670</v>
      </c>
      <c r="D23" s="4"/>
      <c r="E23" s="22" t="s">
        <v>91</v>
      </c>
      <c r="F23" s="5" t="s">
        <v>56</v>
      </c>
      <c r="G23" s="5"/>
      <c r="H23" s="5"/>
      <c r="I23" s="28" t="s">
        <v>35</v>
      </c>
      <c r="J23" s="21"/>
      <c r="K23" s="5">
        <v>370200</v>
      </c>
      <c r="L23" s="4">
        <f t="shared" si="1"/>
        <v>1468514430</v>
      </c>
      <c r="M23" s="19"/>
    </row>
    <row r="24" spans="1:13" ht="17.25" customHeight="1">
      <c r="A24" s="6" t="str">
        <f t="shared" si="0"/>
        <v>C06</v>
      </c>
      <c r="B24" s="3">
        <v>41673</v>
      </c>
      <c r="C24" s="3">
        <v>41648</v>
      </c>
      <c r="D24" s="4"/>
      <c r="E24" s="22" t="s">
        <v>92</v>
      </c>
      <c r="F24" s="5" t="s">
        <v>282</v>
      </c>
      <c r="G24" s="5"/>
      <c r="H24" s="5"/>
      <c r="I24" s="28" t="s">
        <v>54</v>
      </c>
      <c r="J24" s="21"/>
      <c r="K24" s="5">
        <v>12480000</v>
      </c>
      <c r="L24" s="4">
        <f t="shared" si="1"/>
        <v>1456034430</v>
      </c>
      <c r="M24" s="19"/>
    </row>
    <row r="25" spans="1:13" ht="18" customHeight="1">
      <c r="A25" s="6" t="str">
        <f t="shared" si="0"/>
        <v>C06</v>
      </c>
      <c r="B25" s="3">
        <v>41673</v>
      </c>
      <c r="C25" s="3">
        <v>41648</v>
      </c>
      <c r="D25" s="4"/>
      <c r="E25" s="22" t="s">
        <v>92</v>
      </c>
      <c r="F25" s="5" t="s">
        <v>283</v>
      </c>
      <c r="G25" s="5"/>
      <c r="H25" s="5"/>
      <c r="I25" s="28" t="s">
        <v>35</v>
      </c>
      <c r="J25" s="21"/>
      <c r="K25" s="5">
        <v>1248000</v>
      </c>
      <c r="L25" s="4">
        <f t="shared" si="1"/>
        <v>1454786430</v>
      </c>
      <c r="M25" s="19"/>
    </row>
    <row r="26" spans="1:13" ht="18" customHeight="1">
      <c r="A26" s="6" t="str">
        <f t="shared" si="0"/>
        <v>C07</v>
      </c>
      <c r="B26" s="3">
        <v>41674</v>
      </c>
      <c r="C26" s="3">
        <v>41652</v>
      </c>
      <c r="D26" s="4"/>
      <c r="E26" s="22" t="s">
        <v>93</v>
      </c>
      <c r="F26" s="5" t="s">
        <v>282</v>
      </c>
      <c r="G26" s="5"/>
      <c r="H26" s="5"/>
      <c r="I26" s="28" t="s">
        <v>54</v>
      </c>
      <c r="J26" s="21"/>
      <c r="K26" s="5">
        <v>13120000</v>
      </c>
      <c r="L26" s="4">
        <f t="shared" si="1"/>
        <v>1441666430</v>
      </c>
      <c r="M26" s="19"/>
    </row>
    <row r="27" spans="1:13" ht="18" customHeight="1">
      <c r="A27" s="6" t="str">
        <f t="shared" si="0"/>
        <v>C07</v>
      </c>
      <c r="B27" s="3">
        <v>41674</v>
      </c>
      <c r="C27" s="3">
        <v>41652</v>
      </c>
      <c r="D27" s="4"/>
      <c r="E27" s="22" t="s">
        <v>93</v>
      </c>
      <c r="F27" s="5" t="s">
        <v>283</v>
      </c>
      <c r="G27" s="5"/>
      <c r="H27" s="5"/>
      <c r="I27" s="28" t="s">
        <v>35</v>
      </c>
      <c r="J27" s="21"/>
      <c r="K27" s="5">
        <v>1312000</v>
      </c>
      <c r="L27" s="4">
        <f t="shared" si="1"/>
        <v>1440354430</v>
      </c>
      <c r="M27" s="19"/>
    </row>
    <row r="28" spans="1:13" ht="17.25" customHeight="1">
      <c r="A28" s="6" t="str">
        <f t="shared" si="0"/>
        <v>C08</v>
      </c>
      <c r="B28" s="3">
        <v>41675</v>
      </c>
      <c r="C28" s="3">
        <v>41655</v>
      </c>
      <c r="D28" s="4"/>
      <c r="E28" s="22" t="s">
        <v>94</v>
      </c>
      <c r="F28" s="5" t="s">
        <v>282</v>
      </c>
      <c r="G28" s="5"/>
      <c r="H28" s="5"/>
      <c r="I28" s="28" t="s">
        <v>54</v>
      </c>
      <c r="J28" s="21"/>
      <c r="K28" s="5">
        <v>12640000</v>
      </c>
      <c r="L28" s="4">
        <f t="shared" si="1"/>
        <v>1427714430</v>
      </c>
      <c r="M28" s="19"/>
    </row>
    <row r="29" spans="1:13" ht="17.25" customHeight="1">
      <c r="A29" s="6" t="str">
        <f t="shared" si="0"/>
        <v>C08</v>
      </c>
      <c r="B29" s="3">
        <v>41675</v>
      </c>
      <c r="C29" s="3">
        <v>41655</v>
      </c>
      <c r="D29" s="4"/>
      <c r="E29" s="22" t="s">
        <v>94</v>
      </c>
      <c r="F29" s="5" t="s">
        <v>283</v>
      </c>
      <c r="G29" s="5"/>
      <c r="H29" s="5"/>
      <c r="I29" s="28" t="s">
        <v>35</v>
      </c>
      <c r="J29" s="21"/>
      <c r="K29" s="5">
        <v>1264000</v>
      </c>
      <c r="L29" s="4">
        <f t="shared" si="1"/>
        <v>1426450430</v>
      </c>
      <c r="M29" s="19"/>
    </row>
    <row r="30" spans="1:13" ht="17.25" customHeight="1">
      <c r="A30" s="6" t="str">
        <f t="shared" si="0"/>
        <v>C09</v>
      </c>
      <c r="B30" s="3">
        <v>41676</v>
      </c>
      <c r="C30" s="3">
        <v>41658</v>
      </c>
      <c r="D30" s="4"/>
      <c r="E30" s="22" t="s">
        <v>95</v>
      </c>
      <c r="F30" s="5" t="s">
        <v>282</v>
      </c>
      <c r="G30" s="5"/>
      <c r="H30" s="5"/>
      <c r="I30" s="28" t="s">
        <v>54</v>
      </c>
      <c r="J30" s="21"/>
      <c r="K30" s="5">
        <v>11200000</v>
      </c>
      <c r="L30" s="4">
        <f t="shared" si="1"/>
        <v>1415250430</v>
      </c>
      <c r="M30" s="19"/>
    </row>
    <row r="31" spans="1:13" ht="17.25" customHeight="1">
      <c r="A31" s="6" t="str">
        <f t="shared" si="0"/>
        <v>C09</v>
      </c>
      <c r="B31" s="3">
        <v>41676</v>
      </c>
      <c r="C31" s="3">
        <v>41658</v>
      </c>
      <c r="D31" s="4"/>
      <c r="E31" s="22" t="s">
        <v>95</v>
      </c>
      <c r="F31" s="5" t="s">
        <v>283</v>
      </c>
      <c r="G31" s="5"/>
      <c r="H31" s="5"/>
      <c r="I31" s="28" t="s">
        <v>35</v>
      </c>
      <c r="J31" s="21"/>
      <c r="K31" s="5">
        <v>1120000</v>
      </c>
      <c r="L31" s="4">
        <f t="shared" si="1"/>
        <v>1414130430</v>
      </c>
      <c r="M31" s="19"/>
    </row>
    <row r="32" spans="1:13" ht="17.25" customHeight="1">
      <c r="A32" s="6" t="str">
        <f>D32&amp;E33</f>
        <v>C10</v>
      </c>
      <c r="B32" s="3">
        <v>41679</v>
      </c>
      <c r="C32" s="3">
        <v>41679</v>
      </c>
      <c r="D32" s="4"/>
      <c r="E32" s="22" t="s">
        <v>96</v>
      </c>
      <c r="F32" s="5" t="s">
        <v>288</v>
      </c>
      <c r="G32" s="5"/>
      <c r="H32" s="5"/>
      <c r="I32" s="28" t="s">
        <v>256</v>
      </c>
      <c r="J32" s="21"/>
      <c r="K32" s="5">
        <v>6712881</v>
      </c>
      <c r="L32" s="4">
        <f t="shared" si="1"/>
        <v>1407417549</v>
      </c>
      <c r="M32" s="19"/>
    </row>
    <row r="33" spans="1:13" ht="17.25" customHeight="1">
      <c r="A33" s="6" t="e">
        <f>D33&amp;#REF!</f>
        <v>#REF!</v>
      </c>
      <c r="B33" s="3">
        <v>41679</v>
      </c>
      <c r="C33" s="3">
        <v>41679</v>
      </c>
      <c r="D33" s="4"/>
      <c r="E33" s="22" t="s">
        <v>96</v>
      </c>
      <c r="F33" s="5" t="s">
        <v>289</v>
      </c>
      <c r="G33" s="5"/>
      <c r="H33" s="5"/>
      <c r="I33" s="28" t="s">
        <v>35</v>
      </c>
      <c r="J33" s="21"/>
      <c r="K33" s="5">
        <v>671288</v>
      </c>
      <c r="L33" s="4">
        <f t="shared" si="1"/>
        <v>1406746261</v>
      </c>
      <c r="M33" s="19"/>
    </row>
    <row r="34" spans="1:13" ht="17.25" customHeight="1">
      <c r="A34" s="6" t="str">
        <f t="shared" ref="A34:A77" si="2">D34&amp;E34</f>
        <v>C11</v>
      </c>
      <c r="B34" s="3">
        <v>41680</v>
      </c>
      <c r="C34" s="3">
        <v>41680</v>
      </c>
      <c r="D34" s="4"/>
      <c r="E34" s="22" t="s">
        <v>97</v>
      </c>
      <c r="F34" s="5" t="s">
        <v>290</v>
      </c>
      <c r="G34" s="5"/>
      <c r="H34" s="5"/>
      <c r="I34" s="28" t="s">
        <v>247</v>
      </c>
      <c r="J34" s="21"/>
      <c r="K34" s="5">
        <v>102960</v>
      </c>
      <c r="L34" s="4">
        <f t="shared" si="1"/>
        <v>1406643301</v>
      </c>
      <c r="M34" s="19"/>
    </row>
    <row r="35" spans="1:13" ht="17.25" customHeight="1">
      <c r="A35" s="6" t="str">
        <f t="shared" si="2"/>
        <v>C11</v>
      </c>
      <c r="B35" s="3">
        <v>41680</v>
      </c>
      <c r="C35" s="3">
        <v>41680</v>
      </c>
      <c r="D35" s="4"/>
      <c r="E35" s="22" t="s">
        <v>97</v>
      </c>
      <c r="F35" s="5" t="s">
        <v>291</v>
      </c>
      <c r="G35" s="5"/>
      <c r="H35" s="5"/>
      <c r="I35" s="28" t="s">
        <v>35</v>
      </c>
      <c r="J35" s="21"/>
      <c r="K35" s="5">
        <v>10296</v>
      </c>
      <c r="L35" s="4">
        <f t="shared" si="1"/>
        <v>1406633005</v>
      </c>
      <c r="M35" s="19"/>
    </row>
    <row r="36" spans="1:13" ht="17.25" customHeight="1">
      <c r="A36" s="6" t="str">
        <f t="shared" si="2"/>
        <v>C12</v>
      </c>
      <c r="B36" s="3">
        <v>41680</v>
      </c>
      <c r="C36" s="3">
        <v>41680</v>
      </c>
      <c r="D36" s="4"/>
      <c r="E36" s="22" t="s">
        <v>98</v>
      </c>
      <c r="F36" s="5" t="s">
        <v>50</v>
      </c>
      <c r="G36" s="5"/>
      <c r="H36" s="5"/>
      <c r="I36" s="28" t="s">
        <v>247</v>
      </c>
      <c r="J36" s="21"/>
      <c r="K36" s="5">
        <v>154064</v>
      </c>
      <c r="L36" s="4">
        <f t="shared" si="1"/>
        <v>1406478941</v>
      </c>
      <c r="M36" s="19"/>
    </row>
    <row r="37" spans="1:13" ht="17.25" customHeight="1">
      <c r="A37" s="6" t="str">
        <f t="shared" si="2"/>
        <v>C12</v>
      </c>
      <c r="B37" s="3">
        <v>41680</v>
      </c>
      <c r="C37" s="3">
        <v>41680</v>
      </c>
      <c r="D37" s="4"/>
      <c r="E37" s="22" t="s">
        <v>98</v>
      </c>
      <c r="F37" s="5" t="s">
        <v>53</v>
      </c>
      <c r="G37" s="5"/>
      <c r="H37" s="5"/>
      <c r="I37" s="28" t="s">
        <v>54</v>
      </c>
      <c r="J37" s="21"/>
      <c r="K37" s="5">
        <v>1026818</v>
      </c>
      <c r="L37" s="4">
        <f t="shared" si="1"/>
        <v>1405452123</v>
      </c>
      <c r="M37" s="19"/>
    </row>
    <row r="38" spans="1:13" ht="17.25" customHeight="1">
      <c r="A38" s="6" t="str">
        <f t="shared" si="2"/>
        <v>C12</v>
      </c>
      <c r="B38" s="3">
        <v>41680</v>
      </c>
      <c r="C38" s="3">
        <v>41680</v>
      </c>
      <c r="D38" s="4"/>
      <c r="E38" s="22" t="s">
        <v>98</v>
      </c>
      <c r="F38" s="5" t="s">
        <v>292</v>
      </c>
      <c r="G38" s="5"/>
      <c r="H38" s="5"/>
      <c r="I38" s="28" t="s">
        <v>35</v>
      </c>
      <c r="J38" s="21"/>
      <c r="K38" s="5">
        <v>118088</v>
      </c>
      <c r="L38" s="4">
        <f t="shared" si="1"/>
        <v>1405334035</v>
      </c>
      <c r="M38" s="19"/>
    </row>
    <row r="39" spans="1:13" ht="17.25" customHeight="1">
      <c r="A39" s="6" t="str">
        <f t="shared" si="2"/>
        <v>T01</v>
      </c>
      <c r="B39" s="3">
        <f>C39</f>
        <v>41681</v>
      </c>
      <c r="C39" s="3">
        <v>41681</v>
      </c>
      <c r="D39" s="4" t="s">
        <v>39</v>
      </c>
      <c r="E39" s="22"/>
      <c r="F39" s="5" t="s">
        <v>253</v>
      </c>
      <c r="G39" s="5"/>
      <c r="H39" s="5"/>
      <c r="I39" s="28" t="s">
        <v>36</v>
      </c>
      <c r="J39" s="21">
        <v>590000000</v>
      </c>
      <c r="K39" s="5"/>
      <c r="L39" s="4">
        <f t="shared" si="1"/>
        <v>1995334035</v>
      </c>
      <c r="M39" s="19"/>
    </row>
    <row r="40" spans="1:13" ht="17.25" customHeight="1">
      <c r="A40" s="6" t="str">
        <f t="shared" si="2"/>
        <v>C13</v>
      </c>
      <c r="B40" s="3">
        <v>41681</v>
      </c>
      <c r="C40" s="3">
        <v>41681</v>
      </c>
      <c r="D40" s="4"/>
      <c r="E40" s="22" t="s">
        <v>99</v>
      </c>
      <c r="F40" s="5" t="s">
        <v>261</v>
      </c>
      <c r="G40" s="5"/>
      <c r="H40" s="5"/>
      <c r="I40" s="28" t="s">
        <v>36</v>
      </c>
      <c r="J40" s="21"/>
      <c r="K40" s="5">
        <v>200000</v>
      </c>
      <c r="L40" s="4">
        <f t="shared" si="1"/>
        <v>1995134035</v>
      </c>
      <c r="M40" s="19"/>
    </row>
    <row r="41" spans="1:13" ht="16.5" customHeight="1">
      <c r="A41" s="6" t="str">
        <f t="shared" si="2"/>
        <v>C14</v>
      </c>
      <c r="B41" s="3">
        <v>41681</v>
      </c>
      <c r="C41" s="3">
        <v>41681</v>
      </c>
      <c r="D41" s="4"/>
      <c r="E41" s="22" t="s">
        <v>100</v>
      </c>
      <c r="F41" s="30" t="s">
        <v>259</v>
      </c>
      <c r="G41" s="50"/>
      <c r="H41" s="50"/>
      <c r="I41" s="28" t="s">
        <v>134</v>
      </c>
      <c r="J41" s="21"/>
      <c r="K41" s="5">
        <v>550000000</v>
      </c>
      <c r="L41" s="4">
        <f t="shared" si="1"/>
        <v>1445134035</v>
      </c>
      <c r="M41" s="19"/>
    </row>
    <row r="42" spans="1:13" ht="17.25" customHeight="1">
      <c r="A42" s="6" t="str">
        <f t="shared" si="2"/>
        <v>C15</v>
      </c>
      <c r="B42" s="3">
        <v>41682</v>
      </c>
      <c r="C42" s="3">
        <v>41682</v>
      </c>
      <c r="D42" s="4"/>
      <c r="E42" s="22" t="s">
        <v>101</v>
      </c>
      <c r="F42" s="5" t="s">
        <v>293</v>
      </c>
      <c r="G42" s="5"/>
      <c r="H42" s="5"/>
      <c r="I42" s="28" t="s">
        <v>247</v>
      </c>
      <c r="J42" s="21"/>
      <c r="K42" s="5">
        <v>3625000</v>
      </c>
      <c r="L42" s="4">
        <f t="shared" si="1"/>
        <v>1441509035</v>
      </c>
      <c r="M42" s="19"/>
    </row>
    <row r="43" spans="1:13" ht="17.25" customHeight="1">
      <c r="A43" s="6" t="str">
        <f t="shared" si="2"/>
        <v>C15</v>
      </c>
      <c r="B43" s="3">
        <v>41682</v>
      </c>
      <c r="C43" s="3">
        <v>41682</v>
      </c>
      <c r="D43" s="4"/>
      <c r="E43" s="22" t="s">
        <v>101</v>
      </c>
      <c r="F43" s="5" t="s">
        <v>294</v>
      </c>
      <c r="G43" s="5"/>
      <c r="H43" s="5"/>
      <c r="I43" s="28" t="s">
        <v>35</v>
      </c>
      <c r="J43" s="21"/>
      <c r="K43" s="5">
        <v>362500</v>
      </c>
      <c r="L43" s="4">
        <f t="shared" si="1"/>
        <v>1441146535</v>
      </c>
      <c r="M43" s="19"/>
    </row>
    <row r="44" spans="1:13" ht="18.75" customHeight="1">
      <c r="A44" s="6" t="str">
        <f t="shared" si="2"/>
        <v>T02</v>
      </c>
      <c r="B44" s="3">
        <f>C44</f>
        <v>41684</v>
      </c>
      <c r="C44" s="3">
        <v>41684</v>
      </c>
      <c r="D44" s="4" t="s">
        <v>40</v>
      </c>
      <c r="E44" s="22"/>
      <c r="F44" s="5" t="s">
        <v>253</v>
      </c>
      <c r="G44" s="5"/>
      <c r="H44" s="5"/>
      <c r="I44" s="28" t="s">
        <v>36</v>
      </c>
      <c r="J44" s="21">
        <v>2050000000</v>
      </c>
      <c r="K44" s="5"/>
      <c r="L44" s="4">
        <f t="shared" si="1"/>
        <v>3491146535</v>
      </c>
      <c r="M44" s="19"/>
    </row>
    <row r="45" spans="1:13" ht="17.25" customHeight="1">
      <c r="A45" s="6" t="str">
        <f t="shared" si="2"/>
        <v>C16</v>
      </c>
      <c r="B45" s="3">
        <v>41684</v>
      </c>
      <c r="C45" s="3">
        <v>41684</v>
      </c>
      <c r="D45" s="4"/>
      <c r="E45" s="22" t="s">
        <v>102</v>
      </c>
      <c r="F45" s="5" t="s">
        <v>261</v>
      </c>
      <c r="G45" s="5"/>
      <c r="H45" s="5"/>
      <c r="I45" s="28" t="s">
        <v>36</v>
      </c>
      <c r="J45" s="21"/>
      <c r="K45" s="5">
        <v>37000000</v>
      </c>
      <c r="L45" s="4">
        <f t="shared" ref="L45:L76" si="3">IF(F45&lt;&gt;"",L44+J45-K45,0)</f>
        <v>3454146535</v>
      </c>
      <c r="M45" s="19"/>
    </row>
    <row r="46" spans="1:13" ht="17.25" customHeight="1">
      <c r="A46" s="6" t="str">
        <f t="shared" si="2"/>
        <v>C17</v>
      </c>
      <c r="B46" s="3">
        <v>41684</v>
      </c>
      <c r="C46" s="3">
        <v>41684</v>
      </c>
      <c r="D46" s="4"/>
      <c r="E46" s="22" t="s">
        <v>103</v>
      </c>
      <c r="F46" s="30" t="s">
        <v>259</v>
      </c>
      <c r="G46" s="50"/>
      <c r="H46" s="50"/>
      <c r="I46" s="28" t="s">
        <v>134</v>
      </c>
      <c r="J46" s="21"/>
      <c r="K46" s="5">
        <v>600000000</v>
      </c>
      <c r="L46" s="4">
        <f t="shared" si="3"/>
        <v>2854146535</v>
      </c>
      <c r="M46" s="19"/>
    </row>
    <row r="47" spans="1:13" ht="17.25" customHeight="1">
      <c r="A47" s="6" t="str">
        <f t="shared" si="2"/>
        <v>C18</v>
      </c>
      <c r="B47" s="3">
        <v>41684</v>
      </c>
      <c r="C47" s="3">
        <v>41684</v>
      </c>
      <c r="D47" s="4"/>
      <c r="E47" s="22" t="s">
        <v>104</v>
      </c>
      <c r="F47" s="30" t="s">
        <v>260</v>
      </c>
      <c r="G47" s="50"/>
      <c r="H47" s="50"/>
      <c r="I47" s="28" t="s">
        <v>134</v>
      </c>
      <c r="J47" s="21"/>
      <c r="K47" s="5">
        <v>450000000</v>
      </c>
      <c r="L47" s="4">
        <f t="shared" si="3"/>
        <v>2404146535</v>
      </c>
      <c r="M47" s="19"/>
    </row>
    <row r="48" spans="1:13" ht="17.25" customHeight="1">
      <c r="A48" s="6" t="str">
        <f t="shared" si="2"/>
        <v>C19</v>
      </c>
      <c r="B48" s="3">
        <v>41685</v>
      </c>
      <c r="C48" s="3">
        <v>41685</v>
      </c>
      <c r="D48" s="4"/>
      <c r="E48" s="22" t="s">
        <v>105</v>
      </c>
      <c r="F48" s="5" t="s">
        <v>50</v>
      </c>
      <c r="G48" s="5"/>
      <c r="H48" s="5"/>
      <c r="I48" s="28" t="s">
        <v>247</v>
      </c>
      <c r="J48" s="21"/>
      <c r="K48" s="5">
        <v>308127</v>
      </c>
      <c r="L48" s="4">
        <f t="shared" si="3"/>
        <v>2403838408</v>
      </c>
      <c r="M48" s="19"/>
    </row>
    <row r="49" spans="1:13" ht="17.25" customHeight="1">
      <c r="A49" s="6" t="str">
        <f t="shared" si="2"/>
        <v>C19</v>
      </c>
      <c r="B49" s="3">
        <v>41685</v>
      </c>
      <c r="C49" s="3">
        <v>41685</v>
      </c>
      <c r="D49" s="4"/>
      <c r="E49" s="22" t="s">
        <v>105</v>
      </c>
      <c r="F49" s="5" t="s">
        <v>53</v>
      </c>
      <c r="G49" s="5"/>
      <c r="H49" s="5"/>
      <c r="I49" s="28" t="s">
        <v>54</v>
      </c>
      <c r="J49" s="21"/>
      <c r="K49" s="5">
        <v>1839273</v>
      </c>
      <c r="L49" s="4">
        <f t="shared" si="3"/>
        <v>2401999135</v>
      </c>
      <c r="M49" s="19"/>
    </row>
    <row r="50" spans="1:13" ht="18" customHeight="1">
      <c r="A50" s="6" t="str">
        <f t="shared" si="2"/>
        <v>C19</v>
      </c>
      <c r="B50" s="3">
        <v>41685</v>
      </c>
      <c r="C50" s="3">
        <v>41685</v>
      </c>
      <c r="D50" s="4"/>
      <c r="E50" s="22" t="s">
        <v>105</v>
      </c>
      <c r="F50" s="5" t="s">
        <v>292</v>
      </c>
      <c r="G50" s="5"/>
      <c r="H50" s="5"/>
      <c r="I50" s="28" t="s">
        <v>35</v>
      </c>
      <c r="J50" s="21"/>
      <c r="K50" s="5">
        <v>214740</v>
      </c>
      <c r="L50" s="4">
        <f t="shared" si="3"/>
        <v>2401784395</v>
      </c>
      <c r="M50" s="19"/>
    </row>
    <row r="51" spans="1:13" ht="18" customHeight="1">
      <c r="A51" s="6" t="str">
        <f t="shared" si="2"/>
        <v>C20</v>
      </c>
      <c r="B51" s="3">
        <v>41688</v>
      </c>
      <c r="C51" s="3">
        <v>41688</v>
      </c>
      <c r="D51" s="4"/>
      <c r="E51" s="22" t="s">
        <v>106</v>
      </c>
      <c r="F51" s="5" t="s">
        <v>50</v>
      </c>
      <c r="G51" s="5"/>
      <c r="H51" s="5"/>
      <c r="I51" s="28" t="s">
        <v>247</v>
      </c>
      <c r="J51" s="21"/>
      <c r="K51" s="5">
        <v>2131455</v>
      </c>
      <c r="L51" s="4">
        <f t="shared" si="3"/>
        <v>2399652940</v>
      </c>
      <c r="M51" s="19"/>
    </row>
    <row r="52" spans="1:13" ht="17.25" customHeight="1">
      <c r="A52" s="6" t="str">
        <f t="shared" si="2"/>
        <v>C20</v>
      </c>
      <c r="B52" s="3">
        <v>41688</v>
      </c>
      <c r="C52" s="3">
        <v>41688</v>
      </c>
      <c r="D52" s="4"/>
      <c r="E52" s="22" t="s">
        <v>106</v>
      </c>
      <c r="F52" s="5" t="s">
        <v>56</v>
      </c>
      <c r="G52" s="5"/>
      <c r="H52" s="5"/>
      <c r="I52" s="28" t="s">
        <v>35</v>
      </c>
      <c r="J52" s="21"/>
      <c r="K52" s="5">
        <v>213145</v>
      </c>
      <c r="L52" s="4">
        <f t="shared" si="3"/>
        <v>2399439795</v>
      </c>
      <c r="M52" s="19"/>
    </row>
    <row r="53" spans="1:13" ht="17.25" customHeight="1">
      <c r="A53" s="6" t="str">
        <f t="shared" si="2"/>
        <v>C21</v>
      </c>
      <c r="B53" s="3">
        <v>41691</v>
      </c>
      <c r="C53" s="3">
        <v>41691</v>
      </c>
      <c r="D53" s="4"/>
      <c r="E53" s="22" t="s">
        <v>107</v>
      </c>
      <c r="F53" s="5" t="s">
        <v>50</v>
      </c>
      <c r="G53" s="5"/>
      <c r="H53" s="5"/>
      <c r="I53" s="28" t="s">
        <v>247</v>
      </c>
      <c r="J53" s="21"/>
      <c r="K53" s="5">
        <v>3073782</v>
      </c>
      <c r="L53" s="4">
        <f t="shared" si="3"/>
        <v>2396366013</v>
      </c>
      <c r="M53" s="19"/>
    </row>
    <row r="54" spans="1:13" ht="16.5" customHeight="1">
      <c r="A54" s="6" t="str">
        <f t="shared" si="2"/>
        <v>C21</v>
      </c>
      <c r="B54" s="3">
        <v>41691</v>
      </c>
      <c r="C54" s="3">
        <v>41691</v>
      </c>
      <c r="D54" s="4"/>
      <c r="E54" s="22" t="s">
        <v>107</v>
      </c>
      <c r="F54" s="5" t="s">
        <v>56</v>
      </c>
      <c r="G54" s="5"/>
      <c r="H54" s="5"/>
      <c r="I54" s="28" t="s">
        <v>35</v>
      </c>
      <c r="J54" s="21"/>
      <c r="K54" s="5">
        <v>307378</v>
      </c>
      <c r="L54" s="4">
        <f t="shared" si="3"/>
        <v>2396058635</v>
      </c>
      <c r="M54" s="19"/>
    </row>
    <row r="55" spans="1:13" ht="17.25" customHeight="1">
      <c r="A55" s="6" t="str">
        <f t="shared" si="2"/>
        <v>C22</v>
      </c>
      <c r="B55" s="3">
        <v>41691</v>
      </c>
      <c r="C55" s="3">
        <v>41691</v>
      </c>
      <c r="D55" s="4"/>
      <c r="E55" s="22" t="s">
        <v>108</v>
      </c>
      <c r="F55" s="5" t="s">
        <v>50</v>
      </c>
      <c r="G55" s="5"/>
      <c r="H55" s="5"/>
      <c r="I55" s="28" t="s">
        <v>247</v>
      </c>
      <c r="J55" s="21"/>
      <c r="K55" s="5">
        <v>330136</v>
      </c>
      <c r="L55" s="4">
        <f t="shared" si="3"/>
        <v>2395728499</v>
      </c>
      <c r="M55" s="19"/>
    </row>
    <row r="56" spans="1:13" ht="17.25" customHeight="1">
      <c r="A56" s="6" t="str">
        <f t="shared" si="2"/>
        <v>C22</v>
      </c>
      <c r="B56" s="3">
        <v>41691</v>
      </c>
      <c r="C56" s="3">
        <v>41691</v>
      </c>
      <c r="D56" s="4"/>
      <c r="E56" s="22" t="s">
        <v>108</v>
      </c>
      <c r="F56" s="5" t="s">
        <v>53</v>
      </c>
      <c r="G56" s="5"/>
      <c r="H56" s="5"/>
      <c r="I56" s="28" t="s">
        <v>54</v>
      </c>
      <c r="J56" s="21"/>
      <c r="K56" s="5">
        <v>1021818</v>
      </c>
      <c r="L56" s="4">
        <f t="shared" si="3"/>
        <v>2394706681</v>
      </c>
      <c r="M56" s="19"/>
    </row>
    <row r="57" spans="1:13" ht="17.25" customHeight="1">
      <c r="A57" s="6" t="str">
        <f t="shared" si="2"/>
        <v>C22</v>
      </c>
      <c r="B57" s="3">
        <v>41691</v>
      </c>
      <c r="C57" s="3">
        <v>41691</v>
      </c>
      <c r="D57" s="4"/>
      <c r="E57" s="22" t="s">
        <v>108</v>
      </c>
      <c r="F57" s="5" t="s">
        <v>292</v>
      </c>
      <c r="G57" s="5"/>
      <c r="H57" s="5"/>
      <c r="I57" s="28" t="s">
        <v>35</v>
      </c>
      <c r="J57" s="21"/>
      <c r="K57" s="5">
        <v>135196</v>
      </c>
      <c r="L57" s="4">
        <f t="shared" si="3"/>
        <v>2394571485</v>
      </c>
      <c r="M57" s="19"/>
    </row>
    <row r="58" spans="1:13" ht="17.25" customHeight="1">
      <c r="A58" s="6" t="str">
        <f t="shared" si="2"/>
        <v>C23</v>
      </c>
      <c r="B58" s="3">
        <v>41694</v>
      </c>
      <c r="C58" s="3">
        <v>41694</v>
      </c>
      <c r="D58" s="4"/>
      <c r="E58" s="22" t="s">
        <v>109</v>
      </c>
      <c r="F58" s="5" t="s">
        <v>295</v>
      </c>
      <c r="G58" s="5"/>
      <c r="H58" s="5"/>
      <c r="I58" s="28" t="s">
        <v>34</v>
      </c>
      <c r="J58" s="21"/>
      <c r="K58" s="5">
        <v>15509999</v>
      </c>
      <c r="L58" s="4">
        <f t="shared" si="3"/>
        <v>2379061486</v>
      </c>
      <c r="M58" s="19"/>
    </row>
    <row r="59" spans="1:13" ht="17.25" customHeight="1">
      <c r="A59" s="6" t="str">
        <f t="shared" si="2"/>
        <v>T03</v>
      </c>
      <c r="B59" s="3">
        <f>C59</f>
        <v>41695</v>
      </c>
      <c r="C59" s="3">
        <v>41695</v>
      </c>
      <c r="D59" s="4" t="s">
        <v>41</v>
      </c>
      <c r="E59" s="22"/>
      <c r="F59" s="5" t="s">
        <v>253</v>
      </c>
      <c r="G59" s="5"/>
      <c r="H59" s="5"/>
      <c r="I59" s="28" t="s">
        <v>36</v>
      </c>
      <c r="J59" s="21">
        <v>90000000</v>
      </c>
      <c r="K59" s="5"/>
      <c r="L59" s="4">
        <f t="shared" si="3"/>
        <v>2469061486</v>
      </c>
      <c r="M59" s="19"/>
    </row>
    <row r="60" spans="1:13" ht="18" customHeight="1">
      <c r="A60" s="6" t="str">
        <f t="shared" si="2"/>
        <v>C24</v>
      </c>
      <c r="B60" s="3">
        <v>41696</v>
      </c>
      <c r="C60" s="3">
        <v>41696</v>
      </c>
      <c r="D60" s="4"/>
      <c r="E60" s="22" t="s">
        <v>110</v>
      </c>
      <c r="F60" s="5" t="s">
        <v>296</v>
      </c>
      <c r="G60" s="5"/>
      <c r="H60" s="5"/>
      <c r="I60" s="28" t="s">
        <v>256</v>
      </c>
      <c r="J60" s="21"/>
      <c r="K60" s="5">
        <v>481818</v>
      </c>
      <c r="L60" s="4">
        <f t="shared" si="3"/>
        <v>2468579668</v>
      </c>
      <c r="M60" s="19"/>
    </row>
    <row r="61" spans="1:13" ht="17.25" customHeight="1">
      <c r="A61" s="6" t="str">
        <f t="shared" si="2"/>
        <v>C24</v>
      </c>
      <c r="B61" s="3">
        <v>41696</v>
      </c>
      <c r="C61" s="3">
        <v>41696</v>
      </c>
      <c r="D61" s="4"/>
      <c r="E61" s="22" t="s">
        <v>110</v>
      </c>
      <c r="F61" s="5" t="s">
        <v>297</v>
      </c>
      <c r="G61" s="5"/>
      <c r="H61" s="5"/>
      <c r="I61" s="28" t="s">
        <v>35</v>
      </c>
      <c r="J61" s="21"/>
      <c r="K61" s="5">
        <v>48182</v>
      </c>
      <c r="L61" s="4">
        <f t="shared" si="3"/>
        <v>2468531486</v>
      </c>
      <c r="M61" s="19"/>
    </row>
    <row r="62" spans="1:13" ht="17.25" customHeight="1">
      <c r="A62" s="6" t="str">
        <f t="shared" si="2"/>
        <v>C25</v>
      </c>
      <c r="B62" s="3">
        <v>41696</v>
      </c>
      <c r="C62" s="3">
        <v>41696</v>
      </c>
      <c r="D62" s="4"/>
      <c r="E62" s="22" t="s">
        <v>111</v>
      </c>
      <c r="F62" s="5" t="s">
        <v>296</v>
      </c>
      <c r="G62" s="5"/>
      <c r="H62" s="5"/>
      <c r="I62" s="28" t="s">
        <v>256</v>
      </c>
      <c r="J62" s="21"/>
      <c r="K62" s="5">
        <v>963636</v>
      </c>
      <c r="L62" s="4">
        <f t="shared" si="3"/>
        <v>2467567850</v>
      </c>
      <c r="M62" s="19"/>
    </row>
    <row r="63" spans="1:13" ht="17.25" customHeight="1">
      <c r="A63" s="6" t="str">
        <f t="shared" si="2"/>
        <v>C25</v>
      </c>
      <c r="B63" s="3">
        <v>41696</v>
      </c>
      <c r="C63" s="3">
        <v>41696</v>
      </c>
      <c r="D63" s="4"/>
      <c r="E63" s="22" t="s">
        <v>111</v>
      </c>
      <c r="F63" s="5" t="s">
        <v>297</v>
      </c>
      <c r="G63" s="5"/>
      <c r="H63" s="5"/>
      <c r="I63" s="28" t="s">
        <v>35</v>
      </c>
      <c r="J63" s="21"/>
      <c r="K63" s="5">
        <v>96364</v>
      </c>
      <c r="L63" s="4">
        <f t="shared" si="3"/>
        <v>2467471486</v>
      </c>
      <c r="M63" s="19"/>
    </row>
    <row r="64" spans="1:13" ht="17.25" customHeight="1">
      <c r="A64" s="6" t="str">
        <f t="shared" si="2"/>
        <v>T04</v>
      </c>
      <c r="B64" s="3">
        <f>C64</f>
        <v>41697</v>
      </c>
      <c r="C64" s="3">
        <v>41697</v>
      </c>
      <c r="D64" s="4" t="s">
        <v>42</v>
      </c>
      <c r="E64" s="22"/>
      <c r="F64" s="5" t="s">
        <v>253</v>
      </c>
      <c r="G64" s="5"/>
      <c r="H64" s="5"/>
      <c r="I64" s="28" t="s">
        <v>36</v>
      </c>
      <c r="J64" s="21">
        <v>700000000</v>
      </c>
      <c r="K64" s="5"/>
      <c r="L64" s="4">
        <f t="shared" si="3"/>
        <v>3167471486</v>
      </c>
      <c r="M64" s="19"/>
    </row>
    <row r="65" spans="1:13" ht="17.25" customHeight="1">
      <c r="A65" s="6" t="str">
        <f t="shared" si="2"/>
        <v>C26</v>
      </c>
      <c r="B65" s="3">
        <v>41697</v>
      </c>
      <c r="C65" s="3">
        <v>41697</v>
      </c>
      <c r="D65" s="4"/>
      <c r="E65" s="22" t="s">
        <v>112</v>
      </c>
      <c r="F65" s="5" t="s">
        <v>298</v>
      </c>
      <c r="G65" s="5"/>
      <c r="H65" s="5"/>
      <c r="I65" s="28" t="s">
        <v>247</v>
      </c>
      <c r="J65" s="21"/>
      <c r="K65" s="5">
        <v>17200000</v>
      </c>
      <c r="L65" s="4">
        <f t="shared" si="3"/>
        <v>3150271486</v>
      </c>
      <c r="M65" s="19"/>
    </row>
    <row r="66" spans="1:13" ht="17.25" customHeight="1">
      <c r="A66" s="6" t="str">
        <f t="shared" si="2"/>
        <v>C26</v>
      </c>
      <c r="B66" s="3">
        <v>41697</v>
      </c>
      <c r="C66" s="3">
        <v>41697</v>
      </c>
      <c r="D66" s="4"/>
      <c r="E66" s="22" t="s">
        <v>112</v>
      </c>
      <c r="F66" s="5" t="s">
        <v>299</v>
      </c>
      <c r="G66" s="5"/>
      <c r="H66" s="5"/>
      <c r="I66" s="28" t="s">
        <v>35</v>
      </c>
      <c r="J66" s="21"/>
      <c r="K66" s="5">
        <v>1720000</v>
      </c>
      <c r="L66" s="4">
        <f t="shared" si="3"/>
        <v>3148551486</v>
      </c>
      <c r="M66" s="19"/>
    </row>
    <row r="67" spans="1:13" ht="17.25" customHeight="1">
      <c r="A67" s="6" t="str">
        <f t="shared" si="2"/>
        <v>C27</v>
      </c>
      <c r="B67" s="3">
        <v>41697</v>
      </c>
      <c r="C67" s="3">
        <v>41697</v>
      </c>
      <c r="D67" s="4"/>
      <c r="E67" s="22" t="s">
        <v>113</v>
      </c>
      <c r="F67" s="30" t="s">
        <v>260</v>
      </c>
      <c r="G67" s="50"/>
      <c r="H67" s="50"/>
      <c r="I67" s="28" t="s">
        <v>134</v>
      </c>
      <c r="J67" s="21"/>
      <c r="K67" s="5">
        <v>400000000</v>
      </c>
      <c r="L67" s="4">
        <f t="shared" si="3"/>
        <v>2748551486</v>
      </c>
      <c r="M67" s="19"/>
    </row>
    <row r="68" spans="1:13" ht="17.25" customHeight="1">
      <c r="A68" s="6" t="str">
        <f t="shared" si="2"/>
        <v>C28</v>
      </c>
      <c r="B68" s="3">
        <f>C68</f>
        <v>41698</v>
      </c>
      <c r="C68" s="3">
        <v>41698</v>
      </c>
      <c r="D68" s="4"/>
      <c r="E68" s="22" t="s">
        <v>114</v>
      </c>
      <c r="F68" s="30" t="s">
        <v>259</v>
      </c>
      <c r="G68" s="50"/>
      <c r="H68" s="50"/>
      <c r="I68" s="28" t="s">
        <v>134</v>
      </c>
      <c r="J68" s="21"/>
      <c r="K68" s="5">
        <v>600000000</v>
      </c>
      <c r="L68" s="4">
        <f t="shared" si="3"/>
        <v>2148551486</v>
      </c>
      <c r="M68" s="19"/>
    </row>
    <row r="69" spans="1:13" ht="17.25" customHeight="1">
      <c r="A69" s="6" t="str">
        <f t="shared" si="2"/>
        <v>C29</v>
      </c>
      <c r="B69" s="3">
        <v>41698</v>
      </c>
      <c r="C69" s="3">
        <v>41698</v>
      </c>
      <c r="D69" s="4"/>
      <c r="E69" s="22" t="s">
        <v>115</v>
      </c>
      <c r="F69" s="5" t="s">
        <v>50</v>
      </c>
      <c r="G69" s="5"/>
      <c r="H69" s="5"/>
      <c r="I69" s="28" t="s">
        <v>247</v>
      </c>
      <c r="J69" s="21"/>
      <c r="K69" s="5">
        <v>222818</v>
      </c>
      <c r="L69" s="4">
        <f t="shared" si="3"/>
        <v>2148328668</v>
      </c>
      <c r="M69" s="19"/>
    </row>
    <row r="70" spans="1:13" ht="17.25" customHeight="1">
      <c r="A70" s="6" t="str">
        <f t="shared" si="2"/>
        <v>C29</v>
      </c>
      <c r="B70" s="3">
        <v>41698</v>
      </c>
      <c r="C70" s="3">
        <v>41698</v>
      </c>
      <c r="D70" s="4"/>
      <c r="E70" s="22" t="s">
        <v>115</v>
      </c>
      <c r="F70" s="5" t="s">
        <v>53</v>
      </c>
      <c r="G70" s="5"/>
      <c r="H70" s="5"/>
      <c r="I70" s="28" t="s">
        <v>54</v>
      </c>
      <c r="J70" s="21"/>
      <c r="K70" s="5">
        <v>1445818</v>
      </c>
      <c r="L70" s="4">
        <f t="shared" si="3"/>
        <v>2146882850</v>
      </c>
      <c r="M70" s="19"/>
    </row>
    <row r="71" spans="1:13" ht="18" customHeight="1">
      <c r="A71" s="6" t="str">
        <f t="shared" si="2"/>
        <v>C29</v>
      </c>
      <c r="B71" s="3">
        <v>41698</v>
      </c>
      <c r="C71" s="3">
        <v>41698</v>
      </c>
      <c r="D71" s="4"/>
      <c r="E71" s="22" t="s">
        <v>115</v>
      </c>
      <c r="F71" s="5" t="s">
        <v>292</v>
      </c>
      <c r="G71" s="5"/>
      <c r="H71" s="5"/>
      <c r="I71" s="28" t="s">
        <v>35</v>
      </c>
      <c r="J71" s="21"/>
      <c r="K71" s="5">
        <v>166864</v>
      </c>
      <c r="L71" s="4">
        <f t="shared" si="3"/>
        <v>2146715986</v>
      </c>
      <c r="M71" s="19"/>
    </row>
    <row r="72" spans="1:13" ht="17.25" customHeight="1">
      <c r="A72" s="6" t="str">
        <f t="shared" si="2"/>
        <v>C30</v>
      </c>
      <c r="B72" s="3">
        <v>41698</v>
      </c>
      <c r="C72" s="3">
        <v>41698</v>
      </c>
      <c r="D72" s="4"/>
      <c r="E72" s="22" t="s">
        <v>116</v>
      </c>
      <c r="F72" s="5" t="s">
        <v>50</v>
      </c>
      <c r="G72" s="5"/>
      <c r="H72" s="5"/>
      <c r="I72" s="28" t="s">
        <v>247</v>
      </c>
      <c r="J72" s="21"/>
      <c r="K72" s="5">
        <v>1273236</v>
      </c>
      <c r="L72" s="4">
        <f t="shared" si="3"/>
        <v>2145442750</v>
      </c>
      <c r="M72" s="19"/>
    </row>
    <row r="73" spans="1:13" ht="17.25" customHeight="1">
      <c r="A73" s="6" t="str">
        <f t="shared" si="2"/>
        <v>C30</v>
      </c>
      <c r="B73" s="3">
        <v>41698</v>
      </c>
      <c r="C73" s="3">
        <v>41698</v>
      </c>
      <c r="D73" s="4"/>
      <c r="E73" s="22" t="s">
        <v>116</v>
      </c>
      <c r="F73" s="5" t="s">
        <v>56</v>
      </c>
      <c r="G73" s="5"/>
      <c r="H73" s="5"/>
      <c r="I73" s="28" t="s">
        <v>35</v>
      </c>
      <c r="J73" s="21"/>
      <c r="K73" s="5">
        <v>127324</v>
      </c>
      <c r="L73" s="4">
        <f t="shared" si="3"/>
        <v>2145315426</v>
      </c>
      <c r="M73" s="19"/>
    </row>
    <row r="74" spans="1:13" ht="17.25" customHeight="1">
      <c r="A74" s="6" t="str">
        <f t="shared" si="2"/>
        <v>C31</v>
      </c>
      <c r="B74" s="3">
        <v>41698</v>
      </c>
      <c r="C74" s="3">
        <v>41698</v>
      </c>
      <c r="D74" s="4"/>
      <c r="E74" s="22" t="s">
        <v>117</v>
      </c>
      <c r="F74" s="5" t="s">
        <v>300</v>
      </c>
      <c r="G74" s="5"/>
      <c r="H74" s="5"/>
      <c r="I74" s="28" t="s">
        <v>247</v>
      </c>
      <c r="J74" s="21"/>
      <c r="K74" s="5">
        <v>2636364</v>
      </c>
      <c r="L74" s="4">
        <f t="shared" si="3"/>
        <v>2142679062</v>
      </c>
      <c r="M74" s="19"/>
    </row>
    <row r="75" spans="1:13" ht="17.25" customHeight="1">
      <c r="A75" s="6" t="str">
        <f t="shared" si="2"/>
        <v>C31</v>
      </c>
      <c r="B75" s="3">
        <v>41698</v>
      </c>
      <c r="C75" s="3">
        <v>41698</v>
      </c>
      <c r="D75" s="4"/>
      <c r="E75" s="22" t="s">
        <v>117</v>
      </c>
      <c r="F75" s="5" t="s">
        <v>301</v>
      </c>
      <c r="G75" s="5"/>
      <c r="H75" s="5"/>
      <c r="I75" s="28" t="s">
        <v>35</v>
      </c>
      <c r="J75" s="21"/>
      <c r="K75" s="5">
        <v>263636</v>
      </c>
      <c r="L75" s="4">
        <f t="shared" si="3"/>
        <v>2142415426</v>
      </c>
      <c r="M75" s="19"/>
    </row>
    <row r="76" spans="1:13" ht="18" customHeight="1">
      <c r="A76" s="6" t="str">
        <f t="shared" si="2"/>
        <v>C32</v>
      </c>
      <c r="B76" s="3">
        <v>41698</v>
      </c>
      <c r="C76" s="3">
        <v>41698</v>
      </c>
      <c r="D76" s="4"/>
      <c r="E76" s="22" t="s">
        <v>118</v>
      </c>
      <c r="F76" s="5" t="s">
        <v>302</v>
      </c>
      <c r="G76" s="5"/>
      <c r="H76" s="5"/>
      <c r="I76" s="28" t="s">
        <v>37</v>
      </c>
      <c r="J76" s="21"/>
      <c r="K76" s="5">
        <v>121757406</v>
      </c>
      <c r="L76" s="4">
        <f t="shared" si="3"/>
        <v>2020658020</v>
      </c>
      <c r="M76" s="19"/>
    </row>
    <row r="77" spans="1:13" ht="17.25" customHeight="1">
      <c r="A77" s="6" t="str">
        <f t="shared" si="2"/>
        <v/>
      </c>
      <c r="B77" s="3"/>
      <c r="C77" s="3"/>
      <c r="D77" s="4"/>
      <c r="E77" s="22"/>
      <c r="F77" s="5"/>
      <c r="G77" s="5"/>
      <c r="H77" s="5"/>
      <c r="I77" s="28"/>
      <c r="J77" s="21"/>
      <c r="K77" s="5"/>
      <c r="L77" s="4"/>
      <c r="M77" s="19"/>
    </row>
    <row r="78" spans="1:13" ht="18" customHeight="1">
      <c r="B78" s="19"/>
      <c r="C78" s="19"/>
      <c r="D78" s="19"/>
      <c r="E78" s="19"/>
      <c r="F78" s="42" t="s">
        <v>29</v>
      </c>
      <c r="G78" s="19"/>
      <c r="H78" s="19"/>
      <c r="I78" s="4" t="s">
        <v>30</v>
      </c>
      <c r="J78" s="42">
        <f>SUM(J13:J77)</f>
        <v>3430000000</v>
      </c>
      <c r="K78" s="42">
        <f>SUM(K13:K77)</f>
        <v>2926858078</v>
      </c>
      <c r="L78" s="43" t="s">
        <v>30</v>
      </c>
      <c r="M78" s="43" t="s">
        <v>30</v>
      </c>
    </row>
    <row r="79" spans="1:13" ht="18" customHeight="1">
      <c r="B79" s="25"/>
      <c r="C79" s="25"/>
      <c r="D79" s="25"/>
      <c r="E79" s="25"/>
      <c r="F79" s="45" t="s">
        <v>31</v>
      </c>
      <c r="G79" s="25"/>
      <c r="H79" s="25"/>
      <c r="I79" s="26" t="s">
        <v>30</v>
      </c>
      <c r="J79" s="46" t="s">
        <v>30</v>
      </c>
      <c r="K79" s="46" t="s">
        <v>30</v>
      </c>
      <c r="L79" s="45">
        <f>L12+J78-K78</f>
        <v>2020658020</v>
      </c>
      <c r="M79" s="46" t="s">
        <v>30</v>
      </c>
    </row>
    <row r="80" spans="1:13">
      <c r="J80" s="6" t="s">
        <v>48</v>
      </c>
    </row>
    <row r="81" spans="2:12">
      <c r="B81" s="27" t="s">
        <v>47</v>
      </c>
    </row>
    <row r="82" spans="2:12">
      <c r="B82" s="27" t="s">
        <v>72</v>
      </c>
    </row>
    <row r="83" spans="2:12">
      <c r="L83" s="8" t="s">
        <v>141</v>
      </c>
    </row>
    <row r="84" spans="2:12" s="7" customFormat="1" ht="14.25">
      <c r="C84" s="7" t="s">
        <v>33</v>
      </c>
      <c r="F84" s="7" t="s">
        <v>13</v>
      </c>
      <c r="L84" s="7" t="s">
        <v>14</v>
      </c>
    </row>
    <row r="85" spans="2:12" s="2" customFormat="1">
      <c r="C85" s="2" t="s">
        <v>15</v>
      </c>
      <c r="F85" s="2" t="s">
        <v>15</v>
      </c>
      <c r="L85" s="2" t="s">
        <v>16</v>
      </c>
    </row>
    <row r="86" spans="2:12" s="2" customFormat="1"/>
  </sheetData>
  <autoFilter ref="A11:M85">
    <filterColumn colId="7"/>
  </autoFilter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35 H70:H75 H42 H56:H59 H51:H53 H44:H49 H62">
    <cfRule type="expression" dxfId="4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36"/>
  <sheetViews>
    <sheetView topLeftCell="B1" zoomScale="90" workbookViewId="0">
      <selection activeCell="J1" sqref="J1:M3"/>
    </sheetView>
  </sheetViews>
  <sheetFormatPr defaultRowHeight="15"/>
  <cols>
    <col min="1" max="1" width="6" style="6" hidden="1" customWidth="1"/>
    <col min="2" max="3" width="10.5703125" style="6" customWidth="1"/>
    <col min="4" max="5" width="7.140625" style="6" customWidth="1"/>
    <col min="6" max="6" width="36.85546875" style="6" customWidth="1"/>
    <col min="7" max="7" width="0.28515625" style="6" hidden="1" customWidth="1"/>
    <col min="8" max="8" width="21.7109375" style="6" hidden="1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379"/>
      <c r="D2" s="379"/>
      <c r="E2" s="379"/>
      <c r="F2" s="379"/>
      <c r="G2" s="379"/>
      <c r="H2" s="379"/>
      <c r="J2" s="393" t="s">
        <v>785</v>
      </c>
      <c r="K2" s="393"/>
      <c r="L2" s="393"/>
      <c r="M2" s="393"/>
    </row>
    <row r="3" spans="1:13" s="11" customFormat="1" ht="16.5" customHeight="1">
      <c r="B3" s="9"/>
      <c r="C3" s="379"/>
      <c r="D3" s="14"/>
      <c r="E3" s="14"/>
      <c r="F3" s="379"/>
      <c r="G3" s="379"/>
      <c r="H3" s="379"/>
      <c r="J3" s="393"/>
      <c r="K3" s="393"/>
      <c r="L3" s="393"/>
      <c r="M3" s="393"/>
    </row>
    <row r="4" spans="1:13" s="11" customFormat="1" ht="6.75" customHeight="1">
      <c r="B4" s="379"/>
      <c r="C4" s="379"/>
      <c r="D4" s="379"/>
      <c r="E4" s="379"/>
      <c r="F4" s="379"/>
      <c r="G4" s="379"/>
      <c r="H4" s="379"/>
      <c r="J4" s="380"/>
      <c r="K4" s="380"/>
      <c r="L4" s="380"/>
      <c r="M4" s="380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382" t="s">
        <v>5</v>
      </c>
      <c r="E10" s="382" t="s">
        <v>6</v>
      </c>
      <c r="F10" s="395"/>
      <c r="G10" s="397"/>
      <c r="H10" s="397"/>
      <c r="I10" s="395"/>
      <c r="J10" s="382" t="s">
        <v>25</v>
      </c>
      <c r="K10" s="382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'02'!L79</f>
        <v>2020658020</v>
      </c>
      <c r="M12" s="36"/>
    </row>
    <row r="13" spans="1:13" ht="18.75" customHeight="1">
      <c r="A13" s="6" t="str">
        <f t="shared" ref="A13:A50" si="0">D13&amp;E13</f>
        <v>C01</v>
      </c>
      <c r="B13" s="3">
        <v>41699</v>
      </c>
      <c r="C13" s="3">
        <v>41698</v>
      </c>
      <c r="D13" s="4"/>
      <c r="E13" s="22" t="s">
        <v>87</v>
      </c>
      <c r="F13" s="5" t="s">
        <v>303</v>
      </c>
      <c r="G13" s="5"/>
      <c r="H13" s="5"/>
      <c r="I13" s="28" t="s">
        <v>54</v>
      </c>
      <c r="J13" s="21"/>
      <c r="K13" s="5">
        <v>8834500</v>
      </c>
      <c r="L13" s="4">
        <f t="shared" ref="L13:L69" si="1">IF(F13&lt;&gt;"",L12+J13-K13,0)</f>
        <v>2011823520</v>
      </c>
      <c r="M13" s="19"/>
    </row>
    <row r="14" spans="1:13" ht="18.75" customHeight="1">
      <c r="A14" s="6" t="str">
        <f t="shared" si="0"/>
        <v>C01</v>
      </c>
      <c r="B14" s="3">
        <v>41699</v>
      </c>
      <c r="C14" s="3">
        <v>41698</v>
      </c>
      <c r="D14" s="4"/>
      <c r="E14" s="22" t="s">
        <v>87</v>
      </c>
      <c r="F14" s="5" t="s">
        <v>55</v>
      </c>
      <c r="G14" s="5"/>
      <c r="H14" s="5"/>
      <c r="I14" s="28" t="s">
        <v>35</v>
      </c>
      <c r="J14" s="21"/>
      <c r="K14" s="5">
        <v>320400</v>
      </c>
      <c r="L14" s="4">
        <f t="shared" si="1"/>
        <v>2011503120</v>
      </c>
      <c r="M14" s="19"/>
    </row>
    <row r="15" spans="1:13" ht="18.75" customHeight="1">
      <c r="A15" s="6" t="str">
        <f t="shared" si="0"/>
        <v>C01</v>
      </c>
      <c r="B15" s="3">
        <v>41699</v>
      </c>
      <c r="C15" s="3">
        <v>41698</v>
      </c>
      <c r="D15" s="4"/>
      <c r="E15" s="22" t="s">
        <v>87</v>
      </c>
      <c r="F15" s="5" t="s">
        <v>304</v>
      </c>
      <c r="G15" s="5"/>
      <c r="H15" s="5"/>
      <c r="I15" s="28" t="s">
        <v>35</v>
      </c>
      <c r="J15" s="21"/>
      <c r="K15" s="5">
        <v>242650</v>
      </c>
      <c r="L15" s="4">
        <f t="shared" si="1"/>
        <v>2011260470</v>
      </c>
      <c r="M15" s="19"/>
    </row>
    <row r="16" spans="1:13" ht="18.75" customHeight="1">
      <c r="A16" s="6" t="str">
        <f t="shared" si="0"/>
        <v>C02</v>
      </c>
      <c r="B16" s="3">
        <v>41702</v>
      </c>
      <c r="C16" s="3">
        <v>41702</v>
      </c>
      <c r="D16" s="4"/>
      <c r="E16" s="22" t="s">
        <v>88</v>
      </c>
      <c r="F16" s="30" t="s">
        <v>259</v>
      </c>
      <c r="G16" s="50"/>
      <c r="H16" s="50"/>
      <c r="I16" s="28" t="s">
        <v>134</v>
      </c>
      <c r="J16" s="21"/>
      <c r="K16" s="5">
        <v>600000000</v>
      </c>
      <c r="L16" s="4">
        <f t="shared" si="1"/>
        <v>1411260470</v>
      </c>
      <c r="M16" s="19"/>
    </row>
    <row r="17" spans="1:13" ht="18.75" customHeight="1">
      <c r="A17" s="6" t="str">
        <f t="shared" si="0"/>
        <v>C03</v>
      </c>
      <c r="B17" s="3">
        <v>41702</v>
      </c>
      <c r="C17" s="3">
        <v>41702</v>
      </c>
      <c r="D17" s="4"/>
      <c r="E17" s="22" t="s">
        <v>89</v>
      </c>
      <c r="F17" s="5" t="s">
        <v>305</v>
      </c>
      <c r="G17" s="5"/>
      <c r="H17" s="5"/>
      <c r="I17" s="28" t="s">
        <v>256</v>
      </c>
      <c r="J17" s="21"/>
      <c r="K17" s="5">
        <v>67800</v>
      </c>
      <c r="L17" s="4">
        <f t="shared" si="1"/>
        <v>1411192670</v>
      </c>
      <c r="M17" s="19"/>
    </row>
    <row r="18" spans="1:13" ht="17.25" customHeight="1">
      <c r="A18" s="6" t="str">
        <f>D18&amp;E18</f>
        <v>C03</v>
      </c>
      <c r="B18" s="3">
        <v>41702</v>
      </c>
      <c r="C18" s="3">
        <v>41702</v>
      </c>
      <c r="D18" s="4"/>
      <c r="E18" s="22" t="s">
        <v>89</v>
      </c>
      <c r="F18" s="5" t="s">
        <v>306</v>
      </c>
      <c r="G18" s="5"/>
      <c r="H18" s="5"/>
      <c r="I18" s="28" t="s">
        <v>35</v>
      </c>
      <c r="J18" s="21"/>
      <c r="K18" s="5">
        <v>6780</v>
      </c>
      <c r="L18" s="4">
        <f t="shared" si="1"/>
        <v>1411185890</v>
      </c>
      <c r="M18" s="19"/>
    </row>
    <row r="19" spans="1:13" ht="18" customHeight="1">
      <c r="A19" s="6" t="str">
        <f>D19&amp;E19</f>
        <v>T01</v>
      </c>
      <c r="B19" s="3">
        <f>C19</f>
        <v>41704</v>
      </c>
      <c r="C19" s="3">
        <v>41704</v>
      </c>
      <c r="D19" s="4" t="s">
        <v>39</v>
      </c>
      <c r="E19" s="22"/>
      <c r="F19" s="5" t="s">
        <v>253</v>
      </c>
      <c r="G19" s="5"/>
      <c r="H19" s="5"/>
      <c r="I19" s="28" t="s">
        <v>36</v>
      </c>
      <c r="J19" s="21">
        <v>265000000</v>
      </c>
      <c r="K19" s="5"/>
      <c r="L19" s="4">
        <f t="shared" si="1"/>
        <v>1676185890</v>
      </c>
      <c r="M19" s="19"/>
    </row>
    <row r="20" spans="1:13" ht="18.75" customHeight="1">
      <c r="A20" s="6" t="str">
        <f t="shared" si="0"/>
        <v>C04</v>
      </c>
      <c r="B20" s="3">
        <v>41704</v>
      </c>
      <c r="C20" s="3">
        <v>41704</v>
      </c>
      <c r="D20" s="4"/>
      <c r="E20" s="22" t="s">
        <v>90</v>
      </c>
      <c r="F20" s="5" t="s">
        <v>282</v>
      </c>
      <c r="G20" s="5"/>
      <c r="H20" s="5"/>
      <c r="I20" s="28" t="s">
        <v>54</v>
      </c>
      <c r="J20" s="21"/>
      <c r="K20" s="5">
        <v>12400000</v>
      </c>
      <c r="L20" s="4">
        <f t="shared" si="1"/>
        <v>1663785890</v>
      </c>
      <c r="M20" s="19"/>
    </row>
    <row r="21" spans="1:13" ht="18.75" customHeight="1">
      <c r="A21" s="6" t="str">
        <f t="shared" si="0"/>
        <v>C04</v>
      </c>
      <c r="B21" s="3">
        <v>41704</v>
      </c>
      <c r="C21" s="3">
        <v>41704</v>
      </c>
      <c r="D21" s="4"/>
      <c r="E21" s="22" t="s">
        <v>90</v>
      </c>
      <c r="F21" s="5" t="s">
        <v>283</v>
      </c>
      <c r="G21" s="5"/>
      <c r="H21" s="5"/>
      <c r="I21" s="28" t="s">
        <v>35</v>
      </c>
      <c r="J21" s="21"/>
      <c r="K21" s="5">
        <v>1240000</v>
      </c>
      <c r="L21" s="4">
        <f t="shared" si="1"/>
        <v>1662545890</v>
      </c>
      <c r="M21" s="19"/>
    </row>
    <row r="22" spans="1:13" ht="18.75" customHeight="1">
      <c r="A22" s="6" t="str">
        <f t="shared" si="0"/>
        <v>C05</v>
      </c>
      <c r="B22" s="3">
        <v>41707</v>
      </c>
      <c r="C22" s="3">
        <v>41707</v>
      </c>
      <c r="D22" s="4"/>
      <c r="E22" s="22" t="s">
        <v>91</v>
      </c>
      <c r="F22" s="5" t="s">
        <v>282</v>
      </c>
      <c r="G22" s="5"/>
      <c r="H22" s="5"/>
      <c r="I22" s="28" t="s">
        <v>54</v>
      </c>
      <c r="J22" s="21"/>
      <c r="K22" s="5">
        <v>13120000</v>
      </c>
      <c r="L22" s="4">
        <f t="shared" si="1"/>
        <v>1649425890</v>
      </c>
      <c r="M22" s="19"/>
    </row>
    <row r="23" spans="1:13" ht="18.75" customHeight="1">
      <c r="A23" s="6" t="str">
        <f t="shared" si="0"/>
        <v>C05</v>
      </c>
      <c r="B23" s="3">
        <v>41707</v>
      </c>
      <c r="C23" s="3">
        <v>41707</v>
      </c>
      <c r="D23" s="4"/>
      <c r="E23" s="22" t="s">
        <v>91</v>
      </c>
      <c r="F23" s="5" t="s">
        <v>283</v>
      </c>
      <c r="G23" s="5"/>
      <c r="H23" s="5"/>
      <c r="I23" s="28" t="s">
        <v>35</v>
      </c>
      <c r="J23" s="21"/>
      <c r="K23" s="5">
        <v>1312000</v>
      </c>
      <c r="L23" s="4">
        <f t="shared" si="1"/>
        <v>1648113890</v>
      </c>
      <c r="M23" s="19"/>
    </row>
    <row r="24" spans="1:13" ht="18.75" customHeight="1">
      <c r="A24" s="6" t="str">
        <f t="shared" si="0"/>
        <v>C06</v>
      </c>
      <c r="B24" s="3">
        <v>41709</v>
      </c>
      <c r="C24" s="3">
        <v>41709</v>
      </c>
      <c r="D24" s="4"/>
      <c r="E24" s="22" t="s">
        <v>92</v>
      </c>
      <c r="F24" s="5" t="s">
        <v>50</v>
      </c>
      <c r="G24" s="5"/>
      <c r="H24" s="5"/>
      <c r="I24" s="28" t="s">
        <v>256</v>
      </c>
      <c r="J24" s="21"/>
      <c r="K24" s="5">
        <v>2682891</v>
      </c>
      <c r="L24" s="4">
        <f t="shared" si="1"/>
        <v>1645430999</v>
      </c>
      <c r="M24" s="19"/>
    </row>
    <row r="25" spans="1:13" ht="18.75" customHeight="1">
      <c r="A25" s="6" t="str">
        <f t="shared" si="0"/>
        <v>C06</v>
      </c>
      <c r="B25" s="3">
        <v>41709</v>
      </c>
      <c r="C25" s="3">
        <v>41709</v>
      </c>
      <c r="D25" s="4"/>
      <c r="E25" s="22" t="s">
        <v>92</v>
      </c>
      <c r="F25" s="5" t="s">
        <v>53</v>
      </c>
      <c r="G25" s="5"/>
      <c r="H25" s="5"/>
      <c r="I25" s="28" t="s">
        <v>54</v>
      </c>
      <c r="J25" s="21"/>
      <c r="K25" s="5">
        <v>621000</v>
      </c>
      <c r="L25" s="4">
        <f t="shared" si="1"/>
        <v>1644809999</v>
      </c>
      <c r="M25" s="19"/>
    </row>
    <row r="26" spans="1:13" ht="18.75" customHeight="1">
      <c r="A26" s="6" t="str">
        <f t="shared" si="0"/>
        <v>C06</v>
      </c>
      <c r="B26" s="3">
        <v>41709</v>
      </c>
      <c r="C26" s="3">
        <v>41709</v>
      </c>
      <c r="D26" s="4"/>
      <c r="E26" s="22" t="s">
        <v>92</v>
      </c>
      <c r="F26" s="5" t="s">
        <v>227</v>
      </c>
      <c r="G26" s="5"/>
      <c r="H26" s="5"/>
      <c r="I26" s="28" t="s">
        <v>35</v>
      </c>
      <c r="J26" s="21"/>
      <c r="K26" s="5">
        <f>62100+268289</f>
        <v>330389</v>
      </c>
      <c r="L26" s="4">
        <f t="shared" si="1"/>
        <v>1644479610</v>
      </c>
      <c r="M26" s="19"/>
    </row>
    <row r="27" spans="1:13" ht="17.25" customHeight="1">
      <c r="A27" s="6" t="str">
        <f>D27&amp;E27</f>
        <v>C07</v>
      </c>
      <c r="B27" s="3">
        <v>41709</v>
      </c>
      <c r="C27" s="3">
        <f>B27</f>
        <v>41709</v>
      </c>
      <c r="D27" s="4"/>
      <c r="E27" s="22" t="s">
        <v>93</v>
      </c>
      <c r="F27" s="5" t="s">
        <v>307</v>
      </c>
      <c r="G27" s="5"/>
      <c r="H27" s="5"/>
      <c r="I27" s="28" t="s">
        <v>213</v>
      </c>
      <c r="J27" s="21"/>
      <c r="K27" s="5">
        <v>50000000</v>
      </c>
      <c r="L27" s="4">
        <f t="shared" si="1"/>
        <v>1594479610</v>
      </c>
      <c r="M27" s="19"/>
    </row>
    <row r="28" spans="1:13" ht="18" customHeight="1">
      <c r="A28" s="6" t="str">
        <f>D28&amp;E28</f>
        <v>C08</v>
      </c>
      <c r="B28" s="3">
        <v>41710</v>
      </c>
      <c r="C28" s="3">
        <v>41710</v>
      </c>
      <c r="D28" s="4"/>
      <c r="E28" s="22" t="s">
        <v>94</v>
      </c>
      <c r="F28" s="5" t="s">
        <v>282</v>
      </c>
      <c r="G28" s="5"/>
      <c r="H28" s="5"/>
      <c r="I28" s="28" t="s">
        <v>54</v>
      </c>
      <c r="J28" s="21"/>
      <c r="K28" s="5">
        <v>11840000</v>
      </c>
      <c r="L28" s="4">
        <f t="shared" si="1"/>
        <v>1582639610</v>
      </c>
      <c r="M28" s="19"/>
    </row>
    <row r="29" spans="1:13" ht="18.75" customHeight="1">
      <c r="A29" s="6" t="str">
        <f t="shared" si="0"/>
        <v>C08</v>
      </c>
      <c r="B29" s="3">
        <v>41710</v>
      </c>
      <c r="C29" s="3">
        <v>41710</v>
      </c>
      <c r="D29" s="4"/>
      <c r="E29" s="22" t="s">
        <v>94</v>
      </c>
      <c r="F29" s="5" t="s">
        <v>283</v>
      </c>
      <c r="G29" s="5"/>
      <c r="H29" s="5"/>
      <c r="I29" s="28" t="s">
        <v>35</v>
      </c>
      <c r="J29" s="21"/>
      <c r="K29" s="5">
        <v>1184000</v>
      </c>
      <c r="L29" s="4">
        <f t="shared" si="1"/>
        <v>1581455610</v>
      </c>
      <c r="M29" s="19"/>
    </row>
    <row r="30" spans="1:13" ht="18.75" customHeight="1">
      <c r="A30" s="6" t="str">
        <f t="shared" si="0"/>
        <v>C09</v>
      </c>
      <c r="B30" s="3">
        <v>41711</v>
      </c>
      <c r="C30" s="3">
        <v>41711</v>
      </c>
      <c r="D30" s="4"/>
      <c r="E30" s="22" t="s">
        <v>95</v>
      </c>
      <c r="F30" s="30" t="s">
        <v>259</v>
      </c>
      <c r="G30" s="50"/>
      <c r="H30" s="50"/>
      <c r="I30" s="28" t="s">
        <v>134</v>
      </c>
      <c r="J30" s="21"/>
      <c r="K30" s="5">
        <v>550000000</v>
      </c>
      <c r="L30" s="4">
        <f t="shared" si="1"/>
        <v>1031455610</v>
      </c>
      <c r="M30" s="19"/>
    </row>
    <row r="31" spans="1:13" ht="17.25" customHeight="1">
      <c r="A31" s="6" t="str">
        <f>D31&amp;E31</f>
        <v>C10</v>
      </c>
      <c r="B31" s="3">
        <v>41711</v>
      </c>
      <c r="C31" s="3">
        <v>41711</v>
      </c>
      <c r="D31" s="4"/>
      <c r="E31" s="22" t="s">
        <v>96</v>
      </c>
      <c r="F31" s="5" t="s">
        <v>51</v>
      </c>
      <c r="G31" s="5"/>
      <c r="H31" s="5"/>
      <c r="I31" s="28" t="s">
        <v>36</v>
      </c>
      <c r="J31" s="21"/>
      <c r="K31" s="5">
        <v>20000000</v>
      </c>
      <c r="L31" s="4">
        <f t="shared" si="1"/>
        <v>1011455610</v>
      </c>
      <c r="M31" s="19"/>
    </row>
    <row r="32" spans="1:13" ht="18.75" customHeight="1">
      <c r="A32" s="6" t="str">
        <f t="shared" si="0"/>
        <v>T02</v>
      </c>
      <c r="B32" s="3">
        <f>C32</f>
        <v>41713</v>
      </c>
      <c r="C32" s="3">
        <v>41713</v>
      </c>
      <c r="D32" s="4" t="s">
        <v>40</v>
      </c>
      <c r="E32" s="22"/>
      <c r="F32" s="5" t="s">
        <v>253</v>
      </c>
      <c r="G32" s="5"/>
      <c r="H32" s="5"/>
      <c r="I32" s="28" t="s">
        <v>36</v>
      </c>
      <c r="J32" s="21">
        <v>2260000000</v>
      </c>
      <c r="K32" s="5"/>
      <c r="L32" s="4">
        <f t="shared" si="1"/>
        <v>3271455610</v>
      </c>
      <c r="M32" s="19"/>
    </row>
    <row r="33" spans="1:13" ht="18.75" customHeight="1">
      <c r="A33" s="6" t="str">
        <f t="shared" si="0"/>
        <v>C11</v>
      </c>
      <c r="B33" s="3">
        <v>41713</v>
      </c>
      <c r="C33" s="3">
        <v>41713</v>
      </c>
      <c r="D33" s="4"/>
      <c r="E33" s="22" t="s">
        <v>97</v>
      </c>
      <c r="F33" s="5" t="s">
        <v>50</v>
      </c>
      <c r="G33" s="5"/>
      <c r="H33" s="5"/>
      <c r="I33" s="28" t="s">
        <v>256</v>
      </c>
      <c r="J33" s="21"/>
      <c r="K33" s="5">
        <v>713018</v>
      </c>
      <c r="L33" s="4">
        <f t="shared" si="1"/>
        <v>3270742592</v>
      </c>
      <c r="M33" s="19"/>
    </row>
    <row r="34" spans="1:13" ht="18.75" customHeight="1">
      <c r="A34" s="6" t="str">
        <f t="shared" si="0"/>
        <v>C11</v>
      </c>
      <c r="B34" s="3">
        <v>41713</v>
      </c>
      <c r="C34" s="3">
        <v>41713</v>
      </c>
      <c r="D34" s="4"/>
      <c r="E34" s="22" t="s">
        <v>97</v>
      </c>
      <c r="F34" s="5" t="s">
        <v>53</v>
      </c>
      <c r="G34" s="5"/>
      <c r="H34" s="5"/>
      <c r="I34" s="28" t="s">
        <v>54</v>
      </c>
      <c r="J34" s="21"/>
      <c r="K34" s="5">
        <v>4544000</v>
      </c>
      <c r="L34" s="4">
        <f t="shared" si="1"/>
        <v>3266198592</v>
      </c>
      <c r="M34" s="19"/>
    </row>
    <row r="35" spans="1:13" ht="18.75" customHeight="1">
      <c r="A35" s="6" t="str">
        <f t="shared" si="0"/>
        <v>C11</v>
      </c>
      <c r="B35" s="3">
        <v>41713</v>
      </c>
      <c r="C35" s="3">
        <v>41713</v>
      </c>
      <c r="D35" s="4"/>
      <c r="E35" s="22" t="s">
        <v>97</v>
      </c>
      <c r="F35" s="5" t="s">
        <v>211</v>
      </c>
      <c r="G35" s="5"/>
      <c r="H35" s="5"/>
      <c r="I35" s="28" t="s">
        <v>35</v>
      </c>
      <c r="J35" s="21"/>
      <c r="K35" s="5">
        <v>525702</v>
      </c>
      <c r="L35" s="4">
        <f t="shared" si="1"/>
        <v>3265672890</v>
      </c>
      <c r="M35" s="19"/>
    </row>
    <row r="36" spans="1:13" ht="18.75" customHeight="1">
      <c r="A36" s="6" t="str">
        <f t="shared" si="0"/>
        <v>C12</v>
      </c>
      <c r="B36" s="3">
        <v>41713</v>
      </c>
      <c r="C36" s="3">
        <v>41713</v>
      </c>
      <c r="D36" s="4"/>
      <c r="E36" s="22" t="s">
        <v>98</v>
      </c>
      <c r="F36" s="30" t="s">
        <v>259</v>
      </c>
      <c r="G36" s="50"/>
      <c r="H36" s="50"/>
      <c r="I36" s="28" t="s">
        <v>134</v>
      </c>
      <c r="J36" s="21"/>
      <c r="K36" s="5">
        <v>600000000</v>
      </c>
      <c r="L36" s="4">
        <f t="shared" si="1"/>
        <v>2665672890</v>
      </c>
      <c r="M36" s="19"/>
    </row>
    <row r="37" spans="1:13" ht="18.75" customHeight="1">
      <c r="A37" s="6" t="str">
        <f t="shared" si="0"/>
        <v>C13</v>
      </c>
      <c r="B37" s="3">
        <v>41713</v>
      </c>
      <c r="C37" s="3">
        <v>41713</v>
      </c>
      <c r="D37" s="4"/>
      <c r="E37" s="22" t="s">
        <v>99</v>
      </c>
      <c r="F37" s="30" t="s">
        <v>260</v>
      </c>
      <c r="G37" s="50"/>
      <c r="H37" s="50"/>
      <c r="I37" s="28" t="s">
        <v>134</v>
      </c>
      <c r="J37" s="21"/>
      <c r="K37" s="5">
        <v>550000000</v>
      </c>
      <c r="L37" s="4">
        <f t="shared" si="1"/>
        <v>2115672890</v>
      </c>
      <c r="M37" s="19"/>
    </row>
    <row r="38" spans="1:13" ht="18.75" customHeight="1">
      <c r="A38" s="6" t="str">
        <f t="shared" si="0"/>
        <v>C14</v>
      </c>
      <c r="B38" s="3">
        <v>41715</v>
      </c>
      <c r="C38" s="3">
        <v>41715</v>
      </c>
      <c r="D38" s="4"/>
      <c r="E38" s="22" t="s">
        <v>100</v>
      </c>
      <c r="F38" s="5" t="s">
        <v>282</v>
      </c>
      <c r="G38" s="5"/>
      <c r="H38" s="5"/>
      <c r="I38" s="28" t="s">
        <v>54</v>
      </c>
      <c r="J38" s="21"/>
      <c r="K38" s="5">
        <v>11920000</v>
      </c>
      <c r="L38" s="4">
        <f t="shared" si="1"/>
        <v>2103752890</v>
      </c>
      <c r="M38" s="19"/>
    </row>
    <row r="39" spans="1:13" ht="18.75" customHeight="1">
      <c r="A39" s="6" t="str">
        <f t="shared" si="0"/>
        <v>C14</v>
      </c>
      <c r="B39" s="3">
        <v>41715</v>
      </c>
      <c r="C39" s="3">
        <v>41715</v>
      </c>
      <c r="D39" s="4"/>
      <c r="E39" s="22" t="s">
        <v>100</v>
      </c>
      <c r="F39" s="5" t="s">
        <v>283</v>
      </c>
      <c r="G39" s="5"/>
      <c r="H39" s="5"/>
      <c r="I39" s="28" t="s">
        <v>35</v>
      </c>
      <c r="J39" s="21"/>
      <c r="K39" s="5">
        <v>1192000</v>
      </c>
      <c r="L39" s="4">
        <f t="shared" si="1"/>
        <v>2102560890</v>
      </c>
      <c r="M39" s="19"/>
    </row>
    <row r="40" spans="1:13" ht="18.75" customHeight="1">
      <c r="A40" s="6" t="str">
        <f t="shared" si="0"/>
        <v>T03</v>
      </c>
      <c r="B40" s="3">
        <f>C40</f>
        <v>41716</v>
      </c>
      <c r="C40" s="3">
        <v>41716</v>
      </c>
      <c r="D40" s="4" t="s">
        <v>41</v>
      </c>
      <c r="E40" s="22"/>
      <c r="F40" s="5" t="s">
        <v>253</v>
      </c>
      <c r="G40" s="5"/>
      <c r="H40" s="5"/>
      <c r="I40" s="28" t="s">
        <v>36</v>
      </c>
      <c r="J40" s="21">
        <v>950000000</v>
      </c>
      <c r="K40" s="5"/>
      <c r="L40" s="4">
        <f t="shared" si="1"/>
        <v>3052560890</v>
      </c>
      <c r="M40" s="19"/>
    </row>
    <row r="41" spans="1:13" ht="18" customHeight="1">
      <c r="A41" s="6" t="str">
        <f>D41&amp;E41</f>
        <v>C15</v>
      </c>
      <c r="B41" s="3">
        <f>C41</f>
        <v>41716</v>
      </c>
      <c r="C41" s="3">
        <v>41716</v>
      </c>
      <c r="D41" s="4"/>
      <c r="E41" s="22" t="s">
        <v>101</v>
      </c>
      <c r="F41" s="30" t="s">
        <v>259</v>
      </c>
      <c r="G41" s="50"/>
      <c r="H41" s="50"/>
      <c r="I41" s="28" t="s">
        <v>134</v>
      </c>
      <c r="J41" s="21"/>
      <c r="K41" s="5">
        <v>550000000</v>
      </c>
      <c r="L41" s="4">
        <f t="shared" si="1"/>
        <v>2502560890</v>
      </c>
      <c r="M41" s="19"/>
    </row>
    <row r="42" spans="1:13" ht="18.75" customHeight="1">
      <c r="A42" s="6" t="str">
        <f t="shared" si="0"/>
        <v>C16</v>
      </c>
      <c r="B42" s="3">
        <f>C42</f>
        <v>41716</v>
      </c>
      <c r="C42" s="3">
        <v>41716</v>
      </c>
      <c r="D42" s="4"/>
      <c r="E42" s="22" t="s">
        <v>102</v>
      </c>
      <c r="F42" s="30" t="s">
        <v>260</v>
      </c>
      <c r="G42" s="50"/>
      <c r="H42" s="50"/>
      <c r="I42" s="28" t="s">
        <v>134</v>
      </c>
      <c r="J42" s="21"/>
      <c r="K42" s="5">
        <v>550000000</v>
      </c>
      <c r="L42" s="4">
        <f t="shared" si="1"/>
        <v>1952560890</v>
      </c>
      <c r="M42" s="19"/>
    </row>
    <row r="43" spans="1:13" ht="18.75" customHeight="1">
      <c r="A43" s="6" t="str">
        <f t="shared" si="0"/>
        <v>C17</v>
      </c>
      <c r="B43" s="3">
        <v>41717</v>
      </c>
      <c r="C43" s="3">
        <v>41717</v>
      </c>
      <c r="D43" s="4"/>
      <c r="E43" s="22" t="s">
        <v>103</v>
      </c>
      <c r="F43" s="5" t="s">
        <v>50</v>
      </c>
      <c r="G43" s="5"/>
      <c r="H43" s="5"/>
      <c r="I43" s="28" t="s">
        <v>256</v>
      </c>
      <c r="J43" s="21"/>
      <c r="K43" s="5">
        <v>111409</v>
      </c>
      <c r="L43" s="4">
        <f t="shared" si="1"/>
        <v>1952449481</v>
      </c>
      <c r="M43" s="19"/>
    </row>
    <row r="44" spans="1:13" ht="18.75" customHeight="1">
      <c r="A44" s="6" t="str">
        <f t="shared" si="0"/>
        <v>C17</v>
      </c>
      <c r="B44" s="3">
        <v>41717</v>
      </c>
      <c r="C44" s="3">
        <v>41717</v>
      </c>
      <c r="D44" s="4"/>
      <c r="E44" s="22" t="s">
        <v>103</v>
      </c>
      <c r="F44" s="5" t="s">
        <v>308</v>
      </c>
      <c r="G44" s="5"/>
      <c r="H44" s="5"/>
      <c r="I44" s="28" t="s">
        <v>54</v>
      </c>
      <c r="J44" s="21"/>
      <c r="K44" s="5">
        <v>2065455</v>
      </c>
      <c r="L44" s="4">
        <f t="shared" si="1"/>
        <v>1950384026</v>
      </c>
      <c r="M44" s="19"/>
    </row>
    <row r="45" spans="1:13" ht="18.75" customHeight="1">
      <c r="A45" s="6" t="str">
        <f t="shared" si="0"/>
        <v>C17</v>
      </c>
      <c r="B45" s="3">
        <v>41717</v>
      </c>
      <c r="C45" s="3">
        <v>41717</v>
      </c>
      <c r="D45" s="4"/>
      <c r="E45" s="22" t="s">
        <v>103</v>
      </c>
      <c r="F45" s="5" t="s">
        <v>211</v>
      </c>
      <c r="G45" s="5"/>
      <c r="H45" s="5"/>
      <c r="I45" s="28" t="s">
        <v>35</v>
      </c>
      <c r="J45" s="21"/>
      <c r="K45" s="5">
        <v>217686</v>
      </c>
      <c r="L45" s="4">
        <f t="shared" si="1"/>
        <v>1950166340</v>
      </c>
      <c r="M45" s="19"/>
    </row>
    <row r="46" spans="1:13" ht="18.75" customHeight="1">
      <c r="A46" s="6" t="str">
        <f t="shared" si="0"/>
        <v>C18</v>
      </c>
      <c r="B46" s="3">
        <v>41719</v>
      </c>
      <c r="C46" s="3">
        <v>41719</v>
      </c>
      <c r="D46" s="4"/>
      <c r="E46" s="22" t="s">
        <v>104</v>
      </c>
      <c r="F46" s="5" t="s">
        <v>309</v>
      </c>
      <c r="G46" s="5"/>
      <c r="H46" s="5"/>
      <c r="I46" s="28" t="s">
        <v>256</v>
      </c>
      <c r="J46" s="21"/>
      <c r="K46" s="5">
        <v>1292500</v>
      </c>
      <c r="L46" s="4">
        <f t="shared" si="1"/>
        <v>1948873840</v>
      </c>
      <c r="M46" s="19"/>
    </row>
    <row r="47" spans="1:13" ht="18.75" customHeight="1">
      <c r="A47" s="6" t="str">
        <f t="shared" si="0"/>
        <v>C18</v>
      </c>
      <c r="B47" s="3">
        <v>41719</v>
      </c>
      <c r="C47" s="3">
        <v>41719</v>
      </c>
      <c r="D47" s="4"/>
      <c r="E47" s="22" t="s">
        <v>104</v>
      </c>
      <c r="F47" s="5" t="s">
        <v>310</v>
      </c>
      <c r="G47" s="5"/>
      <c r="H47" s="5"/>
      <c r="I47" s="28" t="s">
        <v>35</v>
      </c>
      <c r="J47" s="21"/>
      <c r="K47" s="5">
        <v>129250</v>
      </c>
      <c r="L47" s="4">
        <f t="shared" si="1"/>
        <v>1948744590</v>
      </c>
      <c r="M47" s="19"/>
    </row>
    <row r="48" spans="1:13" ht="18.75" customHeight="1">
      <c r="A48" s="6" t="str">
        <f t="shared" si="0"/>
        <v>C19</v>
      </c>
      <c r="B48" s="3">
        <v>41719</v>
      </c>
      <c r="C48" s="3">
        <v>41719</v>
      </c>
      <c r="D48" s="4"/>
      <c r="E48" s="22" t="s">
        <v>105</v>
      </c>
      <c r="F48" s="5" t="s">
        <v>50</v>
      </c>
      <c r="G48" s="5"/>
      <c r="H48" s="5"/>
      <c r="I48" s="28" t="s">
        <v>256</v>
      </c>
      <c r="J48" s="21"/>
      <c r="K48" s="5">
        <v>4396800</v>
      </c>
      <c r="L48" s="4">
        <f t="shared" si="1"/>
        <v>1944347790</v>
      </c>
      <c r="M48" s="19"/>
    </row>
    <row r="49" spans="1:13" ht="18.75" customHeight="1">
      <c r="A49" s="6" t="str">
        <f t="shared" si="0"/>
        <v>C19</v>
      </c>
      <c r="B49" s="3">
        <v>41719</v>
      </c>
      <c r="C49" s="3">
        <v>41719</v>
      </c>
      <c r="D49" s="4"/>
      <c r="E49" s="22" t="s">
        <v>105</v>
      </c>
      <c r="F49" s="5" t="s">
        <v>56</v>
      </c>
      <c r="G49" s="5"/>
      <c r="H49" s="5"/>
      <c r="I49" s="28" t="s">
        <v>35</v>
      </c>
      <c r="J49" s="21"/>
      <c r="K49" s="5">
        <v>439680</v>
      </c>
      <c r="L49" s="4">
        <f t="shared" si="1"/>
        <v>1943908110</v>
      </c>
      <c r="M49" s="19"/>
    </row>
    <row r="50" spans="1:13" ht="18.75" customHeight="1">
      <c r="A50" s="6" t="str">
        <f t="shared" si="0"/>
        <v>C20</v>
      </c>
      <c r="B50" s="3">
        <v>41719</v>
      </c>
      <c r="C50" s="3">
        <v>41719</v>
      </c>
      <c r="D50" s="22"/>
      <c r="E50" s="22" t="s">
        <v>106</v>
      </c>
      <c r="F50" s="30" t="s">
        <v>259</v>
      </c>
      <c r="G50" s="50"/>
      <c r="H50" s="50"/>
      <c r="I50" s="28" t="s">
        <v>134</v>
      </c>
      <c r="J50" s="21"/>
      <c r="K50" s="5">
        <v>550000000</v>
      </c>
      <c r="L50" s="4">
        <f t="shared" si="1"/>
        <v>1393908110</v>
      </c>
      <c r="M50" s="19"/>
    </row>
    <row r="51" spans="1:13" ht="18.75" customHeight="1">
      <c r="A51" s="6" t="str">
        <f t="shared" ref="A51:A69" si="2">D51&amp;E51</f>
        <v>C21</v>
      </c>
      <c r="B51" s="3">
        <v>41719</v>
      </c>
      <c r="C51" s="3">
        <v>41719</v>
      </c>
      <c r="D51" s="4"/>
      <c r="E51" s="22" t="s">
        <v>107</v>
      </c>
      <c r="F51" s="30" t="s">
        <v>260</v>
      </c>
      <c r="G51" s="50"/>
      <c r="H51" s="50"/>
      <c r="I51" s="28" t="s">
        <v>134</v>
      </c>
      <c r="J51" s="21"/>
      <c r="K51" s="5">
        <v>550000000</v>
      </c>
      <c r="L51" s="4">
        <f t="shared" si="1"/>
        <v>843908110</v>
      </c>
      <c r="M51" s="19"/>
    </row>
    <row r="52" spans="1:13" ht="18.75" customHeight="1">
      <c r="A52" s="6" t="str">
        <f t="shared" si="2"/>
        <v>T04</v>
      </c>
      <c r="B52" s="3">
        <f>C52</f>
        <v>41724</v>
      </c>
      <c r="C52" s="3">
        <v>41724</v>
      </c>
      <c r="D52" s="4" t="s">
        <v>42</v>
      </c>
      <c r="E52" s="22"/>
      <c r="F52" s="5" t="s">
        <v>253</v>
      </c>
      <c r="G52" s="5"/>
      <c r="H52" s="5"/>
      <c r="I52" s="28" t="s">
        <v>36</v>
      </c>
      <c r="J52" s="21">
        <v>1300000000</v>
      </c>
      <c r="K52" s="5"/>
      <c r="L52" s="4">
        <f t="shared" si="1"/>
        <v>2143908110</v>
      </c>
      <c r="M52" s="19"/>
    </row>
    <row r="53" spans="1:13" ht="18.75" customHeight="1">
      <c r="A53" s="6" t="str">
        <f t="shared" si="2"/>
        <v>C22</v>
      </c>
      <c r="B53" s="3">
        <f>C53</f>
        <v>41724</v>
      </c>
      <c r="C53" s="3">
        <v>41724</v>
      </c>
      <c r="D53" s="22"/>
      <c r="E53" s="22" t="s">
        <v>108</v>
      </c>
      <c r="F53" s="30" t="s">
        <v>259</v>
      </c>
      <c r="G53" s="50"/>
      <c r="H53" s="50"/>
      <c r="I53" s="28" t="s">
        <v>134</v>
      </c>
      <c r="J53" s="21"/>
      <c r="K53" s="5">
        <v>450000000</v>
      </c>
      <c r="L53" s="4">
        <f t="shared" si="1"/>
        <v>1693908110</v>
      </c>
      <c r="M53" s="19"/>
    </row>
    <row r="54" spans="1:13" ht="18.75" customHeight="1">
      <c r="A54" s="6" t="str">
        <f t="shared" si="2"/>
        <v>C23</v>
      </c>
      <c r="B54" s="3">
        <f>C54</f>
        <v>41724</v>
      </c>
      <c r="C54" s="3">
        <v>41724</v>
      </c>
      <c r="D54" s="4"/>
      <c r="E54" s="22" t="s">
        <v>109</v>
      </c>
      <c r="F54" s="30" t="s">
        <v>260</v>
      </c>
      <c r="G54" s="50"/>
      <c r="H54" s="50"/>
      <c r="I54" s="28" t="s">
        <v>134</v>
      </c>
      <c r="J54" s="21"/>
      <c r="K54" s="5">
        <v>550000000</v>
      </c>
      <c r="L54" s="4">
        <f t="shared" si="1"/>
        <v>1143908110</v>
      </c>
      <c r="M54" s="19"/>
    </row>
    <row r="55" spans="1:13" ht="18" customHeight="1">
      <c r="A55" s="6" t="str">
        <f>D55&amp;E55</f>
        <v>C24</v>
      </c>
      <c r="B55" s="3">
        <v>41725</v>
      </c>
      <c r="C55" s="3">
        <v>41725</v>
      </c>
      <c r="D55" s="4"/>
      <c r="E55" s="22" t="s">
        <v>110</v>
      </c>
      <c r="F55" s="5" t="s">
        <v>311</v>
      </c>
      <c r="G55" s="5"/>
      <c r="H55" s="5"/>
      <c r="I55" s="28" t="s">
        <v>256</v>
      </c>
      <c r="J55" s="21"/>
      <c r="K55" s="5">
        <v>17200000</v>
      </c>
      <c r="L55" s="4">
        <f t="shared" si="1"/>
        <v>1126708110</v>
      </c>
      <c r="M55" s="19"/>
    </row>
    <row r="56" spans="1:13" ht="18.75" customHeight="1">
      <c r="A56" s="6" t="str">
        <f t="shared" si="2"/>
        <v>C24</v>
      </c>
      <c r="B56" s="3">
        <v>41725</v>
      </c>
      <c r="C56" s="3">
        <v>41725</v>
      </c>
      <c r="D56" s="4"/>
      <c r="E56" s="22" t="s">
        <v>110</v>
      </c>
      <c r="F56" s="5" t="s">
        <v>312</v>
      </c>
      <c r="G56" s="5"/>
      <c r="H56" s="5"/>
      <c r="I56" s="28" t="s">
        <v>35</v>
      </c>
      <c r="J56" s="21"/>
      <c r="K56" s="5">
        <v>1720000</v>
      </c>
      <c r="L56" s="4">
        <f t="shared" si="1"/>
        <v>1124988110</v>
      </c>
      <c r="M56" s="19"/>
    </row>
    <row r="57" spans="1:13" ht="18.75" customHeight="1">
      <c r="A57" s="6" t="str">
        <f t="shared" si="2"/>
        <v>C25</v>
      </c>
      <c r="B57" s="3">
        <v>41725</v>
      </c>
      <c r="C57" s="3">
        <v>41725</v>
      </c>
      <c r="D57" s="4"/>
      <c r="E57" s="22" t="s">
        <v>111</v>
      </c>
      <c r="F57" s="63" t="s">
        <v>313</v>
      </c>
      <c r="G57" s="5"/>
      <c r="H57" s="5"/>
      <c r="I57" s="28" t="s">
        <v>34</v>
      </c>
      <c r="J57" s="21"/>
      <c r="K57" s="5">
        <v>16275000</v>
      </c>
      <c r="L57" s="4">
        <f t="shared" si="1"/>
        <v>1108713110</v>
      </c>
      <c r="M57" s="19"/>
    </row>
    <row r="58" spans="1:13" ht="18.75" customHeight="1">
      <c r="A58" s="6" t="str">
        <f t="shared" si="2"/>
        <v>C26</v>
      </c>
      <c r="B58" s="3">
        <v>41726</v>
      </c>
      <c r="C58" s="3">
        <v>41726</v>
      </c>
      <c r="D58" s="4"/>
      <c r="E58" s="22" t="s">
        <v>112</v>
      </c>
      <c r="F58" s="387" t="s">
        <v>314</v>
      </c>
      <c r="G58" s="5"/>
      <c r="H58" s="5"/>
      <c r="I58" s="28" t="s">
        <v>256</v>
      </c>
      <c r="J58" s="21"/>
      <c r="K58" s="5">
        <v>2000000</v>
      </c>
      <c r="L58" s="4">
        <f t="shared" si="1"/>
        <v>1106713110</v>
      </c>
      <c r="M58" s="19"/>
    </row>
    <row r="59" spans="1:13" ht="18.75" customHeight="1">
      <c r="A59" s="6" t="str">
        <f t="shared" si="2"/>
        <v>C26</v>
      </c>
      <c r="B59" s="3">
        <v>41726</v>
      </c>
      <c r="C59" s="3">
        <v>41726</v>
      </c>
      <c r="D59" s="4"/>
      <c r="E59" s="22" t="s">
        <v>112</v>
      </c>
      <c r="F59" s="387" t="s">
        <v>315</v>
      </c>
      <c r="G59" s="5"/>
      <c r="H59" s="5"/>
      <c r="I59" s="28" t="s">
        <v>35</v>
      </c>
      <c r="J59" s="21"/>
      <c r="K59" s="5">
        <v>200000</v>
      </c>
      <c r="L59" s="4">
        <f t="shared" si="1"/>
        <v>1106513110</v>
      </c>
      <c r="M59" s="19"/>
    </row>
    <row r="60" spans="1:13" ht="18.75" customHeight="1">
      <c r="A60" s="6" t="str">
        <f t="shared" si="2"/>
        <v>C27</v>
      </c>
      <c r="B60" s="3">
        <v>41727</v>
      </c>
      <c r="C60" s="3">
        <v>41727</v>
      </c>
      <c r="D60" s="4"/>
      <c r="E60" s="22" t="s">
        <v>113</v>
      </c>
      <c r="F60" s="63" t="s">
        <v>313</v>
      </c>
      <c r="G60" s="5"/>
      <c r="H60" s="5"/>
      <c r="I60" s="28" t="s">
        <v>34</v>
      </c>
      <c r="J60" s="21"/>
      <c r="K60" s="5">
        <v>16275000</v>
      </c>
      <c r="L60" s="4">
        <f t="shared" si="1"/>
        <v>1090238110</v>
      </c>
      <c r="M60" s="19"/>
    </row>
    <row r="61" spans="1:13" ht="18.75" customHeight="1">
      <c r="A61" s="6" t="str">
        <f t="shared" si="2"/>
        <v>C28</v>
      </c>
      <c r="B61" s="3">
        <v>41729</v>
      </c>
      <c r="C61" s="3">
        <v>41729</v>
      </c>
      <c r="D61" s="4"/>
      <c r="E61" s="22" t="s">
        <v>114</v>
      </c>
      <c r="F61" s="5" t="s">
        <v>316</v>
      </c>
      <c r="G61" s="5"/>
      <c r="H61" s="5"/>
      <c r="I61" s="28" t="s">
        <v>256</v>
      </c>
      <c r="J61" s="21"/>
      <c r="K61" s="5">
        <v>4200000</v>
      </c>
      <c r="L61" s="4">
        <f t="shared" si="1"/>
        <v>1086038110</v>
      </c>
      <c r="M61" s="19"/>
    </row>
    <row r="62" spans="1:13" ht="18.75" customHeight="1">
      <c r="A62" s="6" t="str">
        <f t="shared" si="2"/>
        <v>C29</v>
      </c>
      <c r="B62" s="3">
        <v>41729</v>
      </c>
      <c r="C62" s="3">
        <v>41729</v>
      </c>
      <c r="D62" s="4"/>
      <c r="E62" s="22" t="s">
        <v>115</v>
      </c>
      <c r="F62" s="5" t="s">
        <v>50</v>
      </c>
      <c r="G62" s="5"/>
      <c r="H62" s="5"/>
      <c r="I62" s="28" t="s">
        <v>256</v>
      </c>
      <c r="J62" s="21"/>
      <c r="K62" s="5">
        <v>3366300</v>
      </c>
      <c r="L62" s="4">
        <f t="shared" si="1"/>
        <v>1082671810</v>
      </c>
      <c r="M62" s="19"/>
    </row>
    <row r="63" spans="1:13" ht="18.75" customHeight="1">
      <c r="A63" s="6" t="str">
        <f t="shared" si="2"/>
        <v>C29</v>
      </c>
      <c r="B63" s="3">
        <v>41729</v>
      </c>
      <c r="C63" s="3">
        <v>41729</v>
      </c>
      <c r="D63" s="4"/>
      <c r="E63" s="22" t="s">
        <v>115</v>
      </c>
      <c r="F63" s="5" t="s">
        <v>56</v>
      </c>
      <c r="G63" s="5"/>
      <c r="H63" s="5"/>
      <c r="I63" s="28" t="s">
        <v>35</v>
      </c>
      <c r="J63" s="21"/>
      <c r="K63" s="5">
        <v>336630</v>
      </c>
      <c r="L63" s="4">
        <f t="shared" si="1"/>
        <v>1082335180</v>
      </c>
      <c r="M63" s="19"/>
    </row>
    <row r="64" spans="1:13" ht="18.75" customHeight="1">
      <c r="A64" s="6" t="str">
        <f t="shared" si="2"/>
        <v>C30</v>
      </c>
      <c r="B64" s="3">
        <v>41729</v>
      </c>
      <c r="C64" s="3">
        <v>41729</v>
      </c>
      <c r="D64" s="4"/>
      <c r="E64" s="22" t="s">
        <v>116</v>
      </c>
      <c r="F64" s="5" t="s">
        <v>50</v>
      </c>
      <c r="G64" s="5"/>
      <c r="H64" s="5"/>
      <c r="I64" s="28" t="s">
        <v>256</v>
      </c>
      <c r="J64" s="21"/>
      <c r="K64" s="5">
        <v>224455</v>
      </c>
      <c r="L64" s="4">
        <f t="shared" si="1"/>
        <v>1082110725</v>
      </c>
      <c r="M64" s="19"/>
    </row>
    <row r="65" spans="1:13" ht="18.75" customHeight="1">
      <c r="A65" s="6" t="str">
        <f t="shared" si="2"/>
        <v>C30</v>
      </c>
      <c r="B65" s="3">
        <v>41729</v>
      </c>
      <c r="C65" s="3">
        <v>41729</v>
      </c>
      <c r="D65" s="4"/>
      <c r="E65" s="22" t="s">
        <v>116</v>
      </c>
      <c r="F65" s="5" t="s">
        <v>308</v>
      </c>
      <c r="G65" s="5"/>
      <c r="H65" s="5"/>
      <c r="I65" s="28" t="s">
        <v>54</v>
      </c>
      <c r="J65" s="21"/>
      <c r="K65" s="5">
        <v>2071818</v>
      </c>
      <c r="L65" s="4">
        <f t="shared" si="1"/>
        <v>1080038907</v>
      </c>
      <c r="M65" s="19"/>
    </row>
    <row r="66" spans="1:13" ht="18.75" customHeight="1">
      <c r="A66" s="6" t="str">
        <f t="shared" si="2"/>
        <v>C30</v>
      </c>
      <c r="B66" s="3">
        <v>41729</v>
      </c>
      <c r="C66" s="3">
        <v>41729</v>
      </c>
      <c r="D66" s="4"/>
      <c r="E66" s="22" t="s">
        <v>116</v>
      </c>
      <c r="F66" s="5" t="s">
        <v>211</v>
      </c>
      <c r="G66" s="5"/>
      <c r="H66" s="5"/>
      <c r="I66" s="28" t="s">
        <v>35</v>
      </c>
      <c r="J66" s="21"/>
      <c r="K66" s="5">
        <v>229627</v>
      </c>
      <c r="L66" s="4">
        <f t="shared" si="1"/>
        <v>1079809280</v>
      </c>
      <c r="M66" s="19"/>
    </row>
    <row r="67" spans="1:13" ht="18.75" customHeight="1">
      <c r="A67" s="6" t="str">
        <f t="shared" si="2"/>
        <v>C31</v>
      </c>
      <c r="B67" s="3">
        <v>41729</v>
      </c>
      <c r="C67" s="3">
        <v>41723</v>
      </c>
      <c r="D67" s="4"/>
      <c r="E67" s="22" t="s">
        <v>117</v>
      </c>
      <c r="F67" s="5" t="s">
        <v>317</v>
      </c>
      <c r="G67" s="5"/>
      <c r="H67" s="5"/>
      <c r="I67" s="28" t="s">
        <v>256</v>
      </c>
      <c r="J67" s="21"/>
      <c r="K67" s="5">
        <v>363636</v>
      </c>
      <c r="L67" s="4">
        <f t="shared" si="1"/>
        <v>1079445644</v>
      </c>
      <c r="M67" s="19"/>
    </row>
    <row r="68" spans="1:13" ht="18.75" customHeight="1">
      <c r="A68" s="6" t="str">
        <f t="shared" si="2"/>
        <v>C31</v>
      </c>
      <c r="B68" s="3">
        <v>41729</v>
      </c>
      <c r="C68" s="3">
        <v>41723</v>
      </c>
      <c r="D68" s="4"/>
      <c r="E68" s="22" t="s">
        <v>117</v>
      </c>
      <c r="F68" s="5" t="s">
        <v>318</v>
      </c>
      <c r="G68" s="5"/>
      <c r="H68" s="5"/>
      <c r="I68" s="28" t="s">
        <v>35</v>
      </c>
      <c r="J68" s="21"/>
      <c r="K68" s="5">
        <v>36364</v>
      </c>
      <c r="L68" s="4">
        <f t="shared" si="1"/>
        <v>1079409280</v>
      </c>
      <c r="M68" s="19"/>
    </row>
    <row r="69" spans="1:13" ht="18.75" customHeight="1">
      <c r="A69" s="6" t="str">
        <f t="shared" si="2"/>
        <v>C32</v>
      </c>
      <c r="B69" s="3">
        <v>41729</v>
      </c>
      <c r="C69" s="3">
        <v>41729</v>
      </c>
      <c r="D69" s="4"/>
      <c r="E69" s="22" t="s">
        <v>118</v>
      </c>
      <c r="F69" s="5" t="s">
        <v>319</v>
      </c>
      <c r="G69" s="5"/>
      <c r="H69" s="5"/>
      <c r="I69" s="28" t="s">
        <v>37</v>
      </c>
      <c r="J69" s="21"/>
      <c r="K69" s="5">
        <v>146352370</v>
      </c>
      <c r="L69" s="4">
        <f t="shared" si="1"/>
        <v>933056910</v>
      </c>
      <c r="M69" s="19"/>
    </row>
    <row r="70" spans="1:13" ht="18" customHeight="1">
      <c r="A70" s="6" t="str">
        <f>D70&amp;E70</f>
        <v/>
      </c>
      <c r="B70" s="3"/>
      <c r="C70" s="3"/>
      <c r="D70" s="4"/>
      <c r="E70" s="22"/>
      <c r="F70" s="5"/>
      <c r="G70" s="5"/>
      <c r="H70" s="5"/>
      <c r="I70" s="28"/>
      <c r="J70" s="21"/>
      <c r="K70" s="5"/>
      <c r="L70" s="4"/>
      <c r="M70" s="19"/>
    </row>
    <row r="71" spans="1:13" s="44" customFormat="1" ht="18" customHeight="1">
      <c r="B71" s="42"/>
      <c r="C71" s="42"/>
      <c r="D71" s="42"/>
      <c r="E71" s="42"/>
      <c r="F71" s="42" t="s">
        <v>29</v>
      </c>
      <c r="G71" s="42"/>
      <c r="H71" s="42"/>
      <c r="I71" s="43" t="s">
        <v>30</v>
      </c>
      <c r="J71" s="42">
        <f>SUM(J13:J70)</f>
        <v>4775000000</v>
      </c>
      <c r="K71" s="42">
        <f>SUM(K13:K70)</f>
        <v>5862601110</v>
      </c>
      <c r="L71" s="43" t="s">
        <v>30</v>
      </c>
      <c r="M71" s="43" t="s">
        <v>30</v>
      </c>
    </row>
    <row r="72" spans="1:13" s="44" customFormat="1" ht="18" customHeight="1">
      <c r="B72" s="45"/>
      <c r="C72" s="45"/>
      <c r="D72" s="45"/>
      <c r="E72" s="45"/>
      <c r="F72" s="45" t="s">
        <v>31</v>
      </c>
      <c r="G72" s="45"/>
      <c r="H72" s="45"/>
      <c r="I72" s="46" t="s">
        <v>30</v>
      </c>
      <c r="J72" s="46" t="s">
        <v>30</v>
      </c>
      <c r="K72" s="46" t="s">
        <v>30</v>
      </c>
      <c r="L72" s="45">
        <f>L12+J71-K71</f>
        <v>933056910</v>
      </c>
      <c r="M72" s="46" t="s">
        <v>30</v>
      </c>
    </row>
    <row r="74" spans="1:13">
      <c r="B74" s="27" t="s">
        <v>47</v>
      </c>
    </row>
    <row r="75" spans="1:13">
      <c r="B75" s="27" t="s">
        <v>230</v>
      </c>
    </row>
    <row r="76" spans="1:13">
      <c r="L76" s="8" t="s">
        <v>233</v>
      </c>
    </row>
    <row r="77" spans="1:13" s="7" customFormat="1" ht="14.25">
      <c r="C77" s="7" t="s">
        <v>33</v>
      </c>
      <c r="F77" s="7" t="s">
        <v>13</v>
      </c>
      <c r="L77" s="7" t="s">
        <v>14</v>
      </c>
    </row>
    <row r="78" spans="1:13" s="2" customFormat="1">
      <c r="C78" s="2" t="s">
        <v>15</v>
      </c>
      <c r="F78" s="2" t="s">
        <v>15</v>
      </c>
      <c r="L78" s="2" t="s">
        <v>16</v>
      </c>
    </row>
    <row r="79" spans="1:13" s="2" customFormat="1"/>
    <row r="89" spans="12:13">
      <c r="L89" s="190"/>
      <c r="M89" s="190"/>
    </row>
    <row r="90" spans="12:13">
      <c r="L90" s="190"/>
      <c r="M90" s="190"/>
    </row>
    <row r="91" spans="12:13">
      <c r="L91" s="190"/>
      <c r="M91" s="190"/>
    </row>
    <row r="92" spans="12:13">
      <c r="L92" s="190"/>
      <c r="M92" s="190"/>
    </row>
    <row r="93" spans="12:13">
      <c r="L93" s="190"/>
      <c r="M93" s="190"/>
    </row>
    <row r="94" spans="12:13">
      <c r="L94" s="190"/>
      <c r="M94" s="190"/>
    </row>
    <row r="95" spans="12:13">
      <c r="L95" s="190"/>
      <c r="M95" s="190"/>
    </row>
    <row r="96" spans="12:13">
      <c r="L96" s="190"/>
      <c r="M96" s="190"/>
    </row>
    <row r="97" spans="11:13">
      <c r="L97" s="190"/>
      <c r="M97" s="190"/>
    </row>
    <row r="98" spans="11:13">
      <c r="L98" s="190"/>
      <c r="M98" s="190"/>
    </row>
    <row r="99" spans="11:13">
      <c r="L99" s="190"/>
      <c r="M99" s="190"/>
    </row>
    <row r="100" spans="11:13">
      <c r="L100" s="190"/>
      <c r="M100" s="190"/>
    </row>
    <row r="101" spans="11:13">
      <c r="L101" s="190"/>
      <c r="M101" s="190"/>
    </row>
    <row r="102" spans="11:13">
      <c r="L102" s="190"/>
      <c r="M102" s="190"/>
    </row>
    <row r="103" spans="11:13">
      <c r="L103" s="190"/>
      <c r="M103" s="190"/>
    </row>
    <row r="104" spans="11:13">
      <c r="L104" s="190"/>
      <c r="M104" s="190"/>
    </row>
    <row r="105" spans="11:13">
      <c r="L105" s="190"/>
      <c r="M105" s="190"/>
    </row>
    <row r="106" spans="11:13">
      <c r="L106" s="190"/>
      <c r="M106" s="190"/>
    </row>
    <row r="107" spans="11:13">
      <c r="L107" s="190"/>
      <c r="M107" s="190"/>
    </row>
    <row r="108" spans="11:13">
      <c r="L108" s="190"/>
      <c r="M108" s="190"/>
    </row>
    <row r="109" spans="11:13">
      <c r="K109" s="190"/>
      <c r="L109" s="190"/>
      <c r="M109" s="190"/>
    </row>
    <row r="110" spans="11:13">
      <c r="L110" s="190"/>
      <c r="M110" s="190"/>
    </row>
    <row r="111" spans="11:13">
      <c r="L111" s="190"/>
      <c r="M111" s="190"/>
    </row>
    <row r="112" spans="11:13">
      <c r="L112" s="190"/>
      <c r="M112" s="190"/>
    </row>
    <row r="113" spans="12:13">
      <c r="L113" s="190"/>
      <c r="M113" s="190"/>
    </row>
    <row r="114" spans="12:13">
      <c r="L114" s="190"/>
      <c r="M114" s="190"/>
    </row>
    <row r="115" spans="12:13">
      <c r="L115" s="190"/>
      <c r="M115" s="190"/>
    </row>
    <row r="116" spans="12:13">
      <c r="L116" s="190"/>
      <c r="M116" s="190"/>
    </row>
    <row r="117" spans="12:13">
      <c r="L117" s="190"/>
      <c r="M117" s="190"/>
    </row>
    <row r="118" spans="12:13">
      <c r="L118" s="190"/>
      <c r="M118" s="190"/>
    </row>
    <row r="119" spans="12:13">
      <c r="L119" s="190"/>
      <c r="M119" s="190"/>
    </row>
    <row r="120" spans="12:13">
      <c r="L120" s="190"/>
      <c r="M120" s="190"/>
    </row>
    <row r="121" spans="12:13">
      <c r="L121" s="190"/>
      <c r="M121" s="190"/>
    </row>
    <row r="122" spans="12:13">
      <c r="L122" s="190"/>
      <c r="M122" s="190"/>
    </row>
    <row r="123" spans="12:13">
      <c r="L123" s="190"/>
      <c r="M123" s="190"/>
    </row>
    <row r="124" spans="12:13">
      <c r="L124" s="190"/>
      <c r="M124" s="190"/>
    </row>
    <row r="125" spans="12:13">
      <c r="L125" s="190"/>
      <c r="M125" s="190"/>
    </row>
    <row r="126" spans="12:13">
      <c r="L126" s="190"/>
      <c r="M126" s="190"/>
    </row>
    <row r="127" spans="12:13">
      <c r="L127" s="190"/>
      <c r="M127" s="190"/>
    </row>
    <row r="128" spans="12:13">
      <c r="L128" s="190"/>
      <c r="M128" s="190"/>
    </row>
    <row r="129" spans="11:13">
      <c r="L129" s="190"/>
      <c r="M129" s="190"/>
    </row>
    <row r="130" spans="11:13">
      <c r="L130" s="190"/>
      <c r="M130" s="190"/>
    </row>
    <row r="131" spans="11:13">
      <c r="L131" s="190"/>
      <c r="M131" s="190"/>
    </row>
    <row r="132" spans="11:13">
      <c r="L132" s="190"/>
      <c r="M132" s="190"/>
    </row>
    <row r="133" spans="11:13">
      <c r="L133" s="190"/>
      <c r="M133" s="190"/>
    </row>
    <row r="134" spans="11:13">
      <c r="L134" s="190"/>
      <c r="M134" s="190"/>
    </row>
    <row r="135" spans="11:13">
      <c r="L135" s="190"/>
      <c r="M135" s="190"/>
    </row>
    <row r="136" spans="11:13">
      <c r="K136" s="190"/>
      <c r="L136" s="190"/>
      <c r="M136" s="190"/>
    </row>
  </sheetData>
  <autoFilter ref="A11:P72">
    <filterColumn colId="3"/>
    <filterColumn colId="8"/>
  </autoFilter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19 H28 H41 H55">
    <cfRule type="expression" dxfId="3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N123"/>
  <sheetViews>
    <sheetView topLeftCell="B1" zoomScale="90" zoomScaleNormal="90" workbookViewId="0">
      <selection activeCell="J1" sqref="J1:M3"/>
    </sheetView>
  </sheetViews>
  <sheetFormatPr defaultRowHeight="15"/>
  <cols>
    <col min="1" max="1" width="4.42578125" style="6" hidden="1" customWidth="1"/>
    <col min="2" max="3" width="11" style="6" customWidth="1"/>
    <col min="4" max="5" width="6.7109375" style="6" customWidth="1"/>
    <col min="6" max="6" width="35.28515625" style="6" customWidth="1"/>
    <col min="7" max="7" width="12" style="6" hidden="1" customWidth="1"/>
    <col min="8" max="8" width="28.57031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70"/>
      <c r="H1" s="10"/>
      <c r="J1" s="392" t="s">
        <v>784</v>
      </c>
      <c r="K1" s="392"/>
      <c r="L1" s="392"/>
      <c r="M1" s="392"/>
      <c r="N1" s="379"/>
    </row>
    <row r="2" spans="1:14" s="11" customFormat="1" ht="16.5" customHeight="1">
      <c r="B2" s="1" t="str">
        <f>'01'!B2</f>
        <v>Địa chỉ: Lô A14, Đường 4A - KCN Hải Sơn, Đức Hòa, Long An</v>
      </c>
      <c r="C2" s="379"/>
      <c r="D2" s="379"/>
      <c r="E2" s="379"/>
      <c r="F2" s="379"/>
      <c r="G2" s="371"/>
      <c r="H2" s="379"/>
      <c r="J2" s="393" t="s">
        <v>785</v>
      </c>
      <c r="K2" s="393"/>
      <c r="L2" s="393"/>
      <c r="M2" s="393"/>
      <c r="N2" s="380"/>
    </row>
    <row r="3" spans="1:14" s="11" customFormat="1" ht="16.5" customHeight="1">
      <c r="B3" s="9"/>
      <c r="C3" s="379"/>
      <c r="D3" s="14"/>
      <c r="E3" s="14"/>
      <c r="F3" s="379"/>
      <c r="G3" s="371"/>
      <c r="H3" s="379"/>
      <c r="J3" s="393"/>
      <c r="K3" s="393"/>
      <c r="L3" s="393"/>
      <c r="M3" s="393"/>
      <c r="N3" s="380"/>
    </row>
    <row r="4" spans="1:14" s="11" customFormat="1" ht="6.75" customHeight="1">
      <c r="B4" s="379"/>
      <c r="C4" s="379"/>
      <c r="D4" s="379"/>
      <c r="E4" s="379"/>
      <c r="F4" s="379"/>
      <c r="G4" s="371"/>
      <c r="H4" s="379"/>
      <c r="J4" s="380"/>
      <c r="K4" s="380"/>
      <c r="L4" s="380"/>
      <c r="M4" s="380"/>
      <c r="N4" s="380"/>
    </row>
    <row r="5" spans="1:14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81"/>
    </row>
    <row r="6" spans="1:14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83"/>
    </row>
    <row r="7" spans="1:14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83"/>
    </row>
    <row r="8" spans="1:14">
      <c r="B8" s="15"/>
      <c r="L8" s="15" t="s">
        <v>19</v>
      </c>
    </row>
    <row r="9" spans="1:14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9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  <c r="N9" s="348"/>
    </row>
    <row r="10" spans="1:14" ht="20.25" customHeight="1">
      <c r="B10" s="395"/>
      <c r="C10" s="395"/>
      <c r="D10" s="382" t="s">
        <v>5</v>
      </c>
      <c r="E10" s="382" t="s">
        <v>6</v>
      </c>
      <c r="F10" s="395"/>
      <c r="G10" s="400"/>
      <c r="H10" s="397"/>
      <c r="I10" s="395"/>
      <c r="J10" s="382" t="s">
        <v>25</v>
      </c>
      <c r="K10" s="382" t="s">
        <v>26</v>
      </c>
      <c r="L10" s="395"/>
      <c r="M10" s="395"/>
      <c r="N10" s="348"/>
    </row>
    <row r="11" spans="1:14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372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  <c r="N11" s="349"/>
    </row>
    <row r="12" spans="1:14" s="44" customFormat="1" ht="19.5" customHeight="1">
      <c r="B12" s="36"/>
      <c r="C12" s="36"/>
      <c r="D12" s="36"/>
      <c r="E12" s="36"/>
      <c r="F12" s="36" t="s">
        <v>28</v>
      </c>
      <c r="G12" s="373"/>
      <c r="H12" s="36"/>
      <c r="I12" s="37"/>
      <c r="J12" s="38"/>
      <c r="K12" s="36"/>
      <c r="L12" s="48">
        <f>'03'!L72</f>
        <v>933056910</v>
      </c>
      <c r="M12" s="36"/>
      <c r="N12" s="350"/>
    </row>
    <row r="13" spans="1:14" ht="19.5" customHeight="1">
      <c r="A13" s="6" t="str">
        <f t="shared" ref="A13:A44" si="0">D13&amp;E13</f>
        <v>C01</v>
      </c>
      <c r="B13" s="3">
        <v>41730</v>
      </c>
      <c r="C13" s="3">
        <v>41698</v>
      </c>
      <c r="D13" s="4"/>
      <c r="E13" s="22" t="s">
        <v>87</v>
      </c>
      <c r="F13" s="5" t="s">
        <v>320</v>
      </c>
      <c r="G13" s="5"/>
      <c r="H13" s="5"/>
      <c r="I13" s="28" t="s">
        <v>247</v>
      </c>
      <c r="J13" s="21"/>
      <c r="K13" s="5">
        <v>1000000</v>
      </c>
      <c r="L13" s="4">
        <f t="shared" ref="L13:L44" si="1">IF(F13&lt;&gt;"",L12+J13-K13,0)</f>
        <v>932056910</v>
      </c>
      <c r="M13" s="19"/>
      <c r="N13" s="351"/>
    </row>
    <row r="14" spans="1:14" ht="19.5" customHeight="1">
      <c r="A14" s="6" t="str">
        <f t="shared" si="0"/>
        <v>C02</v>
      </c>
      <c r="B14" s="3">
        <v>41730</v>
      </c>
      <c r="C14" s="3">
        <v>41729</v>
      </c>
      <c r="D14" s="4"/>
      <c r="E14" s="22" t="s">
        <v>88</v>
      </c>
      <c r="F14" s="5" t="s">
        <v>321</v>
      </c>
      <c r="G14" s="5"/>
      <c r="H14" s="5"/>
      <c r="I14" s="28" t="s">
        <v>247</v>
      </c>
      <c r="J14" s="21"/>
      <c r="K14" s="5">
        <v>2215655</v>
      </c>
      <c r="L14" s="4">
        <f t="shared" si="1"/>
        <v>929841255</v>
      </c>
      <c r="M14" s="19"/>
      <c r="N14" s="351"/>
    </row>
    <row r="15" spans="1:14" ht="19.5" customHeight="1">
      <c r="A15" s="6" t="str">
        <f t="shared" si="0"/>
        <v>C02</v>
      </c>
      <c r="B15" s="3">
        <v>41730</v>
      </c>
      <c r="C15" s="3">
        <v>41729</v>
      </c>
      <c r="D15" s="4"/>
      <c r="E15" s="22" t="s">
        <v>88</v>
      </c>
      <c r="F15" s="5" t="s">
        <v>322</v>
      </c>
      <c r="G15" s="5"/>
      <c r="H15" s="5"/>
      <c r="I15" s="28" t="s">
        <v>35</v>
      </c>
      <c r="J15" s="21"/>
      <c r="K15" s="5">
        <v>221566</v>
      </c>
      <c r="L15" s="4">
        <f t="shared" si="1"/>
        <v>929619689</v>
      </c>
      <c r="M15" s="19"/>
      <c r="N15" s="351"/>
    </row>
    <row r="16" spans="1:14" ht="19.5" customHeight="1">
      <c r="A16" s="6" t="str">
        <f t="shared" si="0"/>
        <v>C03</v>
      </c>
      <c r="B16" s="3">
        <v>41730</v>
      </c>
      <c r="C16" s="3">
        <v>41729</v>
      </c>
      <c r="D16" s="4"/>
      <c r="E16" s="22" t="s">
        <v>89</v>
      </c>
      <c r="F16" s="5" t="s">
        <v>323</v>
      </c>
      <c r="G16" s="5"/>
      <c r="H16" s="5"/>
      <c r="I16" s="28" t="s">
        <v>54</v>
      </c>
      <c r="J16" s="21"/>
      <c r="K16" s="5">
        <v>13562500</v>
      </c>
      <c r="L16" s="4">
        <f t="shared" si="1"/>
        <v>916057189</v>
      </c>
      <c r="M16" s="19"/>
      <c r="N16" s="351"/>
    </row>
    <row r="17" spans="1:14" ht="19.5" customHeight="1">
      <c r="A17" s="6" t="str">
        <f t="shared" si="0"/>
        <v>C03</v>
      </c>
      <c r="B17" s="3">
        <v>41730</v>
      </c>
      <c r="C17" s="3">
        <v>41729</v>
      </c>
      <c r="D17" s="4"/>
      <c r="E17" s="22" t="s">
        <v>89</v>
      </c>
      <c r="F17" s="5" t="s">
        <v>324</v>
      </c>
      <c r="G17" s="5"/>
      <c r="H17" s="5"/>
      <c r="I17" s="28" t="s">
        <v>35</v>
      </c>
      <c r="J17" s="21"/>
      <c r="K17" s="5">
        <f>556800+242650</f>
        <v>799450</v>
      </c>
      <c r="L17" s="4">
        <f t="shared" si="1"/>
        <v>915257739</v>
      </c>
      <c r="M17" s="19"/>
      <c r="N17" s="351"/>
    </row>
    <row r="18" spans="1:14" ht="19.5" customHeight="1">
      <c r="A18" s="6" t="str">
        <f t="shared" si="0"/>
        <v>C04</v>
      </c>
      <c r="B18" s="3">
        <v>41731</v>
      </c>
      <c r="C18" s="3">
        <v>41731</v>
      </c>
      <c r="D18" s="4"/>
      <c r="E18" s="22" t="s">
        <v>90</v>
      </c>
      <c r="F18" s="5" t="s">
        <v>51</v>
      </c>
      <c r="G18" s="5"/>
      <c r="H18" s="5"/>
      <c r="I18" s="28" t="s">
        <v>36</v>
      </c>
      <c r="J18" s="21"/>
      <c r="K18" s="5">
        <v>5000000</v>
      </c>
      <c r="L18" s="4">
        <f t="shared" si="1"/>
        <v>910257739</v>
      </c>
      <c r="M18" s="19"/>
      <c r="N18" s="351"/>
    </row>
    <row r="19" spans="1:14" ht="19.5" customHeight="1">
      <c r="A19" s="6" t="str">
        <f t="shared" si="0"/>
        <v>C05</v>
      </c>
      <c r="B19" s="3">
        <v>41732</v>
      </c>
      <c r="C19" s="3">
        <v>41732</v>
      </c>
      <c r="D19" s="4"/>
      <c r="E19" s="22" t="s">
        <v>91</v>
      </c>
      <c r="F19" s="5" t="s">
        <v>325</v>
      </c>
      <c r="G19" s="5"/>
      <c r="H19" s="5"/>
      <c r="I19" s="28" t="s">
        <v>247</v>
      </c>
      <c r="J19" s="21"/>
      <c r="K19" s="5">
        <v>92880</v>
      </c>
      <c r="L19" s="4">
        <f t="shared" si="1"/>
        <v>910164859</v>
      </c>
      <c r="M19" s="19"/>
      <c r="N19" s="351"/>
    </row>
    <row r="20" spans="1:14" ht="19.5" customHeight="1">
      <c r="A20" s="6" t="str">
        <f t="shared" si="0"/>
        <v>C05</v>
      </c>
      <c r="B20" s="3">
        <v>41732</v>
      </c>
      <c r="C20" s="3">
        <v>41732</v>
      </c>
      <c r="D20" s="4"/>
      <c r="E20" s="22" t="s">
        <v>91</v>
      </c>
      <c r="F20" s="5" t="s">
        <v>326</v>
      </c>
      <c r="G20" s="5"/>
      <c r="H20" s="5"/>
      <c r="I20" s="28" t="s">
        <v>35</v>
      </c>
      <c r="J20" s="21"/>
      <c r="K20" s="5">
        <v>9288</v>
      </c>
      <c r="L20" s="4">
        <f t="shared" si="1"/>
        <v>910155571</v>
      </c>
      <c r="M20" s="19"/>
      <c r="N20" s="351"/>
    </row>
    <row r="21" spans="1:14" ht="19.5" customHeight="1">
      <c r="A21" s="6" t="str">
        <f t="shared" si="0"/>
        <v>C06</v>
      </c>
      <c r="B21" s="3">
        <v>41733</v>
      </c>
      <c r="C21" s="3">
        <v>41733</v>
      </c>
      <c r="D21" s="4"/>
      <c r="E21" s="22" t="s">
        <v>92</v>
      </c>
      <c r="F21" s="5" t="s">
        <v>51</v>
      </c>
      <c r="G21" s="5"/>
      <c r="H21" s="5"/>
      <c r="I21" s="28" t="s">
        <v>36</v>
      </c>
      <c r="J21" s="21"/>
      <c r="K21" s="5">
        <v>830000000</v>
      </c>
      <c r="L21" s="4">
        <f t="shared" si="1"/>
        <v>80155571</v>
      </c>
      <c r="M21" s="19"/>
      <c r="N21" s="351"/>
    </row>
    <row r="22" spans="1:14" ht="19.5" customHeight="1">
      <c r="A22" s="6" t="str">
        <f t="shared" si="0"/>
        <v>C07</v>
      </c>
      <c r="B22" s="3">
        <v>41733</v>
      </c>
      <c r="C22" s="3">
        <v>41733</v>
      </c>
      <c r="D22" s="4"/>
      <c r="E22" s="22" t="s">
        <v>93</v>
      </c>
      <c r="F22" s="5" t="s">
        <v>327</v>
      </c>
      <c r="G22" s="5"/>
      <c r="H22" s="5"/>
      <c r="I22" s="28" t="s">
        <v>54</v>
      </c>
      <c r="J22" s="21"/>
      <c r="K22" s="5">
        <v>2640000</v>
      </c>
      <c r="L22" s="4">
        <f t="shared" si="1"/>
        <v>77515571</v>
      </c>
      <c r="M22" s="19"/>
      <c r="N22" s="351"/>
    </row>
    <row r="23" spans="1:14" ht="19.5" customHeight="1">
      <c r="A23" s="6" t="str">
        <f t="shared" si="0"/>
        <v>C07</v>
      </c>
      <c r="B23" s="3">
        <v>41733</v>
      </c>
      <c r="C23" s="3">
        <v>41733</v>
      </c>
      <c r="D23" s="4"/>
      <c r="E23" s="22" t="s">
        <v>93</v>
      </c>
      <c r="F23" s="5" t="s">
        <v>328</v>
      </c>
      <c r="G23" s="5"/>
      <c r="H23" s="5"/>
      <c r="I23" s="28" t="s">
        <v>35</v>
      </c>
      <c r="J23" s="21"/>
      <c r="K23" s="5">
        <v>264000</v>
      </c>
      <c r="L23" s="4">
        <f t="shared" si="1"/>
        <v>77251571</v>
      </c>
      <c r="M23" s="19"/>
      <c r="N23" s="351"/>
    </row>
    <row r="24" spans="1:14" ht="19.5" customHeight="1">
      <c r="A24" s="6" t="str">
        <f t="shared" si="0"/>
        <v>C08</v>
      </c>
      <c r="B24" s="3">
        <v>41733</v>
      </c>
      <c r="C24" s="3">
        <v>41733</v>
      </c>
      <c r="D24" s="4"/>
      <c r="E24" s="22" t="s">
        <v>94</v>
      </c>
      <c r="F24" s="5" t="s">
        <v>329</v>
      </c>
      <c r="G24" s="5"/>
      <c r="H24" s="5"/>
      <c r="I24" s="28" t="s">
        <v>247</v>
      </c>
      <c r="J24" s="21"/>
      <c r="K24" s="5">
        <v>2320000</v>
      </c>
      <c r="L24" s="4">
        <f t="shared" si="1"/>
        <v>74931571</v>
      </c>
      <c r="M24" s="19"/>
      <c r="N24" s="351"/>
    </row>
    <row r="25" spans="1:14" ht="19.5" customHeight="1">
      <c r="A25" s="6" t="str">
        <f t="shared" si="0"/>
        <v>C08</v>
      </c>
      <c r="B25" s="3">
        <v>41733</v>
      </c>
      <c r="C25" s="3">
        <v>41733</v>
      </c>
      <c r="D25" s="4"/>
      <c r="E25" s="22" t="s">
        <v>94</v>
      </c>
      <c r="F25" s="5" t="s">
        <v>330</v>
      </c>
      <c r="G25" s="5"/>
      <c r="H25" s="5"/>
      <c r="I25" s="28" t="s">
        <v>35</v>
      </c>
      <c r="J25" s="21"/>
      <c r="K25" s="5">
        <v>232000</v>
      </c>
      <c r="L25" s="4">
        <f t="shared" si="1"/>
        <v>74699571</v>
      </c>
      <c r="M25" s="19"/>
      <c r="N25" s="351"/>
    </row>
    <row r="26" spans="1:14" ht="19.5" customHeight="1">
      <c r="A26" s="6" t="str">
        <f t="shared" si="0"/>
        <v>T01</v>
      </c>
      <c r="B26" s="3">
        <v>41734</v>
      </c>
      <c r="C26" s="3">
        <v>41734</v>
      </c>
      <c r="D26" s="4" t="s">
        <v>39</v>
      </c>
      <c r="E26" s="52"/>
      <c r="F26" s="5" t="s">
        <v>253</v>
      </c>
      <c r="G26" s="5"/>
      <c r="H26" s="5"/>
      <c r="I26" s="28" t="s">
        <v>36</v>
      </c>
      <c r="J26" s="21">
        <v>1890000000</v>
      </c>
      <c r="K26" s="5"/>
      <c r="L26" s="4">
        <f t="shared" si="1"/>
        <v>1964699571</v>
      </c>
      <c r="M26" s="19"/>
      <c r="N26" s="351"/>
    </row>
    <row r="27" spans="1:14" ht="19.5" customHeight="1">
      <c r="A27" s="6" t="str">
        <f t="shared" si="0"/>
        <v>C09</v>
      </c>
      <c r="B27" s="3">
        <v>41734</v>
      </c>
      <c r="C27" s="3">
        <v>41734</v>
      </c>
      <c r="D27" s="4"/>
      <c r="E27" s="22" t="s">
        <v>95</v>
      </c>
      <c r="F27" s="30" t="s">
        <v>259</v>
      </c>
      <c r="G27" s="50"/>
      <c r="H27" s="50"/>
      <c r="I27" s="28" t="s">
        <v>134</v>
      </c>
      <c r="J27" s="21"/>
      <c r="K27" s="5">
        <v>650000000</v>
      </c>
      <c r="L27" s="4">
        <f t="shared" si="1"/>
        <v>1314699571</v>
      </c>
      <c r="M27" s="19"/>
      <c r="N27" s="351"/>
    </row>
    <row r="28" spans="1:14" ht="19.5" customHeight="1">
      <c r="A28" s="6" t="str">
        <f t="shared" si="0"/>
        <v>C11</v>
      </c>
      <c r="B28" s="3">
        <v>41734</v>
      </c>
      <c r="C28" s="3">
        <v>41734</v>
      </c>
      <c r="D28" s="4"/>
      <c r="E28" s="22" t="s">
        <v>97</v>
      </c>
      <c r="F28" s="5" t="s">
        <v>282</v>
      </c>
      <c r="G28" s="5"/>
      <c r="H28" s="5"/>
      <c r="I28" s="28" t="s">
        <v>54</v>
      </c>
      <c r="J28" s="21"/>
      <c r="K28" s="5">
        <v>10880000</v>
      </c>
      <c r="L28" s="4">
        <f t="shared" si="1"/>
        <v>1303819571</v>
      </c>
      <c r="M28" s="19"/>
      <c r="N28" s="351"/>
    </row>
    <row r="29" spans="1:14" ht="19.5" customHeight="1">
      <c r="A29" s="6" t="str">
        <f t="shared" si="0"/>
        <v>C11</v>
      </c>
      <c r="B29" s="3">
        <v>41734</v>
      </c>
      <c r="C29" s="3">
        <v>41734</v>
      </c>
      <c r="D29" s="4"/>
      <c r="E29" s="22" t="s">
        <v>97</v>
      </c>
      <c r="F29" s="5" t="s">
        <v>283</v>
      </c>
      <c r="G29" s="5"/>
      <c r="H29" s="5"/>
      <c r="I29" s="28" t="s">
        <v>35</v>
      </c>
      <c r="J29" s="21"/>
      <c r="K29" s="5">
        <v>1088000</v>
      </c>
      <c r="L29" s="4">
        <f t="shared" si="1"/>
        <v>1302731571</v>
      </c>
      <c r="M29" s="19"/>
      <c r="N29" s="351"/>
    </row>
    <row r="30" spans="1:14" ht="19.5" customHeight="1">
      <c r="A30" s="6" t="str">
        <f t="shared" si="0"/>
        <v>C12</v>
      </c>
      <c r="B30" s="3">
        <v>41737</v>
      </c>
      <c r="C30" s="3">
        <v>41737</v>
      </c>
      <c r="D30" s="4"/>
      <c r="E30" s="22" t="s">
        <v>98</v>
      </c>
      <c r="F30" s="5" t="s">
        <v>331</v>
      </c>
      <c r="G30" s="5"/>
      <c r="H30" s="5"/>
      <c r="I30" s="28" t="s">
        <v>54</v>
      </c>
      <c r="J30" s="21"/>
      <c r="K30" s="5">
        <v>5400000</v>
      </c>
      <c r="L30" s="4">
        <f t="shared" si="1"/>
        <v>1297331571</v>
      </c>
      <c r="M30" s="53"/>
      <c r="N30" s="351"/>
    </row>
    <row r="31" spans="1:14" ht="19.5" customHeight="1">
      <c r="A31" s="6" t="str">
        <f t="shared" si="0"/>
        <v>C13</v>
      </c>
      <c r="B31" s="3">
        <v>41737</v>
      </c>
      <c r="C31" s="3">
        <v>41737</v>
      </c>
      <c r="D31" s="4"/>
      <c r="E31" s="22" t="s">
        <v>99</v>
      </c>
      <c r="F31" s="30" t="s">
        <v>259</v>
      </c>
      <c r="G31" s="50"/>
      <c r="H31" s="50"/>
      <c r="I31" s="28" t="s">
        <v>134</v>
      </c>
      <c r="J31" s="21"/>
      <c r="K31" s="5">
        <v>400000000</v>
      </c>
      <c r="L31" s="4">
        <f t="shared" si="1"/>
        <v>897331571</v>
      </c>
      <c r="M31" s="53"/>
      <c r="N31" s="351"/>
    </row>
    <row r="32" spans="1:14" ht="19.5" customHeight="1">
      <c r="A32" s="6" t="str">
        <f t="shared" si="0"/>
        <v>C14</v>
      </c>
      <c r="B32" s="3">
        <v>41737</v>
      </c>
      <c r="C32" s="3">
        <v>41737</v>
      </c>
      <c r="D32" s="4"/>
      <c r="E32" s="22" t="s">
        <v>100</v>
      </c>
      <c r="F32" s="30" t="s">
        <v>260</v>
      </c>
      <c r="G32" s="50"/>
      <c r="H32" s="50"/>
      <c r="I32" s="28" t="s">
        <v>134</v>
      </c>
      <c r="J32" s="21"/>
      <c r="K32" s="5">
        <v>400000000</v>
      </c>
      <c r="L32" s="4">
        <f t="shared" si="1"/>
        <v>497331571</v>
      </c>
      <c r="M32" s="19"/>
      <c r="N32" s="351"/>
    </row>
    <row r="33" spans="1:14" ht="19.5" customHeight="1">
      <c r="A33" s="6" t="str">
        <f t="shared" si="0"/>
        <v>C15</v>
      </c>
      <c r="B33" s="3">
        <v>41737</v>
      </c>
      <c r="C33" s="3">
        <v>41737</v>
      </c>
      <c r="D33" s="4"/>
      <c r="E33" s="22" t="s">
        <v>101</v>
      </c>
      <c r="F33" s="5" t="s">
        <v>282</v>
      </c>
      <c r="G33" s="5"/>
      <c r="H33" s="5"/>
      <c r="I33" s="28" t="s">
        <v>54</v>
      </c>
      <c r="J33" s="21"/>
      <c r="K33" s="5">
        <v>13440000</v>
      </c>
      <c r="L33" s="4">
        <f t="shared" si="1"/>
        <v>483891571</v>
      </c>
      <c r="M33" s="19"/>
      <c r="N33" s="351"/>
    </row>
    <row r="34" spans="1:14" ht="19.5" customHeight="1">
      <c r="A34" s="6" t="str">
        <f t="shared" si="0"/>
        <v>C15</v>
      </c>
      <c r="B34" s="3">
        <v>41737</v>
      </c>
      <c r="C34" s="3">
        <v>41737</v>
      </c>
      <c r="D34" s="4"/>
      <c r="E34" s="22" t="s">
        <v>101</v>
      </c>
      <c r="F34" s="5" t="s">
        <v>283</v>
      </c>
      <c r="G34" s="5"/>
      <c r="H34" s="5"/>
      <c r="I34" s="28" t="s">
        <v>35</v>
      </c>
      <c r="J34" s="21"/>
      <c r="K34" s="5">
        <v>1344000</v>
      </c>
      <c r="L34" s="4">
        <f t="shared" si="1"/>
        <v>482547571</v>
      </c>
      <c r="M34" s="19"/>
      <c r="N34" s="351"/>
    </row>
    <row r="35" spans="1:14" ht="19.5" customHeight="1">
      <c r="A35" s="6" t="str">
        <f t="shared" si="0"/>
        <v>C16</v>
      </c>
      <c r="B35" s="3">
        <v>41739</v>
      </c>
      <c r="C35" s="3">
        <v>41739</v>
      </c>
      <c r="D35" s="4"/>
      <c r="E35" s="22" t="s">
        <v>102</v>
      </c>
      <c r="F35" s="5" t="s">
        <v>50</v>
      </c>
      <c r="G35" s="5"/>
      <c r="H35" s="5"/>
      <c r="I35" s="28" t="s">
        <v>247</v>
      </c>
      <c r="J35" s="21"/>
      <c r="K35" s="5">
        <v>2496100</v>
      </c>
      <c r="L35" s="4">
        <f t="shared" si="1"/>
        <v>480051471</v>
      </c>
      <c r="M35" s="19"/>
      <c r="N35" s="351"/>
    </row>
    <row r="36" spans="1:14" ht="19.5" customHeight="1">
      <c r="A36" s="6" t="str">
        <f t="shared" si="0"/>
        <v>C16</v>
      </c>
      <c r="B36" s="3">
        <v>41739</v>
      </c>
      <c r="C36" s="3">
        <v>41739</v>
      </c>
      <c r="D36" s="4"/>
      <c r="E36" s="22" t="s">
        <v>102</v>
      </c>
      <c r="F36" s="5" t="s">
        <v>56</v>
      </c>
      <c r="G36" s="5"/>
      <c r="H36" s="5"/>
      <c r="I36" s="28" t="s">
        <v>35</v>
      </c>
      <c r="J36" s="21"/>
      <c r="K36" s="5">
        <v>249610</v>
      </c>
      <c r="L36" s="4">
        <f t="shared" si="1"/>
        <v>479801861</v>
      </c>
      <c r="M36" s="19"/>
      <c r="N36" s="351"/>
    </row>
    <row r="37" spans="1:14" ht="19.5" customHeight="1">
      <c r="A37" s="6" t="str">
        <f t="shared" si="0"/>
        <v>C17</v>
      </c>
      <c r="B37" s="3">
        <v>41739</v>
      </c>
      <c r="C37" s="3">
        <v>41739</v>
      </c>
      <c r="D37" s="4"/>
      <c r="E37" s="22" t="s">
        <v>103</v>
      </c>
      <c r="F37" s="5" t="s">
        <v>282</v>
      </c>
      <c r="G37" s="5"/>
      <c r="H37" s="5"/>
      <c r="I37" s="28" t="s">
        <v>54</v>
      </c>
      <c r="J37" s="21"/>
      <c r="K37" s="5">
        <v>12400000</v>
      </c>
      <c r="L37" s="4">
        <f t="shared" si="1"/>
        <v>467401861</v>
      </c>
      <c r="M37" s="19"/>
      <c r="N37" s="351"/>
    </row>
    <row r="38" spans="1:14" ht="19.5" customHeight="1">
      <c r="A38" s="6" t="str">
        <f t="shared" si="0"/>
        <v>C17</v>
      </c>
      <c r="B38" s="3">
        <v>41739</v>
      </c>
      <c r="C38" s="3">
        <v>41739</v>
      </c>
      <c r="D38" s="4"/>
      <c r="E38" s="22" t="s">
        <v>103</v>
      </c>
      <c r="F38" s="5" t="s">
        <v>283</v>
      </c>
      <c r="G38" s="5"/>
      <c r="H38" s="5"/>
      <c r="I38" s="28" t="s">
        <v>35</v>
      </c>
      <c r="J38" s="21"/>
      <c r="K38" s="5">
        <v>1240000</v>
      </c>
      <c r="L38" s="4">
        <f t="shared" si="1"/>
        <v>466161861</v>
      </c>
      <c r="M38" s="19"/>
      <c r="N38" s="351"/>
    </row>
    <row r="39" spans="1:14" ht="19.5" customHeight="1">
      <c r="A39" s="6" t="str">
        <f t="shared" si="0"/>
        <v>C18</v>
      </c>
      <c r="B39" s="3">
        <v>41740</v>
      </c>
      <c r="C39" s="3">
        <v>41740</v>
      </c>
      <c r="D39" s="4"/>
      <c r="E39" s="22" t="s">
        <v>104</v>
      </c>
      <c r="F39" s="30" t="s">
        <v>53</v>
      </c>
      <c r="G39" s="5"/>
      <c r="H39" s="5"/>
      <c r="I39" s="28" t="s">
        <v>54</v>
      </c>
      <c r="J39" s="21"/>
      <c r="K39" s="5">
        <v>11172500</v>
      </c>
      <c r="L39" s="4">
        <f t="shared" si="1"/>
        <v>454989361</v>
      </c>
      <c r="M39" s="19"/>
      <c r="N39" s="351"/>
    </row>
    <row r="40" spans="1:14">
      <c r="A40" s="6" t="str">
        <f t="shared" si="0"/>
        <v>C18</v>
      </c>
      <c r="B40" s="3">
        <v>41740</v>
      </c>
      <c r="C40" s="3">
        <v>41740</v>
      </c>
      <c r="D40" s="4"/>
      <c r="E40" s="22" t="s">
        <v>104</v>
      </c>
      <c r="F40" s="5" t="s">
        <v>229</v>
      </c>
      <c r="G40" s="5"/>
      <c r="H40" s="5"/>
      <c r="I40" s="28" t="s">
        <v>35</v>
      </c>
      <c r="J40" s="21"/>
      <c r="K40" s="5">
        <v>1117250</v>
      </c>
      <c r="L40" s="4">
        <f t="shared" si="1"/>
        <v>453872111</v>
      </c>
      <c r="M40" s="19"/>
      <c r="N40" s="351"/>
    </row>
    <row r="41" spans="1:14">
      <c r="A41" s="6" t="str">
        <f t="shared" si="0"/>
        <v>C19</v>
      </c>
      <c r="B41" s="3">
        <v>41740</v>
      </c>
      <c r="C41" s="3">
        <v>41740</v>
      </c>
      <c r="D41" s="4"/>
      <c r="E41" s="22" t="s">
        <v>105</v>
      </c>
      <c r="F41" s="5" t="s">
        <v>332</v>
      </c>
      <c r="G41" s="5"/>
      <c r="H41" s="5"/>
      <c r="I41" s="28" t="s">
        <v>247</v>
      </c>
      <c r="J41" s="21"/>
      <c r="K41" s="5">
        <v>112000</v>
      </c>
      <c r="L41" s="4">
        <f t="shared" si="1"/>
        <v>453760111</v>
      </c>
      <c r="M41" s="19"/>
      <c r="N41" s="351"/>
    </row>
    <row r="42" spans="1:14" ht="19.5" customHeight="1">
      <c r="A42" s="6" t="str">
        <f t="shared" si="0"/>
        <v>C20</v>
      </c>
      <c r="B42" s="3">
        <v>41741</v>
      </c>
      <c r="C42" s="3">
        <v>41741</v>
      </c>
      <c r="D42" s="4"/>
      <c r="E42" s="22" t="s">
        <v>106</v>
      </c>
      <c r="F42" s="5" t="s">
        <v>51</v>
      </c>
      <c r="G42" s="5"/>
      <c r="H42" s="5"/>
      <c r="I42" s="28" t="s">
        <v>36</v>
      </c>
      <c r="J42" s="21"/>
      <c r="K42" s="5">
        <v>43000000</v>
      </c>
      <c r="L42" s="4">
        <f t="shared" si="1"/>
        <v>410760111</v>
      </c>
      <c r="M42" s="19"/>
      <c r="N42" s="351"/>
    </row>
    <row r="43" spans="1:14" ht="19.5" customHeight="1">
      <c r="A43" s="6" t="str">
        <f t="shared" si="0"/>
        <v>C21</v>
      </c>
      <c r="B43" s="3">
        <v>41742</v>
      </c>
      <c r="C43" s="3">
        <v>41742</v>
      </c>
      <c r="D43" s="4"/>
      <c r="E43" s="22" t="s">
        <v>107</v>
      </c>
      <c r="F43" s="5" t="s">
        <v>282</v>
      </c>
      <c r="G43" s="5"/>
      <c r="H43" s="5"/>
      <c r="I43" s="28" t="s">
        <v>54</v>
      </c>
      <c r="J43" s="21"/>
      <c r="K43" s="5">
        <v>11520000</v>
      </c>
      <c r="L43" s="4">
        <f t="shared" si="1"/>
        <v>399240111</v>
      </c>
      <c r="M43" s="19"/>
      <c r="N43" s="351"/>
    </row>
    <row r="44" spans="1:14" ht="19.5" customHeight="1">
      <c r="A44" s="6" t="str">
        <f t="shared" si="0"/>
        <v>C21</v>
      </c>
      <c r="B44" s="3">
        <v>41742</v>
      </c>
      <c r="C44" s="3">
        <v>41742</v>
      </c>
      <c r="D44" s="4"/>
      <c r="E44" s="22" t="s">
        <v>107</v>
      </c>
      <c r="F44" s="5" t="s">
        <v>283</v>
      </c>
      <c r="G44" s="5"/>
      <c r="H44" s="5"/>
      <c r="I44" s="28" t="s">
        <v>35</v>
      </c>
      <c r="J44" s="21"/>
      <c r="K44" s="5">
        <v>1152000</v>
      </c>
      <c r="L44" s="4">
        <f t="shared" si="1"/>
        <v>398088111</v>
      </c>
      <c r="M44" s="19"/>
      <c r="N44" s="351"/>
    </row>
    <row r="45" spans="1:14" ht="19.5" customHeight="1">
      <c r="A45" s="6" t="str">
        <f t="shared" ref="A45:A76" si="2">D45&amp;E45</f>
        <v>C22</v>
      </c>
      <c r="B45" s="3">
        <v>41744</v>
      </c>
      <c r="C45" s="3">
        <v>41744</v>
      </c>
      <c r="D45" s="4"/>
      <c r="E45" s="22" t="s">
        <v>108</v>
      </c>
      <c r="F45" s="5" t="s">
        <v>50</v>
      </c>
      <c r="G45" s="5"/>
      <c r="H45" s="5"/>
      <c r="I45" s="28" t="s">
        <v>247</v>
      </c>
      <c r="J45" s="21"/>
      <c r="K45" s="5">
        <v>291791</v>
      </c>
      <c r="L45" s="4">
        <f t="shared" ref="L45:L78" si="3">IF(F45&lt;&gt;"",L44+J45-K45,0)</f>
        <v>397796320</v>
      </c>
      <c r="M45" s="19"/>
      <c r="N45" s="351"/>
    </row>
    <row r="46" spans="1:14" ht="19.5" customHeight="1">
      <c r="A46" s="6" t="str">
        <f t="shared" si="2"/>
        <v>C22</v>
      </c>
      <c r="B46" s="3">
        <v>41744</v>
      </c>
      <c r="C46" s="3">
        <v>41744</v>
      </c>
      <c r="D46" s="4"/>
      <c r="E46" s="22" t="s">
        <v>108</v>
      </c>
      <c r="F46" s="30" t="s">
        <v>53</v>
      </c>
      <c r="G46" s="5"/>
      <c r="H46" s="5"/>
      <c r="I46" s="28" t="s">
        <v>54</v>
      </c>
      <c r="J46" s="21"/>
      <c r="K46" s="5">
        <v>1020909</v>
      </c>
      <c r="L46" s="4">
        <f t="shared" si="3"/>
        <v>396775411</v>
      </c>
      <c r="M46" s="19"/>
      <c r="N46" s="351"/>
    </row>
    <row r="47" spans="1:14" ht="19.5" customHeight="1">
      <c r="A47" s="6" t="str">
        <f t="shared" si="2"/>
        <v>C22</v>
      </c>
      <c r="B47" s="3">
        <v>41744</v>
      </c>
      <c r="C47" s="3">
        <v>41744</v>
      </c>
      <c r="D47" s="4"/>
      <c r="E47" s="22" t="s">
        <v>108</v>
      </c>
      <c r="F47" s="5" t="s">
        <v>333</v>
      </c>
      <c r="G47" s="5"/>
      <c r="H47" s="5"/>
      <c r="I47" s="28" t="s">
        <v>35</v>
      </c>
      <c r="J47" s="21"/>
      <c r="K47" s="5">
        <v>131270</v>
      </c>
      <c r="L47" s="4">
        <f t="shared" si="3"/>
        <v>396644141</v>
      </c>
      <c r="M47" s="19"/>
      <c r="N47" s="351"/>
    </row>
    <row r="48" spans="1:14" ht="19.5" customHeight="1">
      <c r="A48" s="6" t="str">
        <f t="shared" si="2"/>
        <v>C23</v>
      </c>
      <c r="B48" s="3">
        <v>41745</v>
      </c>
      <c r="C48" s="3">
        <v>41745</v>
      </c>
      <c r="D48" s="4"/>
      <c r="E48" s="22" t="s">
        <v>109</v>
      </c>
      <c r="F48" s="5" t="s">
        <v>334</v>
      </c>
      <c r="G48" s="5"/>
      <c r="H48" s="5"/>
      <c r="I48" s="28" t="s">
        <v>54</v>
      </c>
      <c r="J48" s="21"/>
      <c r="K48" s="5">
        <v>16282800</v>
      </c>
      <c r="L48" s="4">
        <f t="shared" si="3"/>
        <v>380361341</v>
      </c>
      <c r="M48" s="19"/>
      <c r="N48" s="351"/>
    </row>
    <row r="49" spans="1:14" ht="19.5" customHeight="1">
      <c r="A49" s="6" t="str">
        <f t="shared" si="2"/>
        <v>C23</v>
      </c>
      <c r="B49" s="3">
        <v>41745</v>
      </c>
      <c r="C49" s="3">
        <v>41745</v>
      </c>
      <c r="D49" s="4"/>
      <c r="E49" s="22" t="s">
        <v>109</v>
      </c>
      <c r="F49" s="5" t="s">
        <v>335</v>
      </c>
      <c r="G49" s="5"/>
      <c r="H49" s="5"/>
      <c r="I49" s="28" t="s">
        <v>35</v>
      </c>
      <c r="J49" s="21"/>
      <c r="K49" s="5">
        <v>1628280</v>
      </c>
      <c r="L49" s="4">
        <f t="shared" si="3"/>
        <v>378733061</v>
      </c>
      <c r="M49" s="19"/>
      <c r="N49" s="351"/>
    </row>
    <row r="50" spans="1:14" ht="19.5" customHeight="1">
      <c r="A50" s="6" t="str">
        <f t="shared" si="2"/>
        <v>T02</v>
      </c>
      <c r="B50" s="3">
        <v>41747</v>
      </c>
      <c r="C50" s="3">
        <v>41747</v>
      </c>
      <c r="D50" s="4" t="s">
        <v>40</v>
      </c>
      <c r="E50" s="52"/>
      <c r="F50" s="5" t="s">
        <v>253</v>
      </c>
      <c r="G50" s="5"/>
      <c r="H50" s="5"/>
      <c r="I50" s="28" t="s">
        <v>36</v>
      </c>
      <c r="J50" s="21">
        <v>2000000000</v>
      </c>
      <c r="K50" s="5"/>
      <c r="L50" s="4">
        <f t="shared" si="3"/>
        <v>2378733061</v>
      </c>
      <c r="M50" s="19"/>
      <c r="N50" s="351"/>
    </row>
    <row r="51" spans="1:14" ht="19.5" customHeight="1">
      <c r="A51" s="6" t="str">
        <f t="shared" si="2"/>
        <v>C24</v>
      </c>
      <c r="B51" s="3">
        <v>41747</v>
      </c>
      <c r="C51" s="3">
        <v>41747</v>
      </c>
      <c r="D51" s="4"/>
      <c r="E51" s="22" t="s">
        <v>110</v>
      </c>
      <c r="F51" s="30" t="s">
        <v>259</v>
      </c>
      <c r="G51" s="50"/>
      <c r="H51" s="50"/>
      <c r="I51" s="28" t="s">
        <v>134</v>
      </c>
      <c r="J51" s="21"/>
      <c r="K51" s="5">
        <v>400000000</v>
      </c>
      <c r="L51" s="4">
        <f t="shared" si="3"/>
        <v>1978733061</v>
      </c>
      <c r="M51" s="19"/>
      <c r="N51" s="351"/>
    </row>
    <row r="52" spans="1:14" ht="19.5" customHeight="1">
      <c r="A52" s="6" t="str">
        <f t="shared" si="2"/>
        <v>C25</v>
      </c>
      <c r="B52" s="3">
        <v>41747</v>
      </c>
      <c r="C52" s="3">
        <v>41747</v>
      </c>
      <c r="D52" s="4"/>
      <c r="E52" s="22" t="s">
        <v>111</v>
      </c>
      <c r="F52" s="30" t="s">
        <v>260</v>
      </c>
      <c r="G52" s="50"/>
      <c r="H52" s="50"/>
      <c r="I52" s="28" t="s">
        <v>134</v>
      </c>
      <c r="J52" s="21"/>
      <c r="K52" s="5">
        <v>400000000</v>
      </c>
      <c r="L52" s="4">
        <f t="shared" si="3"/>
        <v>1578733061</v>
      </c>
      <c r="M52" s="19"/>
      <c r="N52" s="351"/>
    </row>
    <row r="53" spans="1:14" ht="19.5" customHeight="1">
      <c r="A53" s="6" t="str">
        <f t="shared" si="2"/>
        <v>C26</v>
      </c>
      <c r="B53" s="3">
        <v>41747</v>
      </c>
      <c r="C53" s="3">
        <v>41747</v>
      </c>
      <c r="D53" s="4"/>
      <c r="E53" s="22" t="s">
        <v>112</v>
      </c>
      <c r="F53" s="5" t="s">
        <v>258</v>
      </c>
      <c r="G53" s="5"/>
      <c r="H53" s="5"/>
      <c r="I53" s="28" t="s">
        <v>34</v>
      </c>
      <c r="J53" s="21"/>
      <c r="K53" s="5">
        <v>5742000</v>
      </c>
      <c r="L53" s="4">
        <f t="shared" si="3"/>
        <v>1572991061</v>
      </c>
      <c r="M53" s="19"/>
      <c r="N53" s="351"/>
    </row>
    <row r="54" spans="1:14" ht="19.5" customHeight="1">
      <c r="A54" s="6" t="str">
        <f t="shared" si="2"/>
        <v>C27</v>
      </c>
      <c r="B54" s="3">
        <v>41747</v>
      </c>
      <c r="C54" s="3">
        <v>41747</v>
      </c>
      <c r="D54" s="4"/>
      <c r="E54" s="22" t="s">
        <v>113</v>
      </c>
      <c r="F54" s="5" t="s">
        <v>282</v>
      </c>
      <c r="G54" s="5"/>
      <c r="H54" s="5"/>
      <c r="I54" s="28" t="s">
        <v>54</v>
      </c>
      <c r="J54" s="21"/>
      <c r="K54" s="5">
        <v>12160000</v>
      </c>
      <c r="L54" s="4">
        <f t="shared" si="3"/>
        <v>1560831061</v>
      </c>
      <c r="M54" s="19"/>
      <c r="N54" s="351"/>
    </row>
    <row r="55" spans="1:14" ht="19.5" customHeight="1">
      <c r="A55" s="6" t="str">
        <f t="shared" si="2"/>
        <v>C27</v>
      </c>
      <c r="B55" s="3">
        <v>41747</v>
      </c>
      <c r="C55" s="3">
        <v>41747</v>
      </c>
      <c r="D55" s="4"/>
      <c r="E55" s="22" t="s">
        <v>113</v>
      </c>
      <c r="F55" s="5" t="s">
        <v>283</v>
      </c>
      <c r="G55" s="5"/>
      <c r="H55" s="5"/>
      <c r="I55" s="28" t="s">
        <v>35</v>
      </c>
      <c r="J55" s="21"/>
      <c r="K55" s="5">
        <v>1216000</v>
      </c>
      <c r="L55" s="4">
        <f t="shared" si="3"/>
        <v>1559615061</v>
      </c>
      <c r="M55" s="19"/>
      <c r="N55" s="351"/>
    </row>
    <row r="56" spans="1:14" ht="19.5" customHeight="1">
      <c r="A56" s="6" t="str">
        <f t="shared" si="2"/>
        <v>C28</v>
      </c>
      <c r="B56" s="3">
        <v>41748</v>
      </c>
      <c r="C56" s="3">
        <v>41748</v>
      </c>
      <c r="D56" s="4"/>
      <c r="E56" s="22" t="s">
        <v>114</v>
      </c>
      <c r="F56" s="5" t="s">
        <v>336</v>
      </c>
      <c r="G56" s="5"/>
      <c r="H56" s="5"/>
      <c r="I56" s="28" t="s">
        <v>247</v>
      </c>
      <c r="J56" s="21"/>
      <c r="K56" s="5">
        <v>1537500</v>
      </c>
      <c r="L56" s="4">
        <f t="shared" si="3"/>
        <v>1558077561</v>
      </c>
      <c r="M56" s="19"/>
      <c r="N56" s="351"/>
    </row>
    <row r="57" spans="1:14">
      <c r="A57" s="6" t="str">
        <f t="shared" si="2"/>
        <v>C28</v>
      </c>
      <c r="B57" s="3">
        <v>41748</v>
      </c>
      <c r="C57" s="3">
        <v>41748</v>
      </c>
      <c r="D57" s="4"/>
      <c r="E57" s="22" t="s">
        <v>114</v>
      </c>
      <c r="F57" s="5" t="s">
        <v>337</v>
      </c>
      <c r="G57" s="5"/>
      <c r="H57" s="5"/>
      <c r="I57" s="28" t="s">
        <v>35</v>
      </c>
      <c r="J57" s="21"/>
      <c r="K57" s="5">
        <v>153750</v>
      </c>
      <c r="L57" s="4">
        <f t="shared" si="3"/>
        <v>1557923811</v>
      </c>
      <c r="M57" s="53"/>
      <c r="N57" s="351"/>
    </row>
    <row r="58" spans="1:14">
      <c r="A58" s="6" t="str">
        <f t="shared" si="2"/>
        <v>C29</v>
      </c>
      <c r="B58" s="3">
        <v>41749</v>
      </c>
      <c r="C58" s="3">
        <v>41749</v>
      </c>
      <c r="D58" s="4"/>
      <c r="E58" s="22" t="s">
        <v>115</v>
      </c>
      <c r="F58" s="5" t="s">
        <v>50</v>
      </c>
      <c r="G58" s="5"/>
      <c r="H58" s="5"/>
      <c r="I58" s="28" t="s">
        <v>247</v>
      </c>
      <c r="J58" s="21"/>
      <c r="K58" s="5">
        <v>3732700</v>
      </c>
      <c r="L58" s="4">
        <f t="shared" si="3"/>
        <v>1554191111</v>
      </c>
      <c r="M58" s="19"/>
      <c r="N58" s="351"/>
    </row>
    <row r="59" spans="1:14" ht="19.5" customHeight="1">
      <c r="A59" s="6" t="str">
        <f t="shared" si="2"/>
        <v>C29</v>
      </c>
      <c r="B59" s="3">
        <v>41749</v>
      </c>
      <c r="C59" s="3">
        <v>41749</v>
      </c>
      <c r="D59" s="4"/>
      <c r="E59" s="22" t="s">
        <v>115</v>
      </c>
      <c r="F59" s="5" t="s">
        <v>56</v>
      </c>
      <c r="G59" s="5"/>
      <c r="H59" s="5"/>
      <c r="I59" s="28" t="s">
        <v>35</v>
      </c>
      <c r="J59" s="21"/>
      <c r="K59" s="5">
        <v>373270</v>
      </c>
      <c r="L59" s="4">
        <f t="shared" si="3"/>
        <v>1553817841</v>
      </c>
      <c r="M59" s="19"/>
      <c r="N59" s="351"/>
    </row>
    <row r="60" spans="1:14" ht="19.5" customHeight="1">
      <c r="A60" s="6" t="str">
        <f t="shared" si="2"/>
        <v>C30</v>
      </c>
      <c r="B60" s="3">
        <v>41750</v>
      </c>
      <c r="C60" s="3">
        <v>41750</v>
      </c>
      <c r="D60" s="4"/>
      <c r="E60" s="22" t="s">
        <v>116</v>
      </c>
      <c r="F60" s="5" t="s">
        <v>265</v>
      </c>
      <c r="G60" s="5"/>
      <c r="H60" s="5"/>
      <c r="I60" s="28" t="s">
        <v>34</v>
      </c>
      <c r="J60" s="21"/>
      <c r="K60" s="5">
        <v>3581798</v>
      </c>
      <c r="L60" s="4">
        <f t="shared" si="3"/>
        <v>1550236043</v>
      </c>
      <c r="M60" s="19"/>
      <c r="N60" s="351"/>
    </row>
    <row r="61" spans="1:14" ht="19.5" customHeight="1">
      <c r="A61" s="6" t="str">
        <f t="shared" si="2"/>
        <v>C10</v>
      </c>
      <c r="B61" s="3">
        <v>41750</v>
      </c>
      <c r="C61" s="3">
        <v>41750</v>
      </c>
      <c r="D61" s="4"/>
      <c r="E61" s="22" t="s">
        <v>96</v>
      </c>
      <c r="F61" s="30" t="s">
        <v>260</v>
      </c>
      <c r="G61" s="50"/>
      <c r="H61" s="50"/>
      <c r="I61" s="28" t="s">
        <v>134</v>
      </c>
      <c r="J61" s="21"/>
      <c r="K61" s="5">
        <v>400000000</v>
      </c>
      <c r="L61" s="4">
        <f t="shared" si="3"/>
        <v>1150236043</v>
      </c>
      <c r="M61" s="53"/>
      <c r="N61" s="351"/>
    </row>
    <row r="62" spans="1:14" ht="19.5" customHeight="1">
      <c r="A62" s="6" t="str">
        <f t="shared" si="2"/>
        <v>C31</v>
      </c>
      <c r="B62" s="3">
        <v>41751</v>
      </c>
      <c r="C62" s="3">
        <v>41751</v>
      </c>
      <c r="D62" s="4"/>
      <c r="E62" s="22" t="s">
        <v>117</v>
      </c>
      <c r="F62" s="5" t="s">
        <v>50</v>
      </c>
      <c r="G62" s="5"/>
      <c r="H62" s="5"/>
      <c r="I62" s="28" t="s">
        <v>247</v>
      </c>
      <c r="J62" s="21"/>
      <c r="K62" s="5">
        <v>847300</v>
      </c>
      <c r="L62" s="4">
        <f t="shared" si="3"/>
        <v>1149388743</v>
      </c>
      <c r="M62" s="19"/>
      <c r="N62" s="351"/>
    </row>
    <row r="63" spans="1:14" ht="19.5" customHeight="1">
      <c r="A63" s="6" t="str">
        <f t="shared" si="2"/>
        <v>C31</v>
      </c>
      <c r="B63" s="3">
        <v>41751</v>
      </c>
      <c r="C63" s="3">
        <v>41751</v>
      </c>
      <c r="D63" s="4"/>
      <c r="E63" s="22" t="s">
        <v>117</v>
      </c>
      <c r="F63" s="5" t="s">
        <v>56</v>
      </c>
      <c r="G63" s="5"/>
      <c r="H63" s="5"/>
      <c r="I63" s="28" t="s">
        <v>35</v>
      </c>
      <c r="J63" s="21"/>
      <c r="K63" s="5">
        <v>84730</v>
      </c>
      <c r="L63" s="4">
        <f t="shared" si="3"/>
        <v>1149304013</v>
      </c>
      <c r="M63" s="19"/>
      <c r="N63" s="351"/>
    </row>
    <row r="64" spans="1:14" ht="19.5" customHeight="1">
      <c r="A64" s="6" t="str">
        <f t="shared" si="2"/>
        <v>C32</v>
      </c>
      <c r="B64" s="3">
        <v>41751</v>
      </c>
      <c r="C64" s="3">
        <v>41751</v>
      </c>
      <c r="D64" s="4"/>
      <c r="E64" s="22" t="s">
        <v>118</v>
      </c>
      <c r="F64" s="5" t="s">
        <v>50</v>
      </c>
      <c r="G64" s="5"/>
      <c r="H64" s="5"/>
      <c r="I64" s="28" t="s">
        <v>247</v>
      </c>
      <c r="J64" s="21"/>
      <c r="K64" s="5">
        <v>112227</v>
      </c>
      <c r="L64" s="4">
        <f t="shared" si="3"/>
        <v>1149191786</v>
      </c>
      <c r="M64" s="19"/>
      <c r="N64" s="351"/>
    </row>
    <row r="65" spans="1:14" ht="19.5" customHeight="1">
      <c r="A65" s="6" t="str">
        <f t="shared" si="2"/>
        <v>C32</v>
      </c>
      <c r="B65" s="3">
        <v>41751</v>
      </c>
      <c r="C65" s="3">
        <v>41751</v>
      </c>
      <c r="D65" s="4"/>
      <c r="E65" s="22" t="s">
        <v>118</v>
      </c>
      <c r="F65" s="30" t="s">
        <v>53</v>
      </c>
      <c r="G65" s="5"/>
      <c r="H65" s="5"/>
      <c r="I65" s="28" t="s">
        <v>54</v>
      </c>
      <c r="J65" s="21"/>
      <c r="K65" s="5">
        <v>1939727</v>
      </c>
      <c r="L65" s="4">
        <f t="shared" si="3"/>
        <v>1147252059</v>
      </c>
      <c r="M65" s="19"/>
      <c r="N65" s="351"/>
    </row>
    <row r="66" spans="1:14" ht="19.5" customHeight="1">
      <c r="A66" s="6" t="str">
        <f t="shared" si="2"/>
        <v>C32</v>
      </c>
      <c r="B66" s="3">
        <v>41751</v>
      </c>
      <c r="C66" s="3">
        <v>41751</v>
      </c>
      <c r="D66" s="4"/>
      <c r="E66" s="22" t="s">
        <v>118</v>
      </c>
      <c r="F66" s="5" t="s">
        <v>227</v>
      </c>
      <c r="G66" s="5"/>
      <c r="H66" s="5"/>
      <c r="I66" s="28" t="s">
        <v>35</v>
      </c>
      <c r="J66" s="21"/>
      <c r="K66" s="5">
        <v>205196</v>
      </c>
      <c r="L66" s="4">
        <f t="shared" si="3"/>
        <v>1147046863</v>
      </c>
      <c r="M66" s="19"/>
      <c r="N66" s="351"/>
    </row>
    <row r="67" spans="1:14" ht="19.5" customHeight="1">
      <c r="A67" s="6" t="str">
        <f t="shared" si="2"/>
        <v>T03</v>
      </c>
      <c r="B67" s="3">
        <v>41752</v>
      </c>
      <c r="C67" s="3">
        <v>41752</v>
      </c>
      <c r="D67" s="4" t="s">
        <v>41</v>
      </c>
      <c r="E67" s="52"/>
      <c r="F67" s="5" t="s">
        <v>253</v>
      </c>
      <c r="G67" s="5"/>
      <c r="H67" s="5"/>
      <c r="I67" s="28" t="s">
        <v>36</v>
      </c>
      <c r="J67" s="21">
        <v>85000000</v>
      </c>
      <c r="K67" s="5"/>
      <c r="L67" s="4">
        <f t="shared" si="3"/>
        <v>1232046863</v>
      </c>
      <c r="M67" s="19"/>
      <c r="N67" s="351"/>
    </row>
    <row r="68" spans="1:14">
      <c r="A68" s="6" t="str">
        <f t="shared" si="2"/>
        <v>C33</v>
      </c>
      <c r="B68" s="3">
        <v>41752</v>
      </c>
      <c r="C68" s="3">
        <v>41752</v>
      </c>
      <c r="D68" s="4"/>
      <c r="E68" s="22" t="s">
        <v>119</v>
      </c>
      <c r="F68" s="5" t="s">
        <v>338</v>
      </c>
      <c r="G68" s="5"/>
      <c r="H68" s="5"/>
      <c r="I68" s="28" t="s">
        <v>38</v>
      </c>
      <c r="J68" s="21"/>
      <c r="K68" s="5">
        <v>32368000</v>
      </c>
      <c r="L68" s="4">
        <f t="shared" si="3"/>
        <v>1199678863</v>
      </c>
      <c r="M68" s="19"/>
      <c r="N68" s="351"/>
    </row>
    <row r="69" spans="1:14" ht="19.5" customHeight="1">
      <c r="A69" s="6" t="str">
        <f t="shared" si="2"/>
        <v>C34</v>
      </c>
      <c r="B69" s="3">
        <v>41755</v>
      </c>
      <c r="C69" s="3">
        <v>41755</v>
      </c>
      <c r="D69" s="4"/>
      <c r="E69" s="22" t="s">
        <v>120</v>
      </c>
      <c r="F69" s="5" t="s">
        <v>274</v>
      </c>
      <c r="G69" s="5"/>
      <c r="H69" s="5"/>
      <c r="I69" s="28" t="s">
        <v>247</v>
      </c>
      <c r="J69" s="21"/>
      <c r="K69" s="5">
        <v>17200000</v>
      </c>
      <c r="L69" s="4">
        <f t="shared" si="3"/>
        <v>1182478863</v>
      </c>
      <c r="M69" s="19"/>
      <c r="N69" s="351"/>
    </row>
    <row r="70" spans="1:14" ht="19.5" customHeight="1">
      <c r="A70" s="6" t="str">
        <f t="shared" si="2"/>
        <v>C34</v>
      </c>
      <c r="B70" s="3">
        <v>41755</v>
      </c>
      <c r="C70" s="3">
        <v>41755</v>
      </c>
      <c r="D70" s="4"/>
      <c r="E70" s="22" t="s">
        <v>120</v>
      </c>
      <c r="F70" s="5" t="s">
        <v>275</v>
      </c>
      <c r="G70" s="5"/>
      <c r="H70" s="5"/>
      <c r="I70" s="28" t="s">
        <v>35</v>
      </c>
      <c r="J70" s="21"/>
      <c r="K70" s="5">
        <v>1720000</v>
      </c>
      <c r="L70" s="4">
        <f t="shared" si="3"/>
        <v>1180758863</v>
      </c>
      <c r="M70" s="19"/>
      <c r="N70" s="351"/>
    </row>
    <row r="71" spans="1:14" ht="19.5" customHeight="1">
      <c r="A71" s="6" t="str">
        <f t="shared" si="2"/>
        <v>C35</v>
      </c>
      <c r="B71" s="3">
        <v>41757</v>
      </c>
      <c r="C71" s="3">
        <v>41757</v>
      </c>
      <c r="D71" s="4"/>
      <c r="E71" s="22" t="s">
        <v>121</v>
      </c>
      <c r="F71" s="5" t="s">
        <v>339</v>
      </c>
      <c r="G71" s="5"/>
      <c r="H71" s="5"/>
      <c r="I71" s="28" t="s">
        <v>54</v>
      </c>
      <c r="J71" s="21"/>
      <c r="K71" s="5">
        <v>19000000</v>
      </c>
      <c r="L71" s="4">
        <f t="shared" si="3"/>
        <v>1161758863</v>
      </c>
      <c r="M71" s="19"/>
      <c r="N71" s="351"/>
    </row>
    <row r="72" spans="1:14" ht="19.5" customHeight="1">
      <c r="A72" s="6" t="str">
        <f t="shared" si="2"/>
        <v>C36</v>
      </c>
      <c r="B72" s="3">
        <v>41757</v>
      </c>
      <c r="C72" s="3">
        <v>41757</v>
      </c>
      <c r="D72" s="4"/>
      <c r="E72" s="22" t="s">
        <v>122</v>
      </c>
      <c r="F72" s="30" t="s">
        <v>259</v>
      </c>
      <c r="G72" s="50"/>
      <c r="H72" s="50"/>
      <c r="I72" s="28" t="s">
        <v>134</v>
      </c>
      <c r="J72" s="21"/>
      <c r="K72" s="5">
        <v>400000000</v>
      </c>
      <c r="L72" s="4">
        <f t="shared" si="3"/>
        <v>761758863</v>
      </c>
      <c r="M72" s="19"/>
      <c r="N72" s="351"/>
    </row>
    <row r="73" spans="1:14" ht="19.5" customHeight="1">
      <c r="A73" s="6" t="str">
        <f t="shared" si="2"/>
        <v>C37</v>
      </c>
      <c r="B73" s="3">
        <v>41757</v>
      </c>
      <c r="C73" s="3">
        <v>41757</v>
      </c>
      <c r="D73" s="4"/>
      <c r="E73" s="22" t="s">
        <v>123</v>
      </c>
      <c r="F73" s="30" t="s">
        <v>260</v>
      </c>
      <c r="G73" s="50"/>
      <c r="H73" s="50"/>
      <c r="I73" s="28" t="s">
        <v>134</v>
      </c>
      <c r="J73" s="21"/>
      <c r="K73" s="5">
        <v>400000000</v>
      </c>
      <c r="L73" s="4">
        <f t="shared" si="3"/>
        <v>361758863</v>
      </c>
      <c r="M73" s="19"/>
      <c r="N73" s="351"/>
    </row>
    <row r="74" spans="1:14" ht="19.5" customHeight="1">
      <c r="A74" s="6" t="str">
        <f t="shared" si="2"/>
        <v>C38</v>
      </c>
      <c r="B74" s="3">
        <v>41758</v>
      </c>
      <c r="C74" s="3">
        <v>41758</v>
      </c>
      <c r="D74" s="4"/>
      <c r="E74" s="22" t="s">
        <v>135</v>
      </c>
      <c r="F74" s="5" t="s">
        <v>329</v>
      </c>
      <c r="G74" s="5"/>
      <c r="H74" s="5"/>
      <c r="I74" s="28" t="s">
        <v>247</v>
      </c>
      <c r="J74" s="21"/>
      <c r="K74" s="5">
        <v>3180000</v>
      </c>
      <c r="L74" s="4">
        <f t="shared" si="3"/>
        <v>358578863</v>
      </c>
      <c r="M74" s="19"/>
      <c r="N74" s="351"/>
    </row>
    <row r="75" spans="1:14" ht="19.5" customHeight="1">
      <c r="A75" s="6" t="str">
        <f t="shared" si="2"/>
        <v>C38</v>
      </c>
      <c r="B75" s="3">
        <v>41758</v>
      </c>
      <c r="C75" s="3">
        <v>41758</v>
      </c>
      <c r="D75" s="4"/>
      <c r="E75" s="22" t="s">
        <v>135</v>
      </c>
      <c r="F75" s="5" t="s">
        <v>330</v>
      </c>
      <c r="G75" s="5"/>
      <c r="H75" s="5"/>
      <c r="I75" s="28" t="s">
        <v>35</v>
      </c>
      <c r="J75" s="21"/>
      <c r="K75" s="5">
        <v>318000</v>
      </c>
      <c r="L75" s="4">
        <f t="shared" si="3"/>
        <v>358260863</v>
      </c>
      <c r="M75" s="19"/>
      <c r="N75" s="351"/>
    </row>
    <row r="76" spans="1:14" ht="19.5" customHeight="1">
      <c r="A76" s="6" t="str">
        <f t="shared" si="2"/>
        <v>C39</v>
      </c>
      <c r="B76" s="3">
        <v>41758</v>
      </c>
      <c r="C76" s="3">
        <v>41758</v>
      </c>
      <c r="D76" s="4"/>
      <c r="E76" s="22" t="s">
        <v>136</v>
      </c>
      <c r="F76" s="5" t="s">
        <v>340</v>
      </c>
      <c r="G76" s="5"/>
      <c r="H76" s="5"/>
      <c r="I76" s="28" t="s">
        <v>247</v>
      </c>
      <c r="J76" s="21"/>
      <c r="K76" s="5">
        <v>759091</v>
      </c>
      <c r="L76" s="4">
        <f t="shared" si="3"/>
        <v>357501772</v>
      </c>
      <c r="M76" s="19"/>
      <c r="N76" s="351"/>
    </row>
    <row r="77" spans="1:14" ht="19.5" customHeight="1">
      <c r="A77" s="6" t="str">
        <f t="shared" ref="A77:A86" si="4">D77&amp;E77</f>
        <v>C39</v>
      </c>
      <c r="B77" s="3">
        <v>41758</v>
      </c>
      <c r="C77" s="3">
        <v>41758</v>
      </c>
      <c r="D77" s="4"/>
      <c r="E77" s="22" t="s">
        <v>136</v>
      </c>
      <c r="F77" s="5" t="s">
        <v>341</v>
      </c>
      <c r="G77" s="5"/>
      <c r="H77" s="5"/>
      <c r="I77" s="28" t="s">
        <v>35</v>
      </c>
      <c r="J77" s="21"/>
      <c r="K77" s="5">
        <v>75909</v>
      </c>
      <c r="L77" s="4">
        <f t="shared" si="3"/>
        <v>357425863</v>
      </c>
      <c r="M77" s="19"/>
      <c r="N77" s="351"/>
    </row>
    <row r="78" spans="1:14" ht="19.5" customHeight="1">
      <c r="A78" s="6" t="str">
        <f t="shared" si="4"/>
        <v>C40</v>
      </c>
      <c r="B78" s="3">
        <v>41758</v>
      </c>
      <c r="C78" s="3">
        <v>41758</v>
      </c>
      <c r="D78" s="4"/>
      <c r="E78" s="22" t="s">
        <v>137</v>
      </c>
      <c r="F78" s="5" t="s">
        <v>226</v>
      </c>
      <c r="G78" s="5"/>
      <c r="H78" s="5"/>
      <c r="I78" s="28" t="s">
        <v>54</v>
      </c>
      <c r="J78" s="21"/>
      <c r="K78" s="5">
        <v>14482900</v>
      </c>
      <c r="L78" s="4">
        <f t="shared" si="3"/>
        <v>342942963</v>
      </c>
      <c r="M78" s="53"/>
      <c r="N78" s="351"/>
    </row>
    <row r="79" spans="1:14" ht="19.5" customHeight="1">
      <c r="A79" s="6" t="str">
        <f t="shared" si="4"/>
        <v>C40</v>
      </c>
      <c r="B79" s="3">
        <v>41758</v>
      </c>
      <c r="C79" s="3">
        <v>41758</v>
      </c>
      <c r="D79" s="4"/>
      <c r="E79" s="22" t="s">
        <v>137</v>
      </c>
      <c r="F79" s="5" t="s">
        <v>55</v>
      </c>
      <c r="G79" s="5"/>
      <c r="H79" s="5"/>
      <c r="I79" s="28" t="s">
        <v>35</v>
      </c>
      <c r="J79" s="21"/>
      <c r="K79" s="5">
        <v>528900</v>
      </c>
      <c r="L79" s="4">
        <f t="shared" ref="L79:L86" si="5">IF(F79&lt;&gt;"",L78+J79-K79,0)</f>
        <v>342414063</v>
      </c>
      <c r="M79" s="53"/>
      <c r="N79" s="351"/>
    </row>
    <row r="80" spans="1:14" ht="19.5" customHeight="1">
      <c r="A80" s="6" t="str">
        <f t="shared" si="4"/>
        <v>C40</v>
      </c>
      <c r="B80" s="3">
        <v>41758</v>
      </c>
      <c r="C80" s="3">
        <v>41758</v>
      </c>
      <c r="D80" s="4"/>
      <c r="E80" s="22" t="s">
        <v>137</v>
      </c>
      <c r="F80" s="5" t="s">
        <v>342</v>
      </c>
      <c r="G80" s="5"/>
      <c r="H80" s="5"/>
      <c r="I80" s="28" t="s">
        <v>35</v>
      </c>
      <c r="J80" s="21"/>
      <c r="K80" s="5">
        <v>242650</v>
      </c>
      <c r="L80" s="4">
        <f t="shared" si="5"/>
        <v>342171413</v>
      </c>
      <c r="M80" s="19"/>
      <c r="N80" s="351"/>
    </row>
    <row r="81" spans="1:14" ht="19.5" customHeight="1">
      <c r="A81" s="6" t="str">
        <f t="shared" si="4"/>
        <v>C41</v>
      </c>
      <c r="B81" s="3">
        <v>41759</v>
      </c>
      <c r="C81" s="3">
        <v>41759</v>
      </c>
      <c r="D81" s="4"/>
      <c r="E81" s="22" t="s">
        <v>138</v>
      </c>
      <c r="F81" s="5" t="s">
        <v>50</v>
      </c>
      <c r="G81" s="5"/>
      <c r="H81" s="5"/>
      <c r="I81" s="28" t="s">
        <v>247</v>
      </c>
      <c r="J81" s="21"/>
      <c r="K81" s="5">
        <v>2378364</v>
      </c>
      <c r="L81" s="4">
        <f t="shared" si="5"/>
        <v>339793049</v>
      </c>
      <c r="M81" s="19"/>
      <c r="N81" s="351"/>
    </row>
    <row r="82" spans="1:14" ht="19.5" customHeight="1">
      <c r="A82" s="6" t="str">
        <f t="shared" si="4"/>
        <v>C41</v>
      </c>
      <c r="B82" s="3">
        <v>41759</v>
      </c>
      <c r="C82" s="3">
        <v>41759</v>
      </c>
      <c r="D82" s="4"/>
      <c r="E82" s="22" t="s">
        <v>138</v>
      </c>
      <c r="F82" s="5" t="s">
        <v>56</v>
      </c>
      <c r="G82" s="5"/>
      <c r="H82" s="5"/>
      <c r="I82" s="28" t="s">
        <v>35</v>
      </c>
      <c r="J82" s="21"/>
      <c r="K82" s="5">
        <v>237836</v>
      </c>
      <c r="L82" s="4">
        <f t="shared" si="5"/>
        <v>339555213</v>
      </c>
      <c r="M82" s="19"/>
      <c r="N82" s="351"/>
    </row>
    <row r="83" spans="1:14" ht="19.5" customHeight="1">
      <c r="A83" s="6" t="str">
        <f t="shared" si="4"/>
        <v>C42</v>
      </c>
      <c r="B83" s="3">
        <v>41759</v>
      </c>
      <c r="C83" s="3">
        <v>41759</v>
      </c>
      <c r="D83" s="4"/>
      <c r="E83" s="22" t="s">
        <v>139</v>
      </c>
      <c r="F83" s="5" t="s">
        <v>50</v>
      </c>
      <c r="G83" s="5"/>
      <c r="H83" s="5"/>
      <c r="I83" s="28" t="s">
        <v>247</v>
      </c>
      <c r="J83" s="21"/>
      <c r="K83" s="5">
        <v>158455</v>
      </c>
      <c r="L83" s="4">
        <f t="shared" si="5"/>
        <v>339396758</v>
      </c>
      <c r="M83" s="19"/>
      <c r="N83" s="351"/>
    </row>
    <row r="84" spans="1:14" ht="19.5" customHeight="1">
      <c r="A84" s="6" t="str">
        <f t="shared" si="4"/>
        <v>C42</v>
      </c>
      <c r="B84" s="3">
        <v>41759</v>
      </c>
      <c r="C84" s="3">
        <v>41759</v>
      </c>
      <c r="D84" s="4"/>
      <c r="E84" s="22" t="s">
        <v>139</v>
      </c>
      <c r="F84" s="30" t="s">
        <v>53</v>
      </c>
      <c r="G84" s="5"/>
      <c r="H84" s="5"/>
      <c r="I84" s="28" t="s">
        <v>54</v>
      </c>
      <c r="J84" s="21"/>
      <c r="K84" s="5">
        <v>2345291</v>
      </c>
      <c r="L84" s="4">
        <f t="shared" si="5"/>
        <v>337051467</v>
      </c>
      <c r="M84" s="19"/>
      <c r="N84" s="351"/>
    </row>
    <row r="85" spans="1:14" ht="19.5" customHeight="1">
      <c r="A85" s="6" t="str">
        <f t="shared" si="4"/>
        <v>C42</v>
      </c>
      <c r="B85" s="3">
        <v>41759</v>
      </c>
      <c r="C85" s="3">
        <v>41759</v>
      </c>
      <c r="D85" s="4"/>
      <c r="E85" s="22" t="s">
        <v>139</v>
      </c>
      <c r="F85" s="5" t="s">
        <v>343</v>
      </c>
      <c r="G85" s="5"/>
      <c r="H85" s="5"/>
      <c r="I85" s="28" t="s">
        <v>35</v>
      </c>
      <c r="J85" s="21"/>
      <c r="K85" s="5">
        <v>250374</v>
      </c>
      <c r="L85" s="4">
        <f t="shared" si="5"/>
        <v>336801093</v>
      </c>
      <c r="M85" s="19"/>
      <c r="N85" s="351"/>
    </row>
    <row r="86" spans="1:14" ht="19.5" customHeight="1">
      <c r="A86" s="6" t="str">
        <f t="shared" si="4"/>
        <v>C43</v>
      </c>
      <c r="B86" s="3">
        <v>41759</v>
      </c>
      <c r="C86" s="3">
        <v>41759</v>
      </c>
      <c r="D86" s="4"/>
      <c r="E86" s="22" t="s">
        <v>140</v>
      </c>
      <c r="F86" s="5" t="s">
        <v>344</v>
      </c>
      <c r="G86" s="5"/>
      <c r="H86" s="5"/>
      <c r="I86" s="28" t="s">
        <v>37</v>
      </c>
      <c r="J86" s="21"/>
      <c r="K86" s="5">
        <v>137423778</v>
      </c>
      <c r="L86" s="4">
        <f t="shared" si="5"/>
        <v>199377315</v>
      </c>
      <c r="M86" s="19"/>
      <c r="N86" s="351"/>
    </row>
    <row r="87" spans="1:14" ht="19.5" customHeight="1">
      <c r="A87" s="6" t="str">
        <f>D87&amp;E87</f>
        <v/>
      </c>
      <c r="B87" s="3"/>
      <c r="C87" s="3"/>
      <c r="D87" s="22"/>
      <c r="E87" s="4"/>
      <c r="F87" s="5"/>
      <c r="G87" s="374"/>
      <c r="H87" s="5"/>
      <c r="I87" s="28"/>
      <c r="J87" s="21"/>
      <c r="K87" s="5"/>
      <c r="L87" s="4"/>
      <c r="M87" s="19"/>
      <c r="N87" s="351"/>
    </row>
    <row r="88" spans="1:14" s="44" customFormat="1" ht="19.5" customHeight="1">
      <c r="B88" s="42"/>
      <c r="C88" s="42"/>
      <c r="D88" s="42"/>
      <c r="E88" s="42"/>
      <c r="F88" s="42" t="s">
        <v>29</v>
      </c>
      <c r="G88" s="375"/>
      <c r="H88" s="42"/>
      <c r="I88" s="43" t="s">
        <v>30</v>
      </c>
      <c r="J88" s="42">
        <f>SUM(J13:J86)</f>
        <v>3975000000</v>
      </c>
      <c r="K88" s="42">
        <f>SUM(K13:K86)</f>
        <v>4708679595</v>
      </c>
      <c r="L88" s="43" t="s">
        <v>30</v>
      </c>
      <c r="M88" s="43" t="s">
        <v>30</v>
      </c>
      <c r="N88" s="352"/>
    </row>
    <row r="89" spans="1:14" s="44" customFormat="1" ht="19.5" customHeight="1">
      <c r="B89" s="45"/>
      <c r="C89" s="45"/>
      <c r="D89" s="45"/>
      <c r="E89" s="45"/>
      <c r="F89" s="45" t="s">
        <v>31</v>
      </c>
      <c r="G89" s="376"/>
      <c r="H89" s="45"/>
      <c r="I89" s="46" t="s">
        <v>30</v>
      </c>
      <c r="J89" s="46" t="s">
        <v>30</v>
      </c>
      <c r="K89" s="46" t="s">
        <v>30</v>
      </c>
      <c r="L89" s="45">
        <f>L12+J88-K88</f>
        <v>199377315</v>
      </c>
      <c r="M89" s="46" t="s">
        <v>30</v>
      </c>
      <c r="N89" s="352"/>
    </row>
    <row r="91" spans="1:14">
      <c r="B91" s="27" t="s">
        <v>32</v>
      </c>
    </row>
    <row r="92" spans="1:14">
      <c r="B92" s="27" t="s">
        <v>231</v>
      </c>
    </row>
    <row r="93" spans="1:14">
      <c r="L93" s="8" t="s">
        <v>232</v>
      </c>
    </row>
    <row r="94" spans="1:14" s="7" customFormat="1" ht="14.25">
      <c r="C94" s="7" t="s">
        <v>33</v>
      </c>
      <c r="F94" s="7" t="s">
        <v>13</v>
      </c>
      <c r="L94" s="7" t="s">
        <v>14</v>
      </c>
    </row>
    <row r="95" spans="1:14" s="2" customFormat="1">
      <c r="C95" s="2" t="s">
        <v>15</v>
      </c>
      <c r="F95" s="2" t="s">
        <v>15</v>
      </c>
      <c r="L95" s="2" t="s">
        <v>16</v>
      </c>
    </row>
    <row r="96" spans="1:14" s="2" customFormat="1"/>
    <row r="118" spans="11:11">
      <c r="K118" s="6">
        <v>101069256</v>
      </c>
    </row>
    <row r="122" spans="11:11">
      <c r="K122" s="6">
        <v>100833620</v>
      </c>
    </row>
    <row r="123" spans="11:11">
      <c r="K123" s="6">
        <f>K118-K122</f>
        <v>235636</v>
      </c>
    </row>
  </sheetData>
  <autoFilter ref="A11:N112">
    <filterColumn colId="7"/>
    <filterColumn colId="8"/>
    <filterColumn colId="9"/>
  </autoFilter>
  <sortState ref="A13:X101">
    <sortCondition ref="B13:B101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31 H79">
    <cfRule type="expression" dxfId="2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84"/>
  <sheetViews>
    <sheetView topLeftCell="B1" zoomScale="90" workbookViewId="0">
      <selection activeCell="J1" sqref="J1:M3"/>
    </sheetView>
  </sheetViews>
  <sheetFormatPr defaultRowHeight="15"/>
  <cols>
    <col min="1" max="1" width="4.42578125" style="6" hidden="1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hidden="1" customWidth="1"/>
    <col min="8" max="8" width="39.425781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7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379"/>
      <c r="D2" s="379"/>
      <c r="E2" s="379"/>
      <c r="F2" s="379"/>
      <c r="G2" s="371"/>
      <c r="H2" s="379"/>
      <c r="J2" s="393" t="s">
        <v>785</v>
      </c>
      <c r="K2" s="393"/>
      <c r="L2" s="393"/>
      <c r="M2" s="393"/>
    </row>
    <row r="3" spans="1:13" s="11" customFormat="1" ht="16.5" customHeight="1">
      <c r="B3" s="9"/>
      <c r="C3" s="379"/>
      <c r="D3" s="14"/>
      <c r="E3" s="14"/>
      <c r="F3" s="379"/>
      <c r="G3" s="371"/>
      <c r="H3" s="379"/>
      <c r="J3" s="393"/>
      <c r="K3" s="393"/>
      <c r="L3" s="393"/>
      <c r="M3" s="393"/>
    </row>
    <row r="4" spans="1:13" s="11" customFormat="1" ht="6.75" customHeight="1">
      <c r="B4" s="379"/>
      <c r="C4" s="379"/>
      <c r="D4" s="379"/>
      <c r="E4" s="379"/>
      <c r="F4" s="379"/>
      <c r="G4" s="371"/>
      <c r="H4" s="379"/>
      <c r="J4" s="380"/>
      <c r="K4" s="380"/>
      <c r="L4" s="380"/>
      <c r="M4" s="380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382" t="s">
        <v>5</v>
      </c>
      <c r="E10" s="382" t="s">
        <v>6</v>
      </c>
      <c r="F10" s="395"/>
      <c r="G10" s="397"/>
      <c r="H10" s="397"/>
      <c r="I10" s="395"/>
      <c r="J10" s="382" t="s">
        <v>25</v>
      </c>
      <c r="K10" s="382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372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9.5" customHeight="1">
      <c r="B12" s="36"/>
      <c r="C12" s="36"/>
      <c r="D12" s="36"/>
      <c r="E12" s="36"/>
      <c r="F12" s="36" t="s">
        <v>28</v>
      </c>
      <c r="G12" s="373"/>
      <c r="H12" s="36"/>
      <c r="I12" s="37"/>
      <c r="J12" s="38"/>
      <c r="K12" s="36"/>
      <c r="L12" s="38">
        <f>'04'!L89</f>
        <v>199377315</v>
      </c>
      <c r="M12" s="36"/>
    </row>
    <row r="13" spans="1:13" ht="18.75" customHeight="1">
      <c r="A13" s="6" t="str">
        <f t="shared" ref="A13:A74" si="0">D13&amp;E13</f>
        <v>C01</v>
      </c>
      <c r="B13" s="3">
        <v>41761</v>
      </c>
      <c r="C13" s="3">
        <v>41759</v>
      </c>
      <c r="D13" s="4"/>
      <c r="E13" s="22" t="s">
        <v>87</v>
      </c>
      <c r="F13" s="5" t="s">
        <v>345</v>
      </c>
      <c r="G13" s="5"/>
      <c r="H13" s="5"/>
      <c r="I13" s="28" t="s">
        <v>247</v>
      </c>
      <c r="J13" s="21"/>
      <c r="K13" s="5">
        <v>2046197</v>
      </c>
      <c r="L13" s="4">
        <f t="shared" ref="L13:L44" si="1">IF(F13&lt;&gt;"",L12+J13-K13,0)</f>
        <v>197331118</v>
      </c>
      <c r="M13" s="19"/>
    </row>
    <row r="14" spans="1:13" ht="18.75" customHeight="1">
      <c r="A14" s="6" t="str">
        <f t="shared" si="0"/>
        <v>C01</v>
      </c>
      <c r="B14" s="3">
        <v>41761</v>
      </c>
      <c r="C14" s="3">
        <v>41759</v>
      </c>
      <c r="D14" s="4"/>
      <c r="E14" s="22" t="s">
        <v>87</v>
      </c>
      <c r="F14" s="5" t="s">
        <v>346</v>
      </c>
      <c r="G14" s="5"/>
      <c r="H14" s="5"/>
      <c r="I14" s="28" t="s">
        <v>35</v>
      </c>
      <c r="J14" s="21"/>
      <c r="K14" s="5">
        <v>204620</v>
      </c>
      <c r="L14" s="4">
        <f t="shared" si="1"/>
        <v>197126498</v>
      </c>
      <c r="M14" s="19"/>
    </row>
    <row r="15" spans="1:13" ht="18.75" customHeight="1">
      <c r="A15" s="6" t="str">
        <f t="shared" si="0"/>
        <v>C02</v>
      </c>
      <c r="B15" s="3">
        <v>41761</v>
      </c>
      <c r="C15" s="3">
        <v>41759</v>
      </c>
      <c r="D15" s="4"/>
      <c r="E15" s="22" t="s">
        <v>88</v>
      </c>
      <c r="F15" s="5" t="s">
        <v>347</v>
      </c>
      <c r="G15" s="5"/>
      <c r="H15" s="5"/>
      <c r="I15" s="28" t="s">
        <v>247</v>
      </c>
      <c r="J15" s="21"/>
      <c r="K15" s="5">
        <v>500000</v>
      </c>
      <c r="L15" s="4">
        <f t="shared" si="1"/>
        <v>196626498</v>
      </c>
      <c r="M15" s="19"/>
    </row>
    <row r="16" spans="1:13" ht="18.75" customHeight="1">
      <c r="A16" s="6" t="str">
        <f t="shared" si="0"/>
        <v>T01</v>
      </c>
      <c r="B16" s="3">
        <v>41766</v>
      </c>
      <c r="C16" s="3">
        <v>41766</v>
      </c>
      <c r="D16" s="4" t="s">
        <v>39</v>
      </c>
      <c r="E16" s="52"/>
      <c r="F16" s="5" t="s">
        <v>253</v>
      </c>
      <c r="G16" s="5"/>
      <c r="H16" s="5"/>
      <c r="I16" s="28" t="s">
        <v>36</v>
      </c>
      <c r="J16" s="21">
        <v>830000000</v>
      </c>
      <c r="K16" s="5"/>
      <c r="L16" s="4">
        <f t="shared" si="1"/>
        <v>1026626498</v>
      </c>
      <c r="M16" s="19"/>
    </row>
    <row r="17" spans="1:13" ht="18.75" customHeight="1">
      <c r="A17" s="6" t="str">
        <f t="shared" si="0"/>
        <v>C03</v>
      </c>
      <c r="B17" s="3">
        <v>41766</v>
      </c>
      <c r="C17" s="3">
        <v>41766</v>
      </c>
      <c r="D17" s="4"/>
      <c r="E17" s="22" t="s">
        <v>89</v>
      </c>
      <c r="F17" s="30" t="s">
        <v>260</v>
      </c>
      <c r="G17" s="50"/>
      <c r="H17" s="50"/>
      <c r="I17" s="28" t="s">
        <v>134</v>
      </c>
      <c r="J17" s="21"/>
      <c r="K17" s="5">
        <v>300000000</v>
      </c>
      <c r="L17" s="4">
        <f t="shared" si="1"/>
        <v>726626498</v>
      </c>
      <c r="M17" s="19"/>
    </row>
    <row r="18" spans="1:13" ht="18.75" customHeight="1">
      <c r="A18" s="6" t="str">
        <f t="shared" si="0"/>
        <v>C04</v>
      </c>
      <c r="B18" s="3">
        <v>41766</v>
      </c>
      <c r="C18" s="3">
        <v>41766</v>
      </c>
      <c r="D18" s="4"/>
      <c r="E18" s="22" t="s">
        <v>90</v>
      </c>
      <c r="F18" s="5" t="s">
        <v>295</v>
      </c>
      <c r="G18" s="5"/>
      <c r="H18" s="5"/>
      <c r="I18" s="28" t="s">
        <v>34</v>
      </c>
      <c r="J18" s="21"/>
      <c r="K18" s="5">
        <v>14049996</v>
      </c>
      <c r="L18" s="4">
        <f t="shared" si="1"/>
        <v>712576502</v>
      </c>
      <c r="M18" s="19"/>
    </row>
    <row r="19" spans="1:13" ht="18.75" customHeight="1">
      <c r="A19" s="6" t="str">
        <f t="shared" si="0"/>
        <v>C05</v>
      </c>
      <c r="B19" s="3">
        <v>41766</v>
      </c>
      <c r="C19" s="3">
        <v>41766</v>
      </c>
      <c r="D19" s="4"/>
      <c r="E19" s="22" t="s">
        <v>91</v>
      </c>
      <c r="F19" s="5" t="s">
        <v>282</v>
      </c>
      <c r="G19" s="5"/>
      <c r="H19" s="5"/>
      <c r="I19" s="28" t="s">
        <v>54</v>
      </c>
      <c r="J19" s="21"/>
      <c r="K19" s="5">
        <v>11120000</v>
      </c>
      <c r="L19" s="4">
        <f t="shared" si="1"/>
        <v>701456502</v>
      </c>
      <c r="M19" s="19"/>
    </row>
    <row r="20" spans="1:13" ht="18.75" customHeight="1">
      <c r="A20" s="6" t="str">
        <f t="shared" si="0"/>
        <v>C05</v>
      </c>
      <c r="B20" s="3">
        <v>41766</v>
      </c>
      <c r="C20" s="3">
        <v>41766</v>
      </c>
      <c r="D20" s="4"/>
      <c r="E20" s="22" t="s">
        <v>91</v>
      </c>
      <c r="F20" s="5" t="s">
        <v>283</v>
      </c>
      <c r="G20" s="5"/>
      <c r="H20" s="5"/>
      <c r="I20" s="28" t="s">
        <v>35</v>
      </c>
      <c r="J20" s="21"/>
      <c r="K20" s="5">
        <v>1112000</v>
      </c>
      <c r="L20" s="4">
        <f t="shared" si="1"/>
        <v>700344502</v>
      </c>
      <c r="M20" s="19"/>
    </row>
    <row r="21" spans="1:13" ht="18.75" customHeight="1">
      <c r="A21" s="6" t="str">
        <f t="shared" si="0"/>
        <v>C06</v>
      </c>
      <c r="B21" s="3">
        <v>41767</v>
      </c>
      <c r="C21" s="3">
        <v>41767</v>
      </c>
      <c r="D21" s="4"/>
      <c r="E21" s="22" t="s">
        <v>92</v>
      </c>
      <c r="F21" s="5" t="s">
        <v>348</v>
      </c>
      <c r="G21" s="5"/>
      <c r="H21" s="5"/>
      <c r="I21" s="28" t="s">
        <v>256</v>
      </c>
      <c r="J21" s="21"/>
      <c r="K21" s="5">
        <v>1630000</v>
      </c>
      <c r="L21" s="4">
        <f t="shared" si="1"/>
        <v>698714502</v>
      </c>
      <c r="M21" s="19"/>
    </row>
    <row r="22" spans="1:13" ht="18.75" customHeight="1">
      <c r="A22" s="6" t="str">
        <f t="shared" si="0"/>
        <v>C06</v>
      </c>
      <c r="B22" s="3">
        <v>41767</v>
      </c>
      <c r="C22" s="3">
        <v>41767</v>
      </c>
      <c r="D22" s="4"/>
      <c r="E22" s="22" t="s">
        <v>92</v>
      </c>
      <c r="F22" s="5" t="s">
        <v>349</v>
      </c>
      <c r="G22" s="5"/>
      <c r="H22" s="5"/>
      <c r="I22" s="28" t="s">
        <v>35</v>
      </c>
      <c r="J22" s="21"/>
      <c r="K22" s="5">
        <v>81500</v>
      </c>
      <c r="L22" s="4">
        <f t="shared" si="1"/>
        <v>698633002</v>
      </c>
      <c r="M22" s="19"/>
    </row>
    <row r="23" spans="1:13" ht="18.75" customHeight="1">
      <c r="A23" s="6" t="str">
        <f t="shared" si="0"/>
        <v>C07</v>
      </c>
      <c r="B23" s="3">
        <v>41767</v>
      </c>
      <c r="C23" s="3">
        <v>41767</v>
      </c>
      <c r="D23" s="4"/>
      <c r="E23" s="22" t="s">
        <v>93</v>
      </c>
      <c r="F23" s="5" t="s">
        <v>350</v>
      </c>
      <c r="G23" s="5"/>
      <c r="H23" s="5"/>
      <c r="I23" s="28" t="s">
        <v>247</v>
      </c>
      <c r="J23" s="21"/>
      <c r="K23" s="5">
        <v>112800</v>
      </c>
      <c r="L23" s="4">
        <f t="shared" si="1"/>
        <v>698520202</v>
      </c>
      <c r="M23" s="19"/>
    </row>
    <row r="24" spans="1:13" ht="18.75" customHeight="1">
      <c r="A24" s="6" t="str">
        <f t="shared" si="0"/>
        <v>C07</v>
      </c>
      <c r="B24" s="3">
        <v>41767</v>
      </c>
      <c r="C24" s="3">
        <v>41767</v>
      </c>
      <c r="D24" s="4"/>
      <c r="E24" s="22" t="s">
        <v>93</v>
      </c>
      <c r="F24" s="5" t="s">
        <v>351</v>
      </c>
      <c r="G24" s="5"/>
      <c r="H24" s="5"/>
      <c r="I24" s="28" t="s">
        <v>35</v>
      </c>
      <c r="J24" s="21"/>
      <c r="K24" s="5">
        <v>11280</v>
      </c>
      <c r="L24" s="4">
        <f t="shared" si="1"/>
        <v>698508922</v>
      </c>
      <c r="M24" s="19"/>
    </row>
    <row r="25" spans="1:13" ht="18.75" customHeight="1">
      <c r="A25" s="6" t="str">
        <f t="shared" si="0"/>
        <v>C08</v>
      </c>
      <c r="B25" s="3">
        <v>41769</v>
      </c>
      <c r="C25" s="3">
        <v>41769</v>
      </c>
      <c r="D25" s="4"/>
      <c r="E25" s="22" t="s">
        <v>94</v>
      </c>
      <c r="F25" s="5" t="s">
        <v>50</v>
      </c>
      <c r="G25" s="5"/>
      <c r="H25" s="5"/>
      <c r="I25" s="28" t="s">
        <v>247</v>
      </c>
      <c r="J25" s="21"/>
      <c r="K25" s="5">
        <v>2216727</v>
      </c>
      <c r="L25" s="4">
        <f t="shared" si="1"/>
        <v>696292195</v>
      </c>
      <c r="M25" s="19"/>
    </row>
    <row r="26" spans="1:13" ht="18.75" customHeight="1">
      <c r="A26" s="6" t="str">
        <f t="shared" si="0"/>
        <v>C08</v>
      </c>
      <c r="B26" s="3">
        <v>41769</v>
      </c>
      <c r="C26" s="3">
        <v>41769</v>
      </c>
      <c r="D26" s="4"/>
      <c r="E26" s="22" t="s">
        <v>94</v>
      </c>
      <c r="F26" s="30" t="s">
        <v>53</v>
      </c>
      <c r="G26" s="5"/>
      <c r="H26" s="5"/>
      <c r="I26" s="28" t="s">
        <v>54</v>
      </c>
      <c r="J26" s="21"/>
      <c r="K26" s="5">
        <v>1154618</v>
      </c>
      <c r="L26" s="4">
        <f t="shared" si="1"/>
        <v>695137577</v>
      </c>
      <c r="M26" s="19"/>
    </row>
    <row r="27" spans="1:13" ht="18.75" customHeight="1">
      <c r="A27" s="6" t="str">
        <f t="shared" si="0"/>
        <v>C08</v>
      </c>
      <c r="B27" s="3">
        <v>41769</v>
      </c>
      <c r="C27" s="3">
        <v>41769</v>
      </c>
      <c r="D27" s="4"/>
      <c r="E27" s="22" t="s">
        <v>94</v>
      </c>
      <c r="F27" s="5" t="s">
        <v>333</v>
      </c>
      <c r="G27" s="5"/>
      <c r="H27" s="5"/>
      <c r="I27" s="28" t="s">
        <v>35</v>
      </c>
      <c r="J27" s="21"/>
      <c r="K27" s="5">
        <v>337135</v>
      </c>
      <c r="L27" s="4">
        <f t="shared" si="1"/>
        <v>694800442</v>
      </c>
      <c r="M27" s="19"/>
    </row>
    <row r="28" spans="1:13" ht="18.75" customHeight="1">
      <c r="A28" s="6" t="str">
        <f t="shared" si="0"/>
        <v>C09</v>
      </c>
      <c r="B28" s="3">
        <v>41771</v>
      </c>
      <c r="C28" s="3">
        <v>41771</v>
      </c>
      <c r="D28" s="4"/>
      <c r="E28" s="22" t="s">
        <v>95</v>
      </c>
      <c r="F28" s="5" t="s">
        <v>282</v>
      </c>
      <c r="G28" s="5"/>
      <c r="H28" s="5"/>
      <c r="I28" s="28" t="s">
        <v>54</v>
      </c>
      <c r="J28" s="21"/>
      <c r="K28" s="5">
        <v>12240000</v>
      </c>
      <c r="L28" s="4">
        <f t="shared" si="1"/>
        <v>682560442</v>
      </c>
      <c r="M28" s="19"/>
    </row>
    <row r="29" spans="1:13" ht="18.75" customHeight="1">
      <c r="A29" s="6" t="str">
        <f t="shared" si="0"/>
        <v>C09</v>
      </c>
      <c r="B29" s="3">
        <v>41771</v>
      </c>
      <c r="C29" s="3">
        <v>41771</v>
      </c>
      <c r="D29" s="4"/>
      <c r="E29" s="22" t="s">
        <v>95</v>
      </c>
      <c r="F29" s="5" t="s">
        <v>283</v>
      </c>
      <c r="G29" s="5"/>
      <c r="H29" s="5"/>
      <c r="I29" s="28" t="s">
        <v>35</v>
      </c>
      <c r="J29" s="21"/>
      <c r="K29" s="5">
        <v>1224000</v>
      </c>
      <c r="L29" s="4">
        <f t="shared" si="1"/>
        <v>681336442</v>
      </c>
      <c r="M29" s="19"/>
    </row>
    <row r="30" spans="1:13" ht="18.75" customHeight="1">
      <c r="A30" s="6" t="str">
        <f t="shared" si="0"/>
        <v>C10</v>
      </c>
      <c r="B30" s="3">
        <v>41771</v>
      </c>
      <c r="C30" s="3">
        <v>41771</v>
      </c>
      <c r="D30" s="4"/>
      <c r="E30" s="22" t="s">
        <v>96</v>
      </c>
      <c r="F30" s="30" t="s">
        <v>260</v>
      </c>
      <c r="G30" s="50"/>
      <c r="H30" s="50"/>
      <c r="I30" s="28" t="s">
        <v>134</v>
      </c>
      <c r="J30" s="21"/>
      <c r="K30" s="5">
        <v>450000000</v>
      </c>
      <c r="L30" s="4">
        <f t="shared" si="1"/>
        <v>231336442</v>
      </c>
      <c r="M30" s="19"/>
    </row>
    <row r="31" spans="1:13" ht="18.75" customHeight="1">
      <c r="A31" s="6" t="str">
        <f t="shared" si="0"/>
        <v>T02</v>
      </c>
      <c r="B31" s="3">
        <v>41774</v>
      </c>
      <c r="C31" s="3">
        <v>41774</v>
      </c>
      <c r="D31" s="4" t="s">
        <v>40</v>
      </c>
      <c r="E31" s="52"/>
      <c r="F31" s="5" t="s">
        <v>253</v>
      </c>
      <c r="G31" s="5"/>
      <c r="H31" s="5"/>
      <c r="I31" s="28" t="s">
        <v>36</v>
      </c>
      <c r="J31" s="21">
        <v>1000000000</v>
      </c>
      <c r="K31" s="5"/>
      <c r="L31" s="4">
        <f t="shared" si="1"/>
        <v>1231336442</v>
      </c>
      <c r="M31" s="19"/>
    </row>
    <row r="32" spans="1:13" ht="18.75" customHeight="1">
      <c r="A32" s="6" t="str">
        <f t="shared" si="0"/>
        <v>T03</v>
      </c>
      <c r="B32" s="3">
        <v>41774</v>
      </c>
      <c r="C32" s="3">
        <v>41774</v>
      </c>
      <c r="D32" s="4" t="s">
        <v>41</v>
      </c>
      <c r="E32" s="52"/>
      <c r="F32" s="5" t="s">
        <v>352</v>
      </c>
      <c r="G32" s="5"/>
      <c r="H32" s="5"/>
      <c r="I32" s="28" t="s">
        <v>36</v>
      </c>
      <c r="J32" s="21">
        <v>830000000</v>
      </c>
      <c r="K32" s="5"/>
      <c r="L32" s="4">
        <f t="shared" si="1"/>
        <v>2061336442</v>
      </c>
      <c r="M32" s="19"/>
    </row>
    <row r="33" spans="1:13" ht="18.75" customHeight="1">
      <c r="A33" s="6" t="str">
        <f t="shared" si="0"/>
        <v>C11</v>
      </c>
      <c r="B33" s="3">
        <v>41774</v>
      </c>
      <c r="C33" s="3">
        <v>41774</v>
      </c>
      <c r="D33" s="4"/>
      <c r="E33" s="22" t="s">
        <v>97</v>
      </c>
      <c r="F33" s="5" t="s">
        <v>50</v>
      </c>
      <c r="G33" s="5"/>
      <c r="H33" s="5"/>
      <c r="I33" s="28" t="s">
        <v>247</v>
      </c>
      <c r="J33" s="21"/>
      <c r="K33" s="5">
        <v>294273</v>
      </c>
      <c r="L33" s="4">
        <f t="shared" si="1"/>
        <v>2061042169</v>
      </c>
      <c r="M33" s="19"/>
    </row>
    <row r="34" spans="1:13" ht="18.75" customHeight="1">
      <c r="A34" s="6" t="str">
        <f t="shared" si="0"/>
        <v>C11</v>
      </c>
      <c r="B34" s="3">
        <v>41774</v>
      </c>
      <c r="C34" s="3">
        <v>41774</v>
      </c>
      <c r="D34" s="4"/>
      <c r="E34" s="22" t="s">
        <v>97</v>
      </c>
      <c r="F34" s="30" t="s">
        <v>53</v>
      </c>
      <c r="G34" s="5"/>
      <c r="H34" s="5"/>
      <c r="I34" s="28" t="s">
        <v>54</v>
      </c>
      <c r="J34" s="21"/>
      <c r="K34" s="5">
        <v>2057273</v>
      </c>
      <c r="L34" s="4">
        <f t="shared" si="1"/>
        <v>2058984896</v>
      </c>
      <c r="M34" s="19"/>
    </row>
    <row r="35" spans="1:13" ht="18.75" customHeight="1">
      <c r="A35" s="6" t="str">
        <f t="shared" si="0"/>
        <v>C11</v>
      </c>
      <c r="B35" s="3">
        <v>41774</v>
      </c>
      <c r="C35" s="3">
        <v>41774</v>
      </c>
      <c r="D35" s="4"/>
      <c r="E35" s="22" t="s">
        <v>97</v>
      </c>
      <c r="F35" s="5" t="s">
        <v>333</v>
      </c>
      <c r="G35" s="5"/>
      <c r="H35" s="5"/>
      <c r="I35" s="28" t="s">
        <v>35</v>
      </c>
      <c r="J35" s="21"/>
      <c r="K35" s="5">
        <v>235154</v>
      </c>
      <c r="L35" s="4">
        <f t="shared" si="1"/>
        <v>2058749742</v>
      </c>
      <c r="M35" s="19"/>
    </row>
    <row r="36" spans="1:13" ht="18.75" customHeight="1">
      <c r="A36" s="6" t="str">
        <f t="shared" si="0"/>
        <v>C12</v>
      </c>
      <c r="B36" s="3">
        <v>41774</v>
      </c>
      <c r="C36" s="3">
        <v>41774</v>
      </c>
      <c r="D36" s="4"/>
      <c r="E36" s="22" t="s">
        <v>98</v>
      </c>
      <c r="F36" s="30" t="s">
        <v>259</v>
      </c>
      <c r="G36" s="50"/>
      <c r="H36" s="50"/>
      <c r="I36" s="28" t="s">
        <v>134</v>
      </c>
      <c r="J36" s="21"/>
      <c r="K36" s="5">
        <v>900000000</v>
      </c>
      <c r="L36" s="4">
        <f t="shared" si="1"/>
        <v>1158749742</v>
      </c>
      <c r="M36" s="19"/>
    </row>
    <row r="37" spans="1:13" ht="18.75" customHeight="1">
      <c r="A37" s="6" t="str">
        <f t="shared" si="0"/>
        <v>C13</v>
      </c>
      <c r="B37" s="3">
        <v>41774</v>
      </c>
      <c r="C37" s="3">
        <v>41774</v>
      </c>
      <c r="D37" s="4"/>
      <c r="E37" s="22" t="s">
        <v>99</v>
      </c>
      <c r="F37" s="30" t="s">
        <v>260</v>
      </c>
      <c r="G37" s="50"/>
      <c r="H37" s="50"/>
      <c r="I37" s="28" t="s">
        <v>134</v>
      </c>
      <c r="J37" s="21"/>
      <c r="K37" s="5">
        <v>500000000</v>
      </c>
      <c r="L37" s="4">
        <f t="shared" si="1"/>
        <v>658749742</v>
      </c>
      <c r="M37" s="19"/>
    </row>
    <row r="38" spans="1:13" ht="18.75" customHeight="1">
      <c r="A38" s="6" t="str">
        <f t="shared" si="0"/>
        <v>C14</v>
      </c>
      <c r="B38" s="3">
        <v>41774</v>
      </c>
      <c r="C38" s="3">
        <v>41774</v>
      </c>
      <c r="D38" s="4"/>
      <c r="E38" s="22" t="s">
        <v>100</v>
      </c>
      <c r="F38" s="5" t="s">
        <v>282</v>
      </c>
      <c r="G38" s="5"/>
      <c r="H38" s="5"/>
      <c r="I38" s="28" t="s">
        <v>54</v>
      </c>
      <c r="J38" s="21"/>
      <c r="K38" s="5">
        <v>11280000</v>
      </c>
      <c r="L38" s="4">
        <f t="shared" si="1"/>
        <v>647469742</v>
      </c>
      <c r="M38" s="19"/>
    </row>
    <row r="39" spans="1:13" ht="18.75" customHeight="1">
      <c r="A39" s="6" t="str">
        <f t="shared" si="0"/>
        <v>C14</v>
      </c>
      <c r="B39" s="3">
        <v>41774</v>
      </c>
      <c r="C39" s="3">
        <v>41774</v>
      </c>
      <c r="D39" s="4"/>
      <c r="E39" s="22" t="s">
        <v>100</v>
      </c>
      <c r="F39" s="5" t="s">
        <v>283</v>
      </c>
      <c r="G39" s="5"/>
      <c r="H39" s="5"/>
      <c r="I39" s="28" t="s">
        <v>35</v>
      </c>
      <c r="J39" s="21"/>
      <c r="K39" s="5">
        <v>1128000</v>
      </c>
      <c r="L39" s="4">
        <f t="shared" si="1"/>
        <v>646341742</v>
      </c>
      <c r="M39" s="19"/>
    </row>
    <row r="40" spans="1:13" ht="18.75" customHeight="1">
      <c r="A40" s="6" t="str">
        <f t="shared" si="0"/>
        <v>T04</v>
      </c>
      <c r="B40" s="3">
        <v>41776</v>
      </c>
      <c r="C40" s="3">
        <v>41776</v>
      </c>
      <c r="D40" s="4" t="s">
        <v>42</v>
      </c>
      <c r="E40" s="52"/>
      <c r="F40" s="5" t="s">
        <v>253</v>
      </c>
      <c r="G40" s="5"/>
      <c r="H40" s="5"/>
      <c r="I40" s="28" t="s">
        <v>36</v>
      </c>
      <c r="J40" s="21">
        <v>520000000</v>
      </c>
      <c r="K40" s="5"/>
      <c r="L40" s="4">
        <f t="shared" si="1"/>
        <v>1166341742</v>
      </c>
      <c r="M40" s="19"/>
    </row>
    <row r="41" spans="1:13" ht="18.75" customHeight="1">
      <c r="A41" s="6" t="str">
        <f t="shared" si="0"/>
        <v>T05</v>
      </c>
      <c r="B41" s="3">
        <v>41776</v>
      </c>
      <c r="C41" s="3">
        <f>B41</f>
        <v>41776</v>
      </c>
      <c r="D41" s="4" t="s">
        <v>43</v>
      </c>
      <c r="E41" s="22"/>
      <c r="F41" s="5" t="s">
        <v>272</v>
      </c>
      <c r="G41" s="5"/>
      <c r="H41" s="5"/>
      <c r="I41" s="28" t="s">
        <v>57</v>
      </c>
      <c r="J41" s="21">
        <v>33000000</v>
      </c>
      <c r="K41" s="5"/>
      <c r="L41" s="4">
        <f t="shared" si="1"/>
        <v>1199341742</v>
      </c>
      <c r="M41" s="19"/>
    </row>
    <row r="42" spans="1:13" ht="18.75" customHeight="1">
      <c r="A42" s="6" t="str">
        <f t="shared" si="0"/>
        <v>C15</v>
      </c>
      <c r="B42" s="3">
        <v>41776</v>
      </c>
      <c r="C42" s="3">
        <v>41776</v>
      </c>
      <c r="D42" s="4"/>
      <c r="E42" s="22" t="s">
        <v>101</v>
      </c>
      <c r="F42" s="30" t="s">
        <v>260</v>
      </c>
      <c r="G42" s="50"/>
      <c r="H42" s="50"/>
      <c r="I42" s="28" t="s">
        <v>134</v>
      </c>
      <c r="J42" s="21"/>
      <c r="K42" s="5">
        <v>450000000</v>
      </c>
      <c r="L42" s="4">
        <f t="shared" si="1"/>
        <v>749341742</v>
      </c>
      <c r="M42" s="19"/>
    </row>
    <row r="43" spans="1:13" ht="18.75" customHeight="1">
      <c r="A43" s="6" t="str">
        <f t="shared" si="0"/>
        <v>C16</v>
      </c>
      <c r="B43" s="3">
        <v>41777</v>
      </c>
      <c r="C43" s="3">
        <v>41777</v>
      </c>
      <c r="D43" s="4"/>
      <c r="E43" s="22" t="s">
        <v>102</v>
      </c>
      <c r="F43" s="5" t="s">
        <v>282</v>
      </c>
      <c r="G43" s="5"/>
      <c r="H43" s="5"/>
      <c r="I43" s="28" t="s">
        <v>54</v>
      </c>
      <c r="J43" s="21"/>
      <c r="K43" s="5">
        <v>11360000</v>
      </c>
      <c r="L43" s="4">
        <f t="shared" si="1"/>
        <v>737981742</v>
      </c>
      <c r="M43" s="19"/>
    </row>
    <row r="44" spans="1:13" ht="18.75" customHeight="1">
      <c r="A44" s="6" t="str">
        <f t="shared" si="0"/>
        <v>C16</v>
      </c>
      <c r="B44" s="3">
        <v>41777</v>
      </c>
      <c r="C44" s="3">
        <v>41777</v>
      </c>
      <c r="D44" s="4"/>
      <c r="E44" s="22" t="s">
        <v>102</v>
      </c>
      <c r="F44" s="5" t="s">
        <v>283</v>
      </c>
      <c r="G44" s="5"/>
      <c r="H44" s="5"/>
      <c r="I44" s="28" t="s">
        <v>35</v>
      </c>
      <c r="J44" s="21"/>
      <c r="K44" s="5">
        <v>1136000</v>
      </c>
      <c r="L44" s="4">
        <f t="shared" si="1"/>
        <v>736845742</v>
      </c>
      <c r="M44" s="19"/>
    </row>
    <row r="45" spans="1:13" ht="18.75" customHeight="1">
      <c r="A45" s="6" t="str">
        <f t="shared" si="0"/>
        <v>C17</v>
      </c>
      <c r="B45" s="3">
        <v>41778</v>
      </c>
      <c r="C45" s="3">
        <v>41778</v>
      </c>
      <c r="D45" s="4"/>
      <c r="E45" s="22" t="s">
        <v>103</v>
      </c>
      <c r="F45" s="5" t="s">
        <v>348</v>
      </c>
      <c r="G45" s="5"/>
      <c r="H45" s="5"/>
      <c r="I45" s="28" t="s">
        <v>256</v>
      </c>
      <c r="J45" s="21"/>
      <c r="K45" s="5">
        <v>525000</v>
      </c>
      <c r="L45" s="4">
        <f t="shared" ref="L45:L74" si="2">IF(F45&lt;&gt;"",L44+J45-K45,0)</f>
        <v>736320742</v>
      </c>
      <c r="M45" s="19"/>
    </row>
    <row r="46" spans="1:13" ht="18.75" customHeight="1">
      <c r="A46" s="6" t="str">
        <f t="shared" si="0"/>
        <v>C17</v>
      </c>
      <c r="B46" s="3">
        <v>41778</v>
      </c>
      <c r="C46" s="3">
        <v>41778</v>
      </c>
      <c r="D46" s="4"/>
      <c r="E46" s="22" t="s">
        <v>103</v>
      </c>
      <c r="F46" s="5" t="s">
        <v>349</v>
      </c>
      <c r="G46" s="5"/>
      <c r="H46" s="5"/>
      <c r="I46" s="28" t="s">
        <v>35</v>
      </c>
      <c r="J46" s="21"/>
      <c r="K46" s="5">
        <v>26250</v>
      </c>
      <c r="L46" s="4">
        <f t="shared" si="2"/>
        <v>736294492</v>
      </c>
      <c r="M46" s="19"/>
    </row>
    <row r="47" spans="1:13" ht="18.75" customHeight="1">
      <c r="A47" s="6" t="str">
        <f t="shared" si="0"/>
        <v>T06</v>
      </c>
      <c r="B47" s="3">
        <f>C47</f>
        <v>41778</v>
      </c>
      <c r="C47" s="3">
        <v>41778</v>
      </c>
      <c r="D47" s="4" t="s">
        <v>44</v>
      </c>
      <c r="E47" s="22"/>
      <c r="F47" s="5" t="s">
        <v>353</v>
      </c>
      <c r="G47" s="5"/>
      <c r="H47" s="5"/>
      <c r="I47" s="28" t="s">
        <v>57</v>
      </c>
      <c r="J47" s="21">
        <v>700000000</v>
      </c>
      <c r="K47" s="5"/>
      <c r="L47" s="4">
        <f t="shared" si="2"/>
        <v>1436294492</v>
      </c>
      <c r="M47" s="19"/>
    </row>
    <row r="48" spans="1:13" ht="18.75" customHeight="1">
      <c r="A48" s="6" t="str">
        <f t="shared" si="0"/>
        <v>T07</v>
      </c>
      <c r="B48" s="3">
        <v>41779</v>
      </c>
      <c r="C48" s="3">
        <v>41779</v>
      </c>
      <c r="D48" s="4" t="s">
        <v>58</v>
      </c>
      <c r="E48" s="52"/>
      <c r="F48" s="5" t="s">
        <v>354</v>
      </c>
      <c r="G48" s="5"/>
      <c r="H48" s="5"/>
      <c r="I48" s="28" t="s">
        <v>355</v>
      </c>
      <c r="J48" s="21">
        <v>1752130000</v>
      </c>
      <c r="K48" s="5"/>
      <c r="L48" s="4">
        <f t="shared" si="2"/>
        <v>3188424492</v>
      </c>
      <c r="M48" s="19"/>
    </row>
    <row r="49" spans="1:13" ht="18.75" customHeight="1">
      <c r="A49" s="6" t="str">
        <f t="shared" si="0"/>
        <v>C18</v>
      </c>
      <c r="B49" s="3">
        <v>41779</v>
      </c>
      <c r="C49" s="3">
        <v>41779</v>
      </c>
      <c r="D49" s="4"/>
      <c r="E49" s="22" t="s">
        <v>104</v>
      </c>
      <c r="F49" s="30" t="s">
        <v>356</v>
      </c>
      <c r="G49" s="50"/>
      <c r="H49" s="50"/>
      <c r="I49" s="28" t="s">
        <v>57</v>
      </c>
      <c r="J49" s="21"/>
      <c r="K49" s="5">
        <v>2000000000</v>
      </c>
      <c r="L49" s="4">
        <f t="shared" si="2"/>
        <v>1188424492</v>
      </c>
      <c r="M49" s="19"/>
    </row>
    <row r="50" spans="1:13" ht="18.75" customHeight="1">
      <c r="A50" s="6" t="str">
        <f t="shared" si="0"/>
        <v>C19</v>
      </c>
      <c r="B50" s="3">
        <v>41779</v>
      </c>
      <c r="C50" s="3">
        <v>41779</v>
      </c>
      <c r="D50" s="4"/>
      <c r="E50" s="22" t="s">
        <v>105</v>
      </c>
      <c r="F50" s="30" t="s">
        <v>259</v>
      </c>
      <c r="G50" s="50"/>
      <c r="H50" s="50"/>
      <c r="I50" s="28" t="s">
        <v>134</v>
      </c>
      <c r="J50" s="21"/>
      <c r="K50" s="5">
        <v>400000000</v>
      </c>
      <c r="L50" s="4">
        <f t="shared" si="2"/>
        <v>788424492</v>
      </c>
      <c r="M50" s="19"/>
    </row>
    <row r="51" spans="1:13" ht="18.75" customHeight="1">
      <c r="A51" s="6" t="str">
        <f t="shared" si="0"/>
        <v>C20</v>
      </c>
      <c r="B51" s="3">
        <v>41779</v>
      </c>
      <c r="C51" s="3">
        <v>41779</v>
      </c>
      <c r="D51" s="4"/>
      <c r="E51" s="22" t="s">
        <v>106</v>
      </c>
      <c r="F51" s="5" t="s">
        <v>50</v>
      </c>
      <c r="G51" s="5"/>
      <c r="H51" s="5"/>
      <c r="I51" s="28" t="s">
        <v>247</v>
      </c>
      <c r="J51" s="21"/>
      <c r="K51" s="5">
        <v>3278909</v>
      </c>
      <c r="L51" s="4">
        <f t="shared" si="2"/>
        <v>785145583</v>
      </c>
      <c r="M51" s="19"/>
    </row>
    <row r="52" spans="1:13" ht="18.75" customHeight="1">
      <c r="A52" s="6" t="str">
        <f t="shared" si="0"/>
        <v>C20</v>
      </c>
      <c r="B52" s="3">
        <v>41779</v>
      </c>
      <c r="C52" s="3">
        <v>41779</v>
      </c>
      <c r="D52" s="4"/>
      <c r="E52" s="22" t="s">
        <v>106</v>
      </c>
      <c r="F52" s="5" t="s">
        <v>357</v>
      </c>
      <c r="G52" s="5"/>
      <c r="H52" s="5"/>
      <c r="I52" s="28" t="s">
        <v>35</v>
      </c>
      <c r="J52" s="21"/>
      <c r="K52" s="5">
        <v>327891</v>
      </c>
      <c r="L52" s="4">
        <f t="shared" si="2"/>
        <v>784817692</v>
      </c>
      <c r="M52" s="19"/>
    </row>
    <row r="53" spans="1:13" ht="18.75" customHeight="1">
      <c r="A53" s="6" t="str">
        <f t="shared" si="0"/>
        <v>C21</v>
      </c>
      <c r="B53" s="3">
        <v>41779</v>
      </c>
      <c r="C53" s="3">
        <v>41779</v>
      </c>
      <c r="D53" s="4"/>
      <c r="E53" s="22" t="s">
        <v>107</v>
      </c>
      <c r="F53" s="5" t="s">
        <v>358</v>
      </c>
      <c r="G53" s="5"/>
      <c r="H53" s="5"/>
      <c r="I53" s="28" t="s">
        <v>247</v>
      </c>
      <c r="J53" s="21"/>
      <c r="K53" s="5">
        <v>800000</v>
      </c>
      <c r="L53" s="4">
        <f t="shared" si="2"/>
        <v>784017692</v>
      </c>
      <c r="M53" s="19"/>
    </row>
    <row r="54" spans="1:13" ht="18.75" customHeight="1">
      <c r="A54" s="6" t="str">
        <f t="shared" si="0"/>
        <v>C22</v>
      </c>
      <c r="B54" s="3">
        <v>41781</v>
      </c>
      <c r="C54" s="3">
        <v>41781</v>
      </c>
      <c r="D54" s="4"/>
      <c r="E54" s="22" t="s">
        <v>108</v>
      </c>
      <c r="F54" s="5" t="s">
        <v>51</v>
      </c>
      <c r="G54" s="5"/>
      <c r="H54" s="5"/>
      <c r="I54" s="28" t="s">
        <v>36</v>
      </c>
      <c r="J54" s="21"/>
      <c r="K54" s="5">
        <v>91000000</v>
      </c>
      <c r="L54" s="4">
        <f t="shared" si="2"/>
        <v>693017692</v>
      </c>
      <c r="M54" s="19"/>
    </row>
    <row r="55" spans="1:13" ht="18.75" customHeight="1">
      <c r="A55" s="6" t="str">
        <f t="shared" si="0"/>
        <v>C23</v>
      </c>
      <c r="B55" s="3">
        <v>41783</v>
      </c>
      <c r="C55" s="3">
        <v>41783</v>
      </c>
      <c r="D55" s="4"/>
      <c r="E55" s="22" t="s">
        <v>109</v>
      </c>
      <c r="F55" s="5" t="s">
        <v>51</v>
      </c>
      <c r="G55" s="5"/>
      <c r="H55" s="5"/>
      <c r="I55" s="28" t="s">
        <v>36</v>
      </c>
      <c r="J55" s="21"/>
      <c r="K55" s="5">
        <v>41000000</v>
      </c>
      <c r="L55" s="4">
        <f t="shared" si="2"/>
        <v>652017692</v>
      </c>
      <c r="M55" s="19"/>
    </row>
    <row r="56" spans="1:13" ht="18.75" customHeight="1">
      <c r="A56" s="6" t="str">
        <f t="shared" si="0"/>
        <v>C24</v>
      </c>
      <c r="B56" s="3">
        <v>41783</v>
      </c>
      <c r="C56" s="3">
        <v>41783</v>
      </c>
      <c r="D56" s="4"/>
      <c r="E56" s="22" t="s">
        <v>110</v>
      </c>
      <c r="F56" s="5" t="s">
        <v>359</v>
      </c>
      <c r="G56" s="5"/>
      <c r="H56" s="5"/>
      <c r="I56" s="28" t="s">
        <v>247</v>
      </c>
      <c r="J56" s="21"/>
      <c r="K56" s="5">
        <v>2934000</v>
      </c>
      <c r="L56" s="4">
        <f t="shared" si="2"/>
        <v>649083692</v>
      </c>
      <c r="M56" s="19"/>
    </row>
    <row r="57" spans="1:13" ht="18.75" customHeight="1">
      <c r="A57" s="6" t="str">
        <f t="shared" si="0"/>
        <v>C24</v>
      </c>
      <c r="B57" s="3">
        <v>41783</v>
      </c>
      <c r="C57" s="3">
        <v>41783</v>
      </c>
      <c r="D57" s="4"/>
      <c r="E57" s="22" t="s">
        <v>110</v>
      </c>
      <c r="F57" s="5" t="s">
        <v>360</v>
      </c>
      <c r="G57" s="5"/>
      <c r="H57" s="5"/>
      <c r="I57" s="28" t="s">
        <v>35</v>
      </c>
      <c r="J57" s="21"/>
      <c r="K57" s="5">
        <v>293400</v>
      </c>
      <c r="L57" s="4">
        <f t="shared" si="2"/>
        <v>648790292</v>
      </c>
      <c r="M57" s="19"/>
    </row>
    <row r="58" spans="1:13" ht="18.75" customHeight="1">
      <c r="A58" s="6" t="str">
        <f t="shared" si="0"/>
        <v>C25</v>
      </c>
      <c r="B58" s="3">
        <v>41785</v>
      </c>
      <c r="C58" s="3">
        <v>41785</v>
      </c>
      <c r="D58" s="4"/>
      <c r="E58" s="22" t="s">
        <v>111</v>
      </c>
      <c r="F58" s="5" t="s">
        <v>274</v>
      </c>
      <c r="G58" s="5"/>
      <c r="H58" s="5"/>
      <c r="I58" s="28" t="s">
        <v>247</v>
      </c>
      <c r="J58" s="21"/>
      <c r="K58" s="5">
        <v>17200000</v>
      </c>
      <c r="L58" s="4">
        <f t="shared" si="2"/>
        <v>631590292</v>
      </c>
      <c r="M58" s="19"/>
    </row>
    <row r="59" spans="1:13" ht="18.75" customHeight="1">
      <c r="A59" s="6" t="str">
        <f t="shared" si="0"/>
        <v>C25</v>
      </c>
      <c r="B59" s="3">
        <v>41785</v>
      </c>
      <c r="C59" s="3">
        <v>41785</v>
      </c>
      <c r="D59" s="4"/>
      <c r="E59" s="22" t="s">
        <v>111</v>
      </c>
      <c r="F59" s="5" t="s">
        <v>275</v>
      </c>
      <c r="G59" s="5"/>
      <c r="H59" s="5"/>
      <c r="I59" s="28" t="s">
        <v>35</v>
      </c>
      <c r="J59" s="21"/>
      <c r="K59" s="5">
        <v>1720000</v>
      </c>
      <c r="L59" s="4">
        <f t="shared" si="2"/>
        <v>629870292</v>
      </c>
      <c r="M59" s="19"/>
    </row>
    <row r="60" spans="1:13" ht="18.75" customHeight="1">
      <c r="A60" s="6" t="str">
        <f t="shared" si="0"/>
        <v>C26</v>
      </c>
      <c r="B60" s="3">
        <v>41786</v>
      </c>
      <c r="C60" s="3">
        <v>41786</v>
      </c>
      <c r="D60" s="4"/>
      <c r="E60" s="22" t="s">
        <v>112</v>
      </c>
      <c r="F60" s="5" t="s">
        <v>361</v>
      </c>
      <c r="G60" s="5"/>
      <c r="H60" s="5"/>
      <c r="I60" s="28" t="s">
        <v>256</v>
      </c>
      <c r="J60" s="21"/>
      <c r="K60" s="5">
        <v>500000</v>
      </c>
      <c r="L60" s="4">
        <f t="shared" si="2"/>
        <v>629370292</v>
      </c>
      <c r="M60" s="19"/>
    </row>
    <row r="61" spans="1:13" ht="18.75" customHeight="1">
      <c r="A61" s="6" t="str">
        <f t="shared" si="0"/>
        <v>C26</v>
      </c>
      <c r="B61" s="3">
        <v>41786</v>
      </c>
      <c r="C61" s="3">
        <v>41786</v>
      </c>
      <c r="D61" s="4"/>
      <c r="E61" s="22" t="s">
        <v>112</v>
      </c>
      <c r="F61" s="5" t="s">
        <v>362</v>
      </c>
      <c r="G61" s="5"/>
      <c r="H61" s="5"/>
      <c r="I61" s="28" t="s">
        <v>35</v>
      </c>
      <c r="J61" s="21"/>
      <c r="K61" s="5">
        <v>50000</v>
      </c>
      <c r="L61" s="4">
        <f t="shared" si="2"/>
        <v>629320292</v>
      </c>
      <c r="M61" s="19"/>
    </row>
    <row r="62" spans="1:13" ht="18.75" customHeight="1">
      <c r="A62" s="6" t="str">
        <f t="shared" si="0"/>
        <v>T08</v>
      </c>
      <c r="B62" s="3">
        <v>41787</v>
      </c>
      <c r="C62" s="3">
        <v>41787</v>
      </c>
      <c r="D62" s="4" t="s">
        <v>60</v>
      </c>
      <c r="E62" s="52"/>
      <c r="F62" s="5" t="s">
        <v>352</v>
      </c>
      <c r="G62" s="5"/>
      <c r="H62" s="5"/>
      <c r="I62" s="28" t="s">
        <v>36</v>
      </c>
      <c r="J62" s="21">
        <v>630000000</v>
      </c>
      <c r="K62" s="5"/>
      <c r="L62" s="4">
        <f t="shared" si="2"/>
        <v>1259320292</v>
      </c>
      <c r="M62" s="19"/>
    </row>
    <row r="63" spans="1:13" ht="18.75" customHeight="1">
      <c r="A63" s="6" t="str">
        <f t="shared" si="0"/>
        <v>C27</v>
      </c>
      <c r="B63" s="3">
        <v>41787</v>
      </c>
      <c r="C63" s="3">
        <v>41787</v>
      </c>
      <c r="D63" s="4"/>
      <c r="E63" s="22" t="s">
        <v>113</v>
      </c>
      <c r="F63" s="30" t="s">
        <v>259</v>
      </c>
      <c r="G63" s="50"/>
      <c r="H63" s="50"/>
      <c r="I63" s="28" t="s">
        <v>134</v>
      </c>
      <c r="J63" s="21"/>
      <c r="K63" s="5">
        <v>400000000</v>
      </c>
      <c r="L63" s="4">
        <f t="shared" si="2"/>
        <v>859320292</v>
      </c>
      <c r="M63" s="19"/>
    </row>
    <row r="64" spans="1:13" s="61" customFormat="1" ht="18.75" customHeight="1">
      <c r="A64" s="6" t="str">
        <f t="shared" si="0"/>
        <v>C28</v>
      </c>
      <c r="B64" s="3">
        <v>41787</v>
      </c>
      <c r="C64" s="3">
        <v>41787</v>
      </c>
      <c r="D64" s="4"/>
      <c r="E64" s="22" t="s">
        <v>114</v>
      </c>
      <c r="F64" s="30" t="s">
        <v>260</v>
      </c>
      <c r="G64" s="50"/>
      <c r="H64" s="50"/>
      <c r="I64" s="28" t="s">
        <v>134</v>
      </c>
      <c r="J64" s="21"/>
      <c r="K64" s="5">
        <v>350000000</v>
      </c>
      <c r="L64" s="4">
        <f t="shared" si="2"/>
        <v>509320292</v>
      </c>
      <c r="M64" s="19"/>
    </row>
    <row r="65" spans="1:13" ht="18.75" customHeight="1">
      <c r="A65" s="6" t="str">
        <f t="shared" si="0"/>
        <v>C29</v>
      </c>
      <c r="B65" s="3">
        <v>41787</v>
      </c>
      <c r="C65" s="3">
        <v>41787</v>
      </c>
      <c r="D65" s="4"/>
      <c r="E65" s="22" t="s">
        <v>115</v>
      </c>
      <c r="F65" s="5" t="s">
        <v>363</v>
      </c>
      <c r="G65" s="5"/>
      <c r="H65" s="5"/>
      <c r="I65" s="28" t="s">
        <v>256</v>
      </c>
      <c r="J65" s="21"/>
      <c r="K65" s="5">
        <v>2954545</v>
      </c>
      <c r="L65" s="4">
        <f t="shared" si="2"/>
        <v>506365747</v>
      </c>
      <c r="M65" s="19"/>
    </row>
    <row r="66" spans="1:13" ht="18.75" customHeight="1">
      <c r="A66" s="6" t="str">
        <f t="shared" si="0"/>
        <v>C29</v>
      </c>
      <c r="B66" s="3">
        <v>41787</v>
      </c>
      <c r="C66" s="3">
        <v>41787</v>
      </c>
      <c r="D66" s="4"/>
      <c r="E66" s="22" t="s">
        <v>115</v>
      </c>
      <c r="F66" s="5" t="s">
        <v>364</v>
      </c>
      <c r="G66" s="5"/>
      <c r="H66" s="5"/>
      <c r="I66" s="28" t="s">
        <v>35</v>
      </c>
      <c r="J66" s="21"/>
      <c r="K66" s="5">
        <v>295455</v>
      </c>
      <c r="L66" s="4">
        <f t="shared" si="2"/>
        <v>506070292</v>
      </c>
      <c r="M66" s="19"/>
    </row>
    <row r="67" spans="1:13" ht="18.75" customHeight="1">
      <c r="A67" s="6" t="str">
        <f t="shared" si="0"/>
        <v>C30</v>
      </c>
      <c r="B67" s="3">
        <v>41790</v>
      </c>
      <c r="C67" s="3">
        <v>41790</v>
      </c>
      <c r="D67" s="4"/>
      <c r="E67" s="22" t="s">
        <v>116</v>
      </c>
      <c r="F67" s="5" t="s">
        <v>50</v>
      </c>
      <c r="G67" s="5"/>
      <c r="H67" s="5"/>
      <c r="I67" s="28" t="s">
        <v>247</v>
      </c>
      <c r="J67" s="21"/>
      <c r="K67" s="5">
        <v>475364</v>
      </c>
      <c r="L67" s="4">
        <f t="shared" si="2"/>
        <v>505594928</v>
      </c>
      <c r="M67" s="19"/>
    </row>
    <row r="68" spans="1:13" ht="18.75" customHeight="1">
      <c r="A68" s="6" t="str">
        <f t="shared" si="0"/>
        <v>C30</v>
      </c>
      <c r="B68" s="3">
        <v>41790</v>
      </c>
      <c r="C68" s="3">
        <v>41790</v>
      </c>
      <c r="D68" s="4"/>
      <c r="E68" s="22" t="s">
        <v>116</v>
      </c>
      <c r="F68" s="30" t="s">
        <v>53</v>
      </c>
      <c r="G68" s="5"/>
      <c r="H68" s="5"/>
      <c r="I68" s="28" t="s">
        <v>54</v>
      </c>
      <c r="J68" s="21"/>
      <c r="K68" s="5">
        <v>3085909</v>
      </c>
      <c r="L68" s="4">
        <f t="shared" si="2"/>
        <v>502509019</v>
      </c>
      <c r="M68" s="19"/>
    </row>
    <row r="69" spans="1:13" ht="18.75" customHeight="1">
      <c r="A69" s="6" t="str">
        <f t="shared" si="0"/>
        <v>C30</v>
      </c>
      <c r="B69" s="3">
        <v>41790</v>
      </c>
      <c r="C69" s="3">
        <v>41790</v>
      </c>
      <c r="D69" s="4"/>
      <c r="E69" s="22" t="s">
        <v>116</v>
      </c>
      <c r="F69" s="5" t="s">
        <v>333</v>
      </c>
      <c r="G69" s="5"/>
      <c r="H69" s="5"/>
      <c r="I69" s="28" t="s">
        <v>35</v>
      </c>
      <c r="J69" s="21"/>
      <c r="K69" s="5">
        <v>356127</v>
      </c>
      <c r="L69" s="4">
        <f t="shared" si="2"/>
        <v>502152892</v>
      </c>
      <c r="M69" s="19"/>
    </row>
    <row r="70" spans="1:13" ht="18.75" customHeight="1">
      <c r="A70" s="6" t="str">
        <f t="shared" si="0"/>
        <v>C31</v>
      </c>
      <c r="B70" s="3">
        <v>41790</v>
      </c>
      <c r="C70" s="3">
        <v>41790</v>
      </c>
      <c r="D70" s="4"/>
      <c r="E70" s="22" t="s">
        <v>117</v>
      </c>
      <c r="F70" s="5" t="s">
        <v>50</v>
      </c>
      <c r="G70" s="5"/>
      <c r="H70" s="5"/>
      <c r="I70" s="28" t="s">
        <v>247</v>
      </c>
      <c r="J70" s="21"/>
      <c r="K70" s="5">
        <v>4548909</v>
      </c>
      <c r="L70" s="4">
        <f t="shared" si="2"/>
        <v>497603983</v>
      </c>
      <c r="M70" s="19"/>
    </row>
    <row r="71" spans="1:13" ht="18.75" customHeight="1">
      <c r="A71" s="6" t="str">
        <f t="shared" si="0"/>
        <v>C31</v>
      </c>
      <c r="B71" s="3">
        <v>41790</v>
      </c>
      <c r="C71" s="3">
        <v>41790</v>
      </c>
      <c r="D71" s="4"/>
      <c r="E71" s="22" t="s">
        <v>117</v>
      </c>
      <c r="F71" s="30" t="s">
        <v>53</v>
      </c>
      <c r="G71" s="5"/>
      <c r="H71" s="5"/>
      <c r="I71" s="28" t="s">
        <v>54</v>
      </c>
      <c r="J71" s="21"/>
      <c r="K71" s="5">
        <v>845345</v>
      </c>
      <c r="L71" s="4">
        <f t="shared" si="2"/>
        <v>496758638</v>
      </c>
      <c r="M71" s="19"/>
    </row>
    <row r="72" spans="1:13" ht="18.75" customHeight="1">
      <c r="A72" s="6" t="str">
        <f t="shared" si="0"/>
        <v>C31</v>
      </c>
      <c r="B72" s="3">
        <v>41790</v>
      </c>
      <c r="C72" s="3">
        <v>41790</v>
      </c>
      <c r="D72" s="4"/>
      <c r="E72" s="22" t="s">
        <v>117</v>
      </c>
      <c r="F72" s="5" t="s">
        <v>333</v>
      </c>
      <c r="G72" s="5"/>
      <c r="H72" s="5"/>
      <c r="I72" s="28" t="s">
        <v>35</v>
      </c>
      <c r="J72" s="21"/>
      <c r="K72" s="5">
        <v>539426</v>
      </c>
      <c r="L72" s="4">
        <f t="shared" si="2"/>
        <v>496219212</v>
      </c>
      <c r="M72" s="19"/>
    </row>
    <row r="73" spans="1:13" ht="18.75" customHeight="1">
      <c r="A73" s="6" t="str">
        <f t="shared" si="0"/>
        <v>C32</v>
      </c>
      <c r="B73" s="3">
        <v>41790</v>
      </c>
      <c r="C73" s="3">
        <v>41790</v>
      </c>
      <c r="D73" s="4"/>
      <c r="E73" s="22" t="s">
        <v>118</v>
      </c>
      <c r="F73" s="5" t="s">
        <v>365</v>
      </c>
      <c r="G73" s="5"/>
      <c r="H73" s="5"/>
      <c r="I73" s="28" t="s">
        <v>247</v>
      </c>
      <c r="J73" s="21"/>
      <c r="K73" s="5">
        <v>500000</v>
      </c>
      <c r="L73" s="4">
        <f t="shared" si="2"/>
        <v>495719212</v>
      </c>
      <c r="M73" s="19"/>
    </row>
    <row r="74" spans="1:13" ht="18.75" customHeight="1">
      <c r="A74" s="6" t="str">
        <f t="shared" si="0"/>
        <v>C33</v>
      </c>
      <c r="B74" s="3">
        <v>41790</v>
      </c>
      <c r="C74" s="3">
        <v>41790</v>
      </c>
      <c r="D74" s="4"/>
      <c r="E74" s="22" t="s">
        <v>119</v>
      </c>
      <c r="F74" s="5" t="s">
        <v>344</v>
      </c>
      <c r="G74" s="5"/>
      <c r="H74" s="5"/>
      <c r="I74" s="28" t="s">
        <v>37</v>
      </c>
      <c r="J74" s="21"/>
      <c r="K74" s="5">
        <v>125491183</v>
      </c>
      <c r="L74" s="4">
        <f t="shared" si="2"/>
        <v>370228029</v>
      </c>
      <c r="M74" s="19"/>
    </row>
    <row r="75" spans="1:13" ht="19.5" customHeight="1">
      <c r="B75" s="3"/>
      <c r="C75" s="3"/>
      <c r="D75" s="22"/>
      <c r="E75" s="4"/>
      <c r="F75" s="5"/>
      <c r="G75" s="374"/>
      <c r="H75" s="5"/>
      <c r="I75" s="4"/>
      <c r="J75" s="21"/>
      <c r="K75" s="5"/>
      <c r="L75" s="4"/>
      <c r="M75" s="19"/>
    </row>
    <row r="76" spans="1:13" s="44" customFormat="1" ht="19.5" customHeight="1">
      <c r="B76" s="42"/>
      <c r="C76" s="42"/>
      <c r="D76" s="42"/>
      <c r="E76" s="42"/>
      <c r="F76" s="42" t="s">
        <v>29</v>
      </c>
      <c r="G76" s="375"/>
      <c r="H76" s="42"/>
      <c r="I76" s="43" t="s">
        <v>30</v>
      </c>
      <c r="J76" s="42">
        <f>SUM(J13:J74)</f>
        <v>6295130000</v>
      </c>
      <c r="K76" s="42">
        <f>SUM(K13:K74)</f>
        <v>6124279286</v>
      </c>
      <c r="L76" s="43" t="s">
        <v>30</v>
      </c>
      <c r="M76" s="43" t="s">
        <v>30</v>
      </c>
    </row>
    <row r="77" spans="1:13" s="44" customFormat="1" ht="19.5" customHeight="1">
      <c r="B77" s="45"/>
      <c r="C77" s="45"/>
      <c r="D77" s="45"/>
      <c r="E77" s="45"/>
      <c r="F77" s="45" t="s">
        <v>31</v>
      </c>
      <c r="G77" s="376"/>
      <c r="H77" s="45"/>
      <c r="I77" s="46" t="s">
        <v>30</v>
      </c>
      <c r="J77" s="46" t="s">
        <v>30</v>
      </c>
      <c r="K77" s="46" t="s">
        <v>30</v>
      </c>
      <c r="L77" s="45">
        <f>L12+J76-K76</f>
        <v>370228029</v>
      </c>
      <c r="M77" s="46" t="s">
        <v>30</v>
      </c>
    </row>
    <row r="79" spans="1:13">
      <c r="B79" s="27" t="s">
        <v>47</v>
      </c>
    </row>
    <row r="80" spans="1:13">
      <c r="B80" s="27" t="s">
        <v>234</v>
      </c>
    </row>
    <row r="81" spans="3:12">
      <c r="L81" s="8" t="s">
        <v>235</v>
      </c>
    </row>
    <row r="82" spans="3:12" s="7" customFormat="1" ht="14.25">
      <c r="C82" s="7" t="s">
        <v>33</v>
      </c>
      <c r="F82" s="7" t="s">
        <v>13</v>
      </c>
      <c r="L82" s="7" t="s">
        <v>14</v>
      </c>
    </row>
    <row r="83" spans="3:12" s="2" customFormat="1">
      <c r="C83" s="2" t="s">
        <v>15</v>
      </c>
      <c r="F83" s="2" t="s">
        <v>15</v>
      </c>
      <c r="L83" s="2" t="s">
        <v>16</v>
      </c>
    </row>
    <row r="84" spans="3:12" s="2" customFormat="1"/>
  </sheetData>
  <autoFilter ref="A11:N74">
    <filterColumn colId="8"/>
    <filterColumn colId="9"/>
  </autoFilter>
  <sortState ref="A13:N80">
    <sortCondition ref="B13:B80"/>
  </sortState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21 H68">
    <cfRule type="expression" dxfId="1" priority="1" stopIfTrue="1">
      <formula>$C21&lt;&gt;""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84"/>
  <sheetViews>
    <sheetView topLeftCell="B1" zoomScale="90" workbookViewId="0">
      <selection activeCell="J1" sqref="J1:M3"/>
    </sheetView>
  </sheetViews>
  <sheetFormatPr defaultRowHeight="15"/>
  <cols>
    <col min="1" max="1" width="5.28515625" style="6" hidden="1" customWidth="1"/>
    <col min="2" max="3" width="10.140625" style="6" customWidth="1"/>
    <col min="4" max="5" width="6.7109375" style="6" customWidth="1"/>
    <col min="6" max="6" width="37.28515625" style="6" customWidth="1"/>
    <col min="7" max="7" width="9.85546875" style="6" hidden="1" customWidth="1"/>
    <col min="8" max="8" width="32.285156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384"/>
      <c r="D2" s="384"/>
      <c r="E2" s="384"/>
      <c r="F2" s="384"/>
      <c r="G2" s="384"/>
      <c r="H2" s="384"/>
      <c r="J2" s="393" t="s">
        <v>785</v>
      </c>
      <c r="K2" s="393"/>
      <c r="L2" s="393"/>
      <c r="M2" s="393"/>
    </row>
    <row r="3" spans="1:13" s="11" customFormat="1" ht="16.5" customHeight="1">
      <c r="B3" s="9"/>
      <c r="C3" s="384"/>
      <c r="D3" s="14"/>
      <c r="E3" s="14"/>
      <c r="F3" s="384"/>
      <c r="G3" s="384"/>
      <c r="H3" s="384"/>
      <c r="J3" s="393"/>
      <c r="K3" s="393"/>
      <c r="L3" s="393"/>
      <c r="M3" s="393"/>
    </row>
    <row r="4" spans="1:13" s="11" customFormat="1" ht="6.75" customHeight="1">
      <c r="B4" s="384"/>
      <c r="C4" s="384"/>
      <c r="D4" s="384"/>
      <c r="E4" s="384"/>
      <c r="F4" s="384"/>
      <c r="G4" s="384"/>
      <c r="H4" s="384"/>
      <c r="J4" s="385"/>
      <c r="K4" s="385"/>
      <c r="L4" s="385"/>
      <c r="M4" s="385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386" t="s">
        <v>5</v>
      </c>
      <c r="E10" s="386" t="s">
        <v>6</v>
      </c>
      <c r="F10" s="395"/>
      <c r="G10" s="397"/>
      <c r="H10" s="397"/>
      <c r="I10" s="395"/>
      <c r="J10" s="386" t="s">
        <v>25</v>
      </c>
      <c r="K10" s="386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'05'!L77</f>
        <v>370228029</v>
      </c>
      <c r="M12" s="36"/>
    </row>
    <row r="13" spans="1:13" ht="19.5" customHeight="1">
      <c r="A13" s="6" t="str">
        <f t="shared" ref="A13:A48" si="0">D13&amp;E13</f>
        <v>C01</v>
      </c>
      <c r="B13" s="3">
        <v>41791</v>
      </c>
      <c r="C13" s="3">
        <v>41788</v>
      </c>
      <c r="D13" s="4"/>
      <c r="E13" s="22" t="s">
        <v>87</v>
      </c>
      <c r="F13" s="5" t="s">
        <v>296</v>
      </c>
      <c r="G13" s="5"/>
      <c r="H13" s="5"/>
      <c r="I13" s="28" t="s">
        <v>256</v>
      </c>
      <c r="J13" s="21"/>
      <c r="K13" s="5">
        <v>963636</v>
      </c>
      <c r="L13" s="4">
        <f t="shared" ref="L13:L74" si="1">IF(F13&lt;&gt;"",L12+J13-K13,0)</f>
        <v>369264393</v>
      </c>
      <c r="M13" s="19"/>
    </row>
    <row r="14" spans="1:13" ht="19.5" customHeight="1">
      <c r="A14" s="6" t="str">
        <f t="shared" si="0"/>
        <v>C01</v>
      </c>
      <c r="B14" s="3">
        <v>41791</v>
      </c>
      <c r="C14" s="3">
        <v>41788</v>
      </c>
      <c r="D14" s="4"/>
      <c r="E14" s="22" t="s">
        <v>87</v>
      </c>
      <c r="F14" s="5" t="s">
        <v>297</v>
      </c>
      <c r="G14" s="5"/>
      <c r="H14" s="5"/>
      <c r="I14" s="28" t="s">
        <v>35</v>
      </c>
      <c r="J14" s="21"/>
      <c r="K14" s="5">
        <v>96364</v>
      </c>
      <c r="L14" s="4">
        <f t="shared" si="1"/>
        <v>369168029</v>
      </c>
      <c r="M14" s="19"/>
    </row>
    <row r="15" spans="1:13" ht="19.5" customHeight="1">
      <c r="A15" s="6" t="str">
        <f t="shared" si="0"/>
        <v>C02</v>
      </c>
      <c r="B15" s="3">
        <v>41791</v>
      </c>
      <c r="C15" s="3">
        <v>41789</v>
      </c>
      <c r="D15" s="4"/>
      <c r="E15" s="22" t="s">
        <v>88</v>
      </c>
      <c r="F15" s="5" t="s">
        <v>273</v>
      </c>
      <c r="G15" s="5"/>
      <c r="H15" s="5"/>
      <c r="I15" s="28" t="s">
        <v>256</v>
      </c>
      <c r="J15" s="21"/>
      <c r="K15" s="5">
        <v>240000</v>
      </c>
      <c r="L15" s="4">
        <f t="shared" si="1"/>
        <v>368928029</v>
      </c>
      <c r="M15" s="19"/>
    </row>
    <row r="16" spans="1:13" ht="19.5" customHeight="1">
      <c r="A16" s="6" t="str">
        <f t="shared" si="0"/>
        <v>C03</v>
      </c>
      <c r="B16" s="3">
        <v>41791</v>
      </c>
      <c r="C16" s="3">
        <v>41789</v>
      </c>
      <c r="D16" s="4"/>
      <c r="E16" s="22" t="s">
        <v>89</v>
      </c>
      <c r="F16" s="5" t="s">
        <v>226</v>
      </c>
      <c r="G16" s="5"/>
      <c r="H16" s="5"/>
      <c r="I16" s="28" t="s">
        <v>54</v>
      </c>
      <c r="J16" s="21"/>
      <c r="K16" s="5">
        <v>14420950</v>
      </c>
      <c r="L16" s="4">
        <f t="shared" si="1"/>
        <v>354507079</v>
      </c>
      <c r="M16" s="19"/>
    </row>
    <row r="17" spans="1:13" ht="19.5" customHeight="1">
      <c r="A17" s="6" t="str">
        <f t="shared" si="0"/>
        <v>C03</v>
      </c>
      <c r="B17" s="3">
        <v>41791</v>
      </c>
      <c r="C17" s="3">
        <v>41789</v>
      </c>
      <c r="D17" s="4"/>
      <c r="E17" s="22" t="s">
        <v>89</v>
      </c>
      <c r="F17" s="5" t="s">
        <v>55</v>
      </c>
      <c r="G17" s="5"/>
      <c r="H17" s="5"/>
      <c r="I17" s="28" t="s">
        <v>35</v>
      </c>
      <c r="J17" s="21"/>
      <c r="K17" s="5">
        <v>517500</v>
      </c>
      <c r="L17" s="4">
        <f t="shared" si="1"/>
        <v>353989579</v>
      </c>
      <c r="M17" s="19"/>
    </row>
    <row r="18" spans="1:13" ht="19.5" customHeight="1">
      <c r="A18" s="6" t="str">
        <f t="shared" si="0"/>
        <v>C03</v>
      </c>
      <c r="B18" s="3">
        <v>41791</v>
      </c>
      <c r="C18" s="3">
        <v>41789</v>
      </c>
      <c r="D18" s="4"/>
      <c r="E18" s="22" t="s">
        <v>89</v>
      </c>
      <c r="F18" s="5" t="s">
        <v>342</v>
      </c>
      <c r="G18" s="5"/>
      <c r="H18" s="5"/>
      <c r="I18" s="28" t="s">
        <v>35</v>
      </c>
      <c r="J18" s="21"/>
      <c r="K18" s="5">
        <v>244375</v>
      </c>
      <c r="L18" s="4">
        <f t="shared" si="1"/>
        <v>353745204</v>
      </c>
      <c r="M18" s="19"/>
    </row>
    <row r="19" spans="1:13" ht="19.5" customHeight="1">
      <c r="A19" s="6" t="str">
        <f t="shared" si="0"/>
        <v>C04</v>
      </c>
      <c r="B19" s="3">
        <v>41791</v>
      </c>
      <c r="C19" s="3">
        <v>41790</v>
      </c>
      <c r="D19" s="4"/>
      <c r="E19" s="22" t="s">
        <v>90</v>
      </c>
      <c r="F19" s="5" t="s">
        <v>366</v>
      </c>
      <c r="G19" s="5"/>
      <c r="H19" s="5"/>
      <c r="I19" s="28" t="s">
        <v>247</v>
      </c>
      <c r="J19" s="21"/>
      <c r="K19" s="5">
        <v>2239974</v>
      </c>
      <c r="L19" s="4">
        <f t="shared" si="1"/>
        <v>351505230</v>
      </c>
      <c r="M19" s="19"/>
    </row>
    <row r="20" spans="1:13" ht="19.5" customHeight="1">
      <c r="A20" s="6" t="str">
        <f t="shared" si="0"/>
        <v>C04</v>
      </c>
      <c r="B20" s="3">
        <v>41791</v>
      </c>
      <c r="C20" s="3">
        <v>41790</v>
      </c>
      <c r="D20" s="4"/>
      <c r="E20" s="22" t="s">
        <v>90</v>
      </c>
      <c r="F20" s="5" t="s">
        <v>367</v>
      </c>
      <c r="G20" s="5"/>
      <c r="H20" s="5"/>
      <c r="I20" s="28" t="s">
        <v>35</v>
      </c>
      <c r="J20" s="21"/>
      <c r="K20" s="5">
        <v>223997</v>
      </c>
      <c r="L20" s="4">
        <f t="shared" si="1"/>
        <v>351281233</v>
      </c>
      <c r="M20" s="19"/>
    </row>
    <row r="21" spans="1:13" ht="19.5" customHeight="1">
      <c r="A21" s="6" t="str">
        <f t="shared" si="0"/>
        <v>C05</v>
      </c>
      <c r="B21" s="3">
        <v>41793</v>
      </c>
      <c r="C21" s="3">
        <v>41793</v>
      </c>
      <c r="D21" s="4"/>
      <c r="E21" s="22" t="s">
        <v>91</v>
      </c>
      <c r="F21" s="5" t="s">
        <v>368</v>
      </c>
      <c r="G21" s="5"/>
      <c r="H21" s="5"/>
      <c r="I21" s="28" t="s">
        <v>247</v>
      </c>
      <c r="J21" s="21"/>
      <c r="K21" s="5">
        <v>63600</v>
      </c>
      <c r="L21" s="4">
        <f t="shared" si="1"/>
        <v>351217633</v>
      </c>
      <c r="M21" s="19"/>
    </row>
    <row r="22" spans="1:13" ht="19.5" customHeight="1">
      <c r="A22" s="6" t="str">
        <f t="shared" si="0"/>
        <v>C05</v>
      </c>
      <c r="B22" s="3">
        <v>41793</v>
      </c>
      <c r="C22" s="3">
        <v>41793</v>
      </c>
      <c r="D22" s="4"/>
      <c r="E22" s="22" t="s">
        <v>91</v>
      </c>
      <c r="F22" s="5" t="s">
        <v>369</v>
      </c>
      <c r="G22" s="5"/>
      <c r="H22" s="5"/>
      <c r="I22" s="28" t="s">
        <v>35</v>
      </c>
      <c r="J22" s="21"/>
      <c r="K22" s="5">
        <v>6360</v>
      </c>
      <c r="L22" s="4">
        <f t="shared" si="1"/>
        <v>351211273</v>
      </c>
      <c r="M22" s="19"/>
    </row>
    <row r="23" spans="1:13" ht="19.5" customHeight="1">
      <c r="A23" s="6" t="str">
        <f t="shared" si="0"/>
        <v>T01</v>
      </c>
      <c r="B23" s="3">
        <v>41794</v>
      </c>
      <c r="C23" s="3">
        <v>41794</v>
      </c>
      <c r="D23" s="4" t="s">
        <v>39</v>
      </c>
      <c r="E23" s="52"/>
      <c r="F23" s="5" t="s">
        <v>352</v>
      </c>
      <c r="G23" s="5"/>
      <c r="H23" s="5"/>
      <c r="I23" s="28" t="s">
        <v>36</v>
      </c>
      <c r="J23" s="21">
        <v>1050000000</v>
      </c>
      <c r="K23" s="5"/>
      <c r="L23" s="4">
        <f t="shared" si="1"/>
        <v>1401211273</v>
      </c>
      <c r="M23" s="19"/>
    </row>
    <row r="24" spans="1:13" ht="19.5" customHeight="1">
      <c r="A24" s="6" t="str">
        <f t="shared" si="0"/>
        <v>C06</v>
      </c>
      <c r="B24" s="3">
        <v>41794</v>
      </c>
      <c r="C24" s="3">
        <v>41794</v>
      </c>
      <c r="D24" s="4"/>
      <c r="E24" s="22" t="s">
        <v>92</v>
      </c>
      <c r="F24" s="30" t="s">
        <v>260</v>
      </c>
      <c r="G24" s="50"/>
      <c r="H24" s="50"/>
      <c r="I24" s="28" t="s">
        <v>134</v>
      </c>
      <c r="J24" s="21"/>
      <c r="K24" s="5">
        <v>800000000</v>
      </c>
      <c r="L24" s="4">
        <f t="shared" si="1"/>
        <v>601211273</v>
      </c>
      <c r="M24" s="19"/>
    </row>
    <row r="25" spans="1:13" ht="19.5" customHeight="1">
      <c r="A25" s="6" t="str">
        <f t="shared" si="0"/>
        <v>C07</v>
      </c>
      <c r="B25" s="3">
        <v>41802</v>
      </c>
      <c r="C25" s="3">
        <v>41802</v>
      </c>
      <c r="D25" s="4"/>
      <c r="E25" s="22" t="s">
        <v>93</v>
      </c>
      <c r="F25" s="5" t="s">
        <v>50</v>
      </c>
      <c r="G25" s="5"/>
      <c r="H25" s="5"/>
      <c r="I25" s="28" t="s">
        <v>247</v>
      </c>
      <c r="J25" s="21"/>
      <c r="K25" s="5">
        <v>3371273</v>
      </c>
      <c r="L25" s="4">
        <f t="shared" si="1"/>
        <v>597840000</v>
      </c>
      <c r="M25" s="19"/>
    </row>
    <row r="26" spans="1:13" ht="19.5" customHeight="1">
      <c r="A26" s="6" t="str">
        <f t="shared" si="0"/>
        <v>C07</v>
      </c>
      <c r="B26" s="3">
        <v>41802</v>
      </c>
      <c r="C26" s="3">
        <v>41802</v>
      </c>
      <c r="D26" s="4"/>
      <c r="E26" s="22" t="s">
        <v>93</v>
      </c>
      <c r="F26" s="5" t="s">
        <v>56</v>
      </c>
      <c r="G26" s="5"/>
      <c r="H26" s="5"/>
      <c r="I26" s="28" t="s">
        <v>35</v>
      </c>
      <c r="J26" s="21"/>
      <c r="K26" s="5">
        <v>337127</v>
      </c>
      <c r="L26" s="4">
        <f t="shared" si="1"/>
        <v>597502873</v>
      </c>
      <c r="M26" s="19"/>
    </row>
    <row r="27" spans="1:13" ht="19.5" customHeight="1">
      <c r="A27" s="6" t="str">
        <f t="shared" si="0"/>
        <v>C08</v>
      </c>
      <c r="B27" s="3">
        <v>41802</v>
      </c>
      <c r="C27" s="3">
        <v>41802</v>
      </c>
      <c r="D27" s="4"/>
      <c r="E27" s="22" t="s">
        <v>94</v>
      </c>
      <c r="F27" s="5" t="s">
        <v>370</v>
      </c>
      <c r="G27" s="5"/>
      <c r="H27" s="5"/>
      <c r="I27" s="28" t="s">
        <v>247</v>
      </c>
      <c r="J27" s="21"/>
      <c r="K27" s="5">
        <v>2706633</v>
      </c>
      <c r="L27" s="4">
        <f t="shared" si="1"/>
        <v>594796240</v>
      </c>
      <c r="M27" s="19"/>
    </row>
    <row r="28" spans="1:13" ht="19.5" customHeight="1">
      <c r="A28" s="6" t="str">
        <f t="shared" si="0"/>
        <v>C08</v>
      </c>
      <c r="B28" s="3">
        <v>41802</v>
      </c>
      <c r="C28" s="3">
        <v>41802</v>
      </c>
      <c r="D28" s="4"/>
      <c r="E28" s="22" t="s">
        <v>94</v>
      </c>
      <c r="F28" s="5" t="s">
        <v>371</v>
      </c>
      <c r="G28" s="5"/>
      <c r="H28" s="5"/>
      <c r="I28" s="28" t="s">
        <v>35</v>
      </c>
      <c r="J28" s="21"/>
      <c r="K28" s="5">
        <v>270663</v>
      </c>
      <c r="L28" s="4">
        <f t="shared" si="1"/>
        <v>594525577</v>
      </c>
      <c r="M28" s="19"/>
    </row>
    <row r="29" spans="1:13" ht="19.5" customHeight="1">
      <c r="A29" s="6" t="str">
        <f>D29&amp;E29</f>
        <v>C09</v>
      </c>
      <c r="B29" s="3">
        <v>41802</v>
      </c>
      <c r="C29" s="3">
        <v>41802</v>
      </c>
      <c r="D29" s="4"/>
      <c r="E29" s="22" t="s">
        <v>95</v>
      </c>
      <c r="F29" s="5" t="s">
        <v>50</v>
      </c>
      <c r="G29" s="5"/>
      <c r="H29" s="5"/>
      <c r="I29" s="28" t="s">
        <v>247</v>
      </c>
      <c r="J29" s="21"/>
      <c r="K29" s="5">
        <v>135818</v>
      </c>
      <c r="L29" s="4">
        <f t="shared" si="1"/>
        <v>594389759</v>
      </c>
      <c r="M29" s="19"/>
    </row>
    <row r="30" spans="1:13" ht="19.5" customHeight="1">
      <c r="A30" s="6" t="str">
        <f t="shared" si="0"/>
        <v>C09</v>
      </c>
      <c r="B30" s="3">
        <v>41802</v>
      </c>
      <c r="C30" s="3">
        <v>41802</v>
      </c>
      <c r="D30" s="4"/>
      <c r="E30" s="22" t="s">
        <v>95</v>
      </c>
      <c r="F30" s="30" t="s">
        <v>53</v>
      </c>
      <c r="G30" s="5"/>
      <c r="H30" s="5"/>
      <c r="I30" s="28" t="s">
        <v>54</v>
      </c>
      <c r="J30" s="21"/>
      <c r="K30" s="5">
        <v>1028636</v>
      </c>
      <c r="L30" s="4">
        <f t="shared" si="1"/>
        <v>593361123</v>
      </c>
      <c r="M30" s="19"/>
    </row>
    <row r="31" spans="1:13" ht="19.5" customHeight="1">
      <c r="A31" s="6" t="str">
        <f t="shared" si="0"/>
        <v>C09</v>
      </c>
      <c r="B31" s="3">
        <v>41802</v>
      </c>
      <c r="C31" s="3">
        <v>41802</v>
      </c>
      <c r="D31" s="4"/>
      <c r="E31" s="22" t="s">
        <v>95</v>
      </c>
      <c r="F31" s="5" t="s">
        <v>292</v>
      </c>
      <c r="G31" s="5"/>
      <c r="H31" s="5"/>
      <c r="I31" s="28" t="s">
        <v>35</v>
      </c>
      <c r="J31" s="21"/>
      <c r="K31" s="5">
        <v>116446</v>
      </c>
      <c r="L31" s="4">
        <f t="shared" si="1"/>
        <v>593244677</v>
      </c>
      <c r="M31" s="19"/>
    </row>
    <row r="32" spans="1:13" ht="19.5" customHeight="1">
      <c r="A32" s="6" t="str">
        <f t="shared" si="0"/>
        <v>T02</v>
      </c>
      <c r="B32" s="3">
        <f>C32</f>
        <v>41802</v>
      </c>
      <c r="C32" s="3">
        <v>41802</v>
      </c>
      <c r="D32" s="4" t="s">
        <v>40</v>
      </c>
      <c r="E32" s="22"/>
      <c r="F32" s="5" t="s">
        <v>353</v>
      </c>
      <c r="G32" s="5"/>
      <c r="H32" s="5"/>
      <c r="I32" s="28" t="s">
        <v>57</v>
      </c>
      <c r="J32" s="21">
        <v>1613000000</v>
      </c>
      <c r="K32" s="5"/>
      <c r="L32" s="4">
        <f t="shared" si="1"/>
        <v>2206244677</v>
      </c>
      <c r="M32" s="19"/>
    </row>
    <row r="33" spans="1:13" ht="19.5" customHeight="1">
      <c r="A33" s="6" t="str">
        <f t="shared" si="0"/>
        <v>T03</v>
      </c>
      <c r="B33" s="3">
        <v>41803</v>
      </c>
      <c r="C33" s="3">
        <v>41803</v>
      </c>
      <c r="D33" s="4" t="s">
        <v>41</v>
      </c>
      <c r="E33" s="52"/>
      <c r="F33" s="5" t="s">
        <v>352</v>
      </c>
      <c r="G33" s="5"/>
      <c r="H33" s="5"/>
      <c r="I33" s="28" t="s">
        <v>36</v>
      </c>
      <c r="J33" s="21">
        <v>2030000000</v>
      </c>
      <c r="K33" s="5"/>
      <c r="L33" s="4">
        <f t="shared" si="1"/>
        <v>4236244677</v>
      </c>
      <c r="M33" s="19"/>
    </row>
    <row r="34" spans="1:13" ht="19.5" customHeight="1">
      <c r="A34" s="6" t="str">
        <f>D34&amp;E34</f>
        <v>C10</v>
      </c>
      <c r="B34" s="3">
        <v>41803</v>
      </c>
      <c r="C34" s="3">
        <v>41803</v>
      </c>
      <c r="D34" s="4"/>
      <c r="E34" s="22" t="s">
        <v>96</v>
      </c>
      <c r="F34" s="30" t="s">
        <v>259</v>
      </c>
      <c r="G34" s="50"/>
      <c r="H34" s="50"/>
      <c r="I34" s="28" t="s">
        <v>134</v>
      </c>
      <c r="J34" s="21"/>
      <c r="K34" s="5">
        <v>800000000</v>
      </c>
      <c r="L34" s="4">
        <f t="shared" si="1"/>
        <v>3436244677</v>
      </c>
      <c r="M34" s="19"/>
    </row>
    <row r="35" spans="1:13" ht="19.5" customHeight="1">
      <c r="A35" s="6" t="str">
        <f t="shared" si="0"/>
        <v>C11</v>
      </c>
      <c r="B35" s="3">
        <v>41803</v>
      </c>
      <c r="C35" s="3">
        <v>41803</v>
      </c>
      <c r="D35" s="4"/>
      <c r="E35" s="22" t="s">
        <v>97</v>
      </c>
      <c r="F35" s="30" t="s">
        <v>260</v>
      </c>
      <c r="G35" s="50"/>
      <c r="H35" s="50"/>
      <c r="I35" s="28" t="s">
        <v>134</v>
      </c>
      <c r="J35" s="21"/>
      <c r="K35" s="5">
        <v>800000000</v>
      </c>
      <c r="L35" s="4">
        <f t="shared" si="1"/>
        <v>2636244677</v>
      </c>
      <c r="M35" s="19"/>
    </row>
    <row r="36" spans="1:13" ht="19.5" customHeight="1">
      <c r="A36" s="6" t="str">
        <f t="shared" si="0"/>
        <v>C12</v>
      </c>
      <c r="B36" s="3">
        <v>41805</v>
      </c>
      <c r="C36" s="3">
        <v>41805</v>
      </c>
      <c r="D36" s="4"/>
      <c r="E36" s="22" t="s">
        <v>98</v>
      </c>
      <c r="F36" s="5" t="s">
        <v>50</v>
      </c>
      <c r="G36" s="5"/>
      <c r="H36" s="5"/>
      <c r="I36" s="28" t="s">
        <v>247</v>
      </c>
      <c r="J36" s="21"/>
      <c r="K36" s="5">
        <v>113182</v>
      </c>
      <c r="L36" s="4">
        <f t="shared" si="1"/>
        <v>2636131495</v>
      </c>
      <c r="M36" s="19"/>
    </row>
    <row r="37" spans="1:13" ht="19.5" customHeight="1">
      <c r="A37" s="6" t="str">
        <f t="shared" si="0"/>
        <v>C12</v>
      </c>
      <c r="B37" s="3">
        <v>41805</v>
      </c>
      <c r="C37" s="3">
        <v>41805</v>
      </c>
      <c r="D37" s="4"/>
      <c r="E37" s="22" t="s">
        <v>98</v>
      </c>
      <c r="F37" s="30" t="s">
        <v>53</v>
      </c>
      <c r="G37" s="5"/>
      <c r="H37" s="5"/>
      <c r="I37" s="28" t="s">
        <v>54</v>
      </c>
      <c r="J37" s="21"/>
      <c r="K37" s="5">
        <v>1021818</v>
      </c>
      <c r="L37" s="4">
        <f t="shared" si="1"/>
        <v>2635109677</v>
      </c>
      <c r="M37" s="19"/>
    </row>
    <row r="38" spans="1:13" ht="19.5" customHeight="1">
      <c r="A38" s="6" t="str">
        <f t="shared" si="0"/>
        <v>C12</v>
      </c>
      <c r="B38" s="3">
        <v>41805</v>
      </c>
      <c r="C38" s="3">
        <v>41805</v>
      </c>
      <c r="D38" s="4"/>
      <c r="E38" s="22" t="s">
        <v>98</v>
      </c>
      <c r="F38" s="5" t="s">
        <v>372</v>
      </c>
      <c r="G38" s="5"/>
      <c r="H38" s="5"/>
      <c r="I38" s="28" t="s">
        <v>35</v>
      </c>
      <c r="J38" s="21"/>
      <c r="K38" s="5">
        <f>102182+11318</f>
        <v>113500</v>
      </c>
      <c r="L38" s="4">
        <f t="shared" si="1"/>
        <v>2634996177</v>
      </c>
      <c r="M38" s="19"/>
    </row>
    <row r="39" spans="1:13" ht="19.5" customHeight="1">
      <c r="A39" s="6" t="str">
        <f t="shared" si="0"/>
        <v>C13</v>
      </c>
      <c r="B39" s="3">
        <v>41805</v>
      </c>
      <c r="C39" s="3">
        <v>41805</v>
      </c>
      <c r="D39" s="4"/>
      <c r="E39" s="22" t="s">
        <v>99</v>
      </c>
      <c r="F39" s="30" t="s">
        <v>259</v>
      </c>
      <c r="G39" s="50"/>
      <c r="H39" s="50"/>
      <c r="I39" s="28" t="s">
        <v>134</v>
      </c>
      <c r="J39" s="21"/>
      <c r="K39" s="5">
        <v>650000000</v>
      </c>
      <c r="L39" s="4">
        <f t="shared" si="1"/>
        <v>1984996177</v>
      </c>
      <c r="M39" s="19"/>
    </row>
    <row r="40" spans="1:13" ht="19.5" customHeight="1">
      <c r="A40" s="6" t="str">
        <f t="shared" si="0"/>
        <v>C14</v>
      </c>
      <c r="B40" s="3">
        <v>41805</v>
      </c>
      <c r="C40" s="3">
        <v>41805</v>
      </c>
      <c r="D40" s="4"/>
      <c r="E40" s="22" t="s">
        <v>100</v>
      </c>
      <c r="F40" s="30" t="s">
        <v>260</v>
      </c>
      <c r="G40" s="50"/>
      <c r="H40" s="50"/>
      <c r="I40" s="28" t="s">
        <v>134</v>
      </c>
      <c r="J40" s="21"/>
      <c r="K40" s="5">
        <v>800000000</v>
      </c>
      <c r="L40" s="4">
        <f t="shared" si="1"/>
        <v>1184996177</v>
      </c>
      <c r="M40" s="19"/>
    </row>
    <row r="41" spans="1:13" ht="19.5" customHeight="1">
      <c r="A41" s="6" t="str">
        <f t="shared" si="0"/>
        <v>T04</v>
      </c>
      <c r="B41" s="3">
        <v>41806</v>
      </c>
      <c r="C41" s="3">
        <v>41806</v>
      </c>
      <c r="D41" s="4" t="s">
        <v>42</v>
      </c>
      <c r="E41" s="52"/>
      <c r="F41" s="5" t="s">
        <v>253</v>
      </c>
      <c r="G41" s="5"/>
      <c r="H41" s="5"/>
      <c r="I41" s="28" t="s">
        <v>36</v>
      </c>
      <c r="J41" s="21">
        <v>137000000</v>
      </c>
      <c r="K41" s="5"/>
      <c r="L41" s="4">
        <f t="shared" si="1"/>
        <v>1321996177</v>
      </c>
      <c r="M41" s="19"/>
    </row>
    <row r="42" spans="1:13" ht="19.5" customHeight="1">
      <c r="A42" s="6" t="str">
        <f t="shared" si="0"/>
        <v>C15</v>
      </c>
      <c r="B42" s="3">
        <v>41806</v>
      </c>
      <c r="C42" s="3">
        <v>41806</v>
      </c>
      <c r="D42" s="4"/>
      <c r="E42" s="22" t="s">
        <v>101</v>
      </c>
      <c r="F42" s="5" t="s">
        <v>373</v>
      </c>
      <c r="G42" s="5"/>
      <c r="H42" s="5"/>
      <c r="I42" s="28" t="s">
        <v>256</v>
      </c>
      <c r="J42" s="21"/>
      <c r="K42" s="5">
        <v>840000</v>
      </c>
      <c r="L42" s="4">
        <f t="shared" si="1"/>
        <v>1321156177</v>
      </c>
      <c r="M42" s="19"/>
    </row>
    <row r="43" spans="1:13" ht="19.5" customHeight="1">
      <c r="A43" s="6" t="str">
        <f t="shared" si="0"/>
        <v>C15</v>
      </c>
      <c r="B43" s="3">
        <v>41806</v>
      </c>
      <c r="C43" s="3">
        <v>41806</v>
      </c>
      <c r="D43" s="4"/>
      <c r="E43" s="22" t="s">
        <v>101</v>
      </c>
      <c r="F43" s="5" t="s">
        <v>374</v>
      </c>
      <c r="G43" s="5"/>
      <c r="H43" s="5"/>
      <c r="I43" s="28" t="s">
        <v>35</v>
      </c>
      <c r="J43" s="21"/>
      <c r="K43" s="5">
        <v>42000</v>
      </c>
      <c r="L43" s="4">
        <f t="shared" si="1"/>
        <v>1321114177</v>
      </c>
      <c r="M43" s="19"/>
    </row>
    <row r="44" spans="1:13" ht="19.5" customHeight="1">
      <c r="A44" s="6" t="str">
        <f t="shared" si="0"/>
        <v>C16</v>
      </c>
      <c r="B44" s="3">
        <v>41807</v>
      </c>
      <c r="C44" s="3">
        <v>41807</v>
      </c>
      <c r="D44" s="4"/>
      <c r="E44" s="22" t="s">
        <v>102</v>
      </c>
      <c r="F44" s="5" t="s">
        <v>296</v>
      </c>
      <c r="G44" s="5"/>
      <c r="H44" s="5"/>
      <c r="I44" s="28" t="s">
        <v>256</v>
      </c>
      <c r="J44" s="21"/>
      <c r="K44" s="5">
        <v>963636</v>
      </c>
      <c r="L44" s="4">
        <f t="shared" si="1"/>
        <v>1320150541</v>
      </c>
      <c r="M44" s="19"/>
    </row>
    <row r="45" spans="1:13" ht="19.5" customHeight="1">
      <c r="A45" s="6" t="str">
        <f t="shared" si="0"/>
        <v>C16</v>
      </c>
      <c r="B45" s="3">
        <v>41807</v>
      </c>
      <c r="C45" s="3">
        <v>41807</v>
      </c>
      <c r="D45" s="4"/>
      <c r="E45" s="22" t="s">
        <v>102</v>
      </c>
      <c r="F45" s="5" t="s">
        <v>297</v>
      </c>
      <c r="G45" s="5"/>
      <c r="H45" s="5"/>
      <c r="I45" s="28" t="s">
        <v>35</v>
      </c>
      <c r="J45" s="21"/>
      <c r="K45" s="5">
        <v>96364</v>
      </c>
      <c r="L45" s="4">
        <f t="shared" si="1"/>
        <v>1320054177</v>
      </c>
      <c r="M45" s="19"/>
    </row>
    <row r="46" spans="1:13" ht="19.5" customHeight="1">
      <c r="A46" s="6" t="str">
        <f t="shared" si="0"/>
        <v>T05</v>
      </c>
      <c r="B46" s="3">
        <v>41810</v>
      </c>
      <c r="C46" s="3">
        <v>41810</v>
      </c>
      <c r="D46" s="4" t="s">
        <v>43</v>
      </c>
      <c r="E46" s="52"/>
      <c r="F46" s="5" t="s">
        <v>253</v>
      </c>
      <c r="G46" s="5"/>
      <c r="H46" s="5"/>
      <c r="I46" s="28" t="s">
        <v>36</v>
      </c>
      <c r="J46" s="21">
        <v>980000000</v>
      </c>
      <c r="K46" s="5"/>
      <c r="L46" s="4">
        <f t="shared" si="1"/>
        <v>2300054177</v>
      </c>
      <c r="M46" s="19"/>
    </row>
    <row r="47" spans="1:13" ht="19.5" customHeight="1">
      <c r="A47" s="6" t="str">
        <f t="shared" si="0"/>
        <v>C17</v>
      </c>
      <c r="B47" s="3">
        <v>41810</v>
      </c>
      <c r="C47" s="3">
        <v>41810</v>
      </c>
      <c r="D47" s="4"/>
      <c r="E47" s="22" t="s">
        <v>103</v>
      </c>
      <c r="F47" s="5" t="s">
        <v>51</v>
      </c>
      <c r="G47" s="5"/>
      <c r="H47" s="5"/>
      <c r="I47" s="28" t="s">
        <v>36</v>
      </c>
      <c r="J47" s="21"/>
      <c r="K47" s="5">
        <v>5000000</v>
      </c>
      <c r="L47" s="4">
        <f t="shared" si="1"/>
        <v>2295054177</v>
      </c>
      <c r="M47" s="19"/>
    </row>
    <row r="48" spans="1:13" ht="19.5" customHeight="1">
      <c r="A48" s="6" t="str">
        <f t="shared" si="0"/>
        <v>C18</v>
      </c>
      <c r="B48" s="3">
        <v>41810</v>
      </c>
      <c r="C48" s="3">
        <v>41810</v>
      </c>
      <c r="D48" s="4"/>
      <c r="E48" s="22" t="s">
        <v>104</v>
      </c>
      <c r="F48" s="30" t="s">
        <v>260</v>
      </c>
      <c r="G48" s="50"/>
      <c r="H48" s="50"/>
      <c r="I48" s="28" t="s">
        <v>134</v>
      </c>
      <c r="J48" s="21"/>
      <c r="K48" s="5">
        <v>800000000</v>
      </c>
      <c r="L48" s="4">
        <f t="shared" si="1"/>
        <v>1495054177</v>
      </c>
      <c r="M48" s="19"/>
    </row>
    <row r="49" spans="1:13" ht="19.5" customHeight="1">
      <c r="A49" s="6" t="str">
        <f t="shared" ref="A49:A74" si="2">D49&amp;E49</f>
        <v>C19</v>
      </c>
      <c r="B49" s="3">
        <v>41813</v>
      </c>
      <c r="C49" s="3">
        <v>41813</v>
      </c>
      <c r="D49" s="4"/>
      <c r="E49" s="22" t="s">
        <v>105</v>
      </c>
      <c r="F49" s="5" t="s">
        <v>375</v>
      </c>
      <c r="G49" s="5"/>
      <c r="H49" s="5"/>
      <c r="I49" s="28" t="s">
        <v>247</v>
      </c>
      <c r="J49" s="21"/>
      <c r="K49" s="5">
        <v>1172400</v>
      </c>
      <c r="L49" s="4">
        <f t="shared" si="1"/>
        <v>1493881777</v>
      </c>
      <c r="M49" s="19"/>
    </row>
    <row r="50" spans="1:13" ht="19.5" customHeight="1">
      <c r="A50" s="6" t="str">
        <f t="shared" si="2"/>
        <v>C19</v>
      </c>
      <c r="B50" s="3">
        <v>41813</v>
      </c>
      <c r="C50" s="3">
        <v>41813</v>
      </c>
      <c r="D50" s="4"/>
      <c r="E50" s="22" t="s">
        <v>105</v>
      </c>
      <c r="F50" s="5" t="s">
        <v>376</v>
      </c>
      <c r="G50" s="5"/>
      <c r="H50" s="5"/>
      <c r="I50" s="28" t="s">
        <v>35</v>
      </c>
      <c r="J50" s="21"/>
      <c r="K50" s="5">
        <v>117240</v>
      </c>
      <c r="L50" s="4">
        <f t="shared" si="1"/>
        <v>1493764537</v>
      </c>
      <c r="M50" s="19"/>
    </row>
    <row r="51" spans="1:13" ht="19.5" customHeight="1">
      <c r="A51" s="6" t="str">
        <f t="shared" si="2"/>
        <v>C20</v>
      </c>
      <c r="B51" s="3">
        <v>41813</v>
      </c>
      <c r="C51" s="3">
        <v>41813</v>
      </c>
      <c r="D51" s="4"/>
      <c r="E51" s="22" t="s">
        <v>106</v>
      </c>
      <c r="F51" s="5" t="s">
        <v>50</v>
      </c>
      <c r="G51" s="5"/>
      <c r="H51" s="5"/>
      <c r="I51" s="28" t="s">
        <v>247</v>
      </c>
      <c r="J51" s="21"/>
      <c r="K51" s="5">
        <v>2490000</v>
      </c>
      <c r="L51" s="4">
        <f t="shared" si="1"/>
        <v>1491274537</v>
      </c>
      <c r="M51" s="19"/>
    </row>
    <row r="52" spans="1:13" ht="19.5" customHeight="1">
      <c r="A52" s="6" t="str">
        <f t="shared" si="2"/>
        <v>C20</v>
      </c>
      <c r="B52" s="3">
        <v>41813</v>
      </c>
      <c r="C52" s="3">
        <v>41813</v>
      </c>
      <c r="D52" s="4"/>
      <c r="E52" s="22" t="s">
        <v>106</v>
      </c>
      <c r="F52" s="30" t="s">
        <v>53</v>
      </c>
      <c r="G52" s="5"/>
      <c r="H52" s="5"/>
      <c r="I52" s="28" t="s">
        <v>54</v>
      </c>
      <c r="J52" s="21"/>
      <c r="K52" s="5">
        <v>2738473</v>
      </c>
      <c r="L52" s="4">
        <f t="shared" si="1"/>
        <v>1488536064</v>
      </c>
      <c r="M52" s="19"/>
    </row>
    <row r="53" spans="1:13" ht="19.5" customHeight="1">
      <c r="A53" s="6" t="str">
        <f t="shared" si="2"/>
        <v>C20</v>
      </c>
      <c r="B53" s="3">
        <v>41813</v>
      </c>
      <c r="C53" s="3">
        <v>41813</v>
      </c>
      <c r="D53" s="4"/>
      <c r="E53" s="22" t="s">
        <v>106</v>
      </c>
      <c r="F53" s="5" t="s">
        <v>333</v>
      </c>
      <c r="G53" s="5"/>
      <c r="H53" s="5"/>
      <c r="I53" s="28" t="s">
        <v>35</v>
      </c>
      <c r="J53" s="21"/>
      <c r="K53" s="5">
        <v>522847</v>
      </c>
      <c r="L53" s="4">
        <f t="shared" si="1"/>
        <v>1488013217</v>
      </c>
      <c r="M53" s="19"/>
    </row>
    <row r="54" spans="1:13" ht="19.5" customHeight="1">
      <c r="A54" s="6" t="str">
        <f t="shared" si="2"/>
        <v>C21</v>
      </c>
      <c r="B54" s="3">
        <v>41814</v>
      </c>
      <c r="C54" s="3">
        <v>41814</v>
      </c>
      <c r="D54" s="4"/>
      <c r="E54" s="22" t="s">
        <v>107</v>
      </c>
      <c r="F54" s="5" t="s">
        <v>377</v>
      </c>
      <c r="G54" s="5"/>
      <c r="H54" s="5"/>
      <c r="I54" s="28" t="s">
        <v>247</v>
      </c>
      <c r="J54" s="21"/>
      <c r="K54" s="5">
        <v>1151601</v>
      </c>
      <c r="L54" s="4">
        <f t="shared" si="1"/>
        <v>1486861616</v>
      </c>
      <c r="M54" s="19"/>
    </row>
    <row r="55" spans="1:13" ht="19.5" customHeight="1">
      <c r="A55" s="6" t="str">
        <f t="shared" si="2"/>
        <v>C21</v>
      </c>
      <c r="B55" s="3">
        <v>41814</v>
      </c>
      <c r="C55" s="3">
        <v>41814</v>
      </c>
      <c r="D55" s="4"/>
      <c r="E55" s="22" t="s">
        <v>107</v>
      </c>
      <c r="F55" s="5" t="s">
        <v>378</v>
      </c>
      <c r="G55" s="5"/>
      <c r="H55" s="5"/>
      <c r="I55" s="28" t="s">
        <v>35</v>
      </c>
      <c r="J55" s="21"/>
      <c r="K55" s="5">
        <v>115160</v>
      </c>
      <c r="L55" s="4">
        <f t="shared" si="1"/>
        <v>1486746456</v>
      </c>
      <c r="M55" s="19"/>
    </row>
    <row r="56" spans="1:13" ht="19.5" customHeight="1">
      <c r="A56" s="6" t="str">
        <f t="shared" si="2"/>
        <v>C22</v>
      </c>
      <c r="B56" s="3">
        <v>41814</v>
      </c>
      <c r="C56" s="3">
        <v>41814</v>
      </c>
      <c r="D56" s="4"/>
      <c r="E56" s="22" t="s">
        <v>108</v>
      </c>
      <c r="F56" s="5" t="s">
        <v>379</v>
      </c>
      <c r="G56" s="5"/>
      <c r="H56" s="5"/>
      <c r="I56" s="28" t="s">
        <v>54</v>
      </c>
      <c r="J56" s="21"/>
      <c r="K56" s="5">
        <v>3900000</v>
      </c>
      <c r="L56" s="4">
        <f t="shared" si="1"/>
        <v>1482846456</v>
      </c>
      <c r="M56" s="19"/>
    </row>
    <row r="57" spans="1:13" ht="19.5" customHeight="1">
      <c r="A57" s="6" t="str">
        <f t="shared" si="2"/>
        <v>C23</v>
      </c>
      <c r="B57" s="3">
        <v>41816</v>
      </c>
      <c r="C57" s="3">
        <v>41816</v>
      </c>
      <c r="D57" s="4"/>
      <c r="E57" s="22" t="s">
        <v>109</v>
      </c>
      <c r="F57" s="5" t="s">
        <v>274</v>
      </c>
      <c r="G57" s="5"/>
      <c r="H57" s="5"/>
      <c r="I57" s="28" t="s">
        <v>247</v>
      </c>
      <c r="J57" s="21"/>
      <c r="K57" s="5">
        <v>17200000</v>
      </c>
      <c r="L57" s="4">
        <f t="shared" si="1"/>
        <v>1465646456</v>
      </c>
      <c r="M57" s="19"/>
    </row>
    <row r="58" spans="1:13" ht="19.5" customHeight="1">
      <c r="A58" s="6" t="str">
        <f t="shared" si="2"/>
        <v>C23</v>
      </c>
      <c r="B58" s="3">
        <v>41816</v>
      </c>
      <c r="C58" s="3">
        <v>41816</v>
      </c>
      <c r="D58" s="4"/>
      <c r="E58" s="22" t="s">
        <v>109</v>
      </c>
      <c r="F58" s="5" t="s">
        <v>275</v>
      </c>
      <c r="G58" s="5"/>
      <c r="H58" s="5"/>
      <c r="I58" s="28" t="s">
        <v>35</v>
      </c>
      <c r="J58" s="21"/>
      <c r="K58" s="5">
        <v>1720000</v>
      </c>
      <c r="L58" s="4">
        <f t="shared" si="1"/>
        <v>1463926456</v>
      </c>
      <c r="M58" s="19"/>
    </row>
    <row r="59" spans="1:13" ht="19.5" customHeight="1">
      <c r="A59" s="6" t="str">
        <f t="shared" si="2"/>
        <v>C24</v>
      </c>
      <c r="B59" s="3">
        <v>41816</v>
      </c>
      <c r="C59" s="3">
        <v>41816</v>
      </c>
      <c r="D59" s="4"/>
      <c r="E59" s="22" t="s">
        <v>110</v>
      </c>
      <c r="F59" s="30" t="s">
        <v>259</v>
      </c>
      <c r="G59" s="50"/>
      <c r="H59" s="50"/>
      <c r="I59" s="28" t="s">
        <v>134</v>
      </c>
      <c r="J59" s="21"/>
      <c r="K59" s="5">
        <v>600000000</v>
      </c>
      <c r="L59" s="4">
        <f t="shared" si="1"/>
        <v>863926456</v>
      </c>
      <c r="M59" s="19"/>
    </row>
    <row r="60" spans="1:13" ht="19.5" customHeight="1">
      <c r="A60" s="6" t="str">
        <f t="shared" si="2"/>
        <v>C25</v>
      </c>
      <c r="B60" s="3">
        <v>41816</v>
      </c>
      <c r="C60" s="3">
        <v>41816</v>
      </c>
      <c r="D60" s="4"/>
      <c r="E60" s="22" t="s">
        <v>111</v>
      </c>
      <c r="F60" s="30" t="s">
        <v>260</v>
      </c>
      <c r="G60" s="50"/>
      <c r="H60" s="50"/>
      <c r="I60" s="28" t="s">
        <v>134</v>
      </c>
      <c r="J60" s="21"/>
      <c r="K60" s="5">
        <v>650000000</v>
      </c>
      <c r="L60" s="4">
        <f t="shared" si="1"/>
        <v>213926456</v>
      </c>
      <c r="M60" s="19"/>
    </row>
    <row r="61" spans="1:13" ht="19.5" customHeight="1">
      <c r="A61" s="6" t="str">
        <f t="shared" si="2"/>
        <v>C26</v>
      </c>
      <c r="B61" s="3">
        <v>41818</v>
      </c>
      <c r="C61" s="3">
        <v>41818</v>
      </c>
      <c r="D61" s="4"/>
      <c r="E61" s="22" t="s">
        <v>112</v>
      </c>
      <c r="F61" s="5" t="s">
        <v>380</v>
      </c>
      <c r="G61" s="5"/>
      <c r="H61" s="5"/>
      <c r="I61" s="28" t="s">
        <v>247</v>
      </c>
      <c r="J61" s="21"/>
      <c r="K61" s="5">
        <v>380000</v>
      </c>
      <c r="L61" s="4">
        <f t="shared" si="1"/>
        <v>213546456</v>
      </c>
      <c r="M61" s="19"/>
    </row>
    <row r="62" spans="1:13" ht="19.5" customHeight="1">
      <c r="A62" s="6" t="str">
        <f t="shared" si="2"/>
        <v>C26</v>
      </c>
      <c r="B62" s="3">
        <v>41818</v>
      </c>
      <c r="C62" s="3">
        <v>41818</v>
      </c>
      <c r="D62" s="4"/>
      <c r="E62" s="22" t="s">
        <v>112</v>
      </c>
      <c r="F62" s="5" t="s">
        <v>381</v>
      </c>
      <c r="G62" s="5"/>
      <c r="H62" s="5"/>
      <c r="I62" s="28" t="s">
        <v>35</v>
      </c>
      <c r="J62" s="21"/>
      <c r="K62" s="5">
        <v>19000</v>
      </c>
      <c r="L62" s="4">
        <f t="shared" si="1"/>
        <v>213527456</v>
      </c>
      <c r="M62" s="19"/>
    </row>
    <row r="63" spans="1:13" ht="19.5" customHeight="1">
      <c r="A63" s="6" t="str">
        <f t="shared" si="2"/>
        <v>T06</v>
      </c>
      <c r="B63" s="3">
        <v>41820</v>
      </c>
      <c r="C63" s="3">
        <v>41820</v>
      </c>
      <c r="D63" s="4" t="s">
        <v>44</v>
      </c>
      <c r="E63" s="52"/>
      <c r="F63" s="5" t="s">
        <v>253</v>
      </c>
      <c r="G63" s="5"/>
      <c r="H63" s="5"/>
      <c r="I63" s="28" t="s">
        <v>36</v>
      </c>
      <c r="J63" s="21">
        <v>1000000000</v>
      </c>
      <c r="K63" s="5"/>
      <c r="L63" s="4">
        <f t="shared" si="1"/>
        <v>1213527456</v>
      </c>
      <c r="M63" s="19"/>
    </row>
    <row r="64" spans="1:13" ht="19.5" customHeight="1">
      <c r="A64" s="6" t="str">
        <f t="shared" si="2"/>
        <v>C27</v>
      </c>
      <c r="B64" s="3">
        <v>41820</v>
      </c>
      <c r="C64" s="3">
        <v>41820</v>
      </c>
      <c r="D64" s="4"/>
      <c r="E64" s="22" t="s">
        <v>113</v>
      </c>
      <c r="F64" s="5" t="s">
        <v>50</v>
      </c>
      <c r="G64" s="5"/>
      <c r="H64" s="5"/>
      <c r="I64" s="28" t="s">
        <v>247</v>
      </c>
      <c r="J64" s="21"/>
      <c r="K64" s="5">
        <v>5356518</v>
      </c>
      <c r="L64" s="4">
        <f t="shared" si="1"/>
        <v>1208170938</v>
      </c>
      <c r="M64" s="19"/>
    </row>
    <row r="65" spans="1:13" ht="19.5" customHeight="1">
      <c r="A65" s="6" t="str">
        <f t="shared" si="2"/>
        <v>C27</v>
      </c>
      <c r="B65" s="3">
        <v>41820</v>
      </c>
      <c r="C65" s="3">
        <v>41820</v>
      </c>
      <c r="D65" s="4"/>
      <c r="E65" s="22" t="s">
        <v>113</v>
      </c>
      <c r="F65" s="5" t="s">
        <v>56</v>
      </c>
      <c r="G65" s="5"/>
      <c r="H65" s="5"/>
      <c r="I65" s="28" t="s">
        <v>35</v>
      </c>
      <c r="J65" s="21"/>
      <c r="K65" s="5">
        <v>535652</v>
      </c>
      <c r="L65" s="4">
        <f t="shared" si="1"/>
        <v>1207635286</v>
      </c>
      <c r="M65" s="19"/>
    </row>
    <row r="66" spans="1:13" ht="19.5" customHeight="1">
      <c r="A66" s="6" t="str">
        <f t="shared" si="2"/>
        <v>C28</v>
      </c>
      <c r="B66" s="3">
        <v>41820</v>
      </c>
      <c r="C66" s="3">
        <v>41820</v>
      </c>
      <c r="D66" s="4"/>
      <c r="E66" s="22" t="s">
        <v>114</v>
      </c>
      <c r="F66" s="5" t="s">
        <v>50</v>
      </c>
      <c r="G66" s="5"/>
      <c r="H66" s="5"/>
      <c r="I66" s="28" t="s">
        <v>247</v>
      </c>
      <c r="J66" s="21"/>
      <c r="K66" s="5">
        <v>91745</v>
      </c>
      <c r="L66" s="4">
        <f t="shared" si="1"/>
        <v>1207543541</v>
      </c>
      <c r="M66" s="19"/>
    </row>
    <row r="67" spans="1:13" ht="19.5" customHeight="1">
      <c r="A67" s="6" t="str">
        <f t="shared" si="2"/>
        <v>C28</v>
      </c>
      <c r="B67" s="3">
        <v>41820</v>
      </c>
      <c r="C67" s="3">
        <v>41820</v>
      </c>
      <c r="D67" s="4"/>
      <c r="E67" s="22" t="s">
        <v>114</v>
      </c>
      <c r="F67" s="30" t="s">
        <v>53</v>
      </c>
      <c r="G67" s="5"/>
      <c r="H67" s="5"/>
      <c r="I67" s="28" t="s">
        <v>54</v>
      </c>
      <c r="J67" s="21"/>
      <c r="K67" s="5">
        <v>1022727</v>
      </c>
      <c r="L67" s="4">
        <f t="shared" si="1"/>
        <v>1206520814</v>
      </c>
      <c r="M67" s="19"/>
    </row>
    <row r="68" spans="1:13" ht="19.5" customHeight="1">
      <c r="A68" s="6" t="str">
        <f t="shared" si="2"/>
        <v>C28</v>
      </c>
      <c r="B68" s="3">
        <v>41820</v>
      </c>
      <c r="C68" s="3">
        <v>41820</v>
      </c>
      <c r="D68" s="4"/>
      <c r="E68" s="22" t="s">
        <v>114</v>
      </c>
      <c r="F68" s="5" t="s">
        <v>333</v>
      </c>
      <c r="G68" s="5"/>
      <c r="H68" s="5"/>
      <c r="I68" s="28" t="s">
        <v>35</v>
      </c>
      <c r="J68" s="21"/>
      <c r="K68" s="5">
        <v>111448</v>
      </c>
      <c r="L68" s="4">
        <f t="shared" si="1"/>
        <v>1206409366</v>
      </c>
      <c r="M68" s="19"/>
    </row>
    <row r="69" spans="1:13" ht="19.5" customHeight="1">
      <c r="A69" s="6" t="str">
        <f t="shared" si="2"/>
        <v>C29</v>
      </c>
      <c r="B69" s="3">
        <v>41820</v>
      </c>
      <c r="C69" s="3">
        <v>41820</v>
      </c>
      <c r="D69" s="4"/>
      <c r="E69" s="22" t="s">
        <v>115</v>
      </c>
      <c r="F69" s="5" t="s">
        <v>323</v>
      </c>
      <c r="G69" s="5"/>
      <c r="H69" s="5"/>
      <c r="I69" s="28" t="s">
        <v>54</v>
      </c>
      <c r="J69" s="21"/>
      <c r="K69" s="5">
        <v>14617250</v>
      </c>
      <c r="L69" s="4">
        <f t="shared" si="1"/>
        <v>1191792116</v>
      </c>
      <c r="M69" s="19"/>
    </row>
    <row r="70" spans="1:13" ht="19.5" customHeight="1">
      <c r="A70" s="6" t="str">
        <f>D70&amp;E70</f>
        <v>C29</v>
      </c>
      <c r="B70" s="3">
        <v>41820</v>
      </c>
      <c r="C70" s="3">
        <v>41820</v>
      </c>
      <c r="D70" s="4"/>
      <c r="E70" s="22" t="s">
        <v>115</v>
      </c>
      <c r="F70" s="5" t="s">
        <v>55</v>
      </c>
      <c r="G70" s="5"/>
      <c r="H70" s="5"/>
      <c r="I70" s="28" t="s">
        <v>35</v>
      </c>
      <c r="J70" s="21"/>
      <c r="K70" s="5">
        <v>608100</v>
      </c>
      <c r="L70" s="4">
        <f t="shared" si="1"/>
        <v>1191184016</v>
      </c>
      <c r="M70" s="19"/>
    </row>
    <row r="71" spans="1:13" ht="19.5" customHeight="1">
      <c r="A71" s="6" t="str">
        <f>D71&amp;E71</f>
        <v>C29</v>
      </c>
      <c r="B71" s="3">
        <v>41820</v>
      </c>
      <c r="C71" s="3">
        <v>41820</v>
      </c>
      <c r="D71" s="4"/>
      <c r="E71" s="22" t="s">
        <v>115</v>
      </c>
      <c r="F71" s="5" t="s">
        <v>342</v>
      </c>
      <c r="G71" s="5"/>
      <c r="H71" s="5"/>
      <c r="I71" s="28" t="s">
        <v>35</v>
      </c>
      <c r="J71" s="21"/>
      <c r="K71" s="5">
        <v>245525</v>
      </c>
      <c r="L71" s="4">
        <f t="shared" si="1"/>
        <v>1190938491</v>
      </c>
      <c r="M71" s="19"/>
    </row>
    <row r="72" spans="1:13" ht="19.5" customHeight="1">
      <c r="A72" s="6" t="str">
        <f t="shared" si="2"/>
        <v>C30</v>
      </c>
      <c r="B72" s="3">
        <v>41820</v>
      </c>
      <c r="C72" s="3">
        <v>41820</v>
      </c>
      <c r="D72" s="4"/>
      <c r="E72" s="22" t="s">
        <v>116</v>
      </c>
      <c r="F72" s="30" t="s">
        <v>382</v>
      </c>
      <c r="G72" s="50"/>
      <c r="H72" s="50"/>
      <c r="I72" s="28" t="s">
        <v>38</v>
      </c>
      <c r="J72" s="21"/>
      <c r="K72" s="5">
        <v>3659856</v>
      </c>
      <c r="L72" s="4">
        <f t="shared" si="1"/>
        <v>1187278635</v>
      </c>
      <c r="M72" s="19"/>
    </row>
    <row r="73" spans="1:13" ht="19.5" customHeight="1">
      <c r="A73" s="6" t="str">
        <f t="shared" si="2"/>
        <v>C31</v>
      </c>
      <c r="B73" s="3">
        <v>41820</v>
      </c>
      <c r="C73" s="3">
        <v>41820</v>
      </c>
      <c r="D73" s="4"/>
      <c r="E73" s="22" t="s">
        <v>117</v>
      </c>
      <c r="F73" s="5" t="s">
        <v>344</v>
      </c>
      <c r="G73" s="5"/>
      <c r="H73" s="5"/>
      <c r="I73" s="28" t="s">
        <v>37</v>
      </c>
      <c r="J73" s="21"/>
      <c r="K73" s="5">
        <v>142445705</v>
      </c>
      <c r="L73" s="4">
        <f t="shared" si="1"/>
        <v>1044832930</v>
      </c>
      <c r="M73" s="19"/>
    </row>
    <row r="74" spans="1:13" ht="19.5" customHeight="1">
      <c r="A74" s="6" t="str">
        <f t="shared" si="2"/>
        <v>T07</v>
      </c>
      <c r="B74" s="3">
        <f>C74</f>
        <v>41820</v>
      </c>
      <c r="C74" s="3">
        <v>41820</v>
      </c>
      <c r="D74" s="22" t="s">
        <v>58</v>
      </c>
      <c r="E74" s="22"/>
      <c r="F74" s="5" t="s">
        <v>353</v>
      </c>
      <c r="G74" s="5"/>
      <c r="H74" s="5"/>
      <c r="I74" s="28" t="s">
        <v>57</v>
      </c>
      <c r="J74" s="21">
        <v>927000000</v>
      </c>
      <c r="K74" s="5"/>
      <c r="L74" s="4">
        <f t="shared" si="1"/>
        <v>1971832930</v>
      </c>
      <c r="M74" s="19"/>
    </row>
    <row r="75" spans="1:13" ht="18" customHeight="1">
      <c r="A75" s="6" t="str">
        <f>D75&amp;E75</f>
        <v/>
      </c>
      <c r="B75" s="3"/>
      <c r="C75" s="3"/>
      <c r="D75" s="4"/>
      <c r="E75" s="22"/>
      <c r="F75" s="5"/>
      <c r="G75" s="5"/>
      <c r="H75" s="5"/>
      <c r="I75" s="28"/>
      <c r="J75" s="21"/>
      <c r="K75" s="5"/>
      <c r="L75" s="4"/>
      <c r="M75" s="19"/>
    </row>
    <row r="76" spans="1:13" s="44" customFormat="1" ht="18" customHeight="1">
      <c r="A76" s="6" t="str">
        <f>D76&amp;E76</f>
        <v/>
      </c>
      <c r="B76" s="42"/>
      <c r="C76" s="42"/>
      <c r="D76" s="42"/>
      <c r="E76" s="42"/>
      <c r="F76" s="42" t="s">
        <v>29</v>
      </c>
      <c r="G76" s="42"/>
      <c r="H76" s="42"/>
      <c r="I76" s="43" t="s">
        <v>30</v>
      </c>
      <c r="J76" s="42">
        <f>SUM(J13:J74)</f>
        <v>7737000000</v>
      </c>
      <c r="K76" s="42">
        <f>SUM(K13:K74)</f>
        <v>6135395099</v>
      </c>
      <c r="L76" s="43" t="s">
        <v>30</v>
      </c>
      <c r="M76" s="43" t="s">
        <v>30</v>
      </c>
    </row>
    <row r="77" spans="1:13" s="44" customFormat="1" ht="18" customHeight="1">
      <c r="A77" s="6" t="str">
        <f>D77&amp;E77</f>
        <v/>
      </c>
      <c r="B77" s="45"/>
      <c r="C77" s="45"/>
      <c r="D77" s="45"/>
      <c r="E77" s="45"/>
      <c r="F77" s="45" t="s">
        <v>31</v>
      </c>
      <c r="G77" s="45"/>
      <c r="H77" s="45"/>
      <c r="I77" s="46" t="s">
        <v>30</v>
      </c>
      <c r="J77" s="46" t="s">
        <v>30</v>
      </c>
      <c r="K77" s="46" t="s">
        <v>30</v>
      </c>
      <c r="L77" s="45">
        <f>L12+J76-K76</f>
        <v>1971832930</v>
      </c>
      <c r="M77" s="46" t="s">
        <v>30</v>
      </c>
    </row>
    <row r="79" spans="1:13">
      <c r="B79" s="27" t="s">
        <v>32</v>
      </c>
    </row>
    <row r="80" spans="1:13">
      <c r="B80" s="27" t="s">
        <v>236</v>
      </c>
    </row>
    <row r="81" spans="3:12">
      <c r="L81" s="8" t="s">
        <v>237</v>
      </c>
    </row>
    <row r="82" spans="3:12" s="7" customFormat="1" ht="14.25">
      <c r="C82" s="7" t="s">
        <v>33</v>
      </c>
      <c r="F82" s="7" t="s">
        <v>13</v>
      </c>
      <c r="L82" s="7" t="s">
        <v>14</v>
      </c>
    </row>
    <row r="83" spans="3:12" s="2" customFormat="1">
      <c r="C83" s="2" t="s">
        <v>15</v>
      </c>
      <c r="F83" s="2" t="s">
        <v>15</v>
      </c>
      <c r="L83" s="2" t="s">
        <v>16</v>
      </c>
    </row>
    <row r="84" spans="3:12" s="2" customFormat="1"/>
  </sheetData>
  <autoFilter ref="B11:M77">
    <filterColumn colId="7"/>
  </autoFilter>
  <sortState ref="A13:M85">
    <sortCondition ref="B13:B85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15 H29 H71">
    <cfRule type="expression" dxfId="0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106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3" width="11.28515625" style="6" customWidth="1"/>
    <col min="4" max="5" width="6.85546875" style="6" customWidth="1"/>
    <col min="6" max="6" width="35.85546875" style="6" customWidth="1"/>
    <col min="7" max="7" width="0.140625" style="6" customWidth="1"/>
    <col min="8" max="8" width="26.855468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8.28515625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384"/>
      <c r="D2" s="384"/>
      <c r="E2" s="384"/>
      <c r="F2" s="384"/>
      <c r="G2" s="384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384"/>
      <c r="D3" s="14"/>
      <c r="E3" s="14"/>
      <c r="F3" s="384"/>
      <c r="G3" s="384"/>
      <c r="H3" s="12"/>
      <c r="J3" s="393"/>
      <c r="K3" s="393"/>
      <c r="L3" s="393"/>
      <c r="M3" s="393"/>
    </row>
    <row r="4" spans="1:13" s="11" customFormat="1" ht="6.75" customHeight="1">
      <c r="B4" s="384"/>
      <c r="C4" s="384"/>
      <c r="D4" s="384"/>
      <c r="E4" s="384"/>
      <c r="F4" s="384"/>
      <c r="G4" s="384"/>
      <c r="H4" s="12"/>
      <c r="J4" s="385"/>
      <c r="K4" s="385"/>
      <c r="L4" s="385"/>
      <c r="M4" s="385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386" t="s">
        <v>5</v>
      </c>
      <c r="E10" s="386" t="s">
        <v>6</v>
      </c>
      <c r="F10" s="395"/>
      <c r="G10" s="397"/>
      <c r="H10" s="397"/>
      <c r="I10" s="395"/>
      <c r="J10" s="386" t="s">
        <v>25</v>
      </c>
      <c r="K10" s="386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'06'!L77</f>
        <v>1971832930</v>
      </c>
      <c r="M12" s="36"/>
    </row>
    <row r="13" spans="1:13" ht="18" customHeight="1">
      <c r="A13" s="6" t="str">
        <f>D13&amp;E13</f>
        <v>T01</v>
      </c>
      <c r="B13" s="3">
        <v>41821</v>
      </c>
      <c r="C13" s="3">
        <v>41821</v>
      </c>
      <c r="D13" s="4" t="s">
        <v>39</v>
      </c>
      <c r="E13" s="52"/>
      <c r="F13" s="5" t="s">
        <v>352</v>
      </c>
      <c r="G13" s="5"/>
      <c r="H13" s="5"/>
      <c r="I13" s="28" t="s">
        <v>36</v>
      </c>
      <c r="J13" s="21">
        <v>930000000</v>
      </c>
      <c r="K13" s="5"/>
      <c r="L13" s="4">
        <f>IF(F13&lt;&gt;"",L12+J13-K13,0)</f>
        <v>2901832930</v>
      </c>
      <c r="M13" s="19"/>
    </row>
    <row r="14" spans="1:13" ht="18" customHeight="1">
      <c r="A14" s="6" t="str">
        <f t="shared" ref="A14:A89" si="0">D14&amp;E14</f>
        <v>C01</v>
      </c>
      <c r="B14" s="3">
        <v>41821</v>
      </c>
      <c r="C14" s="3">
        <v>41806</v>
      </c>
      <c r="D14" s="4"/>
      <c r="E14" s="22" t="s">
        <v>87</v>
      </c>
      <c r="F14" s="5" t="s">
        <v>383</v>
      </c>
      <c r="G14" s="124"/>
      <c r="H14" s="5"/>
      <c r="I14" s="28" t="s">
        <v>247</v>
      </c>
      <c r="J14" s="21"/>
      <c r="K14" s="5">
        <v>794545</v>
      </c>
      <c r="L14" s="4">
        <f t="shared" ref="L14:L89" si="1">IF(F14&lt;&gt;"",L13+J14-K14,0)</f>
        <v>2901038385</v>
      </c>
      <c r="M14" s="19"/>
    </row>
    <row r="15" spans="1:13" ht="18" customHeight="1">
      <c r="A15" s="6" t="str">
        <f t="shared" si="0"/>
        <v>C01</v>
      </c>
      <c r="B15" s="3">
        <v>41821</v>
      </c>
      <c r="C15" s="3">
        <v>41806</v>
      </c>
      <c r="D15" s="4"/>
      <c r="E15" s="22" t="s">
        <v>87</v>
      </c>
      <c r="F15" s="5" t="s">
        <v>384</v>
      </c>
      <c r="G15" s="124"/>
      <c r="H15" s="5"/>
      <c r="I15" s="28" t="s">
        <v>35</v>
      </c>
      <c r="J15" s="21"/>
      <c r="K15" s="5">
        <v>79455</v>
      </c>
      <c r="L15" s="4">
        <f t="shared" si="1"/>
        <v>2900958930</v>
      </c>
      <c r="M15" s="19"/>
    </row>
    <row r="16" spans="1:13" ht="18" customHeight="1">
      <c r="A16" s="6" t="str">
        <f t="shared" si="0"/>
        <v>C02</v>
      </c>
      <c r="B16" s="3">
        <v>41821</v>
      </c>
      <c r="C16" s="3">
        <v>41821</v>
      </c>
      <c r="D16" s="4"/>
      <c r="E16" s="22" t="s">
        <v>88</v>
      </c>
      <c r="F16" s="5" t="s">
        <v>51</v>
      </c>
      <c r="G16" s="124"/>
      <c r="H16" s="5"/>
      <c r="I16" s="28" t="s">
        <v>36</v>
      </c>
      <c r="J16" s="21"/>
      <c r="K16" s="5">
        <v>800000000</v>
      </c>
      <c r="L16" s="4">
        <f t="shared" si="1"/>
        <v>2100958930</v>
      </c>
      <c r="M16" s="19"/>
    </row>
    <row r="17" spans="1:13" ht="18" customHeight="1">
      <c r="A17" s="6" t="str">
        <f t="shared" si="0"/>
        <v>C03</v>
      </c>
      <c r="B17" s="3">
        <v>41821</v>
      </c>
      <c r="C17" s="3">
        <v>41820</v>
      </c>
      <c r="D17" s="4"/>
      <c r="E17" s="22" t="s">
        <v>89</v>
      </c>
      <c r="F17" s="5" t="s">
        <v>385</v>
      </c>
      <c r="G17" s="124"/>
      <c r="H17" s="5"/>
      <c r="I17" s="28" t="s">
        <v>247</v>
      </c>
      <c r="J17" s="21"/>
      <c r="K17" s="5">
        <v>2182106</v>
      </c>
      <c r="L17" s="4">
        <f t="shared" si="1"/>
        <v>2098776824</v>
      </c>
      <c r="M17" s="19"/>
    </row>
    <row r="18" spans="1:13" ht="18" customHeight="1">
      <c r="A18" s="6" t="str">
        <f t="shared" si="0"/>
        <v>C03</v>
      </c>
      <c r="B18" s="3">
        <v>41821</v>
      </c>
      <c r="C18" s="3">
        <v>41820</v>
      </c>
      <c r="D18" s="4"/>
      <c r="E18" s="22" t="s">
        <v>89</v>
      </c>
      <c r="F18" s="5" t="s">
        <v>386</v>
      </c>
      <c r="G18" s="124"/>
      <c r="H18" s="5"/>
      <c r="I18" s="28" t="s">
        <v>35</v>
      </c>
      <c r="J18" s="21"/>
      <c r="K18" s="5">
        <v>218211</v>
      </c>
      <c r="L18" s="4">
        <f t="shared" si="1"/>
        <v>2098558613</v>
      </c>
      <c r="M18" s="19"/>
    </row>
    <row r="19" spans="1:13" ht="18" customHeight="1">
      <c r="A19" s="6" t="str">
        <f t="shared" si="0"/>
        <v>T02</v>
      </c>
      <c r="B19" s="3">
        <v>41822</v>
      </c>
      <c r="C19" s="3">
        <v>41822</v>
      </c>
      <c r="D19" s="4" t="s">
        <v>40</v>
      </c>
      <c r="E19" s="22"/>
      <c r="F19" s="5" t="s">
        <v>253</v>
      </c>
      <c r="G19" s="124"/>
      <c r="H19" s="5"/>
      <c r="I19" s="28" t="s">
        <v>36</v>
      </c>
      <c r="J19" s="21">
        <v>2025000000</v>
      </c>
      <c r="K19" s="5"/>
      <c r="L19" s="4">
        <f t="shared" si="1"/>
        <v>4123558613</v>
      </c>
      <c r="M19" s="19"/>
    </row>
    <row r="20" spans="1:13" ht="18" customHeight="1">
      <c r="A20" s="6" t="str">
        <f t="shared" si="0"/>
        <v>C04</v>
      </c>
      <c r="B20" s="3">
        <v>41822</v>
      </c>
      <c r="C20" s="3">
        <v>41822</v>
      </c>
      <c r="D20" s="4"/>
      <c r="E20" s="22" t="s">
        <v>90</v>
      </c>
      <c r="F20" s="5" t="s">
        <v>387</v>
      </c>
      <c r="G20" s="124"/>
      <c r="H20" s="5"/>
      <c r="I20" s="28" t="s">
        <v>247</v>
      </c>
      <c r="J20" s="21"/>
      <c r="K20" s="5">
        <v>46860</v>
      </c>
      <c r="L20" s="4">
        <f t="shared" si="1"/>
        <v>4123511753</v>
      </c>
      <c r="M20" s="19"/>
    </row>
    <row r="21" spans="1:13" ht="18" customHeight="1">
      <c r="A21" s="6" t="str">
        <f t="shared" si="0"/>
        <v>C04</v>
      </c>
      <c r="B21" s="3">
        <v>41822</v>
      </c>
      <c r="C21" s="3">
        <v>41822</v>
      </c>
      <c r="D21" s="4"/>
      <c r="E21" s="22" t="s">
        <v>90</v>
      </c>
      <c r="F21" s="5" t="s">
        <v>388</v>
      </c>
      <c r="G21" s="124"/>
      <c r="H21" s="5"/>
      <c r="I21" s="28" t="s">
        <v>35</v>
      </c>
      <c r="J21" s="21"/>
      <c r="K21" s="5">
        <v>4686</v>
      </c>
      <c r="L21" s="4">
        <f t="shared" si="1"/>
        <v>4123507067</v>
      </c>
      <c r="M21" s="19"/>
    </row>
    <row r="22" spans="1:13" ht="18" customHeight="1">
      <c r="A22" s="6" t="str">
        <f t="shared" si="0"/>
        <v>C05</v>
      </c>
      <c r="B22" s="3">
        <v>41822</v>
      </c>
      <c r="C22" s="3">
        <v>41822</v>
      </c>
      <c r="D22" s="4"/>
      <c r="E22" s="22" t="s">
        <v>91</v>
      </c>
      <c r="F22" s="5" t="s">
        <v>389</v>
      </c>
      <c r="G22" s="124"/>
      <c r="H22" s="5"/>
      <c r="I22" s="28" t="s">
        <v>54</v>
      </c>
      <c r="J22" s="21"/>
      <c r="K22" s="5">
        <v>9370000</v>
      </c>
      <c r="L22" s="4">
        <f t="shared" si="1"/>
        <v>4114137067</v>
      </c>
      <c r="M22" s="19"/>
    </row>
    <row r="23" spans="1:13" ht="18" customHeight="1">
      <c r="A23" s="6" t="str">
        <f t="shared" si="0"/>
        <v>C06</v>
      </c>
      <c r="B23" s="3">
        <v>41822</v>
      </c>
      <c r="C23" s="3">
        <v>41822</v>
      </c>
      <c r="D23" s="4"/>
      <c r="E23" s="22" t="s">
        <v>92</v>
      </c>
      <c r="F23" s="5" t="s">
        <v>51</v>
      </c>
      <c r="G23" s="124"/>
      <c r="H23" s="5"/>
      <c r="I23" s="28" t="s">
        <v>36</v>
      </c>
      <c r="J23" s="21"/>
      <c r="K23" s="5">
        <v>300000000</v>
      </c>
      <c r="L23" s="4">
        <f t="shared" si="1"/>
        <v>3814137067</v>
      </c>
      <c r="M23" s="19"/>
    </row>
    <row r="24" spans="1:13" ht="18" customHeight="1">
      <c r="A24" s="6" t="str">
        <f t="shared" si="0"/>
        <v>C07</v>
      </c>
      <c r="B24" s="3">
        <v>41822</v>
      </c>
      <c r="C24" s="3">
        <v>41822</v>
      </c>
      <c r="D24" s="4"/>
      <c r="E24" s="22" t="s">
        <v>93</v>
      </c>
      <c r="F24" s="5" t="s">
        <v>259</v>
      </c>
      <c r="G24" s="124"/>
      <c r="H24" s="5"/>
      <c r="I24" s="28" t="s">
        <v>134</v>
      </c>
      <c r="J24" s="21"/>
      <c r="K24" s="5">
        <v>550000000</v>
      </c>
      <c r="L24" s="4">
        <f t="shared" si="1"/>
        <v>3264137067</v>
      </c>
      <c r="M24" s="19"/>
    </row>
    <row r="25" spans="1:13" ht="18" customHeight="1">
      <c r="A25" s="6" t="str">
        <f t="shared" si="0"/>
        <v>C08</v>
      </c>
      <c r="B25" s="3">
        <v>41822</v>
      </c>
      <c r="C25" s="3">
        <v>41822</v>
      </c>
      <c r="D25" s="4"/>
      <c r="E25" s="22" t="s">
        <v>94</v>
      </c>
      <c r="F25" s="5" t="s">
        <v>260</v>
      </c>
      <c r="G25" s="124"/>
      <c r="H25" s="5"/>
      <c r="I25" s="28" t="s">
        <v>134</v>
      </c>
      <c r="J25" s="21"/>
      <c r="K25" s="5">
        <v>800000000</v>
      </c>
      <c r="L25" s="4">
        <f t="shared" si="1"/>
        <v>2464137067</v>
      </c>
      <c r="M25" s="19"/>
    </row>
    <row r="26" spans="1:13" ht="18" customHeight="1">
      <c r="A26" s="6" t="str">
        <f t="shared" si="0"/>
        <v>C09</v>
      </c>
      <c r="B26" s="3">
        <v>41825</v>
      </c>
      <c r="C26" s="3">
        <v>41825</v>
      </c>
      <c r="D26" s="4"/>
      <c r="E26" s="22" t="s">
        <v>95</v>
      </c>
      <c r="F26" s="5" t="s">
        <v>390</v>
      </c>
      <c r="G26" s="124"/>
      <c r="H26" s="5"/>
      <c r="I26" s="28" t="s">
        <v>256</v>
      </c>
      <c r="J26" s="21"/>
      <c r="K26" s="5">
        <v>4970600</v>
      </c>
      <c r="L26" s="4">
        <f t="shared" si="1"/>
        <v>2459166467</v>
      </c>
      <c r="M26" s="19"/>
    </row>
    <row r="27" spans="1:13" ht="18" customHeight="1">
      <c r="A27" s="6" t="str">
        <f t="shared" si="0"/>
        <v>C09</v>
      </c>
      <c r="B27" s="3">
        <v>41825</v>
      </c>
      <c r="C27" s="3">
        <v>41825</v>
      </c>
      <c r="D27" s="4"/>
      <c r="E27" s="22" t="s">
        <v>95</v>
      </c>
      <c r="F27" s="5" t="s">
        <v>391</v>
      </c>
      <c r="G27" s="124"/>
      <c r="H27" s="5"/>
      <c r="I27" s="28" t="s">
        <v>35</v>
      </c>
      <c r="J27" s="21"/>
      <c r="K27" s="5">
        <v>497060</v>
      </c>
      <c r="L27" s="4">
        <f t="shared" si="1"/>
        <v>2458669407</v>
      </c>
      <c r="M27" s="19"/>
    </row>
    <row r="28" spans="1:13" ht="18" customHeight="1">
      <c r="A28" s="6" t="str">
        <f t="shared" si="0"/>
        <v>C10</v>
      </c>
      <c r="B28" s="3">
        <v>41825</v>
      </c>
      <c r="C28" s="3">
        <v>41825</v>
      </c>
      <c r="D28" s="4"/>
      <c r="E28" s="22" t="s">
        <v>96</v>
      </c>
      <c r="F28" s="5" t="s">
        <v>260</v>
      </c>
      <c r="G28" s="124"/>
      <c r="H28" s="5"/>
      <c r="I28" s="28" t="s">
        <v>134</v>
      </c>
      <c r="J28" s="21"/>
      <c r="K28" s="5">
        <v>800000000</v>
      </c>
      <c r="L28" s="4">
        <f t="shared" si="1"/>
        <v>1658669407</v>
      </c>
      <c r="M28" s="19"/>
    </row>
    <row r="29" spans="1:13" ht="18" customHeight="1">
      <c r="A29" s="6" t="str">
        <f t="shared" si="0"/>
        <v>C11</v>
      </c>
      <c r="B29" s="3">
        <v>41825</v>
      </c>
      <c r="C29" s="3">
        <v>41825</v>
      </c>
      <c r="D29" s="4"/>
      <c r="E29" s="22" t="s">
        <v>97</v>
      </c>
      <c r="F29" s="5" t="s">
        <v>282</v>
      </c>
      <c r="G29" s="124"/>
      <c r="H29" s="5"/>
      <c r="I29" s="28" t="s">
        <v>54</v>
      </c>
      <c r="J29" s="21"/>
      <c r="K29" s="5">
        <v>12400000</v>
      </c>
      <c r="L29" s="4">
        <f t="shared" si="1"/>
        <v>1646269407</v>
      </c>
      <c r="M29" s="19"/>
    </row>
    <row r="30" spans="1:13" ht="18" customHeight="1">
      <c r="A30" s="6" t="str">
        <f t="shared" si="0"/>
        <v>C11</v>
      </c>
      <c r="B30" s="3">
        <v>41825</v>
      </c>
      <c r="C30" s="3">
        <v>41825</v>
      </c>
      <c r="D30" s="4"/>
      <c r="E30" s="22" t="s">
        <v>97</v>
      </c>
      <c r="F30" s="5" t="s">
        <v>283</v>
      </c>
      <c r="G30" s="124"/>
      <c r="H30" s="5"/>
      <c r="I30" s="28" t="s">
        <v>35</v>
      </c>
      <c r="J30" s="21"/>
      <c r="K30" s="5">
        <v>1240000</v>
      </c>
      <c r="L30" s="4">
        <f t="shared" si="1"/>
        <v>1645029407</v>
      </c>
      <c r="M30" s="19"/>
    </row>
    <row r="31" spans="1:13" ht="18" customHeight="1">
      <c r="A31" s="6" t="str">
        <f t="shared" si="0"/>
        <v>C12</v>
      </c>
      <c r="B31" s="3">
        <v>41827</v>
      </c>
      <c r="C31" s="3">
        <v>41827</v>
      </c>
      <c r="D31" s="4"/>
      <c r="E31" s="52" t="s">
        <v>98</v>
      </c>
      <c r="F31" s="5" t="s">
        <v>50</v>
      </c>
      <c r="G31" s="5"/>
      <c r="H31" s="5"/>
      <c r="I31" s="28" t="s">
        <v>247</v>
      </c>
      <c r="J31" s="21"/>
      <c r="K31" s="5">
        <v>160555</v>
      </c>
      <c r="L31" s="4">
        <f t="shared" si="1"/>
        <v>1644868852</v>
      </c>
      <c r="M31" s="19"/>
    </row>
    <row r="32" spans="1:13" ht="18" customHeight="1">
      <c r="A32" s="6" t="str">
        <f t="shared" si="0"/>
        <v>C12</v>
      </c>
      <c r="B32" s="3">
        <v>41827</v>
      </c>
      <c r="C32" s="3">
        <v>41827</v>
      </c>
      <c r="D32" s="4"/>
      <c r="E32" s="22" t="s">
        <v>98</v>
      </c>
      <c r="F32" s="5" t="s">
        <v>53</v>
      </c>
      <c r="G32" s="124"/>
      <c r="H32" s="5"/>
      <c r="I32" s="28" t="s">
        <v>54</v>
      </c>
      <c r="J32" s="21"/>
      <c r="K32" s="5">
        <v>1022727</v>
      </c>
      <c r="L32" s="4">
        <f t="shared" si="1"/>
        <v>1643846125</v>
      </c>
      <c r="M32" s="19"/>
    </row>
    <row r="33" spans="1:13" ht="18" customHeight="1">
      <c r="A33" s="6" t="str">
        <f t="shared" si="0"/>
        <v>C12</v>
      </c>
      <c r="B33" s="3">
        <v>41827</v>
      </c>
      <c r="C33" s="3">
        <v>41827</v>
      </c>
      <c r="D33" s="4"/>
      <c r="E33" s="22" t="s">
        <v>98</v>
      </c>
      <c r="F33" s="5" t="s">
        <v>227</v>
      </c>
      <c r="G33" s="124"/>
      <c r="H33" s="5"/>
      <c r="I33" s="28" t="s">
        <v>35</v>
      </c>
      <c r="J33" s="21"/>
      <c r="K33" s="5">
        <v>118328</v>
      </c>
      <c r="L33" s="4">
        <f t="shared" si="1"/>
        <v>1643727797</v>
      </c>
      <c r="M33" s="19"/>
    </row>
    <row r="34" spans="1:13" ht="18" customHeight="1">
      <c r="A34" s="6" t="str">
        <f t="shared" si="0"/>
        <v>C13</v>
      </c>
      <c r="B34" s="3">
        <v>41827</v>
      </c>
      <c r="C34" s="3">
        <v>41827</v>
      </c>
      <c r="D34" s="4"/>
      <c r="E34" s="22" t="s">
        <v>99</v>
      </c>
      <c r="F34" s="5" t="s">
        <v>50</v>
      </c>
      <c r="G34" s="124"/>
      <c r="H34" s="5"/>
      <c r="I34" s="28" t="s">
        <v>247</v>
      </c>
      <c r="J34" s="21"/>
      <c r="K34" s="5">
        <v>2035009</v>
      </c>
      <c r="L34" s="4">
        <f t="shared" si="1"/>
        <v>1641692788</v>
      </c>
      <c r="M34" s="19"/>
    </row>
    <row r="35" spans="1:13" ht="18" customHeight="1">
      <c r="A35" s="6" t="str">
        <f t="shared" si="0"/>
        <v>C13</v>
      </c>
      <c r="B35" s="3">
        <v>41827</v>
      </c>
      <c r="C35" s="3">
        <v>41827</v>
      </c>
      <c r="D35" s="4"/>
      <c r="E35" s="22" t="s">
        <v>99</v>
      </c>
      <c r="F35" s="5" t="s">
        <v>56</v>
      </c>
      <c r="G35" s="124"/>
      <c r="H35" s="5"/>
      <c r="I35" s="28" t="s">
        <v>35</v>
      </c>
      <c r="J35" s="21"/>
      <c r="K35" s="5">
        <v>203501</v>
      </c>
      <c r="L35" s="4">
        <f t="shared" si="1"/>
        <v>1641489287</v>
      </c>
      <c r="M35" s="19"/>
    </row>
    <row r="36" spans="1:13" ht="18" customHeight="1">
      <c r="A36" s="6" t="str">
        <f t="shared" si="0"/>
        <v>C14</v>
      </c>
      <c r="B36" s="3">
        <v>41828</v>
      </c>
      <c r="C36" s="3">
        <v>41828</v>
      </c>
      <c r="D36" s="4"/>
      <c r="E36" s="22" t="s">
        <v>100</v>
      </c>
      <c r="F36" s="5" t="s">
        <v>282</v>
      </c>
      <c r="G36" s="124"/>
      <c r="H36" s="5"/>
      <c r="I36" s="28" t="s">
        <v>54</v>
      </c>
      <c r="J36" s="21"/>
      <c r="K36" s="5">
        <v>11440000</v>
      </c>
      <c r="L36" s="4">
        <f t="shared" si="1"/>
        <v>1630049287</v>
      </c>
      <c r="M36" s="19"/>
    </row>
    <row r="37" spans="1:13" ht="18" customHeight="1">
      <c r="A37" s="6" t="str">
        <f t="shared" si="0"/>
        <v>C14</v>
      </c>
      <c r="B37" s="3">
        <v>41828</v>
      </c>
      <c r="C37" s="3">
        <v>41828</v>
      </c>
      <c r="D37" s="4"/>
      <c r="E37" s="22" t="s">
        <v>100</v>
      </c>
      <c r="F37" s="5" t="s">
        <v>283</v>
      </c>
      <c r="G37" s="124"/>
      <c r="H37" s="5"/>
      <c r="I37" s="28" t="s">
        <v>35</v>
      </c>
      <c r="J37" s="21"/>
      <c r="K37" s="5">
        <v>1144000</v>
      </c>
      <c r="L37" s="4">
        <f t="shared" si="1"/>
        <v>1628905287</v>
      </c>
      <c r="M37" s="19"/>
    </row>
    <row r="38" spans="1:13" ht="18" customHeight="1">
      <c r="A38" s="6" t="str">
        <f t="shared" si="0"/>
        <v>T03</v>
      </c>
      <c r="B38" s="3">
        <v>41829</v>
      </c>
      <c r="C38" s="3">
        <v>41829</v>
      </c>
      <c r="D38" s="4" t="s">
        <v>41</v>
      </c>
      <c r="E38" s="22"/>
      <c r="F38" s="5" t="s">
        <v>253</v>
      </c>
      <c r="G38" s="124"/>
      <c r="H38" s="5"/>
      <c r="I38" s="28" t="s">
        <v>36</v>
      </c>
      <c r="J38" s="21">
        <v>2430000000</v>
      </c>
      <c r="K38" s="5"/>
      <c r="L38" s="4">
        <f t="shared" si="1"/>
        <v>4058905287</v>
      </c>
      <c r="M38" s="19"/>
    </row>
    <row r="39" spans="1:13" ht="18" customHeight="1">
      <c r="A39" s="6" t="str">
        <f t="shared" si="0"/>
        <v>C15</v>
      </c>
      <c r="B39" s="3">
        <v>41829</v>
      </c>
      <c r="C39" s="3">
        <v>41829</v>
      </c>
      <c r="D39" s="4"/>
      <c r="E39" s="22" t="s">
        <v>101</v>
      </c>
      <c r="F39" s="5" t="s">
        <v>379</v>
      </c>
      <c r="G39" s="124"/>
      <c r="H39" s="5"/>
      <c r="I39" s="28" t="s">
        <v>54</v>
      </c>
      <c r="J39" s="21"/>
      <c r="K39" s="5">
        <v>14700000</v>
      </c>
      <c r="L39" s="4">
        <f t="shared" si="1"/>
        <v>4044205287</v>
      </c>
      <c r="M39" s="19"/>
    </row>
    <row r="40" spans="1:13" ht="18" customHeight="1">
      <c r="A40" s="6" t="str">
        <f t="shared" si="0"/>
        <v>C16</v>
      </c>
      <c r="B40" s="3">
        <v>41829</v>
      </c>
      <c r="C40" s="3">
        <v>41829</v>
      </c>
      <c r="D40" s="4"/>
      <c r="E40" s="22" t="s">
        <v>102</v>
      </c>
      <c r="F40" s="5" t="s">
        <v>259</v>
      </c>
      <c r="G40" s="124"/>
      <c r="H40" s="5"/>
      <c r="I40" s="28" t="s">
        <v>134</v>
      </c>
      <c r="J40" s="21"/>
      <c r="K40" s="5">
        <v>550000000</v>
      </c>
      <c r="L40" s="4">
        <f t="shared" si="1"/>
        <v>3494205287</v>
      </c>
      <c r="M40" s="19"/>
    </row>
    <row r="41" spans="1:13" ht="18" customHeight="1">
      <c r="A41" s="6" t="str">
        <f t="shared" si="0"/>
        <v>C17</v>
      </c>
      <c r="B41" s="3">
        <v>41829</v>
      </c>
      <c r="C41" s="3">
        <v>41829</v>
      </c>
      <c r="D41" s="4"/>
      <c r="E41" s="22" t="s">
        <v>103</v>
      </c>
      <c r="F41" s="5" t="s">
        <v>260</v>
      </c>
      <c r="G41" s="124"/>
      <c r="H41" s="5"/>
      <c r="I41" s="28" t="s">
        <v>134</v>
      </c>
      <c r="J41" s="21"/>
      <c r="K41" s="5">
        <v>600000000</v>
      </c>
      <c r="L41" s="4">
        <f t="shared" si="1"/>
        <v>2894205287</v>
      </c>
      <c r="M41" s="19"/>
    </row>
    <row r="42" spans="1:13" ht="18" customHeight="1">
      <c r="A42" s="6" t="str">
        <f t="shared" si="0"/>
        <v>C18</v>
      </c>
      <c r="B42" s="3">
        <v>41830</v>
      </c>
      <c r="C42" s="3">
        <v>41830</v>
      </c>
      <c r="D42" s="4"/>
      <c r="E42" s="22" t="s">
        <v>104</v>
      </c>
      <c r="F42" s="5" t="s">
        <v>50</v>
      </c>
      <c r="G42" s="124"/>
      <c r="H42" s="353"/>
      <c r="I42" s="28" t="s">
        <v>247</v>
      </c>
      <c r="J42" s="21"/>
      <c r="K42" s="5">
        <v>1045600</v>
      </c>
      <c r="L42" s="4">
        <f t="shared" si="1"/>
        <v>2893159687</v>
      </c>
      <c r="M42" s="19"/>
    </row>
    <row r="43" spans="1:13" ht="18" customHeight="1">
      <c r="A43" s="6" t="str">
        <f t="shared" si="0"/>
        <v>C18</v>
      </c>
      <c r="B43" s="3">
        <v>41830</v>
      </c>
      <c r="C43" s="3">
        <v>41830</v>
      </c>
      <c r="D43" s="4"/>
      <c r="E43" s="22" t="s">
        <v>104</v>
      </c>
      <c r="F43" s="5" t="s">
        <v>56</v>
      </c>
      <c r="G43" s="124"/>
      <c r="H43" s="5"/>
      <c r="I43" s="28" t="s">
        <v>35</v>
      </c>
      <c r="J43" s="21"/>
      <c r="K43" s="5">
        <v>104560</v>
      </c>
      <c r="L43" s="4">
        <f t="shared" si="1"/>
        <v>2893055127</v>
      </c>
      <c r="M43" s="19"/>
    </row>
    <row r="44" spans="1:13" ht="18" customHeight="1">
      <c r="A44" s="6" t="str">
        <f t="shared" si="0"/>
        <v>C19</v>
      </c>
      <c r="B44" s="3">
        <v>41831</v>
      </c>
      <c r="C44" s="3">
        <v>41831</v>
      </c>
      <c r="D44" s="4"/>
      <c r="E44" s="22" t="s">
        <v>105</v>
      </c>
      <c r="F44" s="5" t="s">
        <v>392</v>
      </c>
      <c r="G44" s="124"/>
      <c r="H44" s="5"/>
      <c r="I44" s="28" t="s">
        <v>256</v>
      </c>
      <c r="J44" s="21"/>
      <c r="K44" s="5">
        <v>2556480</v>
      </c>
      <c r="L44" s="4">
        <f t="shared" si="1"/>
        <v>2890498647</v>
      </c>
      <c r="M44" s="19"/>
    </row>
    <row r="45" spans="1:13" ht="18" customHeight="1">
      <c r="A45" s="6" t="str">
        <f t="shared" si="0"/>
        <v>C19</v>
      </c>
      <c r="B45" s="3">
        <v>41831</v>
      </c>
      <c r="C45" s="3">
        <v>41831</v>
      </c>
      <c r="D45" s="4"/>
      <c r="E45" s="22" t="s">
        <v>105</v>
      </c>
      <c r="F45" s="5" t="s">
        <v>393</v>
      </c>
      <c r="G45" s="124"/>
      <c r="H45" s="5"/>
      <c r="I45" s="28" t="s">
        <v>35</v>
      </c>
      <c r="J45" s="21"/>
      <c r="K45" s="5">
        <v>100920</v>
      </c>
      <c r="L45" s="4">
        <f t="shared" si="1"/>
        <v>2890397727</v>
      </c>
      <c r="M45" s="19"/>
    </row>
    <row r="46" spans="1:13" ht="18" customHeight="1">
      <c r="A46" s="6" t="str">
        <f t="shared" si="0"/>
        <v>C20</v>
      </c>
      <c r="B46" s="3">
        <v>41831</v>
      </c>
      <c r="C46" s="3">
        <v>41831</v>
      </c>
      <c r="D46" s="4"/>
      <c r="E46" s="22" t="s">
        <v>106</v>
      </c>
      <c r="F46" s="5" t="s">
        <v>51</v>
      </c>
      <c r="G46" s="124"/>
      <c r="H46" s="5"/>
      <c r="I46" s="28" t="s">
        <v>36</v>
      </c>
      <c r="J46" s="21"/>
      <c r="K46" s="5">
        <v>120000000</v>
      </c>
      <c r="L46" s="4">
        <f t="shared" si="1"/>
        <v>2770397727</v>
      </c>
      <c r="M46" s="19"/>
    </row>
    <row r="47" spans="1:13" ht="18.75" customHeight="1">
      <c r="A47" s="6" t="str">
        <f t="shared" si="0"/>
        <v>C21</v>
      </c>
      <c r="B47" s="3">
        <v>41831</v>
      </c>
      <c r="C47" s="3">
        <v>41831</v>
      </c>
      <c r="D47" s="4"/>
      <c r="E47" s="52" t="s">
        <v>107</v>
      </c>
      <c r="F47" s="5" t="s">
        <v>390</v>
      </c>
      <c r="G47" s="5"/>
      <c r="H47" s="5"/>
      <c r="I47" s="28" t="s">
        <v>256</v>
      </c>
      <c r="J47" s="21"/>
      <c r="K47" s="5">
        <v>5521750</v>
      </c>
      <c r="L47" s="4">
        <f t="shared" si="1"/>
        <v>2764875977</v>
      </c>
      <c r="M47" s="19"/>
    </row>
    <row r="48" spans="1:13" ht="18.75" customHeight="1">
      <c r="A48" s="6" t="str">
        <f t="shared" si="0"/>
        <v>C21</v>
      </c>
      <c r="B48" s="3">
        <v>41831</v>
      </c>
      <c r="C48" s="3">
        <v>41831</v>
      </c>
      <c r="D48" s="4"/>
      <c r="E48" s="22" t="s">
        <v>107</v>
      </c>
      <c r="F48" s="5" t="s">
        <v>391</v>
      </c>
      <c r="G48" s="5"/>
      <c r="H48" s="353"/>
      <c r="I48" s="28" t="s">
        <v>35</v>
      </c>
      <c r="J48" s="21"/>
      <c r="K48" s="5">
        <v>552175</v>
      </c>
      <c r="L48" s="4">
        <f t="shared" si="1"/>
        <v>2764323802</v>
      </c>
      <c r="M48" s="19"/>
    </row>
    <row r="49" spans="1:13" ht="18.75" customHeight="1">
      <c r="A49" s="6" t="str">
        <f t="shared" si="0"/>
        <v>C22</v>
      </c>
      <c r="B49" s="3">
        <v>41832</v>
      </c>
      <c r="C49" s="3">
        <v>41832</v>
      </c>
      <c r="D49" s="4"/>
      <c r="E49" s="22" t="s">
        <v>108</v>
      </c>
      <c r="F49" s="5" t="s">
        <v>282</v>
      </c>
      <c r="G49" s="5"/>
      <c r="H49" s="353"/>
      <c r="I49" s="28" t="s">
        <v>54</v>
      </c>
      <c r="J49" s="21"/>
      <c r="K49" s="5">
        <v>10560000</v>
      </c>
      <c r="L49" s="4">
        <f t="shared" si="1"/>
        <v>2753763802</v>
      </c>
      <c r="M49" s="19"/>
    </row>
    <row r="50" spans="1:13" ht="18.75" customHeight="1">
      <c r="A50" s="6" t="str">
        <f t="shared" si="0"/>
        <v>C22</v>
      </c>
      <c r="B50" s="3">
        <v>41832</v>
      </c>
      <c r="C50" s="3">
        <v>41832</v>
      </c>
      <c r="D50" s="4"/>
      <c r="E50" s="22" t="s">
        <v>108</v>
      </c>
      <c r="F50" s="5" t="s">
        <v>283</v>
      </c>
      <c r="G50" s="124"/>
      <c r="H50" s="5"/>
      <c r="I50" s="28" t="s">
        <v>35</v>
      </c>
      <c r="J50" s="21"/>
      <c r="K50" s="5">
        <v>1056000</v>
      </c>
      <c r="L50" s="4">
        <f t="shared" si="1"/>
        <v>2752707802</v>
      </c>
      <c r="M50" s="19"/>
    </row>
    <row r="51" spans="1:13" ht="18.75" customHeight="1">
      <c r="A51" s="6" t="str">
        <f t="shared" si="0"/>
        <v>C23</v>
      </c>
      <c r="B51" s="3">
        <v>41834</v>
      </c>
      <c r="C51" s="3">
        <v>41834</v>
      </c>
      <c r="D51" s="4"/>
      <c r="E51" s="22" t="s">
        <v>109</v>
      </c>
      <c r="F51" s="5" t="s">
        <v>295</v>
      </c>
      <c r="G51" s="124"/>
      <c r="H51" s="5"/>
      <c r="I51" s="28" t="s">
        <v>34</v>
      </c>
      <c r="J51" s="21"/>
      <c r="K51" s="5">
        <v>14239997</v>
      </c>
      <c r="L51" s="4">
        <f t="shared" si="1"/>
        <v>2738467805</v>
      </c>
      <c r="M51" s="19"/>
    </row>
    <row r="52" spans="1:13" ht="18" customHeight="1">
      <c r="A52" s="6" t="str">
        <f t="shared" si="0"/>
        <v>C24</v>
      </c>
      <c r="B52" s="3">
        <v>41835</v>
      </c>
      <c r="C52" s="3">
        <v>41835</v>
      </c>
      <c r="D52" s="4"/>
      <c r="E52" s="22" t="s">
        <v>110</v>
      </c>
      <c r="F52" s="5" t="s">
        <v>50</v>
      </c>
      <c r="G52" s="124"/>
      <c r="H52" s="5"/>
      <c r="I52" s="28" t="s">
        <v>247</v>
      </c>
      <c r="J52" s="21"/>
      <c r="K52" s="5">
        <v>326327</v>
      </c>
      <c r="L52" s="4">
        <f t="shared" si="1"/>
        <v>2738141478</v>
      </c>
      <c r="M52" s="19"/>
    </row>
    <row r="53" spans="1:13" ht="18" customHeight="1">
      <c r="A53" s="6" t="str">
        <f t="shared" si="0"/>
        <v>C24</v>
      </c>
      <c r="B53" s="3">
        <v>41835</v>
      </c>
      <c r="C53" s="3">
        <v>41835</v>
      </c>
      <c r="D53" s="4"/>
      <c r="E53" s="22" t="s">
        <v>110</v>
      </c>
      <c r="F53" s="5" t="s">
        <v>53</v>
      </c>
      <c r="G53" s="124"/>
      <c r="H53" s="5"/>
      <c r="I53" s="28" t="s">
        <v>54</v>
      </c>
      <c r="J53" s="21"/>
      <c r="K53" s="5">
        <v>1883700</v>
      </c>
      <c r="L53" s="4">
        <f t="shared" si="1"/>
        <v>2736257778</v>
      </c>
      <c r="M53" s="19"/>
    </row>
    <row r="54" spans="1:13" ht="18" customHeight="1">
      <c r="A54" s="6" t="str">
        <f t="shared" si="0"/>
        <v>C24</v>
      </c>
      <c r="B54" s="3">
        <v>41835</v>
      </c>
      <c r="C54" s="3">
        <v>41835</v>
      </c>
      <c r="D54" s="4"/>
      <c r="E54" s="22" t="s">
        <v>110</v>
      </c>
      <c r="F54" s="5" t="s">
        <v>227</v>
      </c>
      <c r="G54" s="124"/>
      <c r="H54" s="5"/>
      <c r="I54" s="28" t="s">
        <v>35</v>
      </c>
      <c r="J54" s="21"/>
      <c r="K54" s="5">
        <v>221003</v>
      </c>
      <c r="L54" s="4">
        <f t="shared" si="1"/>
        <v>2736036775</v>
      </c>
      <c r="M54" s="19"/>
    </row>
    <row r="55" spans="1:13" ht="18" customHeight="1">
      <c r="A55" s="6" t="str">
        <f t="shared" si="0"/>
        <v>C25</v>
      </c>
      <c r="B55" s="3">
        <v>41836</v>
      </c>
      <c r="C55" s="3">
        <v>41836</v>
      </c>
      <c r="D55" s="4"/>
      <c r="E55" s="22" t="s">
        <v>111</v>
      </c>
      <c r="F55" s="5" t="s">
        <v>379</v>
      </c>
      <c r="G55" s="124"/>
      <c r="H55" s="5"/>
      <c r="I55" s="28" t="s">
        <v>54</v>
      </c>
      <c r="J55" s="21"/>
      <c r="K55" s="5">
        <v>6720000</v>
      </c>
      <c r="L55" s="4">
        <f t="shared" si="1"/>
        <v>2729316775</v>
      </c>
      <c r="M55" s="19"/>
    </row>
    <row r="56" spans="1:13" ht="18" customHeight="1">
      <c r="A56" s="6" t="str">
        <f t="shared" si="0"/>
        <v>C26</v>
      </c>
      <c r="B56" s="3">
        <v>41836</v>
      </c>
      <c r="C56" s="3">
        <v>41836</v>
      </c>
      <c r="D56" s="4"/>
      <c r="E56" s="22" t="s">
        <v>112</v>
      </c>
      <c r="F56" s="5" t="s">
        <v>259</v>
      </c>
      <c r="G56" s="124"/>
      <c r="H56" s="5"/>
      <c r="I56" s="28" t="s">
        <v>134</v>
      </c>
      <c r="J56" s="21"/>
      <c r="K56" s="5">
        <v>550000000</v>
      </c>
      <c r="L56" s="4">
        <f t="shared" si="1"/>
        <v>2179316775</v>
      </c>
      <c r="M56" s="19"/>
    </row>
    <row r="57" spans="1:13" ht="18" customHeight="1">
      <c r="A57" s="6" t="str">
        <f t="shared" si="0"/>
        <v>C27</v>
      </c>
      <c r="B57" s="3">
        <v>41836</v>
      </c>
      <c r="C57" s="3">
        <v>41836</v>
      </c>
      <c r="D57" s="4"/>
      <c r="E57" s="52" t="s">
        <v>113</v>
      </c>
      <c r="F57" s="5" t="s">
        <v>260</v>
      </c>
      <c r="G57" s="5"/>
      <c r="H57" s="5"/>
      <c r="I57" s="28" t="s">
        <v>134</v>
      </c>
      <c r="J57" s="21"/>
      <c r="K57" s="5">
        <v>600000000</v>
      </c>
      <c r="L57" s="4">
        <f t="shared" si="1"/>
        <v>1579316775</v>
      </c>
      <c r="M57" s="19"/>
    </row>
    <row r="58" spans="1:13" ht="18" customHeight="1">
      <c r="A58" s="6" t="str">
        <f t="shared" si="0"/>
        <v>T04</v>
      </c>
      <c r="B58" s="3">
        <v>41837</v>
      </c>
      <c r="C58" s="3">
        <v>41837</v>
      </c>
      <c r="D58" s="4" t="s">
        <v>42</v>
      </c>
      <c r="E58" s="22"/>
      <c r="F58" s="5" t="s">
        <v>253</v>
      </c>
      <c r="G58" s="124"/>
      <c r="H58" s="5"/>
      <c r="I58" s="28" t="s">
        <v>36</v>
      </c>
      <c r="J58" s="21">
        <v>1260000000</v>
      </c>
      <c r="K58" s="5"/>
      <c r="L58" s="4">
        <f t="shared" si="1"/>
        <v>2839316775</v>
      </c>
      <c r="M58" s="19"/>
    </row>
    <row r="59" spans="1:13" ht="18" customHeight="1">
      <c r="A59" s="6" t="str">
        <f t="shared" si="0"/>
        <v>C28</v>
      </c>
      <c r="B59" s="3">
        <v>41837</v>
      </c>
      <c r="C59" s="3">
        <v>41837</v>
      </c>
      <c r="D59" s="4"/>
      <c r="E59" s="22" t="s">
        <v>114</v>
      </c>
      <c r="F59" s="5" t="s">
        <v>356</v>
      </c>
      <c r="G59" s="124"/>
      <c r="H59" s="5"/>
      <c r="I59" s="28" t="s">
        <v>57</v>
      </c>
      <c r="J59" s="21"/>
      <c r="K59" s="5">
        <v>2000000000</v>
      </c>
      <c r="L59" s="4">
        <f t="shared" si="1"/>
        <v>839316775</v>
      </c>
      <c r="M59" s="19"/>
    </row>
    <row r="60" spans="1:13" ht="18" customHeight="1">
      <c r="A60" s="6" t="str">
        <f t="shared" si="0"/>
        <v>C29</v>
      </c>
      <c r="B60" s="3">
        <v>41837</v>
      </c>
      <c r="C60" s="3">
        <v>41837</v>
      </c>
      <c r="D60" s="4"/>
      <c r="E60" s="22" t="s">
        <v>115</v>
      </c>
      <c r="F60" s="5" t="s">
        <v>282</v>
      </c>
      <c r="G60" s="124"/>
      <c r="H60" s="5"/>
      <c r="I60" s="28" t="s">
        <v>54</v>
      </c>
      <c r="J60" s="21"/>
      <c r="K60" s="5">
        <v>11920000</v>
      </c>
      <c r="L60" s="4">
        <f t="shared" si="1"/>
        <v>827396775</v>
      </c>
      <c r="M60" s="19"/>
    </row>
    <row r="61" spans="1:13" ht="18" customHeight="1">
      <c r="A61" s="6" t="str">
        <f t="shared" si="0"/>
        <v>C29</v>
      </c>
      <c r="B61" s="3">
        <v>41837</v>
      </c>
      <c r="C61" s="3">
        <v>41837</v>
      </c>
      <c r="D61" s="4"/>
      <c r="E61" s="22" t="s">
        <v>115</v>
      </c>
      <c r="F61" s="5" t="s">
        <v>283</v>
      </c>
      <c r="G61" s="124"/>
      <c r="H61" s="5"/>
      <c r="I61" s="28" t="s">
        <v>35</v>
      </c>
      <c r="J61" s="21"/>
      <c r="K61" s="5">
        <v>1192000</v>
      </c>
      <c r="L61" s="4">
        <f t="shared" si="1"/>
        <v>826204775</v>
      </c>
      <c r="M61" s="19"/>
    </row>
    <row r="62" spans="1:13" ht="18" customHeight="1">
      <c r="A62" s="6" t="str">
        <f t="shared" si="0"/>
        <v>C30</v>
      </c>
      <c r="B62" s="3">
        <v>41838</v>
      </c>
      <c r="C62" s="3">
        <v>41838</v>
      </c>
      <c r="D62" s="4"/>
      <c r="E62" s="22" t="s">
        <v>116</v>
      </c>
      <c r="F62" s="5" t="s">
        <v>53</v>
      </c>
      <c r="G62" s="124"/>
      <c r="H62" s="5"/>
      <c r="I62" s="28" t="s">
        <v>247</v>
      </c>
      <c r="J62" s="21"/>
      <c r="K62" s="5">
        <v>1035000</v>
      </c>
      <c r="L62" s="4">
        <f t="shared" si="1"/>
        <v>825169775</v>
      </c>
      <c r="M62" s="19"/>
    </row>
    <row r="63" spans="1:13" ht="18" customHeight="1">
      <c r="A63" s="6" t="str">
        <f t="shared" si="0"/>
        <v>C30</v>
      </c>
      <c r="B63" s="3">
        <v>41838</v>
      </c>
      <c r="C63" s="3">
        <v>41838</v>
      </c>
      <c r="D63" s="4"/>
      <c r="E63" s="22" t="s">
        <v>116</v>
      </c>
      <c r="F63" s="5" t="s">
        <v>229</v>
      </c>
      <c r="G63" s="124"/>
      <c r="H63" s="5"/>
      <c r="I63" s="28" t="s">
        <v>35</v>
      </c>
      <c r="J63" s="21"/>
      <c r="K63" s="5">
        <v>103500</v>
      </c>
      <c r="L63" s="4">
        <f t="shared" si="1"/>
        <v>825066275</v>
      </c>
      <c r="M63" s="19"/>
    </row>
    <row r="64" spans="1:13" ht="18" customHeight="1">
      <c r="A64" s="6" t="str">
        <f t="shared" si="0"/>
        <v>C31</v>
      </c>
      <c r="B64" s="3">
        <v>41840</v>
      </c>
      <c r="C64" s="3">
        <v>41840</v>
      </c>
      <c r="D64" s="4"/>
      <c r="E64" s="22" t="s">
        <v>117</v>
      </c>
      <c r="F64" s="5" t="s">
        <v>282</v>
      </c>
      <c r="G64" s="124"/>
      <c r="H64" s="5"/>
      <c r="I64" s="28" t="s">
        <v>54</v>
      </c>
      <c r="J64" s="21"/>
      <c r="K64" s="5">
        <v>10880000</v>
      </c>
      <c r="L64" s="4">
        <f t="shared" si="1"/>
        <v>814186275</v>
      </c>
      <c r="M64" s="19"/>
    </row>
    <row r="65" spans="1:13" ht="18" customHeight="1">
      <c r="A65" s="6" t="str">
        <f t="shared" si="0"/>
        <v>C31</v>
      </c>
      <c r="B65" s="3">
        <v>41840</v>
      </c>
      <c r="C65" s="3">
        <v>41840</v>
      </c>
      <c r="D65" s="4"/>
      <c r="E65" s="22" t="s">
        <v>117</v>
      </c>
      <c r="F65" s="5" t="s">
        <v>283</v>
      </c>
      <c r="G65" s="124"/>
      <c r="H65" s="5"/>
      <c r="I65" s="28" t="s">
        <v>35</v>
      </c>
      <c r="J65" s="21"/>
      <c r="K65" s="5">
        <v>1088000</v>
      </c>
      <c r="L65" s="4">
        <f t="shared" si="1"/>
        <v>813098275</v>
      </c>
      <c r="M65" s="19"/>
    </row>
    <row r="66" spans="1:13" ht="18" customHeight="1">
      <c r="A66" s="6" t="str">
        <f t="shared" si="0"/>
        <v>C32</v>
      </c>
      <c r="B66" s="3">
        <v>41841</v>
      </c>
      <c r="C66" s="3">
        <v>41841</v>
      </c>
      <c r="D66" s="4"/>
      <c r="E66" s="22" t="s">
        <v>118</v>
      </c>
      <c r="F66" s="5" t="s">
        <v>50</v>
      </c>
      <c r="G66" s="124"/>
      <c r="H66" s="5"/>
      <c r="I66" s="28" t="s">
        <v>247</v>
      </c>
      <c r="J66" s="21"/>
      <c r="K66" s="5">
        <v>3517018</v>
      </c>
      <c r="L66" s="4">
        <f t="shared" si="1"/>
        <v>809581257</v>
      </c>
      <c r="M66" s="19"/>
    </row>
    <row r="67" spans="1:13" ht="18" customHeight="1">
      <c r="A67" s="6" t="str">
        <f t="shared" si="0"/>
        <v>C32</v>
      </c>
      <c r="B67" s="3">
        <v>41841</v>
      </c>
      <c r="C67" s="3">
        <v>41841</v>
      </c>
      <c r="D67" s="4"/>
      <c r="E67" s="22" t="s">
        <v>118</v>
      </c>
      <c r="F67" s="5" t="s">
        <v>53</v>
      </c>
      <c r="G67" s="124"/>
      <c r="H67" s="5"/>
      <c r="I67" s="28" t="s">
        <v>54</v>
      </c>
      <c r="J67" s="21"/>
      <c r="K67" s="5">
        <v>309273</v>
      </c>
      <c r="L67" s="4">
        <f t="shared" si="1"/>
        <v>809271984</v>
      </c>
      <c r="M67" s="19"/>
    </row>
    <row r="68" spans="1:13" ht="18" customHeight="1">
      <c r="A68" s="6" t="str">
        <f t="shared" si="0"/>
        <v>C32</v>
      </c>
      <c r="B68" s="3">
        <v>41841</v>
      </c>
      <c r="C68" s="3">
        <v>41841</v>
      </c>
      <c r="D68" s="4"/>
      <c r="E68" s="22" t="s">
        <v>118</v>
      </c>
      <c r="F68" s="5" t="s">
        <v>333</v>
      </c>
      <c r="G68" s="124"/>
      <c r="H68" s="5"/>
      <c r="I68" s="28" t="s">
        <v>35</v>
      </c>
      <c r="J68" s="21"/>
      <c r="K68" s="5">
        <v>382629</v>
      </c>
      <c r="L68" s="4">
        <f t="shared" si="1"/>
        <v>808889355</v>
      </c>
      <c r="M68" s="19"/>
    </row>
    <row r="69" spans="1:13" ht="18" customHeight="1">
      <c r="A69" s="6" t="str">
        <f t="shared" si="0"/>
        <v>C33</v>
      </c>
      <c r="B69" s="3">
        <v>41841</v>
      </c>
      <c r="C69" s="3">
        <v>41841</v>
      </c>
      <c r="D69" s="4"/>
      <c r="E69" s="22" t="s">
        <v>119</v>
      </c>
      <c r="F69" s="5" t="s">
        <v>394</v>
      </c>
      <c r="G69" s="124"/>
      <c r="H69" s="5"/>
      <c r="I69" s="28" t="s">
        <v>247</v>
      </c>
      <c r="J69" s="21"/>
      <c r="K69" s="5">
        <v>7500000</v>
      </c>
      <c r="L69" s="4">
        <f t="shared" si="1"/>
        <v>801389355</v>
      </c>
      <c r="M69" s="19"/>
    </row>
    <row r="70" spans="1:13" ht="18" customHeight="1">
      <c r="A70" s="6" t="str">
        <f t="shared" si="0"/>
        <v>T05</v>
      </c>
      <c r="B70" s="3">
        <v>41843</v>
      </c>
      <c r="C70" s="3">
        <v>41843</v>
      </c>
      <c r="D70" s="4" t="s">
        <v>43</v>
      </c>
      <c r="E70" s="22"/>
      <c r="F70" s="5" t="s">
        <v>253</v>
      </c>
      <c r="G70" s="5"/>
      <c r="H70" s="5"/>
      <c r="I70" s="28" t="s">
        <v>36</v>
      </c>
      <c r="J70" s="21">
        <v>710000000</v>
      </c>
      <c r="K70" s="5"/>
      <c r="L70" s="4">
        <f t="shared" si="1"/>
        <v>1511389355</v>
      </c>
      <c r="M70" s="19"/>
    </row>
    <row r="71" spans="1:13" ht="18" customHeight="1">
      <c r="A71" s="6" t="str">
        <f t="shared" si="0"/>
        <v>C34</v>
      </c>
      <c r="B71" s="3">
        <v>41843</v>
      </c>
      <c r="C71" s="3">
        <v>41843</v>
      </c>
      <c r="D71" s="4"/>
      <c r="E71" s="22" t="s">
        <v>120</v>
      </c>
      <c r="F71" s="5" t="s">
        <v>296</v>
      </c>
      <c r="G71" s="124"/>
      <c r="H71" s="5"/>
      <c r="I71" s="28" t="s">
        <v>256</v>
      </c>
      <c r="J71" s="21"/>
      <c r="K71" s="5">
        <v>1000000</v>
      </c>
      <c r="L71" s="4">
        <f t="shared" si="1"/>
        <v>1510389355</v>
      </c>
      <c r="M71" s="19"/>
    </row>
    <row r="72" spans="1:13" ht="18" customHeight="1">
      <c r="A72" s="6" t="str">
        <f t="shared" si="0"/>
        <v>C34</v>
      </c>
      <c r="B72" s="3">
        <v>41843</v>
      </c>
      <c r="C72" s="3">
        <v>41843</v>
      </c>
      <c r="D72" s="4"/>
      <c r="E72" s="22" t="s">
        <v>120</v>
      </c>
      <c r="F72" s="5" t="s">
        <v>297</v>
      </c>
      <c r="G72" s="124"/>
      <c r="H72" s="5"/>
      <c r="I72" s="28" t="s">
        <v>35</v>
      </c>
      <c r="J72" s="21"/>
      <c r="K72" s="5">
        <v>100000</v>
      </c>
      <c r="L72" s="4">
        <f t="shared" si="1"/>
        <v>1510289355</v>
      </c>
      <c r="M72" s="19"/>
    </row>
    <row r="73" spans="1:13" ht="18" customHeight="1">
      <c r="A73" s="6" t="str">
        <f t="shared" si="0"/>
        <v>C35</v>
      </c>
      <c r="B73" s="3">
        <v>41846</v>
      </c>
      <c r="C73" s="3">
        <v>41846</v>
      </c>
      <c r="D73" s="4"/>
      <c r="E73" s="22" t="s">
        <v>121</v>
      </c>
      <c r="F73" s="5" t="s">
        <v>395</v>
      </c>
      <c r="G73" s="124"/>
      <c r="H73" s="5"/>
      <c r="I73" s="28" t="s">
        <v>247</v>
      </c>
      <c r="J73" s="21"/>
      <c r="K73" s="5">
        <v>14400000</v>
      </c>
      <c r="L73" s="4">
        <f t="shared" si="1"/>
        <v>1495889355</v>
      </c>
      <c r="M73" s="19"/>
    </row>
    <row r="74" spans="1:13" ht="18" customHeight="1">
      <c r="A74" s="6" t="str">
        <f t="shared" si="0"/>
        <v>C35</v>
      </c>
      <c r="B74" s="3">
        <v>41846</v>
      </c>
      <c r="C74" s="3">
        <v>41846</v>
      </c>
      <c r="D74" s="4"/>
      <c r="E74" s="22" t="s">
        <v>121</v>
      </c>
      <c r="F74" s="5" t="s">
        <v>396</v>
      </c>
      <c r="G74" s="124"/>
      <c r="H74" s="5"/>
      <c r="I74" s="28" t="s">
        <v>35</v>
      </c>
      <c r="J74" s="21"/>
      <c r="K74" s="5">
        <v>1440000</v>
      </c>
      <c r="L74" s="4">
        <f t="shared" si="1"/>
        <v>1494449355</v>
      </c>
      <c r="M74" s="19"/>
    </row>
    <row r="75" spans="1:13" ht="18" customHeight="1">
      <c r="A75" s="6" t="str">
        <f t="shared" si="0"/>
        <v>C36</v>
      </c>
      <c r="B75" s="3">
        <v>41846</v>
      </c>
      <c r="C75" s="3">
        <v>41846</v>
      </c>
      <c r="D75" s="4"/>
      <c r="E75" s="22" t="s">
        <v>122</v>
      </c>
      <c r="F75" s="5" t="s">
        <v>397</v>
      </c>
      <c r="G75" s="5"/>
      <c r="H75" s="353"/>
      <c r="I75" s="28" t="s">
        <v>247</v>
      </c>
      <c r="J75" s="21"/>
      <c r="K75" s="5">
        <v>3261000</v>
      </c>
      <c r="L75" s="4">
        <f t="shared" si="1"/>
        <v>1491188355</v>
      </c>
      <c r="M75" s="19"/>
    </row>
    <row r="76" spans="1:13" ht="18" customHeight="1">
      <c r="A76" s="6" t="str">
        <f t="shared" si="0"/>
        <v>C37</v>
      </c>
      <c r="B76" s="3">
        <v>41848</v>
      </c>
      <c r="C76" s="3">
        <v>41848</v>
      </c>
      <c r="D76" s="4"/>
      <c r="E76" s="22" t="s">
        <v>123</v>
      </c>
      <c r="F76" s="5" t="s">
        <v>50</v>
      </c>
      <c r="G76" s="5"/>
      <c r="H76" s="353"/>
      <c r="I76" s="28" t="s">
        <v>247</v>
      </c>
      <c r="J76" s="21"/>
      <c r="K76" s="5">
        <v>3398200</v>
      </c>
      <c r="L76" s="4">
        <f t="shared" si="1"/>
        <v>1487790155</v>
      </c>
      <c r="M76" s="19"/>
    </row>
    <row r="77" spans="1:13" ht="18" customHeight="1">
      <c r="A77" s="6" t="str">
        <f t="shared" si="0"/>
        <v>C37</v>
      </c>
      <c r="B77" s="3">
        <v>41848</v>
      </c>
      <c r="C77" s="3">
        <v>41848</v>
      </c>
      <c r="D77" s="4"/>
      <c r="E77" s="22" t="s">
        <v>123</v>
      </c>
      <c r="F77" s="5" t="s">
        <v>56</v>
      </c>
      <c r="G77" s="5"/>
      <c r="H77" s="353"/>
      <c r="I77" s="28" t="s">
        <v>35</v>
      </c>
      <c r="J77" s="21"/>
      <c r="K77" s="5">
        <v>339820</v>
      </c>
      <c r="L77" s="4">
        <f t="shared" si="1"/>
        <v>1487450335</v>
      </c>
      <c r="M77" s="19"/>
    </row>
    <row r="78" spans="1:13" ht="18" customHeight="1">
      <c r="A78" s="6" t="str">
        <f t="shared" si="0"/>
        <v>C38</v>
      </c>
      <c r="B78" s="3">
        <v>41848</v>
      </c>
      <c r="C78" s="3">
        <v>41848</v>
      </c>
      <c r="D78" s="4"/>
      <c r="E78" s="22" t="s">
        <v>135</v>
      </c>
      <c r="F78" s="5" t="s">
        <v>398</v>
      </c>
      <c r="G78" s="5"/>
      <c r="H78" s="353"/>
      <c r="I78" s="28" t="s">
        <v>247</v>
      </c>
      <c r="J78" s="21"/>
      <c r="K78" s="5">
        <v>6296000</v>
      </c>
      <c r="L78" s="4">
        <f t="shared" si="1"/>
        <v>1481154335</v>
      </c>
      <c r="M78" s="19"/>
    </row>
    <row r="79" spans="1:13" ht="18" customHeight="1">
      <c r="A79" s="6" t="str">
        <f t="shared" si="0"/>
        <v>C38</v>
      </c>
      <c r="B79" s="3">
        <v>41848</v>
      </c>
      <c r="C79" s="3">
        <v>41848</v>
      </c>
      <c r="D79" s="4"/>
      <c r="E79" s="22" t="s">
        <v>135</v>
      </c>
      <c r="F79" s="5" t="s">
        <v>399</v>
      </c>
      <c r="G79" s="5"/>
      <c r="H79" s="353"/>
      <c r="I79" s="28" t="s">
        <v>35</v>
      </c>
      <c r="J79" s="21"/>
      <c r="K79" s="5">
        <v>629600</v>
      </c>
      <c r="L79" s="4">
        <f t="shared" si="1"/>
        <v>1480524735</v>
      </c>
      <c r="M79" s="19"/>
    </row>
    <row r="80" spans="1:13" ht="18" customHeight="1">
      <c r="A80" s="6" t="str">
        <f t="shared" si="0"/>
        <v>C39</v>
      </c>
      <c r="B80" s="3">
        <v>41848</v>
      </c>
      <c r="C80" s="3">
        <v>41848</v>
      </c>
      <c r="D80" s="4"/>
      <c r="E80" s="22" t="s">
        <v>136</v>
      </c>
      <c r="F80" s="5" t="s">
        <v>50</v>
      </c>
      <c r="G80" s="5"/>
      <c r="H80" s="353"/>
      <c r="I80" s="28" t="s">
        <v>247</v>
      </c>
      <c r="J80" s="21"/>
      <c r="K80" s="5">
        <v>629345</v>
      </c>
      <c r="L80" s="4">
        <f t="shared" si="1"/>
        <v>1479895390</v>
      </c>
      <c r="M80" s="19"/>
    </row>
    <row r="81" spans="1:13" ht="18" customHeight="1">
      <c r="A81" s="6" t="str">
        <f t="shared" si="0"/>
        <v>C39</v>
      </c>
      <c r="B81" s="3">
        <v>41848</v>
      </c>
      <c r="C81" s="3">
        <v>41848</v>
      </c>
      <c r="D81" s="4"/>
      <c r="E81" s="22" t="s">
        <v>136</v>
      </c>
      <c r="F81" s="5" t="s">
        <v>53</v>
      </c>
      <c r="G81" s="5"/>
      <c r="H81" s="353"/>
      <c r="I81" s="28" t="s">
        <v>54</v>
      </c>
      <c r="J81" s="21"/>
      <c r="K81" s="5">
        <v>2057273</v>
      </c>
      <c r="L81" s="4">
        <f t="shared" si="1"/>
        <v>1477838117</v>
      </c>
      <c r="M81" s="19"/>
    </row>
    <row r="82" spans="1:13" ht="18" customHeight="1">
      <c r="A82" s="6" t="str">
        <f t="shared" si="0"/>
        <v>C39</v>
      </c>
      <c r="B82" s="3">
        <v>41848</v>
      </c>
      <c r="C82" s="3">
        <v>41848</v>
      </c>
      <c r="D82" s="4"/>
      <c r="E82" s="22" t="s">
        <v>136</v>
      </c>
      <c r="F82" s="5" t="s">
        <v>214</v>
      </c>
      <c r="G82" s="5"/>
      <c r="H82" s="353"/>
      <c r="I82" s="28" t="s">
        <v>35</v>
      </c>
      <c r="J82" s="21"/>
      <c r="K82" s="5">
        <v>268662</v>
      </c>
      <c r="L82" s="4">
        <f t="shared" si="1"/>
        <v>1477569455</v>
      </c>
      <c r="M82" s="19"/>
    </row>
    <row r="83" spans="1:13" ht="18" customHeight="1">
      <c r="A83" s="6" t="str">
        <f t="shared" si="0"/>
        <v>C40</v>
      </c>
      <c r="B83" s="3">
        <v>41848</v>
      </c>
      <c r="C83" s="3">
        <v>41848</v>
      </c>
      <c r="D83" s="4"/>
      <c r="E83" s="22" t="s">
        <v>137</v>
      </c>
      <c r="F83" s="5" t="s">
        <v>259</v>
      </c>
      <c r="G83" s="5"/>
      <c r="H83" s="353"/>
      <c r="I83" s="28" t="s">
        <v>134</v>
      </c>
      <c r="J83" s="21"/>
      <c r="K83" s="5">
        <v>650000000</v>
      </c>
      <c r="L83" s="4">
        <f t="shared" si="1"/>
        <v>827569455</v>
      </c>
      <c r="M83" s="19"/>
    </row>
    <row r="84" spans="1:13" ht="18" customHeight="1">
      <c r="A84" s="6" t="str">
        <f t="shared" si="0"/>
        <v>C41</v>
      </c>
      <c r="B84" s="3">
        <v>41848</v>
      </c>
      <c r="C84" s="3">
        <v>41848</v>
      </c>
      <c r="D84" s="4"/>
      <c r="E84" s="22" t="s">
        <v>138</v>
      </c>
      <c r="F84" s="5" t="s">
        <v>260</v>
      </c>
      <c r="G84" s="5"/>
      <c r="H84" s="353"/>
      <c r="I84" s="28" t="s">
        <v>134</v>
      </c>
      <c r="J84" s="21"/>
      <c r="K84" s="5">
        <v>700000000</v>
      </c>
      <c r="L84" s="4">
        <f t="shared" si="1"/>
        <v>127569455</v>
      </c>
      <c r="M84" s="19"/>
    </row>
    <row r="85" spans="1:13" ht="18" customHeight="1">
      <c r="A85" s="6" t="str">
        <f t="shared" si="0"/>
        <v>T06</v>
      </c>
      <c r="B85" s="3">
        <v>41850</v>
      </c>
      <c r="C85" s="3">
        <v>41850</v>
      </c>
      <c r="D85" s="4" t="s">
        <v>44</v>
      </c>
      <c r="E85" s="22"/>
      <c r="F85" s="5" t="s">
        <v>253</v>
      </c>
      <c r="G85" s="5"/>
      <c r="H85" s="353"/>
      <c r="I85" s="28" t="s">
        <v>36</v>
      </c>
      <c r="J85" s="21">
        <v>935000000</v>
      </c>
      <c r="K85" s="5"/>
      <c r="L85" s="4">
        <f t="shared" si="1"/>
        <v>1062569455</v>
      </c>
      <c r="M85" s="19"/>
    </row>
    <row r="86" spans="1:13" ht="18" customHeight="1">
      <c r="A86" s="6" t="str">
        <f t="shared" si="0"/>
        <v>C42</v>
      </c>
      <c r="B86" s="3">
        <v>41850</v>
      </c>
      <c r="C86" s="3">
        <v>41850</v>
      </c>
      <c r="D86" s="4"/>
      <c r="E86" s="22" t="s">
        <v>139</v>
      </c>
      <c r="F86" s="5" t="s">
        <v>336</v>
      </c>
      <c r="G86" s="5"/>
      <c r="H86" s="353"/>
      <c r="I86" s="28" t="s">
        <v>247</v>
      </c>
      <c r="J86" s="21"/>
      <c r="K86" s="5">
        <v>1342500</v>
      </c>
      <c r="L86" s="4">
        <f t="shared" si="1"/>
        <v>1061226955</v>
      </c>
      <c r="M86" s="19"/>
    </row>
    <row r="87" spans="1:13" ht="18" customHeight="1">
      <c r="A87" s="6" t="str">
        <f t="shared" si="0"/>
        <v>C42</v>
      </c>
      <c r="B87" s="3">
        <v>41850</v>
      </c>
      <c r="C87" s="3">
        <v>41850</v>
      </c>
      <c r="D87" s="4"/>
      <c r="E87" s="22" t="s">
        <v>139</v>
      </c>
      <c r="F87" s="5" t="s">
        <v>337</v>
      </c>
      <c r="G87" s="5"/>
      <c r="H87" s="353"/>
      <c r="I87" s="28" t="s">
        <v>35</v>
      </c>
      <c r="J87" s="21"/>
      <c r="K87" s="5">
        <v>134250</v>
      </c>
      <c r="L87" s="4">
        <f t="shared" si="1"/>
        <v>1061092705</v>
      </c>
      <c r="M87" s="19"/>
    </row>
    <row r="88" spans="1:13" ht="18" customHeight="1">
      <c r="A88" s="6" t="str">
        <f t="shared" si="0"/>
        <v>C43</v>
      </c>
      <c r="B88" s="3">
        <v>41850</v>
      </c>
      <c r="C88" s="3">
        <v>41850</v>
      </c>
      <c r="D88" s="4"/>
      <c r="E88" s="22" t="s">
        <v>140</v>
      </c>
      <c r="F88" s="5" t="s">
        <v>400</v>
      </c>
      <c r="G88" s="5"/>
      <c r="H88" s="353"/>
      <c r="I88" s="28" t="s">
        <v>247</v>
      </c>
      <c r="J88" s="21"/>
      <c r="K88" s="5">
        <v>3054545</v>
      </c>
      <c r="L88" s="4">
        <f t="shared" si="1"/>
        <v>1058038160</v>
      </c>
      <c r="M88" s="19"/>
    </row>
    <row r="89" spans="1:13" ht="18" customHeight="1">
      <c r="A89" s="6" t="str">
        <f t="shared" si="0"/>
        <v>C43</v>
      </c>
      <c r="B89" s="3">
        <v>41850</v>
      </c>
      <c r="C89" s="3">
        <v>41850</v>
      </c>
      <c r="D89" s="4"/>
      <c r="E89" s="52" t="s">
        <v>140</v>
      </c>
      <c r="F89" s="5" t="s">
        <v>401</v>
      </c>
      <c r="G89" s="5"/>
      <c r="H89" s="5"/>
      <c r="I89" s="28" t="s">
        <v>35</v>
      </c>
      <c r="J89" s="21"/>
      <c r="K89" s="5">
        <v>305455</v>
      </c>
      <c r="L89" s="4">
        <f t="shared" si="1"/>
        <v>1057732705</v>
      </c>
      <c r="M89" s="19"/>
    </row>
    <row r="90" spans="1:13" ht="18" customHeight="1">
      <c r="A90" s="6" t="str">
        <f t="shared" ref="A90:A98" si="2">D90&amp;E90</f>
        <v>T07</v>
      </c>
      <c r="B90" s="3">
        <v>41851</v>
      </c>
      <c r="C90" s="3">
        <v>41851</v>
      </c>
      <c r="D90" s="4" t="s">
        <v>58</v>
      </c>
      <c r="E90" s="52"/>
      <c r="F90" s="5" t="s">
        <v>272</v>
      </c>
      <c r="G90" s="5"/>
      <c r="H90" s="5"/>
      <c r="I90" s="28" t="s">
        <v>57</v>
      </c>
      <c r="J90" s="21">
        <v>50000000</v>
      </c>
      <c r="K90" s="5"/>
      <c r="L90" s="4">
        <f t="shared" ref="L90:L94" si="3">IF(F90&lt;&gt;"",L89+J90-K90,0)</f>
        <v>1107732705</v>
      </c>
      <c r="M90" s="19"/>
    </row>
    <row r="91" spans="1:13" ht="18" customHeight="1">
      <c r="A91" s="6" t="str">
        <f t="shared" si="2"/>
        <v>C44</v>
      </c>
      <c r="B91" s="3">
        <v>41851</v>
      </c>
      <c r="C91" s="3">
        <v>41851</v>
      </c>
      <c r="D91" s="4"/>
      <c r="E91" s="52" t="s">
        <v>402</v>
      </c>
      <c r="F91" s="5" t="s">
        <v>50</v>
      </c>
      <c r="G91" s="5"/>
      <c r="H91" s="5"/>
      <c r="I91" s="28" t="s">
        <v>247</v>
      </c>
      <c r="J91" s="21"/>
      <c r="K91" s="5">
        <v>2064800</v>
      </c>
      <c r="L91" s="4">
        <f t="shared" si="3"/>
        <v>1105667905</v>
      </c>
      <c r="M91" s="19"/>
    </row>
    <row r="92" spans="1:13" ht="18" customHeight="1">
      <c r="A92" s="6" t="str">
        <f t="shared" si="2"/>
        <v>C44</v>
      </c>
      <c r="B92" s="3">
        <v>41851</v>
      </c>
      <c r="C92" s="3">
        <v>41851</v>
      </c>
      <c r="D92" s="4"/>
      <c r="E92" s="52" t="s">
        <v>402</v>
      </c>
      <c r="F92" s="5" t="s">
        <v>56</v>
      </c>
      <c r="G92" s="5"/>
      <c r="H92" s="5"/>
      <c r="I92" s="28" t="s">
        <v>35</v>
      </c>
      <c r="J92" s="21"/>
      <c r="K92" s="5">
        <v>206480</v>
      </c>
      <c r="L92" s="4">
        <f t="shared" si="3"/>
        <v>1105461425</v>
      </c>
      <c r="M92" s="19"/>
    </row>
    <row r="93" spans="1:13" ht="18" customHeight="1">
      <c r="A93" s="6" t="str">
        <f t="shared" si="2"/>
        <v>C45</v>
      </c>
      <c r="B93" s="3">
        <v>41851</v>
      </c>
      <c r="C93" s="3">
        <v>41851</v>
      </c>
      <c r="D93" s="4"/>
      <c r="E93" s="22" t="s">
        <v>403</v>
      </c>
      <c r="F93" s="5" t="s">
        <v>50</v>
      </c>
      <c r="G93" s="5"/>
      <c r="H93" s="5"/>
      <c r="I93" s="28" t="s">
        <v>247</v>
      </c>
      <c r="J93" s="21"/>
      <c r="K93" s="5">
        <v>161064</v>
      </c>
      <c r="L93" s="4">
        <f t="shared" si="3"/>
        <v>1105300361</v>
      </c>
      <c r="M93" s="19"/>
    </row>
    <row r="94" spans="1:13" ht="18" customHeight="1">
      <c r="A94" s="6" t="str">
        <f t="shared" si="2"/>
        <v>C45</v>
      </c>
      <c r="B94" s="3">
        <v>41851</v>
      </c>
      <c r="C94" s="3">
        <v>41851</v>
      </c>
      <c r="D94" s="4"/>
      <c r="E94" s="22" t="s">
        <v>403</v>
      </c>
      <c r="F94" s="5" t="s">
        <v>53</v>
      </c>
      <c r="G94" s="5"/>
      <c r="H94" s="5"/>
      <c r="I94" s="28" t="s">
        <v>54</v>
      </c>
      <c r="J94" s="21"/>
      <c r="K94" s="5">
        <v>1012727</v>
      </c>
      <c r="L94" s="4">
        <f t="shared" si="3"/>
        <v>1104287634</v>
      </c>
      <c r="M94" s="19"/>
    </row>
    <row r="95" spans="1:13" ht="18" customHeight="1">
      <c r="A95" s="6" t="str">
        <f t="shared" si="2"/>
        <v>C45</v>
      </c>
      <c r="B95" s="3">
        <v>41851</v>
      </c>
      <c r="C95" s="3">
        <v>41851</v>
      </c>
      <c r="D95" s="4"/>
      <c r="E95" s="22" t="s">
        <v>403</v>
      </c>
      <c r="F95" s="5" t="s">
        <v>214</v>
      </c>
      <c r="G95" s="5"/>
      <c r="H95" s="5"/>
      <c r="I95" s="28" t="s">
        <v>35</v>
      </c>
      <c r="J95" s="21"/>
      <c r="K95" s="5">
        <v>117379</v>
      </c>
      <c r="L95" s="4">
        <f t="shared" ref="L95" si="4">IF(F95&lt;&gt;"",L94+J95-K95,0)</f>
        <v>1104170255</v>
      </c>
      <c r="M95" s="19"/>
    </row>
    <row r="96" spans="1:13" ht="18" customHeight="1">
      <c r="A96" s="6" t="str">
        <f t="shared" si="2"/>
        <v>C46</v>
      </c>
      <c r="B96" s="3">
        <v>41851</v>
      </c>
      <c r="C96" s="3">
        <v>41851</v>
      </c>
      <c r="D96" s="4"/>
      <c r="E96" s="22" t="s">
        <v>404</v>
      </c>
      <c r="F96" s="5" t="s">
        <v>344</v>
      </c>
      <c r="G96" s="5"/>
      <c r="H96" s="5"/>
      <c r="I96" s="28" t="s">
        <v>37</v>
      </c>
      <c r="J96" s="21"/>
      <c r="K96" s="5">
        <v>161365230</v>
      </c>
      <c r="L96" s="4">
        <f t="shared" ref="L96" si="5">IF(F96&lt;&gt;"",L95+J96-K96,0)</f>
        <v>942805025</v>
      </c>
      <c r="M96" s="19"/>
    </row>
    <row r="97" spans="1:13" ht="18" customHeight="1">
      <c r="A97" s="6" t="str">
        <f t="shared" si="2"/>
        <v/>
      </c>
      <c r="B97" s="3"/>
      <c r="C97" s="3"/>
      <c r="D97" s="4"/>
      <c r="E97" s="22"/>
      <c r="F97" s="5"/>
      <c r="G97" s="5"/>
      <c r="H97" s="5"/>
      <c r="I97" s="28"/>
      <c r="J97" s="21"/>
      <c r="K97" s="5"/>
      <c r="L97" s="4"/>
      <c r="M97" s="19"/>
    </row>
    <row r="98" spans="1:13" s="44" customFormat="1" ht="18" customHeight="1">
      <c r="A98" s="6" t="str">
        <f t="shared" si="2"/>
        <v/>
      </c>
      <c r="B98" s="42"/>
      <c r="C98" s="42"/>
      <c r="D98" s="42"/>
      <c r="E98" s="42"/>
      <c r="F98" s="42" t="s">
        <v>29</v>
      </c>
      <c r="G98" s="42"/>
      <c r="H98" s="42"/>
      <c r="I98" s="43" t="s">
        <v>30</v>
      </c>
      <c r="J98" s="42">
        <f>SUM(J13:J96)</f>
        <v>8340000000</v>
      </c>
      <c r="K98" s="42">
        <f>SUM(K13:K96)</f>
        <v>9369027905</v>
      </c>
      <c r="L98" s="43" t="s">
        <v>30</v>
      </c>
      <c r="M98" s="43" t="s">
        <v>30</v>
      </c>
    </row>
    <row r="99" spans="1:13" s="44" customFormat="1" ht="18" customHeight="1">
      <c r="A99" s="6" t="str">
        <f t="shared" ref="A99" si="6">D99&amp;E99</f>
        <v/>
      </c>
      <c r="B99" s="45"/>
      <c r="C99" s="45"/>
      <c r="D99" s="45"/>
      <c r="E99" s="45"/>
      <c r="F99" s="45" t="s">
        <v>31</v>
      </c>
      <c r="G99" s="45"/>
      <c r="H99" s="45"/>
      <c r="I99" s="46" t="s">
        <v>30</v>
      </c>
      <c r="J99" s="46" t="s">
        <v>30</v>
      </c>
      <c r="K99" s="46" t="s">
        <v>30</v>
      </c>
      <c r="L99" s="45">
        <f>L12+J98-K98</f>
        <v>942805025</v>
      </c>
      <c r="M99" s="46" t="s">
        <v>30</v>
      </c>
    </row>
    <row r="101" spans="1:13">
      <c r="B101" s="27" t="s">
        <v>47</v>
      </c>
    </row>
    <row r="102" spans="1:13">
      <c r="B102" s="27" t="s">
        <v>238</v>
      </c>
    </row>
    <row r="103" spans="1:13">
      <c r="L103" s="8" t="s">
        <v>239</v>
      </c>
    </row>
    <row r="104" spans="1:13" s="7" customFormat="1" ht="14.25">
      <c r="C104" s="7" t="s">
        <v>33</v>
      </c>
      <c r="F104" s="7" t="s">
        <v>13</v>
      </c>
      <c r="L104" s="7" t="s">
        <v>14</v>
      </c>
    </row>
    <row r="105" spans="1:13" s="2" customFormat="1">
      <c r="C105" s="2" t="s">
        <v>15</v>
      </c>
      <c r="F105" s="2" t="s">
        <v>15</v>
      </c>
      <c r="L105" s="2" t="s">
        <v>16</v>
      </c>
    </row>
    <row r="106" spans="1:13" s="2" customFormat="1"/>
  </sheetData>
  <autoFilter ref="B11:M99">
    <filterColumn colId="8"/>
  </autoFilter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89"/>
  <sheetViews>
    <sheetView topLeftCell="B1" zoomScale="90" workbookViewId="0">
      <selection activeCell="J1" sqref="J1:M3"/>
    </sheetView>
  </sheetViews>
  <sheetFormatPr defaultRowHeight="15"/>
  <cols>
    <col min="1" max="1" width="4.7109375" style="6" hidden="1" customWidth="1"/>
    <col min="2" max="3" width="10.140625" style="6" customWidth="1"/>
    <col min="4" max="5" width="6.85546875" style="6" customWidth="1"/>
    <col min="6" max="6" width="49.85546875" style="6" bestFit="1" customWidth="1"/>
    <col min="7" max="7" width="11.7109375" style="6" hidden="1" customWidth="1"/>
    <col min="8" max="8" width="40.71093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2" t="s">
        <v>784</v>
      </c>
      <c r="K1" s="392"/>
      <c r="L1" s="392"/>
      <c r="M1" s="392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393" t="s">
        <v>785</v>
      </c>
      <c r="K2" s="393"/>
      <c r="L2" s="393"/>
      <c r="M2" s="393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3"/>
      <c r="K3" s="393"/>
      <c r="L3" s="393"/>
      <c r="M3" s="393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4" t="s">
        <v>17</v>
      </c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</row>
    <row r="6" spans="1:13">
      <c r="B6" s="398" t="s">
        <v>18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</row>
    <row r="7" spans="1:13">
      <c r="B7" s="398" t="s">
        <v>1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</row>
    <row r="8" spans="1:13">
      <c r="B8" s="15"/>
      <c r="L8" s="15" t="s">
        <v>19</v>
      </c>
    </row>
    <row r="9" spans="1:13" ht="30" customHeight="1">
      <c r="B9" s="395" t="s">
        <v>20</v>
      </c>
      <c r="C9" s="395" t="s">
        <v>21</v>
      </c>
      <c r="D9" s="395" t="s">
        <v>2</v>
      </c>
      <c r="E9" s="395"/>
      <c r="F9" s="395" t="s">
        <v>3</v>
      </c>
      <c r="G9" s="396" t="s">
        <v>85</v>
      </c>
      <c r="H9" s="396" t="s">
        <v>86</v>
      </c>
      <c r="I9" s="395" t="s">
        <v>22</v>
      </c>
      <c r="J9" s="395" t="s">
        <v>23</v>
      </c>
      <c r="K9" s="395"/>
      <c r="L9" s="395" t="s">
        <v>24</v>
      </c>
      <c r="M9" s="395" t="s">
        <v>4</v>
      </c>
    </row>
    <row r="10" spans="1:13" ht="20.25" customHeight="1">
      <c r="B10" s="395"/>
      <c r="C10" s="395"/>
      <c r="D10" s="16" t="s">
        <v>5</v>
      </c>
      <c r="E10" s="16" t="s">
        <v>6</v>
      </c>
      <c r="F10" s="395"/>
      <c r="G10" s="397"/>
      <c r="H10" s="397"/>
      <c r="I10" s="395"/>
      <c r="J10" s="16" t="s">
        <v>25</v>
      </c>
      <c r="K10" s="16" t="s">
        <v>26</v>
      </c>
      <c r="L10" s="395"/>
      <c r="M10" s="395"/>
    </row>
    <row r="11" spans="1:13" s="18" customFormat="1" ht="11.25" customHeight="1">
      <c r="B11" s="29" t="s">
        <v>7</v>
      </c>
      <c r="C11" s="29" t="s">
        <v>8</v>
      </c>
      <c r="D11" s="29" t="s">
        <v>9</v>
      </c>
      <c r="E11" s="29" t="s">
        <v>10</v>
      </c>
      <c r="F11" s="29" t="s">
        <v>11</v>
      </c>
      <c r="G11" s="29"/>
      <c r="H11" s="29"/>
      <c r="I11" s="29" t="s">
        <v>27</v>
      </c>
      <c r="J11" s="29">
        <v>1</v>
      </c>
      <c r="K11" s="29">
        <v>2</v>
      </c>
      <c r="L11" s="29">
        <v>3</v>
      </c>
      <c r="M11" s="29" t="s">
        <v>12</v>
      </c>
    </row>
    <row r="12" spans="1:13" s="44" customFormat="1" ht="18" customHeight="1">
      <c r="B12" s="36"/>
      <c r="C12" s="36"/>
      <c r="D12" s="36"/>
      <c r="E12" s="36"/>
      <c r="F12" s="36" t="s">
        <v>28</v>
      </c>
      <c r="G12" s="36"/>
      <c r="H12" s="36"/>
      <c r="I12" s="37"/>
      <c r="J12" s="38"/>
      <c r="K12" s="36"/>
      <c r="L12" s="38">
        <f>'07'!L99</f>
        <v>942805025</v>
      </c>
      <c r="M12" s="36"/>
    </row>
    <row r="13" spans="1:13" ht="18" customHeight="1">
      <c r="A13" s="6" t="str">
        <f t="shared" ref="A13:A19" si="0">D13&amp;E13</f>
        <v>C01</v>
      </c>
      <c r="B13" s="3">
        <v>41852</v>
      </c>
      <c r="C13" s="3">
        <v>41836</v>
      </c>
      <c r="D13" s="4"/>
      <c r="E13" s="22" t="s">
        <v>87</v>
      </c>
      <c r="F13" s="5" t="s">
        <v>405</v>
      </c>
      <c r="G13" s="5"/>
      <c r="H13" s="5"/>
      <c r="I13" s="28" t="s">
        <v>256</v>
      </c>
      <c r="J13" s="21"/>
      <c r="K13" s="5">
        <f>836364+827273</f>
        <v>1663637</v>
      </c>
      <c r="L13" s="4">
        <f>IF(F13&lt;&gt;"",L12+J13-K13,0)</f>
        <v>941141388</v>
      </c>
      <c r="M13" s="19"/>
    </row>
    <row r="14" spans="1:13" ht="18" customHeight="1">
      <c r="A14" s="6" t="str">
        <f t="shared" si="0"/>
        <v>C01</v>
      </c>
      <c r="B14" s="3">
        <v>41852</v>
      </c>
      <c r="C14" s="3">
        <v>41836</v>
      </c>
      <c r="D14" s="4"/>
      <c r="E14" s="22" t="s">
        <v>87</v>
      </c>
      <c r="F14" s="5" t="s">
        <v>406</v>
      </c>
      <c r="G14" s="5"/>
      <c r="H14" s="5"/>
      <c r="I14" s="28" t="s">
        <v>35</v>
      </c>
      <c r="J14" s="21"/>
      <c r="K14" s="5">
        <f>83636+82727</f>
        <v>166363</v>
      </c>
      <c r="L14" s="4">
        <f t="shared" ref="L14:L79" si="1">IF(F14&lt;&gt;"",L13+J14-K14,0)</f>
        <v>940975025</v>
      </c>
      <c r="M14" s="19"/>
    </row>
    <row r="15" spans="1:13" ht="18" customHeight="1">
      <c r="A15" s="6" t="str">
        <f t="shared" si="0"/>
        <v>C02</v>
      </c>
      <c r="B15" s="3">
        <v>41852</v>
      </c>
      <c r="C15" s="3">
        <v>41851</v>
      </c>
      <c r="D15" s="4"/>
      <c r="E15" s="22" t="s">
        <v>88</v>
      </c>
      <c r="F15" s="5" t="s">
        <v>407</v>
      </c>
      <c r="G15" s="5"/>
      <c r="H15" s="5"/>
      <c r="I15" s="28" t="s">
        <v>247</v>
      </c>
      <c r="J15" s="21"/>
      <c r="K15" s="5">
        <v>2253369</v>
      </c>
      <c r="L15" s="4">
        <f t="shared" si="1"/>
        <v>938721656</v>
      </c>
      <c r="M15" s="19"/>
    </row>
    <row r="16" spans="1:13" ht="18" customHeight="1">
      <c r="A16" s="6" t="str">
        <f t="shared" si="0"/>
        <v>C02</v>
      </c>
      <c r="B16" s="3">
        <v>41852</v>
      </c>
      <c r="C16" s="3">
        <v>41851</v>
      </c>
      <c r="D16" s="4"/>
      <c r="E16" s="22" t="s">
        <v>88</v>
      </c>
      <c r="F16" s="5" t="s">
        <v>408</v>
      </c>
      <c r="G16" s="5"/>
      <c r="H16" s="5"/>
      <c r="I16" s="28" t="s">
        <v>35</v>
      </c>
      <c r="J16" s="21"/>
      <c r="K16" s="5">
        <v>225337</v>
      </c>
      <c r="L16" s="4">
        <f t="shared" si="1"/>
        <v>938496319</v>
      </c>
      <c r="M16" s="19"/>
    </row>
    <row r="17" spans="1:13" ht="18" customHeight="1">
      <c r="A17" s="6" t="str">
        <f t="shared" si="0"/>
        <v>C03</v>
      </c>
      <c r="B17" s="3">
        <v>41852</v>
      </c>
      <c r="C17" s="3">
        <v>41852</v>
      </c>
      <c r="D17" s="4"/>
      <c r="E17" s="22" t="s">
        <v>89</v>
      </c>
      <c r="F17" s="5" t="s">
        <v>409</v>
      </c>
      <c r="G17" s="5"/>
      <c r="H17" s="5"/>
      <c r="I17" s="28" t="s">
        <v>247</v>
      </c>
      <c r="J17" s="21"/>
      <c r="K17" s="5">
        <v>1000000</v>
      </c>
      <c r="L17" s="4">
        <f t="shared" si="1"/>
        <v>937496319</v>
      </c>
      <c r="M17" s="19"/>
    </row>
    <row r="18" spans="1:13" ht="18" customHeight="1">
      <c r="A18" s="6" t="str">
        <f t="shared" si="0"/>
        <v>C04</v>
      </c>
      <c r="B18" s="3">
        <v>41852</v>
      </c>
      <c r="C18" s="3">
        <v>41852</v>
      </c>
      <c r="D18" s="4"/>
      <c r="E18" s="22" t="s">
        <v>90</v>
      </c>
      <c r="F18" s="5" t="s">
        <v>258</v>
      </c>
      <c r="G18" s="5"/>
      <c r="H18" s="5"/>
      <c r="I18" s="28" t="s">
        <v>34</v>
      </c>
      <c r="J18" s="21"/>
      <c r="K18" s="5">
        <v>5742000</v>
      </c>
      <c r="L18" s="4">
        <f t="shared" si="1"/>
        <v>931754319</v>
      </c>
      <c r="M18" s="19"/>
    </row>
    <row r="19" spans="1:13" ht="18" customHeight="1">
      <c r="A19" s="6" t="str">
        <f t="shared" si="0"/>
        <v>C05</v>
      </c>
      <c r="B19" s="3">
        <v>41853</v>
      </c>
      <c r="C19" s="3">
        <v>41853</v>
      </c>
      <c r="D19" s="4"/>
      <c r="E19" s="22" t="s">
        <v>91</v>
      </c>
      <c r="F19" s="5" t="s">
        <v>410</v>
      </c>
      <c r="G19" s="5"/>
      <c r="H19" s="5"/>
      <c r="I19" s="28" t="s">
        <v>247</v>
      </c>
      <c r="J19" s="21"/>
      <c r="K19" s="5">
        <v>93800</v>
      </c>
      <c r="L19" s="4">
        <f t="shared" si="1"/>
        <v>931660519</v>
      </c>
      <c r="M19" s="19"/>
    </row>
    <row r="20" spans="1:13" ht="18" customHeight="1">
      <c r="A20" s="6" t="str">
        <f t="shared" ref="A20:A74" si="2">D20&amp;E20</f>
        <v>C05</v>
      </c>
      <c r="B20" s="3">
        <v>41853</v>
      </c>
      <c r="C20" s="3">
        <v>41853</v>
      </c>
      <c r="D20" s="4"/>
      <c r="E20" s="22" t="s">
        <v>91</v>
      </c>
      <c r="F20" s="5" t="s">
        <v>411</v>
      </c>
      <c r="G20" s="5"/>
      <c r="H20" s="5"/>
      <c r="I20" s="28" t="s">
        <v>35</v>
      </c>
      <c r="J20" s="21"/>
      <c r="K20" s="5">
        <v>9380</v>
      </c>
      <c r="L20" s="4">
        <f t="shared" si="1"/>
        <v>931651139</v>
      </c>
      <c r="M20" s="19"/>
    </row>
    <row r="21" spans="1:13" ht="18" customHeight="1">
      <c r="A21" s="6" t="str">
        <f>D21&amp;E21</f>
        <v>C06</v>
      </c>
      <c r="B21" s="3">
        <v>41856</v>
      </c>
      <c r="C21" s="3">
        <v>41856</v>
      </c>
      <c r="D21" s="4"/>
      <c r="E21" s="22" t="s">
        <v>92</v>
      </c>
      <c r="F21" s="5" t="s">
        <v>45</v>
      </c>
      <c r="G21" s="5"/>
      <c r="H21" s="5"/>
      <c r="I21" s="28" t="s">
        <v>256</v>
      </c>
      <c r="J21" s="21"/>
      <c r="K21" s="5">
        <v>8700000</v>
      </c>
      <c r="L21" s="4">
        <f t="shared" si="1"/>
        <v>922951139</v>
      </c>
      <c r="M21" s="19"/>
    </row>
    <row r="22" spans="1:13" ht="18" customHeight="1">
      <c r="A22" s="6" t="str">
        <f t="shared" si="2"/>
        <v>C06</v>
      </c>
      <c r="B22" s="3">
        <v>41856</v>
      </c>
      <c r="C22" s="3">
        <v>41856</v>
      </c>
      <c r="D22" s="4"/>
      <c r="E22" s="22" t="s">
        <v>92</v>
      </c>
      <c r="F22" s="5" t="s">
        <v>46</v>
      </c>
      <c r="G22" s="5"/>
      <c r="H22" s="5"/>
      <c r="I22" s="28" t="s">
        <v>35</v>
      </c>
      <c r="J22" s="21"/>
      <c r="K22" s="5">
        <v>870000</v>
      </c>
      <c r="L22" s="4">
        <f t="shared" si="1"/>
        <v>922081139</v>
      </c>
      <c r="M22" s="19"/>
    </row>
    <row r="23" spans="1:13" ht="18" customHeight="1">
      <c r="A23" s="6" t="str">
        <f>D23&amp;E23</f>
        <v>C07</v>
      </c>
      <c r="B23" s="3">
        <v>41856</v>
      </c>
      <c r="C23" s="3">
        <v>41856</v>
      </c>
      <c r="D23" s="4"/>
      <c r="E23" s="22" t="s">
        <v>93</v>
      </c>
      <c r="F23" s="5" t="s">
        <v>323</v>
      </c>
      <c r="G23" s="5"/>
      <c r="H23" s="5"/>
      <c r="I23" s="28" t="s">
        <v>54</v>
      </c>
      <c r="J23" s="21"/>
      <c r="K23" s="5">
        <v>13495750</v>
      </c>
      <c r="L23" s="4">
        <f t="shared" si="1"/>
        <v>908585389</v>
      </c>
      <c r="M23" s="19"/>
    </row>
    <row r="24" spans="1:13" ht="18" customHeight="1">
      <c r="A24" s="6" t="str">
        <f>D24&amp;E24</f>
        <v>C07</v>
      </c>
      <c r="B24" s="3">
        <v>41856</v>
      </c>
      <c r="C24" s="3">
        <v>41856</v>
      </c>
      <c r="D24" s="4"/>
      <c r="E24" s="22" t="s">
        <v>93</v>
      </c>
      <c r="F24" s="5" t="s">
        <v>55</v>
      </c>
      <c r="G24" s="5"/>
      <c r="H24" s="5"/>
      <c r="I24" s="28" t="s">
        <v>35</v>
      </c>
      <c r="J24" s="21"/>
      <c r="K24" s="5">
        <v>552600</v>
      </c>
      <c r="L24" s="4">
        <f t="shared" si="1"/>
        <v>908032789</v>
      </c>
      <c r="M24" s="19"/>
    </row>
    <row r="25" spans="1:13" ht="18" customHeight="1">
      <c r="A25" s="6" t="str">
        <f>D25&amp;E25</f>
        <v>C07</v>
      </c>
      <c r="B25" s="3">
        <v>41856</v>
      </c>
      <c r="C25" s="3">
        <v>41856</v>
      </c>
      <c r="D25" s="4"/>
      <c r="E25" s="22" t="s">
        <v>93</v>
      </c>
      <c r="F25" s="5" t="s">
        <v>342</v>
      </c>
      <c r="G25" s="5"/>
      <c r="H25" s="5"/>
      <c r="I25" s="28" t="s">
        <v>35</v>
      </c>
      <c r="J25" s="21"/>
      <c r="K25" s="5">
        <v>244375</v>
      </c>
      <c r="L25" s="4">
        <f t="shared" si="1"/>
        <v>907788414</v>
      </c>
      <c r="M25" s="19"/>
    </row>
    <row r="26" spans="1:13" ht="18" customHeight="1">
      <c r="A26" s="6" t="str">
        <f t="shared" si="2"/>
        <v>C08</v>
      </c>
      <c r="B26" s="3">
        <v>41856</v>
      </c>
      <c r="C26" s="3">
        <v>41856</v>
      </c>
      <c r="D26" s="4"/>
      <c r="E26" s="22" t="s">
        <v>94</v>
      </c>
      <c r="F26" s="30" t="s">
        <v>260</v>
      </c>
      <c r="G26" s="50"/>
      <c r="H26" s="50"/>
      <c r="I26" s="28" t="s">
        <v>134</v>
      </c>
      <c r="J26" s="21"/>
      <c r="K26" s="5">
        <v>450000000</v>
      </c>
      <c r="L26" s="4">
        <f t="shared" si="1"/>
        <v>457788414</v>
      </c>
      <c r="M26" s="19"/>
    </row>
    <row r="27" spans="1:13" ht="18" customHeight="1">
      <c r="A27" s="6" t="str">
        <f t="shared" si="2"/>
        <v>T01</v>
      </c>
      <c r="B27" s="3">
        <v>41858</v>
      </c>
      <c r="C27" s="3">
        <v>41858</v>
      </c>
      <c r="D27" s="4" t="s">
        <v>39</v>
      </c>
      <c r="E27" s="52"/>
      <c r="F27" s="5" t="s">
        <v>253</v>
      </c>
      <c r="G27" s="5"/>
      <c r="H27" s="5"/>
      <c r="I27" s="28" t="s">
        <v>36</v>
      </c>
      <c r="J27" s="21">
        <v>1270000000</v>
      </c>
      <c r="K27" s="5"/>
      <c r="L27" s="4">
        <f t="shared" si="1"/>
        <v>1727788414</v>
      </c>
      <c r="M27" s="19"/>
    </row>
    <row r="28" spans="1:13" ht="18" customHeight="1">
      <c r="A28" s="6" t="str">
        <f t="shared" si="2"/>
        <v>T02</v>
      </c>
      <c r="B28" s="3">
        <v>41858</v>
      </c>
      <c r="C28" s="3">
        <f>B28</f>
        <v>41858</v>
      </c>
      <c r="D28" s="4" t="s">
        <v>40</v>
      </c>
      <c r="E28" s="4"/>
      <c r="F28" s="5" t="s">
        <v>272</v>
      </c>
      <c r="G28" s="5"/>
      <c r="H28" s="5"/>
      <c r="I28" s="28" t="s">
        <v>57</v>
      </c>
      <c r="J28" s="21">
        <v>50000000</v>
      </c>
      <c r="K28" s="5"/>
      <c r="L28" s="4">
        <f t="shared" si="1"/>
        <v>1777788414</v>
      </c>
      <c r="M28" s="19"/>
    </row>
    <row r="29" spans="1:13" ht="18" customHeight="1">
      <c r="A29" s="6" t="str">
        <f t="shared" si="2"/>
        <v>C09</v>
      </c>
      <c r="B29" s="3">
        <v>41858</v>
      </c>
      <c r="C29" s="3">
        <v>41858</v>
      </c>
      <c r="D29" s="4"/>
      <c r="E29" s="22" t="s">
        <v>95</v>
      </c>
      <c r="F29" s="5" t="s">
        <v>50</v>
      </c>
      <c r="G29" s="5"/>
      <c r="H29" s="5"/>
      <c r="I29" s="28" t="s">
        <v>247</v>
      </c>
      <c r="J29" s="21"/>
      <c r="K29" s="5">
        <v>138055</v>
      </c>
      <c r="L29" s="4">
        <f t="shared" si="1"/>
        <v>1777650359</v>
      </c>
      <c r="M29" s="19"/>
    </row>
    <row r="30" spans="1:13" ht="18" customHeight="1">
      <c r="A30" s="6" t="str">
        <f t="shared" si="2"/>
        <v>C09</v>
      </c>
      <c r="B30" s="3">
        <v>41858</v>
      </c>
      <c r="C30" s="3">
        <v>41858</v>
      </c>
      <c r="D30" s="4"/>
      <c r="E30" s="22" t="s">
        <v>95</v>
      </c>
      <c r="F30" s="5" t="s">
        <v>53</v>
      </c>
      <c r="G30" s="5"/>
      <c r="H30" s="5"/>
      <c r="I30" s="28" t="s">
        <v>54</v>
      </c>
      <c r="J30" s="21"/>
      <c r="K30" s="5">
        <v>2146982</v>
      </c>
      <c r="L30" s="4">
        <f t="shared" si="1"/>
        <v>1775503377</v>
      </c>
      <c r="M30" s="19"/>
    </row>
    <row r="31" spans="1:13" ht="18" customHeight="1">
      <c r="A31" s="6" t="str">
        <f t="shared" si="2"/>
        <v>C09</v>
      </c>
      <c r="B31" s="3">
        <v>41858</v>
      </c>
      <c r="C31" s="3">
        <v>41858</v>
      </c>
      <c r="D31" s="4"/>
      <c r="E31" s="22" t="s">
        <v>95</v>
      </c>
      <c r="F31" s="5" t="s">
        <v>211</v>
      </c>
      <c r="G31" s="5"/>
      <c r="H31" s="5"/>
      <c r="I31" s="28" t="s">
        <v>35</v>
      </c>
      <c r="J31" s="21"/>
      <c r="K31" s="5">
        <v>228503</v>
      </c>
      <c r="L31" s="4">
        <f t="shared" si="1"/>
        <v>1775274874</v>
      </c>
      <c r="M31" s="19"/>
    </row>
    <row r="32" spans="1:13" ht="18" customHeight="1">
      <c r="A32" s="6" t="str">
        <f t="shared" si="2"/>
        <v>C10</v>
      </c>
      <c r="B32" s="3">
        <v>41861</v>
      </c>
      <c r="C32" s="3">
        <v>41861</v>
      </c>
      <c r="D32" s="4"/>
      <c r="E32" s="22" t="s">
        <v>96</v>
      </c>
      <c r="F32" s="5" t="s">
        <v>412</v>
      </c>
      <c r="G32" s="5"/>
      <c r="H32" s="5"/>
      <c r="I32" s="28" t="s">
        <v>54</v>
      </c>
      <c r="J32" s="21"/>
      <c r="K32" s="5">
        <f>1310045+1478209</f>
        <v>2788254</v>
      </c>
      <c r="L32" s="4">
        <f t="shared" si="1"/>
        <v>1772486620</v>
      </c>
      <c r="M32" s="19"/>
    </row>
    <row r="33" spans="1:13" ht="18" customHeight="1">
      <c r="A33" s="6" t="str">
        <f t="shared" si="2"/>
        <v>C10</v>
      </c>
      <c r="B33" s="3">
        <v>41861</v>
      </c>
      <c r="C33" s="3">
        <v>41861</v>
      </c>
      <c r="D33" s="4"/>
      <c r="E33" s="22" t="s">
        <v>96</v>
      </c>
      <c r="F33" s="5" t="s">
        <v>372</v>
      </c>
      <c r="G33" s="5"/>
      <c r="H33" s="5"/>
      <c r="I33" s="28" t="s">
        <v>35</v>
      </c>
      <c r="J33" s="21"/>
      <c r="K33" s="5">
        <f>131005+147821</f>
        <v>278826</v>
      </c>
      <c r="L33" s="4">
        <f t="shared" si="1"/>
        <v>1772207794</v>
      </c>
      <c r="M33" s="19"/>
    </row>
    <row r="34" spans="1:13" ht="18" customHeight="1">
      <c r="A34" s="6" t="str">
        <f t="shared" si="2"/>
        <v>C11</v>
      </c>
      <c r="B34" s="3">
        <v>41863</v>
      </c>
      <c r="C34" s="3">
        <v>41863</v>
      </c>
      <c r="D34" s="4"/>
      <c r="E34" s="22" t="s">
        <v>97</v>
      </c>
      <c r="F34" s="5" t="s">
        <v>51</v>
      </c>
      <c r="G34" s="5"/>
      <c r="H34" s="5"/>
      <c r="I34" s="28" t="s">
        <v>36</v>
      </c>
      <c r="J34" s="21"/>
      <c r="K34" s="5">
        <v>30000000</v>
      </c>
      <c r="L34" s="4">
        <f t="shared" si="1"/>
        <v>1742207794</v>
      </c>
      <c r="M34" s="19"/>
    </row>
    <row r="35" spans="1:13" ht="18" customHeight="1">
      <c r="A35" s="6" t="str">
        <f t="shared" si="2"/>
        <v>C12</v>
      </c>
      <c r="B35" s="3">
        <v>41864</v>
      </c>
      <c r="C35" s="3">
        <v>41864</v>
      </c>
      <c r="D35" s="4"/>
      <c r="E35" s="22" t="s">
        <v>98</v>
      </c>
      <c r="F35" s="5" t="s">
        <v>45</v>
      </c>
      <c r="G35" s="5"/>
      <c r="H35" s="5"/>
      <c r="I35" s="28" t="s">
        <v>256</v>
      </c>
      <c r="J35" s="21"/>
      <c r="K35" s="5">
        <v>7500000</v>
      </c>
      <c r="L35" s="4">
        <f t="shared" si="1"/>
        <v>1734707794</v>
      </c>
      <c r="M35" s="19"/>
    </row>
    <row r="36" spans="1:13" ht="18" customHeight="1">
      <c r="A36" s="6" t="str">
        <f t="shared" si="2"/>
        <v>C12</v>
      </c>
      <c r="B36" s="3">
        <v>41864</v>
      </c>
      <c r="C36" s="3">
        <v>41864</v>
      </c>
      <c r="D36" s="4"/>
      <c r="E36" s="22" t="s">
        <v>98</v>
      </c>
      <c r="F36" s="5" t="s">
        <v>46</v>
      </c>
      <c r="G36" s="5"/>
      <c r="H36" s="5"/>
      <c r="I36" s="28" t="s">
        <v>35</v>
      </c>
      <c r="J36" s="21"/>
      <c r="K36" s="5">
        <v>750000</v>
      </c>
      <c r="L36" s="4">
        <f t="shared" si="1"/>
        <v>1733957794</v>
      </c>
      <c r="M36" s="19"/>
    </row>
    <row r="37" spans="1:13" ht="18" customHeight="1">
      <c r="A37" s="6" t="str">
        <f>D37&amp;E37</f>
        <v>C13</v>
      </c>
      <c r="B37" s="3">
        <v>41865</v>
      </c>
      <c r="C37" s="3">
        <v>41865</v>
      </c>
      <c r="D37" s="4"/>
      <c r="E37" s="22" t="s">
        <v>99</v>
      </c>
      <c r="F37" s="5" t="s">
        <v>413</v>
      </c>
      <c r="G37" s="5"/>
      <c r="H37" s="5"/>
      <c r="I37" s="28" t="s">
        <v>256</v>
      </c>
      <c r="J37" s="21"/>
      <c r="K37" s="5">
        <v>786364</v>
      </c>
      <c r="L37" s="4">
        <f t="shared" si="1"/>
        <v>1733171430</v>
      </c>
      <c r="M37" s="19"/>
    </row>
    <row r="38" spans="1:13" ht="18" customHeight="1">
      <c r="A38" s="6" t="str">
        <f t="shared" si="2"/>
        <v>C13</v>
      </c>
      <c r="B38" s="3">
        <v>41865</v>
      </c>
      <c r="C38" s="3">
        <v>41865</v>
      </c>
      <c r="D38" s="4"/>
      <c r="E38" s="22" t="s">
        <v>99</v>
      </c>
      <c r="F38" s="5" t="s">
        <v>414</v>
      </c>
      <c r="G38" s="5"/>
      <c r="H38" s="5"/>
      <c r="I38" s="28" t="s">
        <v>35</v>
      </c>
      <c r="J38" s="21"/>
      <c r="K38" s="5">
        <v>78636</v>
      </c>
      <c r="L38" s="4">
        <f t="shared" si="1"/>
        <v>1733092794</v>
      </c>
      <c r="M38" s="19"/>
    </row>
    <row r="39" spans="1:13" ht="18" customHeight="1">
      <c r="A39" s="6" t="str">
        <f t="shared" si="2"/>
        <v>C14</v>
      </c>
      <c r="B39" s="3">
        <v>41866</v>
      </c>
      <c r="C39" s="3">
        <v>41866</v>
      </c>
      <c r="D39" s="4"/>
      <c r="E39" s="22" t="s">
        <v>100</v>
      </c>
      <c r="F39" s="5" t="s">
        <v>415</v>
      </c>
      <c r="G39" s="5"/>
      <c r="H39" s="5"/>
      <c r="I39" s="28" t="s">
        <v>247</v>
      </c>
      <c r="J39" s="21"/>
      <c r="K39" s="5">
        <v>5800000</v>
      </c>
      <c r="L39" s="4">
        <f t="shared" si="1"/>
        <v>1727292794</v>
      </c>
      <c r="M39" s="19"/>
    </row>
    <row r="40" spans="1:13" ht="18" customHeight="1">
      <c r="A40" s="6" t="str">
        <f t="shared" si="2"/>
        <v>C15</v>
      </c>
      <c r="B40" s="3">
        <v>41866</v>
      </c>
      <c r="C40" s="3">
        <v>41866</v>
      </c>
      <c r="D40" s="4"/>
      <c r="E40" s="22" t="s">
        <v>101</v>
      </c>
      <c r="F40" s="5" t="s">
        <v>50</v>
      </c>
      <c r="G40" s="5"/>
      <c r="H40" s="5"/>
      <c r="I40" s="28" t="s">
        <v>247</v>
      </c>
      <c r="J40" s="21"/>
      <c r="K40" s="5">
        <v>202991</v>
      </c>
      <c r="L40" s="4">
        <f t="shared" si="1"/>
        <v>1727089803</v>
      </c>
      <c r="M40" s="19"/>
    </row>
    <row r="41" spans="1:13" ht="18" customHeight="1">
      <c r="A41" s="6" t="str">
        <f t="shared" si="2"/>
        <v>C15</v>
      </c>
      <c r="B41" s="3">
        <v>41866</v>
      </c>
      <c r="C41" s="3">
        <v>41866</v>
      </c>
      <c r="D41" s="4"/>
      <c r="E41" s="22" t="s">
        <v>101</v>
      </c>
      <c r="F41" s="5" t="s">
        <v>53</v>
      </c>
      <c r="G41" s="5"/>
      <c r="H41" s="5"/>
      <c r="I41" s="28" t="s">
        <v>54</v>
      </c>
      <c r="J41" s="21"/>
      <c r="K41" s="5">
        <v>824473</v>
      </c>
      <c r="L41" s="4">
        <f t="shared" si="1"/>
        <v>1726265330</v>
      </c>
      <c r="M41" s="19"/>
    </row>
    <row r="42" spans="1:13" ht="18" customHeight="1">
      <c r="A42" s="6" t="str">
        <f t="shared" si="2"/>
        <v>C15</v>
      </c>
      <c r="B42" s="3">
        <v>41866</v>
      </c>
      <c r="C42" s="3">
        <v>41866</v>
      </c>
      <c r="D42" s="4"/>
      <c r="E42" s="22" t="s">
        <v>101</v>
      </c>
      <c r="F42" s="5" t="s">
        <v>211</v>
      </c>
      <c r="G42" s="5"/>
      <c r="H42" s="5"/>
      <c r="I42" s="28" t="s">
        <v>35</v>
      </c>
      <c r="J42" s="21"/>
      <c r="K42" s="5">
        <v>102746</v>
      </c>
      <c r="L42" s="4">
        <f t="shared" si="1"/>
        <v>1726162584</v>
      </c>
      <c r="M42" s="19"/>
    </row>
    <row r="43" spans="1:13" ht="18" customHeight="1">
      <c r="A43" s="6" t="str">
        <f t="shared" si="2"/>
        <v>C16</v>
      </c>
      <c r="B43" s="3">
        <v>41869</v>
      </c>
      <c r="C43" s="3">
        <v>41869</v>
      </c>
      <c r="D43" s="4"/>
      <c r="E43" s="22" t="s">
        <v>102</v>
      </c>
      <c r="F43" s="5" t="s">
        <v>413</v>
      </c>
      <c r="G43" s="5"/>
      <c r="H43" s="5"/>
      <c r="I43" s="28" t="s">
        <v>256</v>
      </c>
      <c r="J43" s="21"/>
      <c r="K43" s="5">
        <v>481818</v>
      </c>
      <c r="L43" s="4">
        <f t="shared" si="1"/>
        <v>1725680766</v>
      </c>
      <c r="M43" s="19"/>
    </row>
    <row r="44" spans="1:13" ht="18" customHeight="1">
      <c r="A44" s="6" t="str">
        <f t="shared" si="2"/>
        <v>C16</v>
      </c>
      <c r="B44" s="3">
        <v>41869</v>
      </c>
      <c r="C44" s="3">
        <v>41869</v>
      </c>
      <c r="D44" s="4"/>
      <c r="E44" s="22" t="s">
        <v>102</v>
      </c>
      <c r="F44" s="5" t="s">
        <v>414</v>
      </c>
      <c r="G44" s="5"/>
      <c r="H44" s="5"/>
      <c r="I44" s="28" t="s">
        <v>35</v>
      </c>
      <c r="J44" s="21"/>
      <c r="K44" s="5">
        <v>48182</v>
      </c>
      <c r="L44" s="4">
        <f t="shared" si="1"/>
        <v>1725632584</v>
      </c>
      <c r="M44" s="19"/>
    </row>
    <row r="45" spans="1:13" ht="18" customHeight="1">
      <c r="A45" s="6" t="str">
        <f t="shared" si="2"/>
        <v>C17</v>
      </c>
      <c r="B45" s="3">
        <v>41869</v>
      </c>
      <c r="C45" s="3">
        <v>41869</v>
      </c>
      <c r="D45" s="4"/>
      <c r="E45" s="22" t="s">
        <v>103</v>
      </c>
      <c r="F45" s="5" t="s">
        <v>50</v>
      </c>
      <c r="G45" s="5"/>
      <c r="H45" s="5"/>
      <c r="I45" s="28" t="s">
        <v>247</v>
      </c>
      <c r="J45" s="21"/>
      <c r="K45" s="5">
        <v>67664</v>
      </c>
      <c r="L45" s="4">
        <f t="shared" si="1"/>
        <v>1725564920</v>
      </c>
      <c r="M45" s="19"/>
    </row>
    <row r="46" spans="1:13" ht="18" customHeight="1">
      <c r="A46" s="6" t="str">
        <f>D46&amp;E46</f>
        <v>C17</v>
      </c>
      <c r="B46" s="3">
        <v>41869</v>
      </c>
      <c r="C46" s="3">
        <v>41869</v>
      </c>
      <c r="D46" s="4"/>
      <c r="E46" s="22" t="s">
        <v>103</v>
      </c>
      <c r="F46" s="5" t="s">
        <v>53</v>
      </c>
      <c r="G46" s="5"/>
      <c r="H46" s="5"/>
      <c r="I46" s="28" t="s">
        <v>54</v>
      </c>
      <c r="J46" s="21"/>
      <c r="K46" s="5">
        <v>1005455</v>
      </c>
      <c r="L46" s="4">
        <f t="shared" si="1"/>
        <v>1724559465</v>
      </c>
      <c r="M46" s="19"/>
    </row>
    <row r="47" spans="1:13" ht="18" customHeight="1">
      <c r="A47" s="6" t="str">
        <f>D47&amp;E47</f>
        <v>C17</v>
      </c>
      <c r="B47" s="3">
        <v>41869</v>
      </c>
      <c r="C47" s="3">
        <v>41869</v>
      </c>
      <c r="D47" s="4"/>
      <c r="E47" s="22" t="s">
        <v>103</v>
      </c>
      <c r="F47" s="5" t="s">
        <v>211</v>
      </c>
      <c r="G47" s="5"/>
      <c r="H47" s="5"/>
      <c r="I47" s="28" t="s">
        <v>35</v>
      </c>
      <c r="J47" s="21"/>
      <c r="K47" s="5">
        <v>107311</v>
      </c>
      <c r="L47" s="4">
        <f t="shared" si="1"/>
        <v>1724452154</v>
      </c>
      <c r="M47" s="19"/>
    </row>
    <row r="48" spans="1:13" ht="18" customHeight="1">
      <c r="A48" s="6" t="str">
        <f>D48&amp;E48</f>
        <v>C18</v>
      </c>
      <c r="B48" s="3">
        <v>41869</v>
      </c>
      <c r="C48" s="3">
        <v>41869</v>
      </c>
      <c r="D48" s="4"/>
      <c r="E48" s="22" t="s">
        <v>104</v>
      </c>
      <c r="F48" s="5" t="s">
        <v>50</v>
      </c>
      <c r="G48" s="5"/>
      <c r="H48" s="5"/>
      <c r="I48" s="28" t="s">
        <v>247</v>
      </c>
      <c r="J48" s="21"/>
      <c r="K48" s="5">
        <v>1801800</v>
      </c>
      <c r="L48" s="4">
        <f t="shared" si="1"/>
        <v>1722650354</v>
      </c>
      <c r="M48" s="19"/>
    </row>
    <row r="49" spans="1:13" ht="18" customHeight="1">
      <c r="A49" s="6" t="str">
        <f>D49&amp;E49</f>
        <v>C18</v>
      </c>
      <c r="B49" s="3">
        <v>41869</v>
      </c>
      <c r="C49" s="3">
        <v>41869</v>
      </c>
      <c r="D49" s="4"/>
      <c r="E49" s="22" t="s">
        <v>104</v>
      </c>
      <c r="F49" s="5" t="s">
        <v>56</v>
      </c>
      <c r="G49" s="5"/>
      <c r="H49" s="5"/>
      <c r="I49" s="28" t="s">
        <v>35</v>
      </c>
      <c r="J49" s="21"/>
      <c r="K49" s="5">
        <v>180180</v>
      </c>
      <c r="L49" s="4">
        <f t="shared" si="1"/>
        <v>1722470174</v>
      </c>
      <c r="M49" s="19"/>
    </row>
    <row r="50" spans="1:13" ht="18" customHeight="1">
      <c r="A50" s="6" t="str">
        <f>D50&amp;E50</f>
        <v>C19</v>
      </c>
      <c r="B50" s="3">
        <v>41870</v>
      </c>
      <c r="C50" s="3">
        <v>41870</v>
      </c>
      <c r="D50" s="4"/>
      <c r="E50" s="22" t="s">
        <v>105</v>
      </c>
      <c r="F50" s="5" t="s">
        <v>416</v>
      </c>
      <c r="G50" s="5"/>
      <c r="H50" s="5"/>
      <c r="I50" s="28" t="s">
        <v>247</v>
      </c>
      <c r="J50" s="21"/>
      <c r="K50" s="5">
        <v>1477000</v>
      </c>
      <c r="L50" s="4">
        <f t="shared" si="1"/>
        <v>1720993174</v>
      </c>
      <c r="M50" s="19"/>
    </row>
    <row r="51" spans="1:13" ht="18" customHeight="1">
      <c r="A51" s="6" t="str">
        <f t="shared" si="2"/>
        <v>C19</v>
      </c>
      <c r="B51" s="3">
        <v>41870</v>
      </c>
      <c r="C51" s="3">
        <v>41870</v>
      </c>
      <c r="D51" s="4"/>
      <c r="E51" s="22" t="s">
        <v>105</v>
      </c>
      <c r="F51" s="5" t="s">
        <v>417</v>
      </c>
      <c r="G51" s="5"/>
      <c r="H51" s="5"/>
      <c r="I51" s="28" t="s">
        <v>35</v>
      </c>
      <c r="J51" s="21"/>
      <c r="K51" s="5">
        <v>147700</v>
      </c>
      <c r="L51" s="4">
        <f t="shared" si="1"/>
        <v>1720845474</v>
      </c>
      <c r="M51" s="19"/>
    </row>
    <row r="52" spans="1:13" ht="18" customHeight="1">
      <c r="A52" s="6" t="str">
        <f t="shared" si="2"/>
        <v>C20</v>
      </c>
      <c r="B52" s="3">
        <v>41870</v>
      </c>
      <c r="C52" s="3">
        <v>41870</v>
      </c>
      <c r="D52" s="4"/>
      <c r="E52" s="22" t="s">
        <v>106</v>
      </c>
      <c r="F52" s="30" t="s">
        <v>260</v>
      </c>
      <c r="G52" s="50"/>
      <c r="H52" s="50"/>
      <c r="I52" s="28" t="s">
        <v>134</v>
      </c>
      <c r="J52" s="21"/>
      <c r="K52" s="5">
        <v>500000000</v>
      </c>
      <c r="L52" s="4">
        <f t="shared" si="1"/>
        <v>1220845474</v>
      </c>
      <c r="M52" s="19"/>
    </row>
    <row r="53" spans="1:13" ht="18" customHeight="1">
      <c r="A53" s="6" t="str">
        <f t="shared" si="2"/>
        <v>C21</v>
      </c>
      <c r="B53" s="3">
        <v>41871</v>
      </c>
      <c r="C53" s="3">
        <v>41871</v>
      </c>
      <c r="D53" s="4"/>
      <c r="E53" s="22" t="s">
        <v>107</v>
      </c>
      <c r="F53" s="5" t="s">
        <v>50</v>
      </c>
      <c r="G53" s="5"/>
      <c r="H53" s="5"/>
      <c r="I53" s="28" t="s">
        <v>247</v>
      </c>
      <c r="J53" s="21"/>
      <c r="K53" s="5">
        <v>902182</v>
      </c>
      <c r="L53" s="4">
        <f t="shared" si="1"/>
        <v>1219943292</v>
      </c>
      <c r="M53" s="19"/>
    </row>
    <row r="54" spans="1:13" ht="18" customHeight="1">
      <c r="A54" s="6" t="str">
        <f t="shared" si="2"/>
        <v>C21</v>
      </c>
      <c r="B54" s="3">
        <v>41871</v>
      </c>
      <c r="C54" s="3">
        <v>41871</v>
      </c>
      <c r="D54" s="4"/>
      <c r="E54" s="22" t="s">
        <v>107</v>
      </c>
      <c r="F54" s="5" t="s">
        <v>56</v>
      </c>
      <c r="G54" s="5"/>
      <c r="H54" s="5"/>
      <c r="I54" s="28" t="s">
        <v>35</v>
      </c>
      <c r="J54" s="21"/>
      <c r="K54" s="5">
        <v>90218</v>
      </c>
      <c r="L54" s="4">
        <f t="shared" si="1"/>
        <v>1219853074</v>
      </c>
      <c r="M54" s="19"/>
    </row>
    <row r="55" spans="1:13" ht="18" customHeight="1">
      <c r="A55" s="6" t="str">
        <f>D55&amp;E55</f>
        <v>T03</v>
      </c>
      <c r="B55" s="3">
        <v>41872</v>
      </c>
      <c r="C55" s="3">
        <v>41872</v>
      </c>
      <c r="D55" s="4" t="s">
        <v>41</v>
      </c>
      <c r="E55" s="52"/>
      <c r="F55" s="5" t="s">
        <v>253</v>
      </c>
      <c r="G55" s="5"/>
      <c r="H55" s="5"/>
      <c r="I55" s="28" t="s">
        <v>36</v>
      </c>
      <c r="J55" s="21">
        <v>1100000000</v>
      </c>
      <c r="K55" s="5"/>
      <c r="L55" s="4">
        <f t="shared" si="1"/>
        <v>2319853074</v>
      </c>
      <c r="M55" s="19"/>
    </row>
    <row r="56" spans="1:13" ht="18" customHeight="1">
      <c r="A56" s="6" t="str">
        <f t="shared" si="2"/>
        <v>C22</v>
      </c>
      <c r="B56" s="3">
        <v>41873</v>
      </c>
      <c r="C56" s="3">
        <v>41873</v>
      </c>
      <c r="D56" s="4"/>
      <c r="E56" s="22" t="s">
        <v>108</v>
      </c>
      <c r="F56" s="5" t="s">
        <v>418</v>
      </c>
      <c r="G56" s="5"/>
      <c r="H56" s="5"/>
      <c r="I56" s="28" t="s">
        <v>54</v>
      </c>
      <c r="J56" s="21"/>
      <c r="K56" s="5">
        <v>15380000</v>
      </c>
      <c r="L56" s="4">
        <f t="shared" si="1"/>
        <v>2304473074</v>
      </c>
      <c r="M56" s="19"/>
    </row>
    <row r="57" spans="1:13" ht="18" customHeight="1">
      <c r="A57" s="6" t="str">
        <f t="shared" si="2"/>
        <v>T04</v>
      </c>
      <c r="B57" s="3">
        <v>41877</v>
      </c>
      <c r="C57" s="3">
        <v>41877</v>
      </c>
      <c r="D57" s="4" t="s">
        <v>42</v>
      </c>
      <c r="E57" s="52"/>
      <c r="F57" s="5" t="s">
        <v>419</v>
      </c>
      <c r="G57" s="5"/>
      <c r="H57" s="5"/>
      <c r="I57" s="28" t="s">
        <v>355</v>
      </c>
      <c r="J57" s="21">
        <v>1165725000</v>
      </c>
      <c r="K57" s="5"/>
      <c r="L57" s="4">
        <f t="shared" si="1"/>
        <v>3470198074</v>
      </c>
      <c r="M57" s="19"/>
    </row>
    <row r="58" spans="1:13" ht="18" customHeight="1">
      <c r="A58" s="6" t="str">
        <f t="shared" si="2"/>
        <v>C23</v>
      </c>
      <c r="B58" s="3">
        <v>41877</v>
      </c>
      <c r="C58" s="3">
        <v>41877</v>
      </c>
      <c r="D58" s="4"/>
      <c r="E58" s="22" t="s">
        <v>109</v>
      </c>
      <c r="F58" s="5" t="s">
        <v>420</v>
      </c>
      <c r="G58" s="5"/>
      <c r="H58" s="5"/>
      <c r="I58" s="28" t="s">
        <v>256</v>
      </c>
      <c r="J58" s="21"/>
      <c r="K58" s="5">
        <v>4476625</v>
      </c>
      <c r="L58" s="4">
        <f t="shared" si="1"/>
        <v>3465721449</v>
      </c>
      <c r="M58" s="19"/>
    </row>
    <row r="59" spans="1:13" ht="18" customHeight="1">
      <c r="A59" s="6" t="str">
        <f t="shared" si="2"/>
        <v>C23</v>
      </c>
      <c r="B59" s="3">
        <v>41877</v>
      </c>
      <c r="C59" s="3">
        <v>41877</v>
      </c>
      <c r="D59" s="4"/>
      <c r="E59" s="22" t="s">
        <v>109</v>
      </c>
      <c r="F59" s="5" t="s">
        <v>421</v>
      </c>
      <c r="G59" s="5"/>
      <c r="H59" s="5"/>
      <c r="I59" s="28" t="s">
        <v>35</v>
      </c>
      <c r="J59" s="21"/>
      <c r="K59" s="5">
        <v>235471</v>
      </c>
      <c r="L59" s="4">
        <f t="shared" si="1"/>
        <v>3465485978</v>
      </c>
      <c r="M59" s="19"/>
    </row>
    <row r="60" spans="1:13" ht="18" customHeight="1">
      <c r="A60" s="6" t="str">
        <f>D60&amp;E60</f>
        <v>C24</v>
      </c>
      <c r="B60" s="3">
        <v>41877</v>
      </c>
      <c r="C60" s="3">
        <v>41877</v>
      </c>
      <c r="D60" s="4"/>
      <c r="E60" s="22" t="s">
        <v>110</v>
      </c>
      <c r="F60" s="5" t="s">
        <v>422</v>
      </c>
      <c r="G60" s="5"/>
      <c r="H60" s="5"/>
      <c r="I60" s="28" t="s">
        <v>247</v>
      </c>
      <c r="J60" s="21"/>
      <c r="K60" s="5">
        <v>14400000</v>
      </c>
      <c r="L60" s="4">
        <f t="shared" si="1"/>
        <v>3451085978</v>
      </c>
      <c r="M60" s="19"/>
    </row>
    <row r="61" spans="1:13" ht="18" customHeight="1">
      <c r="A61" s="6" t="str">
        <f>D61&amp;E61</f>
        <v>C24</v>
      </c>
      <c r="B61" s="3">
        <v>41877</v>
      </c>
      <c r="C61" s="3">
        <v>41877</v>
      </c>
      <c r="D61" s="4"/>
      <c r="E61" s="22" t="s">
        <v>110</v>
      </c>
      <c r="F61" s="5" t="s">
        <v>423</v>
      </c>
      <c r="G61" s="5"/>
      <c r="H61" s="5"/>
      <c r="I61" s="28" t="s">
        <v>35</v>
      </c>
      <c r="J61" s="21"/>
      <c r="K61" s="5">
        <v>1440000</v>
      </c>
      <c r="L61" s="4">
        <f t="shared" si="1"/>
        <v>3449645978</v>
      </c>
      <c r="M61" s="19"/>
    </row>
    <row r="62" spans="1:13" ht="18" customHeight="1">
      <c r="A62" s="6" t="str">
        <f>D62&amp;E62</f>
        <v>C25</v>
      </c>
      <c r="B62" s="3">
        <v>41878</v>
      </c>
      <c r="C62" s="3">
        <v>41878</v>
      </c>
      <c r="D62" s="4"/>
      <c r="E62" s="22" t="s">
        <v>111</v>
      </c>
      <c r="F62" s="5" t="s">
        <v>424</v>
      </c>
      <c r="G62" s="5"/>
      <c r="H62" s="5"/>
      <c r="I62" s="28" t="s">
        <v>54</v>
      </c>
      <c r="J62" s="21"/>
      <c r="K62" s="5">
        <v>14350000</v>
      </c>
      <c r="L62" s="4">
        <f t="shared" ref="L62:L72" si="3">IF(F62&lt;&gt;"",L61+J62-K62,0)</f>
        <v>3435295978</v>
      </c>
      <c r="M62" s="19"/>
    </row>
    <row r="63" spans="1:13" ht="18" customHeight="1">
      <c r="A63" s="6" t="str">
        <f t="shared" si="2"/>
        <v>C26</v>
      </c>
      <c r="B63" s="3">
        <v>41879</v>
      </c>
      <c r="C63" s="3">
        <v>41879</v>
      </c>
      <c r="D63" s="4"/>
      <c r="E63" s="22" t="s">
        <v>112</v>
      </c>
      <c r="F63" s="5" t="s">
        <v>50</v>
      </c>
      <c r="G63" s="5"/>
      <c r="H63" s="5"/>
      <c r="I63" s="28" t="s">
        <v>247</v>
      </c>
      <c r="J63" s="21"/>
      <c r="K63" s="5">
        <v>2458445</v>
      </c>
      <c r="L63" s="4">
        <f t="shared" si="3"/>
        <v>3432837533</v>
      </c>
      <c r="M63" s="19"/>
    </row>
    <row r="64" spans="1:13" ht="18" customHeight="1">
      <c r="A64" s="6" t="str">
        <f t="shared" si="2"/>
        <v>C26</v>
      </c>
      <c r="B64" s="3">
        <v>41879</v>
      </c>
      <c r="C64" s="3">
        <v>41879</v>
      </c>
      <c r="D64" s="4"/>
      <c r="E64" s="22" t="s">
        <v>112</v>
      </c>
      <c r="F64" s="5" t="s">
        <v>56</v>
      </c>
      <c r="G64" s="5"/>
      <c r="H64" s="5"/>
      <c r="I64" s="28" t="s">
        <v>35</v>
      </c>
      <c r="J64" s="21"/>
      <c r="K64" s="5">
        <v>245845</v>
      </c>
      <c r="L64" s="4">
        <f t="shared" si="3"/>
        <v>3432591688</v>
      </c>
      <c r="M64" s="19"/>
    </row>
    <row r="65" spans="1:13" ht="18" customHeight="1">
      <c r="A65" s="6" t="str">
        <f t="shared" si="2"/>
        <v>C27</v>
      </c>
      <c r="B65" s="3">
        <v>41879</v>
      </c>
      <c r="C65" s="3">
        <v>41879</v>
      </c>
      <c r="D65" s="4"/>
      <c r="E65" s="22" t="s">
        <v>113</v>
      </c>
      <c r="F65" s="5" t="s">
        <v>425</v>
      </c>
      <c r="G65" s="5"/>
      <c r="H65" s="5"/>
      <c r="I65" s="28" t="s">
        <v>247</v>
      </c>
      <c r="J65" s="21"/>
      <c r="K65" s="5">
        <v>2096292</v>
      </c>
      <c r="L65" s="4">
        <f t="shared" si="3"/>
        <v>3430495396</v>
      </c>
      <c r="M65" s="19"/>
    </row>
    <row r="66" spans="1:13" ht="18" customHeight="1">
      <c r="A66" s="6" t="str">
        <f t="shared" si="2"/>
        <v>C27</v>
      </c>
      <c r="B66" s="3">
        <v>41879</v>
      </c>
      <c r="C66" s="3">
        <v>41879</v>
      </c>
      <c r="D66" s="4"/>
      <c r="E66" s="22" t="s">
        <v>113</v>
      </c>
      <c r="F66" s="5" t="s">
        <v>426</v>
      </c>
      <c r="G66" s="5"/>
      <c r="H66" s="5"/>
      <c r="I66" s="28" t="s">
        <v>35</v>
      </c>
      <c r="J66" s="21"/>
      <c r="K66" s="5">
        <v>209629</v>
      </c>
      <c r="L66" s="4">
        <f t="shared" si="3"/>
        <v>3430285767</v>
      </c>
      <c r="M66" s="19"/>
    </row>
    <row r="67" spans="1:13" ht="18" customHeight="1">
      <c r="A67" s="6" t="str">
        <f>D67&amp;E67</f>
        <v>C28</v>
      </c>
      <c r="B67" s="3">
        <v>41879</v>
      </c>
      <c r="C67" s="3">
        <v>41879</v>
      </c>
      <c r="D67" s="4"/>
      <c r="E67" s="22" t="s">
        <v>114</v>
      </c>
      <c r="F67" s="30" t="s">
        <v>259</v>
      </c>
      <c r="G67" s="50"/>
      <c r="H67" s="50"/>
      <c r="I67" s="28" t="s">
        <v>134</v>
      </c>
      <c r="J67" s="21"/>
      <c r="K67" s="5">
        <v>600000000</v>
      </c>
      <c r="L67" s="4">
        <f t="shared" si="3"/>
        <v>2830285767</v>
      </c>
      <c r="M67" s="19"/>
    </row>
    <row r="68" spans="1:13" ht="18" customHeight="1">
      <c r="A68" s="6" t="str">
        <f>D68&amp;E68</f>
        <v>C29</v>
      </c>
      <c r="B68" s="3">
        <v>41879</v>
      </c>
      <c r="C68" s="3">
        <v>41879</v>
      </c>
      <c r="D68" s="4"/>
      <c r="E68" s="22" t="s">
        <v>115</v>
      </c>
      <c r="F68" s="30" t="s">
        <v>260</v>
      </c>
      <c r="G68" s="50"/>
      <c r="H68" s="50"/>
      <c r="I68" s="28" t="s">
        <v>134</v>
      </c>
      <c r="J68" s="21"/>
      <c r="K68" s="5">
        <v>500000000</v>
      </c>
      <c r="L68" s="4">
        <f t="shared" si="3"/>
        <v>2330285767</v>
      </c>
      <c r="M68" s="19"/>
    </row>
    <row r="69" spans="1:13" ht="18" customHeight="1">
      <c r="A69" s="6" t="str">
        <f>D69&amp;E69</f>
        <v>T05</v>
      </c>
      <c r="B69" s="3">
        <v>41880</v>
      </c>
      <c r="C69" s="3">
        <v>41880</v>
      </c>
      <c r="D69" s="4" t="s">
        <v>43</v>
      </c>
      <c r="E69" s="52"/>
      <c r="F69" s="5" t="s">
        <v>253</v>
      </c>
      <c r="G69" s="5"/>
      <c r="H69" s="5"/>
      <c r="I69" s="28" t="s">
        <v>36</v>
      </c>
      <c r="J69" s="21">
        <v>345000000</v>
      </c>
      <c r="K69" s="5"/>
      <c r="L69" s="4">
        <f t="shared" si="3"/>
        <v>2675285767</v>
      </c>
      <c r="M69" s="19"/>
    </row>
    <row r="70" spans="1:13" ht="18" customHeight="1">
      <c r="A70" s="6" t="str">
        <f t="shared" si="2"/>
        <v>C30</v>
      </c>
      <c r="B70" s="3">
        <v>41880</v>
      </c>
      <c r="C70" s="3">
        <v>41880</v>
      </c>
      <c r="D70" s="4"/>
      <c r="E70" s="22" t="s">
        <v>116</v>
      </c>
      <c r="F70" s="5" t="s">
        <v>50</v>
      </c>
      <c r="G70" s="5"/>
      <c r="H70" s="5"/>
      <c r="I70" s="28" t="s">
        <v>247</v>
      </c>
      <c r="J70" s="21"/>
      <c r="K70" s="5">
        <v>286118</v>
      </c>
      <c r="L70" s="4">
        <f t="shared" si="3"/>
        <v>2674999649</v>
      </c>
      <c r="M70" s="19"/>
    </row>
    <row r="71" spans="1:13" ht="18" customHeight="1">
      <c r="A71" s="6" t="str">
        <f>D71&amp;E71</f>
        <v>C30</v>
      </c>
      <c r="B71" s="3">
        <v>41880</v>
      </c>
      <c r="C71" s="3">
        <v>41880</v>
      </c>
      <c r="D71" s="4"/>
      <c r="E71" s="22" t="s">
        <v>116</v>
      </c>
      <c r="F71" s="5" t="s">
        <v>53</v>
      </c>
      <c r="G71" s="5"/>
      <c r="H71" s="5"/>
      <c r="I71" s="28" t="s">
        <v>54</v>
      </c>
      <c r="J71" s="21"/>
      <c r="K71" s="5">
        <v>2003636</v>
      </c>
      <c r="L71" s="4">
        <f t="shared" si="3"/>
        <v>2672996013</v>
      </c>
      <c r="M71" s="19"/>
    </row>
    <row r="72" spans="1:13" ht="18" customHeight="1">
      <c r="A72" s="6" t="str">
        <f>D72&amp;E72</f>
        <v>C30</v>
      </c>
      <c r="B72" s="3">
        <v>41880</v>
      </c>
      <c r="C72" s="3">
        <v>41880</v>
      </c>
      <c r="D72" s="4"/>
      <c r="E72" s="22" t="s">
        <v>116</v>
      </c>
      <c r="F72" s="5" t="s">
        <v>133</v>
      </c>
      <c r="G72" s="5"/>
      <c r="H72" s="5"/>
      <c r="I72" s="28" t="s">
        <v>35</v>
      </c>
      <c r="J72" s="21"/>
      <c r="K72" s="5">
        <v>228976</v>
      </c>
      <c r="L72" s="4">
        <f t="shared" si="3"/>
        <v>2672767037</v>
      </c>
      <c r="M72" s="19"/>
    </row>
    <row r="73" spans="1:13" ht="18" customHeight="1">
      <c r="A73" s="6" t="str">
        <f>D73&amp;E73</f>
        <v>C31</v>
      </c>
      <c r="B73" s="3">
        <v>41880</v>
      </c>
      <c r="C73" s="3">
        <v>41880</v>
      </c>
      <c r="D73" s="4"/>
      <c r="E73" s="22" t="s">
        <v>117</v>
      </c>
      <c r="F73" s="5" t="s">
        <v>228</v>
      </c>
      <c r="G73" s="5"/>
      <c r="H73" s="5"/>
      <c r="I73" s="28" t="s">
        <v>36</v>
      </c>
      <c r="J73" s="21"/>
      <c r="K73" s="5">
        <v>70000000</v>
      </c>
      <c r="L73" s="4">
        <f t="shared" si="1"/>
        <v>2602767037</v>
      </c>
      <c r="M73" s="19"/>
    </row>
    <row r="74" spans="1:13" ht="18" customHeight="1">
      <c r="A74" s="6" t="str">
        <f t="shared" si="2"/>
        <v>C32</v>
      </c>
      <c r="B74" s="3">
        <v>41881</v>
      </c>
      <c r="C74" s="3">
        <v>41881</v>
      </c>
      <c r="D74" s="4"/>
      <c r="E74" s="22" t="s">
        <v>118</v>
      </c>
      <c r="F74" s="5" t="s">
        <v>50</v>
      </c>
      <c r="G74" s="5"/>
      <c r="H74" s="5"/>
      <c r="I74" s="28" t="s">
        <v>247</v>
      </c>
      <c r="J74" s="21"/>
      <c r="K74" s="5">
        <v>929345</v>
      </c>
      <c r="L74" s="4">
        <f t="shared" si="1"/>
        <v>2601837692</v>
      </c>
      <c r="M74" s="19"/>
    </row>
    <row r="75" spans="1:13" ht="18" customHeight="1">
      <c r="A75" s="6" t="str">
        <f>D75&amp;E75</f>
        <v>C32</v>
      </c>
      <c r="B75" s="3">
        <v>41881</v>
      </c>
      <c r="C75" s="3">
        <v>41881</v>
      </c>
      <c r="D75" s="4"/>
      <c r="E75" s="22" t="s">
        <v>118</v>
      </c>
      <c r="F75" s="5" t="s">
        <v>56</v>
      </c>
      <c r="G75" s="5"/>
      <c r="H75" s="5"/>
      <c r="I75" s="28" t="s">
        <v>35</v>
      </c>
      <c r="J75" s="21"/>
      <c r="K75" s="5">
        <v>92935</v>
      </c>
      <c r="L75" s="4">
        <f t="shared" si="1"/>
        <v>2601744757</v>
      </c>
      <c r="M75" s="19"/>
    </row>
    <row r="76" spans="1:13" ht="18" customHeight="1">
      <c r="A76" s="6" t="str">
        <f>D76&amp;E76</f>
        <v>C33</v>
      </c>
      <c r="B76" s="3">
        <v>41882</v>
      </c>
      <c r="C76" s="3">
        <v>41882</v>
      </c>
      <c r="D76" s="4"/>
      <c r="E76" s="22" t="s">
        <v>119</v>
      </c>
      <c r="F76" s="5" t="s">
        <v>50</v>
      </c>
      <c r="G76" s="5"/>
      <c r="H76" s="5"/>
      <c r="I76" s="28" t="s">
        <v>247</v>
      </c>
      <c r="J76" s="21"/>
      <c r="K76" s="5">
        <v>107909</v>
      </c>
      <c r="L76" s="4">
        <f t="shared" si="1"/>
        <v>2601636848</v>
      </c>
      <c r="M76" s="19"/>
    </row>
    <row r="77" spans="1:13" ht="18" customHeight="1">
      <c r="A77" s="6" t="str">
        <f>D77&amp;E77</f>
        <v>C33</v>
      </c>
      <c r="B77" s="3">
        <v>41882</v>
      </c>
      <c r="C77" s="3">
        <v>41882</v>
      </c>
      <c r="D77" s="4"/>
      <c r="E77" s="22" t="s">
        <v>119</v>
      </c>
      <c r="F77" s="5" t="s">
        <v>53</v>
      </c>
      <c r="G77" s="5"/>
      <c r="H77" s="5"/>
      <c r="I77" s="28" t="s">
        <v>54</v>
      </c>
      <c r="J77" s="21"/>
      <c r="K77" s="5">
        <v>974655</v>
      </c>
      <c r="L77" s="4">
        <f t="shared" si="1"/>
        <v>2600662193</v>
      </c>
      <c r="M77" s="19"/>
    </row>
    <row r="78" spans="1:13" ht="18" customHeight="1">
      <c r="A78" s="6" t="str">
        <f>D78&amp;E78</f>
        <v>C33</v>
      </c>
      <c r="B78" s="3">
        <v>41882</v>
      </c>
      <c r="C78" s="3">
        <v>41882</v>
      </c>
      <c r="D78" s="4"/>
      <c r="E78" s="22" t="s">
        <v>119</v>
      </c>
      <c r="F78" s="5" t="s">
        <v>133</v>
      </c>
      <c r="G78" s="5"/>
      <c r="H78" s="5"/>
      <c r="I78" s="28" t="s">
        <v>35</v>
      </c>
      <c r="J78" s="21"/>
      <c r="K78" s="5">
        <v>108256</v>
      </c>
      <c r="L78" s="4">
        <f t="shared" si="1"/>
        <v>2600553937</v>
      </c>
      <c r="M78" s="19"/>
    </row>
    <row r="79" spans="1:13" ht="18" customHeight="1">
      <c r="A79" s="6" t="str">
        <f>D79&amp;E79</f>
        <v>C34</v>
      </c>
      <c r="B79" s="3">
        <v>41882</v>
      </c>
      <c r="C79" s="3">
        <v>41882</v>
      </c>
      <c r="D79" s="4"/>
      <c r="E79" s="22" t="s">
        <v>120</v>
      </c>
      <c r="F79" s="5" t="s">
        <v>344</v>
      </c>
      <c r="G79" s="5"/>
      <c r="H79" s="5"/>
      <c r="I79" s="28" t="s">
        <v>37</v>
      </c>
      <c r="J79" s="21"/>
      <c r="K79" s="5">
        <v>159113376</v>
      </c>
      <c r="L79" s="4">
        <f t="shared" si="1"/>
        <v>2441440561</v>
      </c>
      <c r="M79" s="19"/>
    </row>
    <row r="80" spans="1:13" ht="18" customHeight="1">
      <c r="B80" s="3"/>
      <c r="C80" s="3"/>
      <c r="D80" s="4"/>
      <c r="E80" s="4"/>
      <c r="F80" s="5"/>
      <c r="G80" s="5"/>
      <c r="H80" s="5"/>
      <c r="I80" s="4"/>
      <c r="J80" s="21"/>
      <c r="K80" s="5"/>
      <c r="L80" s="4"/>
      <c r="M80" s="19"/>
    </row>
    <row r="81" spans="2:13" s="44" customFormat="1" ht="18" customHeight="1">
      <c r="B81" s="42"/>
      <c r="C81" s="42"/>
      <c r="D81" s="42"/>
      <c r="E81" s="42"/>
      <c r="F81" s="42" t="s">
        <v>29</v>
      </c>
      <c r="G81" s="42"/>
      <c r="H81" s="42"/>
      <c r="I81" s="43" t="s">
        <v>30</v>
      </c>
      <c r="J81" s="42">
        <f>SUM(J13:J79)</f>
        <v>3930725000</v>
      </c>
      <c r="K81" s="42">
        <f>SUM(K13:K79)</f>
        <v>2432089464</v>
      </c>
      <c r="L81" s="43" t="s">
        <v>30</v>
      </c>
      <c r="M81" s="43" t="s">
        <v>30</v>
      </c>
    </row>
    <row r="82" spans="2:13" s="44" customFormat="1" ht="18" customHeight="1">
      <c r="B82" s="45"/>
      <c r="C82" s="45"/>
      <c r="D82" s="45"/>
      <c r="E82" s="45"/>
      <c r="F82" s="45" t="s">
        <v>31</v>
      </c>
      <c r="G82" s="45"/>
      <c r="H82" s="45"/>
      <c r="I82" s="46" t="s">
        <v>30</v>
      </c>
      <c r="J82" s="46" t="s">
        <v>30</v>
      </c>
      <c r="K82" s="46" t="s">
        <v>30</v>
      </c>
      <c r="L82" s="45">
        <f>L12+J81-K81</f>
        <v>2441440561</v>
      </c>
      <c r="M82" s="46" t="s">
        <v>30</v>
      </c>
    </row>
    <row r="84" spans="2:13">
      <c r="B84" s="27" t="s">
        <v>47</v>
      </c>
    </row>
    <row r="85" spans="2:13">
      <c r="B85" s="27" t="s">
        <v>240</v>
      </c>
    </row>
    <row r="86" spans="2:13">
      <c r="L86" s="8" t="s">
        <v>241</v>
      </c>
    </row>
    <row r="87" spans="2:13" s="7" customFormat="1" ht="14.25">
      <c r="C87" s="7" t="s">
        <v>33</v>
      </c>
      <c r="F87" s="7" t="s">
        <v>13</v>
      </c>
      <c r="L87" s="7" t="s">
        <v>14</v>
      </c>
    </row>
    <row r="88" spans="2:13" s="2" customFormat="1">
      <c r="C88" s="2" t="s">
        <v>15</v>
      </c>
      <c r="F88" s="2" t="s">
        <v>15</v>
      </c>
      <c r="L88" s="2" t="s">
        <v>16</v>
      </c>
    </row>
    <row r="89" spans="2:13" s="2" customFormat="1"/>
  </sheetData>
  <autoFilter ref="B11:M82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63</vt:i4>
      </vt:variant>
    </vt:vector>
  </HeadingPairs>
  <TitlesOfParts>
    <vt:vector size="82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2015-09-04T01:40:11Z</cp:lastPrinted>
  <dcterms:created xsi:type="dcterms:W3CDTF">2013-12-12T04:07:41Z</dcterms:created>
  <dcterms:modified xsi:type="dcterms:W3CDTF">2015-09-11T02:32:29Z</dcterms:modified>
</cp:coreProperties>
</file>